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urement Order PH"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HH:mm"/>
    <numFmt numFmtId="165"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0" customWidth="1"/>
    <col min="34" max="34" width="19" customWidth="1"/>
    <col min="35" max="35" width="19" customWidth="1"/>
    <col min="36" max="36" width="19" customWidth="1"/>
    <col min="37" max="37" width="19" customWidth="1"/>
  </cols>
  <sheetData>
    <row r="1" ht="13" customHeight="1">
      <c r="A1" s="1" t="inlineStr">
        <is>
          <t>Request No.</t>
        </is>
      </c>
      <c r="B1" s="1" t="inlineStr">
        <is>
          <t>Status</t>
        </is>
      </c>
      <c r="C1" s="1" t="inlineStr">
        <is>
          <t>Approval process</t>
        </is>
      </c>
      <c r="D1" s="1" t="inlineStr">
        <is>
          <t>Submitted at</t>
        </is>
      </c>
      <c r="E1" s="1" t="inlineStr">
        <is>
          <t>Completed at</t>
        </is>
      </c>
      <c r="F1" s="1" t="inlineStr">
        <is>
          <t>Requester</t>
        </is>
      </c>
      <c r="G1" s="1" t="inlineStr">
        <is>
          <t>Initiator department</t>
        </is>
      </c>
      <c r="H1" s="1" t="inlineStr">
        <is>
          <t>Current assignee</t>
        </is>
      </c>
      <c r="I1" s="1" t="inlineStr">
        <is>
          <t>Approval steps</t>
        </is>
      </c>
      <c r="J1" s="1" t="inlineStr">
        <is>
          <t>Cost Type</t>
        </is>
      </c>
      <c r="K1" s="1" t="inlineStr">
        <is>
          <t>Business Unit</t>
        </is>
      </c>
      <c r="L1" s="1" t="inlineStr">
        <is>
          <t>Project Name</t>
        </is>
      </c>
      <c r="M1" s="1" t="inlineStr">
        <is>
          <t>Project Code</t>
        </is>
      </c>
      <c r="N1" s="1" t="inlineStr">
        <is>
          <t>Project Manager</t>
        </is>
      </c>
      <c r="O1" s="1" t="inlineStr">
        <is>
          <t>Associated Procurement Request</t>
        </is>
      </c>
      <c r="P1" s="1" t="inlineStr">
        <is>
          <t>Talents required</t>
        </is>
      </c>
      <c r="Q1" s="1" t="inlineStr">
        <is>
          <t>Charged to</t>
        </is>
      </c>
      <c r="R1" s="1" t="inlineStr">
        <is>
          <t>Are Particulars overbudget?</t>
        </is>
      </c>
      <c r="S1" s="1" t="inlineStr">
        <is>
          <t>Particulars_Item</t>
        </is>
      </c>
      <c r="T1" s="1" t="inlineStr">
        <is>
          <t>Particulars_Quantity</t>
        </is>
      </c>
      <c r="U1" s="1" t="inlineStr">
        <is>
          <t>Particulars_Unit Price</t>
        </is>
      </c>
      <c r="V1" s="1" t="inlineStr">
        <is>
          <t>Particulars_Unit Price-Currency</t>
        </is>
      </c>
      <c r="W1" s="1" t="inlineStr">
        <is>
          <t>Particulars_Price</t>
        </is>
      </c>
      <c r="X1" s="1" t="inlineStr">
        <is>
          <t>Particulars_Attachment</t>
        </is>
      </c>
      <c r="Y1" s="1" t="inlineStr">
        <is>
          <t>Supplier Details_Form of Payment</t>
        </is>
      </c>
      <c r="Z1" s="1" t="inlineStr">
        <is>
          <t>Supplier Details_Account Name</t>
        </is>
      </c>
      <c r="AA1" s="1" t="inlineStr">
        <is>
          <t>Supplier Details_Account Number</t>
        </is>
      </c>
      <c r="AB1" s="1" t="inlineStr">
        <is>
          <t>Supplier Details_Bank Name</t>
        </is>
      </c>
      <c r="AC1" s="1" t="inlineStr">
        <is>
          <t>Supplier Details_Business/Home Address</t>
        </is>
      </c>
      <c r="AD1" s="1" t="inlineStr">
        <is>
          <t>Supplier Details_Payment Date</t>
        </is>
      </c>
      <c r="AE1" s="1" t="inlineStr">
        <is>
          <t>Supplier Details_Terms</t>
        </is>
      </c>
      <c r="AF1" s="1" t="inlineStr">
        <is>
          <t>Supplier Details_Attachment</t>
        </is>
      </c>
      <c r="AG1" s="1" t="inlineStr">
        <is>
          <t>SourceID</t>
        </is>
      </c>
      <c r="AH1" s="1" t="inlineStr">
        <is>
          <t>Supplier Details_Supplier Name</t>
        </is>
      </c>
      <c r="AI1" s="1" t="inlineStr">
        <is>
          <t>Esports Business Unit</t>
        </is>
      </c>
      <c r="AJ1" s="1" t="inlineStr">
        <is>
          <t>Budget/Terms</t>
        </is>
      </c>
      <c r="AK1" s="1" t="inlineStr">
        <is>
          <t>Requester1</t>
        </is>
      </c>
    </row>
    <row r="2" ht="25.5" customHeight="1">
      <c r="A2" s="2" t="str">
        <f>=HYPERLINK("https://applink.larksuite.com/client/mini_program/open?appId=cli_9c7cc8a9a9edd105&amp;mode=appCenter&amp;path_pc=pc/pages/requested/index?instanceId=7358709775409905669&amp;source=bitable&amp;path=pages/detail/index?instanceId=7358709775409905669&amp;source=bitable", "202404170024")</f>
        <v>202404170024</v>
      </c>
      <c r="B2" t="inlineStr">
        <is>
          <t>Approved</t>
        </is>
      </c>
      <c r="C2" t="inlineStr">
        <is>
          <t>Procurement Order</t>
        </is>
      </c>
      <c r="D2" s="3">
        <v>45399.57792824074</v>
      </c>
      <c r="E2" s="3">
        <v>45405.61921296296</v>
      </c>
      <c r="F2" t="inlineStr">
        <is>
          <t>Fatima Kathleen M. FLores</t>
        </is>
      </c>
      <c r="G2" t="inlineStr">
        <is>
          <t>Procurement</t>
        </is>
      </c>
      <c r="H2"/>
      <c r="I2"/>
      <c r="J2" t="inlineStr">
        <is>
          <t>Project</t>
        </is>
      </c>
      <c r="K2" t="inlineStr">
        <is>
          <t>PDEI - Event Service</t>
        </is>
      </c>
      <c r="L2" t="inlineStr">
        <is>
          <t>M5 - Main Broadcast Addendum</t>
        </is>
      </c>
      <c r="M2" t="inlineStr">
        <is>
          <t>2024TEG-P0038</t>
        </is>
      </c>
      <c r="N2" t="inlineStr">
        <is>
          <t>Duane Aaron Baret Cadangan</t>
        </is>
      </c>
      <c r="O2" t="inlineStr">
        <is>
          <t>202404070005-Duane Aaron Baret Cadangan-费用报销 - 副本 - 副本 - 副本-2024-04-07 08:57:39</t>
        </is>
      </c>
      <c r="P2" t="inlineStr">
        <is>
          <t>NO</t>
        </is>
      </c>
      <c r="Q2"/>
      <c r="R2" t="inlineStr">
        <is>
          <t>YES</t>
        </is>
      </c>
      <c r="S2" t="inlineStr">
        <is>
          <t>Rental of Power Distribution Box</t>
        </is>
      </c>
      <c r="T2">
        <v>1</v>
      </c>
      <c r="U2">
        <v>257000</v>
      </c>
      <c r="V2" t="inlineStr">
        <is>
          <t>PHP</t>
        </is>
      </c>
      <c r="W2">
        <v>257000</v>
      </c>
      <c r="X2" s="2" t="str">
        <f>=HYPERLINK("https://www.larksuite.com/approval/admin/previewAttachment?key=PMgxCsJAFATQK83s_v9nx8vYGIIoEUGIptizCxa2rwZRI9nLCLMZnOo5BEsZsJFVnm1SMsSS57Kt5-eNn-3Y3487E8c-9-tlXV5MqzWoR_QBgKe_d0WEXYGf4xsAAP__", "2 attachment(s)")</f>
        <v>2 attachment(s)</v>
      </c>
      <c r="Y2" t="inlineStr">
        <is>
          <t>Bank Transfer</t>
        </is>
      </c>
      <c r="Z2" t="inlineStr">
        <is>
          <t>XSTATIC EVENT SYSTEM INC.</t>
        </is>
      </c>
      <c r="AA2" t="inlineStr">
        <is>
          <t>011728001773</t>
        </is>
      </c>
      <c r="AB2" t="inlineStr">
        <is>
          <t>BDO</t>
        </is>
      </c>
      <c r="AC2" t="inlineStr">
        <is>
          <t>Blk. 15 Lot 26 BF Martinville Las Piñas City</t>
        </is>
      </c>
      <c r="AD2" s="4">
        <v>45270</v>
      </c>
      <c r="AE2" t="inlineStr">
        <is>
          <t>50% DOWN PAYMENT upon signing of Conforme
50% final payment upon completion of services</t>
        </is>
      </c>
      <c r="AF2" s="2"/>
      <c r="AG2" t="inlineStr">
        <is>
          <t>NzQyNTk5MTgyNzQ4MTg3MDM0MTpEQzk5QkUxNS1CMDQyLTQzRDgtQkJGQy1DREM3NUQ5OUNENTYtMTo2MzVlYWU2NDYzODE5MDlmMjExMzRjMTNjNjNmNWE0MTox</t>
        </is>
      </c>
      <c r="AH2"/>
      <c r="AI2"/>
      <c r="AJ2"/>
      <c r="AK2"/>
    </row>
    <row r="3" ht="25.5" customHeight="1">
      <c r="A3" s="2" t="str">
        <f>=HYPERLINK("https://applink.larksuite.com/client/mini_program/open?appId=cli_9c7cc8a9a9edd105&amp;mode=appCenter&amp;path_pc=pc/pages/requested/index?instanceId=7358715098996686853&amp;source=bitable&amp;path=pages/detail/index?instanceId=7358715098996686853&amp;source=bitable", "202404170029")</f>
        <v>202404170029</v>
      </c>
      <c r="B3" t="inlineStr">
        <is>
          <t>Approved</t>
        </is>
      </c>
      <c r="C3" t="inlineStr">
        <is>
          <t>Procurement Order</t>
        </is>
      </c>
      <c r="D3" s="3">
        <v>45399.59228009259</v>
      </c>
      <c r="E3" s="3">
        <v>45401.72021990741</v>
      </c>
      <c r="F3" t="inlineStr">
        <is>
          <t>Fatima Kathleen M. FLores</t>
        </is>
      </c>
      <c r="G3" t="inlineStr">
        <is>
          <t>Procurement</t>
        </is>
      </c>
      <c r="H3"/>
      <c r="I3"/>
      <c r="J3" t="inlineStr">
        <is>
          <t>Project</t>
        </is>
      </c>
      <c r="K3" t="inlineStr">
        <is>
          <t>PDEI - Event Service</t>
        </is>
      </c>
      <c r="L3" t="inlineStr">
        <is>
          <t>M5 On-Ground Activations</t>
        </is>
      </c>
      <c r="M3" t="inlineStr">
        <is>
          <t>2023TEG-P0146</t>
        </is>
      </c>
      <c r="N3" t="inlineStr">
        <is>
          <t>Duane Aaron Baret Cadangan</t>
        </is>
      </c>
      <c r="O3" t="inlineStr">
        <is>
          <t>202404070005-Duane Aaron Baret Cadangan-费用报销 - 副本 - 副本 - 副本-2024-04-07 08:57:39</t>
        </is>
      </c>
      <c r="P3" t="inlineStr">
        <is>
          <t>NO</t>
        </is>
      </c>
      <c r="Q3"/>
      <c r="R3" t="inlineStr">
        <is>
          <t>YES</t>
        </is>
      </c>
      <c r="S3" t="inlineStr">
        <is>
          <t>Rental of 150KVA Genset (Dec. 15 to 17, 2024)</t>
        </is>
      </c>
      <c r="T3">
        <v>1</v>
      </c>
      <c r="U3">
        <v>60480</v>
      </c>
      <c r="V3" t="inlineStr">
        <is>
          <t>PHP</t>
        </is>
      </c>
      <c r="W3">
        <v>60480</v>
      </c>
      <c r="X3" s="2" t="str">
        <f>=HYPERLINK("https://www.larksuite.com/approval/admin/previewAttachment?key=PMgxCgJBDAXQK_1MMvn5XsbGZRFRG2EWi5xdsNj2ZRmypnkKIRuCNX0WbUIlZVbW9B5tpEBLqrfXfqUd73jq-A6sx4pe99u-fWyKY4Ae4QXALqc7I0LKwN_xCwAA__8", "2 attachment(s)")</f>
        <v>2 attachment(s)</v>
      </c>
      <c r="Y3" t="inlineStr">
        <is>
          <t>Bank Transfer</t>
        </is>
      </c>
      <c r="Z3" t="inlineStr">
        <is>
          <t>XSTATIC EVENT SYSTEM INC.</t>
        </is>
      </c>
      <c r="AA3" t="inlineStr">
        <is>
          <t>011728001773</t>
        </is>
      </c>
      <c r="AB3" t="inlineStr">
        <is>
          <t>BDO</t>
        </is>
      </c>
      <c r="AC3" t="inlineStr">
        <is>
          <t>Blk. 15 Lot 26 BF Martinville Las Piñas City</t>
        </is>
      </c>
      <c r="AD3" s="4">
        <v>45275</v>
      </c>
      <c r="AE3" t="inlineStr">
        <is>
          <t>50% DOWN PAYMENT upon signing of Conforme
50% final payment upon completion of services</t>
        </is>
      </c>
      <c r="AF3" s="2"/>
      <c r="AG3" t="inlineStr">
        <is>
          <t>NzQyNTk5MTgyNzQ4MTg3MDM0MTo1MEUzRjlCNS0xMzIxLTQ5OUEtQjYyNy1DOUU1QjcyNzJFMzctMToxYWQ5ZTVlNDk0YjdkOTBjM2U4M2NiMmE1YzhhMzAzOTox</t>
        </is>
      </c>
      <c r="AH3"/>
      <c r="AI3"/>
      <c r="AJ3"/>
      <c r="AK3"/>
    </row>
    <row r="4" ht="25.5" customHeight="1">
      <c r="A4" s="2" t="str">
        <f>=HYPERLINK("https://applink.larksuite.com/client/mini_program/open?appId=cli_9c7cc8a9a9edd105&amp;mode=appCenter&amp;path_pc=pc/pages/requested/index?instanceId=7326812983257022470&amp;source=bitable&amp;path=pages/detail/index?instanceId=7326812983257022470&amp;source=bitable", "202401220041")</f>
        <v>202401220041</v>
      </c>
      <c r="B4" t="inlineStr">
        <is>
          <t>Approved</t>
        </is>
      </c>
      <c r="C4" t="inlineStr">
        <is>
          <t>Procurement Order</t>
        </is>
      </c>
      <c r="D4" s="3">
        <v>45313.62248842593</v>
      </c>
      <c r="E4" s="3">
        <v>45316.63849537037</v>
      </c>
      <c r="F4" t="inlineStr">
        <is>
          <t>Fatima Kathleen M. FLores</t>
        </is>
      </c>
      <c r="G4" t="inlineStr">
        <is>
          <t>Procurement</t>
        </is>
      </c>
      <c r="H4"/>
      <c r="I4"/>
      <c r="J4" t="inlineStr">
        <is>
          <t>Project</t>
        </is>
      </c>
      <c r="K4" t="inlineStr">
        <is>
          <t>PDEI - Esports</t>
        </is>
      </c>
      <c r="L4" t="inlineStr">
        <is>
          <t>M5 MSummit</t>
        </is>
      </c>
      <c r="M4" t="inlineStr">
        <is>
          <t>2023TEG-P0034</t>
        </is>
      </c>
      <c r="N4" t="inlineStr">
        <is>
          <t>Raffy/Paeng</t>
        </is>
      </c>
      <c r="O4" t="inlineStr">
        <is>
          <t>202311090022-Maria Gaetana Santos-费用报销 - 副本 - 副本 - 副本-2023-11-09 04:35:03</t>
        </is>
      </c>
      <c r="P4" t="inlineStr">
        <is>
          <t>NO</t>
        </is>
      </c>
      <c r="Q4"/>
      <c r="R4" t="inlineStr">
        <is>
          <t>NO</t>
        </is>
      </c>
      <c r="S4" t="inlineStr">
        <is>
          <t>Packed Meals (Ingress, Lunch &amp; Dinner) - Dec. 14, 2023</t>
        </is>
      </c>
      <c r="T4">
        <v>1</v>
      </c>
      <c r="U4">
        <v>18000</v>
      </c>
      <c r="V4" t="inlineStr">
        <is>
          <t>PHP</t>
        </is>
      </c>
      <c r="W4">
        <v>18000</v>
      </c>
      <c r="X4" s="2" t="str">
        <f>=HYPERLINK("https://www.larksuite.com/approval/admin/previewAttachment?key=PMgxCgJBDAXQK_38ZPITL2OzwyCClbjYzNkFi21fliFrmGcj2tiwLWeWscs5BDKEzW1SQ5aqPV_rvtwnzjEP9vNbn30-jjXfNlok5BFeAOx2uSsiujPwd_wCAAD__w", "2 attachment(s)")</f>
        <v>2 attachment(s)</v>
      </c>
      <c r="Y4" t="inlineStr">
        <is>
          <t>Bank Transfer</t>
        </is>
      </c>
      <c r="Z4" t="inlineStr">
        <is>
          <t>T.H.C BLOG TRAVEL AND TOURS</t>
        </is>
      </c>
      <c r="AA4" t="inlineStr">
        <is>
          <t>00000-4140-0166</t>
        </is>
      </c>
      <c r="AB4" t="inlineStr">
        <is>
          <t>Security Bank</t>
        </is>
      </c>
      <c r="AC4" t="inlineStr">
        <is>
          <t>Unit 2D, #40 Rd 7, Brgy. Bagong Pag Asa, District 1, Quezon City</t>
        </is>
      </c>
      <c r="AD4" s="4">
        <v>45317</v>
      </c>
      <c r="AE4" t="inlineStr">
        <is>
          <t>100% Full Payment - 14 days upon completion of service</t>
        </is>
      </c>
      <c r="AF4" s="2"/>
      <c r="AG4" t="inlineStr">
        <is>
          <t>NzQyNTk5MTgyNzQ4MTg3MDM0MTpBOUE1QzRDMy1CNjU5LTQzMjQtQjRDQy1CNjlERkM2MkRFQTctMTpmNzA0ZjkyNjBiN2ZkOTQ2NDUyOTg2NzI2MzNlMmY5YTox</t>
        </is>
      </c>
      <c r="AH4"/>
      <c r="AI4"/>
      <c r="AJ4"/>
      <c r="AK4"/>
    </row>
    <row r="5" ht="25.5" customHeight="1">
      <c r="A5" s="2" t="str">
        <f>=HYPERLINK("https://applink.larksuite.com/client/mini_program/open?appId=cli_9c7cc8a9a9edd105&amp;mode=appCenter&amp;path_pc=pc/pages/requested/index?instanceId=7446718754647474188&amp;source=bitable&amp;path=pages/detail/index?instanceId=7446718754647474188&amp;source=bitable", "202412100095")</f>
        <v>202412100095</v>
      </c>
      <c r="B5" t="inlineStr">
        <is>
          <t>Approved</t>
        </is>
      </c>
      <c r="C5" t="inlineStr">
        <is>
          <t>Procurement Order</t>
        </is>
      </c>
      <c r="D5" s="3">
        <v>45636.74444444444</v>
      </c>
      <c r="E5" s="3">
        <v>45642.40094907407</v>
      </c>
      <c r="F5" t="inlineStr">
        <is>
          <t>Fatima Kathleen M. FLores</t>
        </is>
      </c>
      <c r="G5" t="inlineStr">
        <is>
          <t>Procurement</t>
        </is>
      </c>
      <c r="H5"/>
      <c r="I5"/>
      <c r="J5" t="inlineStr">
        <is>
          <t>Project</t>
        </is>
      </c>
      <c r="K5" t="inlineStr">
        <is>
          <t>PDEI - Event Service</t>
        </is>
      </c>
      <c r="L5" t="inlineStr">
        <is>
          <t>MPL S14 Media Day</t>
        </is>
      </c>
      <c r="M5" t="inlineStr">
        <is>
          <t>2024TEG-P0271</t>
        </is>
      </c>
      <c r="N5" t="inlineStr">
        <is>
          <t>Kervin</t>
        </is>
      </c>
      <c r="O5" t="inlineStr">
        <is>
          <t>202409050080-Kervin-费用报销 - 副本 - 副本 - 副本-2024-09-05 09:08:06</t>
        </is>
      </c>
      <c r="P5" t="inlineStr">
        <is>
          <t>YES</t>
        </is>
      </c>
      <c r="Q5"/>
      <c r="R5" t="inlineStr">
        <is>
          <t>YES</t>
        </is>
      </c>
      <c r="S5" t="inlineStr">
        <is>
          <t>Outsourced Video Producer (addtl 1 day)</t>
        </is>
      </c>
      <c r="T5">
        <v>1</v>
      </c>
      <c r="U5">
        <v>2000</v>
      </c>
      <c r="V5" t="inlineStr">
        <is>
          <t>PHP</t>
        </is>
      </c>
      <c r="W5">
        <v>2000</v>
      </c>
      <c r="X5" s="2" t="str">
        <f>=HYPERLINK("https://www.larksuite.com/approval/admin/previewAttachment?key=PMgxrsJADATQK3nWsx77X-Y3iSKENhUi0PjsSBS0LxIWOeFRxsIoQ4sMITUZFEVk9mhIZUKk934e_xfe95e7lq9tnc--btuxPzBLY5ic9DQz_P3cRbIqaF-3TwAAAP__", "2 attachment(s)")</f>
        <v>2 attachment(s)</v>
      </c>
      <c r="Y5" t="inlineStr">
        <is>
          <t>Bank Transfer</t>
        </is>
      </c>
      <c r="Z5" t="inlineStr">
        <is>
          <t>Sheilla Mae Songalia</t>
        </is>
      </c>
      <c r="AA5" t="inlineStr">
        <is>
          <t>09497767800</t>
        </is>
      </c>
      <c r="AB5" t="inlineStr">
        <is>
          <t>GCash</t>
        </is>
      </c>
      <c r="AC5" t="inlineStr">
        <is>
          <t>19-B Acacia St. Old Cabuyao Brgy. Sauyo, QC</t>
        </is>
      </c>
      <c r="AD5" s="4">
        <v>45534</v>
      </c>
      <c r="AE5" t="inlineStr">
        <is>
          <t>100% Full Payment - Nov. 22, 2024</t>
        </is>
      </c>
      <c r="AF5" s="2"/>
      <c r="AG5" t="inlineStr">
        <is>
          <t>NzQyNTk5MTgyNzQ4MTg3MDM0MTpDQjkzMjY4OS00MDlFLTQwMjgtQkEyNi0zNjNFMDVFNTdDMUItMTpjZTBlNDMxZjYzZmZlMmMxY2UxOTBkZDE2ZmVhODllMTox</t>
        </is>
      </c>
      <c r="AH5"/>
      <c r="AI5"/>
      <c r="AJ5"/>
      <c r="AK5"/>
    </row>
    <row r="6" ht="25.5" customHeight="1">
      <c r="A6" s="2" t="str">
        <f>=HYPERLINK("https://applink.larksuite.com/client/mini_program/open?appId=cli_9c7cc8a9a9edd105&amp;mode=appCenter&amp;path_pc=pc/pages/requested/index?instanceId=7447058489656016902&amp;source=bitable&amp;path=pages/detail/index?instanceId=7447058489656016902&amp;source=bitable", "202412110055")</f>
        <v>202412110055</v>
      </c>
      <c r="B6" t="inlineStr">
        <is>
          <t>Approved</t>
        </is>
      </c>
      <c r="C6" t="inlineStr">
        <is>
          <t>Procurement Order</t>
        </is>
      </c>
      <c r="D6" s="3">
        <v>45637.65996527778</v>
      </c>
      <c r="E6" s="3">
        <v>45642.42434027778</v>
      </c>
      <c r="F6" t="inlineStr">
        <is>
          <t>Fatima Kathleen M. FLores</t>
        </is>
      </c>
      <c r="G6" t="inlineStr">
        <is>
          <t>Procurement</t>
        </is>
      </c>
      <c r="H6"/>
      <c r="I6"/>
      <c r="J6" t="inlineStr">
        <is>
          <t>Project</t>
        </is>
      </c>
      <c r="K6" t="inlineStr">
        <is>
          <t>PDEI - Event Service</t>
        </is>
      </c>
      <c r="L6" t="inlineStr">
        <is>
          <t>eFIBA World Finals ADDENDUM 2 [Photographer]</t>
        </is>
      </c>
      <c r="M6" t="inlineStr">
        <is>
          <t>2024TEG-P0425</t>
        </is>
      </c>
      <c r="N6" t="inlineStr">
        <is>
          <t>Dominick Vallada Molina</t>
        </is>
      </c>
      <c r="O6" t="inlineStr">
        <is>
          <t>202412090012-Dominick Vallada Molina-费用报销 - 副本 - 副本 - 副本-2024-12-09 01:09:48</t>
        </is>
      </c>
      <c r="P6" t="inlineStr">
        <is>
          <t>YES</t>
        </is>
      </c>
      <c r="Q6"/>
      <c r="R6" t="inlineStr">
        <is>
          <t>YES</t>
        </is>
      </c>
      <c r="S6" t="inlineStr">
        <is>
          <t>Outsourced Photographer</t>
        </is>
      </c>
      <c r="T6">
        <v>1</v>
      </c>
      <c r="U6">
        <v>24080</v>
      </c>
      <c r="V6" t="inlineStr">
        <is>
          <t>PHP</t>
        </is>
      </c>
      <c r="W6">
        <v>24080</v>
      </c>
      <c r="X6" s="2" t="str">
        <f>=HYPERLINK("https://www.larksuite.com/approval/admin/previewAttachment?key=PMgxDsJADATAL63Pe7aXz9AQRQQJGpTr_HYkirQTZYia5iFQNgTrJBOzWIoZsBBGj7ZMIS3Ke3vv92OdhyXk52uRn17Px759bSrHQDrpBcBul3uSlIL4O34BAAD__w", "2 attachment(s)")</f>
        <v>2 attachment(s)</v>
      </c>
      <c r="Y6" t="inlineStr">
        <is>
          <t>Bank Transfer</t>
        </is>
      </c>
      <c r="Z6" t="inlineStr">
        <is>
          <t>Ryan Edward Matias</t>
        </is>
      </c>
      <c r="AA6" t="inlineStr">
        <is>
          <t>1996-2285-79</t>
        </is>
      </c>
      <c r="AB6" t="inlineStr">
        <is>
          <t>BPI</t>
        </is>
      </c>
      <c r="AC6" t="inlineStr">
        <is>
          <t>Kingsville Court Antipolo City</t>
        </is>
      </c>
      <c r="AD6" s="4">
        <v>45637</v>
      </c>
      <c r="AE6" t="inlineStr">
        <is>
          <t>100% Full Payment - 14 days upon completion of services</t>
        </is>
      </c>
      <c r="AF6" s="2"/>
      <c r="AG6" t="inlineStr">
        <is>
          <t>NzQyNTk5MTgyNzQ4MTg3MDM0MTo3RjcyRjJGQi0wNkI5LTRDQ0QtQjc3Ni01MUY2RDJGMzEzNzktMTo4MmQzODM0ZjUwNmVhMGRmNTZkMzJmMjQwMGQ1MGZlOTox</t>
        </is>
      </c>
      <c r="AH6"/>
      <c r="AI6"/>
      <c r="AJ6"/>
      <c r="AK6"/>
    </row>
    <row r="7" ht="25.5" customHeight="1">
      <c r="A7" s="2" t="str">
        <f>=HYPERLINK("https://applink.larksuite.com/client/mini_program/open?appId=cli_9c7cc8a9a9edd105&amp;mode=appCenter&amp;path_pc=pc/pages/requested/index?instanceId=7447085620314341388&amp;source=bitable&amp;path=pages/detail/index?instanceId=7447085620314341388&amp;source=bitable", "202412110079")</f>
        <v>202412110079</v>
      </c>
      <c r="B7" t="inlineStr">
        <is>
          <t>Approved</t>
        </is>
      </c>
      <c r="C7" t="inlineStr">
        <is>
          <t>Procurement Order</t>
        </is>
      </c>
      <c r="D7" s="3">
        <v>45637.733078703706</v>
      </c>
      <c r="E7" s="3">
        <v>45642.4034375</v>
      </c>
      <c r="F7" t="inlineStr">
        <is>
          <t>Fatima Kathleen M. FLores</t>
        </is>
      </c>
      <c r="G7" t="inlineStr">
        <is>
          <t>Procurement</t>
        </is>
      </c>
      <c r="H7"/>
      <c r="I7"/>
      <c r="J7" t="inlineStr">
        <is>
          <t>Project</t>
        </is>
      </c>
      <c r="K7" t="inlineStr">
        <is>
          <t>PDEI - Event Service</t>
        </is>
      </c>
      <c r="L7" t="inlineStr">
        <is>
          <t>MPL-PH S14</t>
        </is>
      </c>
      <c r="M7" t="inlineStr">
        <is>
          <t>2024TEG-P0255</t>
        </is>
      </c>
      <c r="N7" t="inlineStr">
        <is>
          <t>Duane Aaron Baret Cadangan</t>
        </is>
      </c>
      <c r="O7" t="inlineStr">
        <is>
          <t>202408090108-Duane Aaron Baret Cadangan-费用报销 - 副本 - 副本 - 副本-2024-08-09 12:02:02</t>
        </is>
      </c>
      <c r="P7" t="inlineStr">
        <is>
          <t>YES</t>
        </is>
      </c>
      <c r="Q7"/>
      <c r="R7" t="inlineStr">
        <is>
          <t>YES</t>
        </is>
      </c>
      <c r="S7" t="inlineStr">
        <is>
          <t>Outsourced Hospitality Lead (Addtl SOW)</t>
        </is>
      </c>
      <c r="T7">
        <v>1</v>
      </c>
      <c r="U7">
        <v>8000</v>
      </c>
      <c r="V7" t="inlineStr">
        <is>
          <t>PHP</t>
        </is>
      </c>
      <c r="W7">
        <v>8000</v>
      </c>
      <c r="X7" s="2" t="str">
        <f>=HYPERLINK("https://www.larksuite.com/approval/admin/previewAttachment?key=PMg9igJBFATgK1X1q_e3l9lkmkHFgQFBNOizCwamXxQR5bRoqDkaXCklymPAKBOtao3FzEYyytY89v_z9jrqevfz7eXbXM_Lts8HvXMMpElWAPj3c0tJ3SF8HZ8AAAD__w", "3 attachment(s)")</f>
        <v>3 attachment(s)</v>
      </c>
      <c r="Y7" t="inlineStr">
        <is>
          <t>Bank Transfer</t>
        </is>
      </c>
      <c r="Z7" t="inlineStr">
        <is>
          <t>Cloe Giether F Salitrero</t>
        </is>
      </c>
      <c r="AA7" t="inlineStr">
        <is>
          <t>0636459617</t>
        </is>
      </c>
      <c r="AB7" t="inlineStr">
        <is>
          <t>BPI</t>
        </is>
      </c>
      <c r="AC7" t="inlineStr">
        <is>
          <t>51-C Justice Lourdes Paredes San Diego Avenue Brgy Socorro QC</t>
        </is>
      </c>
      <c r="AD7" s="4">
        <v>45579</v>
      </c>
      <c r="AE7" t="inlineStr">
        <is>
          <t>100% Full Payment - Dec. 13, 2024</t>
        </is>
      </c>
      <c r="AF7" s="2"/>
      <c r="AG7" t="inlineStr">
        <is>
          <t>NzQyNTk5MTgyNzQ4MTg3MDM0MTo2RUZBQjJEOC02OEQwLTQzRjMtOTFBRC02RjRCNDZDQTRFNTQtMTo0OGE4OWEyYTJkZTFlNzdiYzYwYTY4YjM4NmM2NTFlNzox</t>
        </is>
      </c>
      <c r="AH7"/>
      <c r="AI7"/>
      <c r="AJ7"/>
      <c r="AK7"/>
    </row>
    <row r="8" ht="25.5" customHeight="1">
      <c r="A8" s="2" t="str">
        <f>=HYPERLINK("https://applink.larksuite.com/client/mini_program/open?appId=cli_9c7cc8a9a9edd105&amp;mode=appCenter&amp;path_pc=pc/pages/requested/index?instanceId=7447781490059919366&amp;source=bitable&amp;path=pages/detail/index?instanceId=7447781490059919366&amp;source=bitable", "202412130053")</f>
        <v>202412130053</v>
      </c>
      <c r="B8" t="inlineStr">
        <is>
          <t>Approved</t>
        </is>
      </c>
      <c r="C8" t="inlineStr">
        <is>
          <t>Procurement Order</t>
        </is>
      </c>
      <c r="D8" s="3">
        <v>45639.608310185184</v>
      </c>
      <c r="E8" s="3">
        <v>45642.39877314815</v>
      </c>
      <c r="F8" t="inlineStr">
        <is>
          <t>Fatima Kathleen M. FLores</t>
        </is>
      </c>
      <c r="G8" t="inlineStr">
        <is>
          <t>Procurement</t>
        </is>
      </c>
      <c r="H8"/>
      <c r="I8"/>
      <c r="J8" t="inlineStr">
        <is>
          <t>Project</t>
        </is>
      </c>
      <c r="K8" t="inlineStr">
        <is>
          <t>PDEI - Event Service</t>
        </is>
      </c>
      <c r="L8" t="inlineStr">
        <is>
          <t>M6 WATCH PARTY</t>
        </is>
      </c>
      <c r="M8" t="inlineStr">
        <is>
          <t>2024TEG-P0428</t>
        </is>
      </c>
      <c r="N8" t="inlineStr">
        <is>
          <t>Kervin</t>
        </is>
      </c>
      <c r="O8" t="inlineStr">
        <is>
          <t>202412080017-Kervin-费用报销 - 副本 - 副本 - 副本-2024-12-08 13:02:26</t>
        </is>
      </c>
      <c r="P8" t="inlineStr">
        <is>
          <t>YES</t>
        </is>
      </c>
      <c r="Q8"/>
      <c r="R8" t="inlineStr">
        <is>
          <t>YES</t>
        </is>
      </c>
      <c r="S8" t="inlineStr">
        <is>
          <t>Outsourced IT Officer (Dec. 14-15, 2024)</t>
        </is>
      </c>
      <c r="T8">
        <v>1</v>
      </c>
      <c r="U8">
        <v>3600</v>
      </c>
      <c r="V8" t="inlineStr">
        <is>
          <t>PHP</t>
        </is>
      </c>
      <c r="W8">
        <v>3600</v>
      </c>
      <c r="X8" s="2" t="str">
        <f>=HYPERLINK("https://www.larksuite.com/approval/admin/previewAttachment?key=PMgxCgJBDAXQK_1M_iT5XsbGZRDXBUEQLHJ2wWLbF2WImuYhUDYE6yQzyyhgSiaP6NGWKaRFeW_Huu7jkXjW5OHr9d37c7-t7W1TOQbSSS8Adjndk6QUxN_xCwAA__8", "2 attachment(s)")</f>
        <v>2 attachment(s)</v>
      </c>
      <c r="Y8" t="inlineStr">
        <is>
          <t>Bank Transfer</t>
        </is>
      </c>
      <c r="Z8" t="inlineStr">
        <is>
          <t>Rommel Caritativo Gutierrez</t>
        </is>
      </c>
      <c r="AA8" t="inlineStr">
        <is>
          <t>463 346 325 5351</t>
        </is>
      </c>
      <c r="AB8" t="inlineStr">
        <is>
          <t>Metrobank</t>
        </is>
      </c>
      <c r="AC8" t="inlineStr">
        <is>
          <t>Victoria Tower D, Mother Ignacia Quezon City</t>
        </is>
      </c>
      <c r="AD8" s="4">
        <v>45640</v>
      </c>
      <c r="AE8" t="inlineStr">
        <is>
          <t>100% Full Payment - Jan. 10, 2025</t>
        </is>
      </c>
      <c r="AF8" s="2"/>
      <c r="AG8" t="inlineStr">
        <is>
          <t>NzQyNTk5MTgyNzQ4MTg3MDM0MTo5MkJCMkRGQy1BNUNDLTRGODctQUE2MS1DNUEwQ0JDMTJCREYtMTpjYjUxZWYyMTNlOTE4MGI2MDE4ZDdlZmEwZTFkYzVlNTox</t>
        </is>
      </c>
      <c r="AH8"/>
      <c r="AI8"/>
      <c r="AJ8"/>
      <c r="AK8"/>
    </row>
    <row r="9" ht="25.5" customHeight="1">
      <c r="A9" s="2" t="str">
        <f>=HYPERLINK("https://applink.larksuite.com/client/mini_program/open?appId=cli_9c7cc8a9a9edd105&amp;mode=appCenter&amp;path_pc=pc/pages/requested/index?instanceId=7449278348234096652&amp;source=bitable&amp;path=pages/detail/index?instanceId=7449278348234096652&amp;source=bitable", "202412170091")</f>
        <v>202412170091</v>
      </c>
      <c r="B9" t="inlineStr">
        <is>
          <t>Approved</t>
        </is>
      </c>
      <c r="C9" t="inlineStr">
        <is>
          <t>Procurement Order</t>
        </is>
      </c>
      <c r="D9" s="3">
        <v>45643.64203703704</v>
      </c>
      <c r="E9" s="3">
        <v>45644.612974537034</v>
      </c>
      <c r="F9" t="inlineStr">
        <is>
          <t>Fatima Kathleen M. FLores</t>
        </is>
      </c>
      <c r="G9" t="inlineStr">
        <is>
          <t>Procurement</t>
        </is>
      </c>
      <c r="H9"/>
      <c r="I9"/>
      <c r="J9" t="inlineStr">
        <is>
          <t>Project</t>
        </is>
      </c>
      <c r="K9" t="inlineStr">
        <is>
          <t>PDEI - Event Service</t>
        </is>
      </c>
      <c r="L9" t="inlineStr">
        <is>
          <t>MPL-PH S14 Addendum</t>
        </is>
      </c>
      <c r="M9" t="inlineStr">
        <is>
          <t>2024TEG-P0339</t>
        </is>
      </c>
      <c r="N9" t="inlineStr">
        <is>
          <t>Tiny</t>
        </is>
      </c>
      <c r="O9" t="inlineStr">
        <is>
          <t>202412090050-Tiny-费用报销 - 副本 - 副本 - 副本-2024-12-09 05:38:24</t>
        </is>
      </c>
      <c r="P9" t="inlineStr">
        <is>
          <t>NO</t>
        </is>
      </c>
      <c r="Q9"/>
      <c r="R9" t="inlineStr">
        <is>
          <t>YES</t>
        </is>
      </c>
      <c r="S9" t="inlineStr">
        <is>
          <t>Additional On-ground Fabrication &amp; Refurbishment</t>
        </is>
      </c>
      <c r="T9">
        <v>1</v>
      </c>
      <c r="U9">
        <v>245280</v>
      </c>
      <c r="V9" t="inlineStr">
        <is>
          <t>PHP</t>
        </is>
      </c>
      <c r="W9">
        <v>245280</v>
      </c>
      <c r="X9" s="2" t="str">
        <f>=HYPERLINK("https://www.larksuite.com/approval/admin/previewAttachment?key=PMgxCgJBDAXQK_0kf5J8L2PjMgiLlTiwxZxdsLB92YbsYZECZS7YLlJeHWwPQpnDt2-rEsqyYx-vefd1afqxrvPs4Z-9no95vG2o3FFBRgOw29-jSEpJ_BzfAAAA__8", "2 attachment(s)")</f>
        <v>2 attachment(s)</v>
      </c>
      <c r="Y9" t="inlineStr">
        <is>
          <t>Bank Transfer</t>
        </is>
      </c>
      <c r="Z9" t="inlineStr">
        <is>
          <t>STAGE ONE EVENT SERVICES CORP.</t>
        </is>
      </c>
      <c r="AA9" t="inlineStr">
        <is>
          <t>0124 0800 3549</t>
        </is>
      </c>
      <c r="AB9" t="inlineStr">
        <is>
          <t>BDO</t>
        </is>
      </c>
      <c r="AC9" t="inlineStr">
        <is>
          <t>Kamagong St. cor. Ipil St. Hillcrest Village, Brgy. 173 Camarin, Caloocan</t>
        </is>
      </c>
      <c r="AD9" s="4">
        <v>45576</v>
      </c>
      <c r="AE9" t="inlineStr">
        <is>
          <t>100% Full Payment</t>
        </is>
      </c>
      <c r="AF9" s="2"/>
      <c r="AG9" t="inlineStr">
        <is>
          <t>NzQyNTk5MTgyNzQ4MTg3MDM0MTpBQkIxREYyQS00QzZCLTQyOEUtQkZBQS1CNEJDQ0FEOUJCQTItMTo2YmVlZWQ0OTU2OTg2OGMzZDk2MTIxYzE4YjRmNTk4NTox</t>
        </is>
      </c>
      <c r="AH9"/>
      <c r="AI9"/>
      <c r="AJ9"/>
      <c r="AK9"/>
    </row>
    <row r="10" ht="25.5" customHeight="1">
      <c r="A10" s="2" t="str">
        <f>=HYPERLINK("https://applink.larksuite.com/client/mini_program/open?appId=cli_9c7cc8a9a9edd105&amp;mode=appCenter&amp;path_pc=pc/pages/requested/index?instanceId=7449310299359821830&amp;source=bitable&amp;path=pages/detail/index?instanceId=7449310299359821830&amp;source=bitable", "202412170141")</f>
        <v>202412170141</v>
      </c>
      <c r="B10" t="inlineStr">
        <is>
          <t>Approved</t>
        </is>
      </c>
      <c r="C10" t="inlineStr">
        <is>
          <t>Procurement Order</t>
        </is>
      </c>
      <c r="D10" s="3">
        <v>45643.72813657407</v>
      </c>
      <c r="E10" s="3">
        <v>45644.60675925926</v>
      </c>
      <c r="F10" t="inlineStr">
        <is>
          <t>Fatima Kathleen M. FLores</t>
        </is>
      </c>
      <c r="G10" t="inlineStr">
        <is>
          <t>Procurement</t>
        </is>
      </c>
      <c r="H10"/>
      <c r="I10"/>
      <c r="J10" t="inlineStr">
        <is>
          <t>Project</t>
        </is>
      </c>
      <c r="K10" t="inlineStr">
        <is>
          <t>PDEI - Event Service</t>
        </is>
      </c>
      <c r="L10" t="inlineStr">
        <is>
          <t>APAC PREDATOR LEAGUE 2024</t>
        </is>
      </c>
      <c r="M10" t="inlineStr">
        <is>
          <t>2023TEG-P0020</t>
        </is>
      </c>
      <c r="N10" t="inlineStr">
        <is>
          <t>Anteaus Villena</t>
        </is>
      </c>
      <c r="O10" t="inlineStr">
        <is>
          <t>202412170115-Anteaus Villena-费用报销 - 副本 - 副本 - 副本-2024-12-17 08:30:35</t>
        </is>
      </c>
      <c r="P10" t="inlineStr">
        <is>
          <t>NO</t>
        </is>
      </c>
      <c r="Q10"/>
      <c r="R10" t="inlineStr">
        <is>
          <t>YES</t>
        </is>
      </c>
      <c r="S10" t="inlineStr">
        <is>
          <t>Outsourced Technical Services  (Consoles, Lights, Comms, Power Distribution &amp; Trusses)</t>
        </is>
      </c>
      <c r="T10">
        <v>1</v>
      </c>
      <c r="U10">
        <v>364000</v>
      </c>
      <c r="V10" t="inlineStr">
        <is>
          <t>PHP</t>
        </is>
      </c>
      <c r="W10">
        <v>364000</v>
      </c>
      <c r="X10" s="2" t="str">
        <f>=HYPERLINK("https://www.larksuite.com/approval/admin/previewAttachment?key=PMgxjkIxDATQK83YTuzZy2xDFEFBhX4kCp8diYL2zSJmDfoUQjSBnRFywiQfKmM52pqZQnKW93rufztv7fW4eI4Nu_rcb3u9OJRmSI_wAsC_n3tGhDQDX8cnAAD__w", "2 attachment(s)")</f>
        <v>2 attachment(s)</v>
      </c>
      <c r="Y10" t="inlineStr">
        <is>
          <t>Bank Transfer</t>
        </is>
      </c>
      <c r="Z10" t="inlineStr">
        <is>
          <t>XSTATIC EVENT SYSTEM INC.</t>
        </is>
      </c>
      <c r="AA10" t="inlineStr">
        <is>
          <t>011728001773</t>
        </is>
      </c>
      <c r="AB10" t="inlineStr">
        <is>
          <t>BDO</t>
        </is>
      </c>
      <c r="AC10" t="inlineStr">
        <is>
          <t>Blk. 15 Lot 26 BF Martinville Las Piñas City</t>
        </is>
      </c>
      <c r="AD10" s="4">
        <v>45302</v>
      </c>
      <c r="AE10" t="inlineStr">
        <is>
          <t>100% Full Payment 
NOTE: THIS IS A CONFIRMING PO ONLY. SERVICES ALREADY RENDERED.</t>
        </is>
      </c>
      <c r="AF10" s="2"/>
      <c r="AG10" t="inlineStr">
        <is>
          <t>NzQyNTk5MTgyNzQ4MTg3MDM0MTo0MDdBRjkwRS0wOTcwLTQ0NjktQkFGMy1DNEMwQjdGMEU2MUYtMTphZjYxM2EwY2I0NzY2MDJiNzUzODAyZGVhNGE4MDY2ODox</t>
        </is>
      </c>
      <c r="AH10"/>
      <c r="AI10"/>
      <c r="AJ10"/>
      <c r="AK10"/>
    </row>
    <row r="11" ht="25.5" customHeight="1">
      <c r="A11" s="2" t="str">
        <f>=HYPERLINK("https://applink.larksuite.com/client/mini_program/open?appId=cli_9c7cc8a9a9edd105&amp;mode=appCenter&amp;path_pc=pc/pages/requested/index?instanceId=7450020052042022918&amp;source=bitable&amp;path=pages/detail/index?instanceId=7450020052042022918&amp;source=bitable", "202412190058")</f>
        <v>202412190058</v>
      </c>
      <c r="B11" t="inlineStr">
        <is>
          <t>Approved</t>
        </is>
      </c>
      <c r="C11" t="inlineStr">
        <is>
          <t>Procurement Order</t>
        </is>
      </c>
      <c r="D11" s="3">
        <v>45645.64078703704</v>
      </c>
      <c r="E11" s="3">
        <v>45667.802037037036</v>
      </c>
      <c r="F11" t="inlineStr">
        <is>
          <t>Fatima Kathleen M. FLores</t>
        </is>
      </c>
      <c r="G11" t="inlineStr">
        <is>
          <t>Procurement</t>
        </is>
      </c>
      <c r="H11"/>
      <c r="I11"/>
      <c r="J11" t="inlineStr">
        <is>
          <t>Project</t>
        </is>
      </c>
      <c r="K11" t="inlineStr">
        <is>
          <t>PDEI - Event Service</t>
        </is>
      </c>
      <c r="L11" t="inlineStr">
        <is>
          <t>MPL-PH S14 Addendum</t>
        </is>
      </c>
      <c r="M11" t="inlineStr">
        <is>
          <t>2024TEG-P0339</t>
        </is>
      </c>
      <c r="N11" t="inlineStr">
        <is>
          <t>Tiny</t>
        </is>
      </c>
      <c r="O11" t="inlineStr">
        <is>
          <t>202410070150-Duane Aaron Baret Cadangan-费用报销 - 副本 - 副本 - 副本-2024-10-07 16:45:49</t>
        </is>
      </c>
      <c r="P11" t="inlineStr">
        <is>
          <t>NO</t>
        </is>
      </c>
      <c r="Q11"/>
      <c r="R11" t="inlineStr">
        <is>
          <t>YES</t>
        </is>
      </c>
      <c r="S11" t="inlineStr">
        <is>
          <t>8x4 Board up with Tarp</t>
        </is>
      </c>
      <c r="T11">
        <v>8</v>
      </c>
      <c r="U11">
        <v>4100</v>
      </c>
      <c r="V11" t="inlineStr">
        <is>
          <t>PHP</t>
        </is>
      </c>
      <c r="W11">
        <v>32800</v>
      </c>
      <c r="X11" s="2"/>
      <c r="Y11" t="inlineStr">
        <is>
          <t>Bank Transfer</t>
        </is>
      </c>
      <c r="Z11" t="inlineStr">
        <is>
          <t>Printportal &amp; Advertising OPC</t>
        </is>
      </c>
      <c r="AA11" t="inlineStr">
        <is>
          <t>200058110735</t>
        </is>
      </c>
      <c r="AB11" t="inlineStr">
        <is>
          <t>Eastwest Bank</t>
        </is>
      </c>
      <c r="AC11" t="inlineStr">
        <is>
          <t>25 Isidro Francisco, Malinta, Valenzuela City</t>
        </is>
      </c>
      <c r="AD11" s="4">
        <v>45586</v>
      </c>
      <c r="AE11" t="inlineStr">
        <is>
          <t>100% Full Payment
NOTE: CONFIRMING PO ONLY.</t>
        </is>
      </c>
      <c r="AF11" s="2" t="str">
        <f>=HYPERLINK("https://www.larksuite.com/approval/admin/previewAttachment?key=TMkxDsJADATAL-3aPp-Xz9AkihBKKqSIFH47gop2JovIGvQUQjSBPWMABgxDGMzEamvOKUxmea_HdveDu108n-_Fd1x9PpZtfX07ERoRFADe_pyEytN_jk8AAAD__w", "4 attachment(s)")</f>
        <v>4 attachment(s)</v>
      </c>
      <c r="AG11" t="inlineStr">
        <is>
          <t>NzQyNTk5MTgyNzQ4MTg3MDM0MTozNDI3OERFMC03OTQxLTRCMEUtOEI0NC0wMUFEOTc0OTQ5QUUtMTpjYjk5ODk4OWJiZTEzODNkZTJlNzJiYTkxYTVhNDE5ZDox</t>
        </is>
      </c>
      <c r="AH11"/>
      <c r="AI11"/>
      <c r="AJ11"/>
      <c r="AK11"/>
    </row>
    <row r="12" ht="25.5" customHeight="1">
      <c r="A12" s="2" t="str">
        <f>=HYPERLINK("https://applink.larksuite.com/client/mini_program/open?appId=cli_9c7cc8a9a9edd105&amp;mode=appCenter&amp;path_pc=pc/pages/requested/index?instanceId=7450020052042022918&amp;source=bitable&amp;path=pages/detail/index?instanceId=7450020052042022918&amp;source=bitable", "202412190058")</f>
        <v>202412190058</v>
      </c>
      <c r="B12" t="inlineStr">
        <is>
          <t>Approved</t>
        </is>
      </c>
      <c r="C12" t="inlineStr">
        <is>
          <t>Procurement Order</t>
        </is>
      </c>
      <c r="D12" s="3">
        <v>45645.64078703704</v>
      </c>
      <c r="E12" s="3">
        <v>45667.802037037036</v>
      </c>
      <c r="F12" t="inlineStr">
        <is>
          <t>Fatima Kathleen M. FLores</t>
        </is>
      </c>
      <c r="G12" t="inlineStr">
        <is>
          <t>Procurement</t>
        </is>
      </c>
      <c r="H12"/>
      <c r="I12"/>
      <c r="J12" t="inlineStr">
        <is>
          <t>Project</t>
        </is>
      </c>
      <c r="K12" t="inlineStr">
        <is>
          <t>PDEI - Event Service</t>
        </is>
      </c>
      <c r="L12" t="inlineStr">
        <is>
          <t>MPL-PH S14 Addendum</t>
        </is>
      </c>
      <c r="M12" t="inlineStr">
        <is>
          <t>2024TEG-P0339</t>
        </is>
      </c>
      <c r="N12" t="inlineStr">
        <is>
          <t>Tiny</t>
        </is>
      </c>
      <c r="O12" t="inlineStr">
        <is>
          <t>202410070150-Duane Aaron Baret Cadangan-费用报销 - 副本 - 副本 - 副本-2024-10-07 16:45:49</t>
        </is>
      </c>
      <c r="P12" t="inlineStr">
        <is>
          <t>NO</t>
        </is>
      </c>
      <c r="Q12"/>
      <c r="R12" t="inlineStr">
        <is>
          <t>YES</t>
        </is>
      </c>
      <c r="S12" t="inlineStr">
        <is>
          <t>250m Neon Lights RGB</t>
        </is>
      </c>
      <c r="T12">
        <v>1</v>
      </c>
      <c r="U12">
        <v>77000</v>
      </c>
      <c r="V12" t="inlineStr">
        <is>
          <t>PHP</t>
        </is>
      </c>
      <c r="W12">
        <v>77000</v>
      </c>
      <c r="X12" s="2"/>
      <c r="Y12"/>
      <c r="Z12"/>
      <c r="AA12"/>
      <c r="AB12"/>
      <c r="AC12"/>
      <c r="AD12" s="4"/>
      <c r="AE12"/>
      <c r="AF12" s="2"/>
      <c r="AG12" t="inlineStr">
        <is>
          <t>NzQyNTk5MTgyNzQ4MTg3MDM0MTozNDI3OERFMC03OTQxLTRCMEUtOEI0NC0wMUFEOTc0OTQ5QUUtMjoyNDY1ODFjNWIxMWJmZDUwMmQwOTkzMjJmMzNlMmZiNjox</t>
        </is>
      </c>
      <c r="AH12"/>
      <c r="AI12"/>
      <c r="AJ12"/>
      <c r="AK12"/>
    </row>
    <row r="13" ht="25.5" customHeight="1">
      <c r="A13" s="2" t="str">
        <f>=HYPERLINK("https://applink.larksuite.com/client/mini_program/open?appId=cli_9c7cc8a9a9edd105&amp;mode=appCenter&amp;path_pc=pc/pages/requested/index?instanceId=7450020052042022918&amp;source=bitable&amp;path=pages/detail/index?instanceId=7450020052042022918&amp;source=bitable", "202412190058")</f>
        <v>202412190058</v>
      </c>
      <c r="B13" t="inlineStr">
        <is>
          <t>Approved</t>
        </is>
      </c>
      <c r="C13" t="inlineStr">
        <is>
          <t>Procurement Order</t>
        </is>
      </c>
      <c r="D13" s="3">
        <v>45645.64078703704</v>
      </c>
      <c r="E13" s="3">
        <v>45667.802037037036</v>
      </c>
      <c r="F13" t="inlineStr">
        <is>
          <t>Fatima Kathleen M. FLores</t>
        </is>
      </c>
      <c r="G13" t="inlineStr">
        <is>
          <t>Procurement</t>
        </is>
      </c>
      <c r="H13"/>
      <c r="I13"/>
      <c r="J13" t="inlineStr">
        <is>
          <t>Project</t>
        </is>
      </c>
      <c r="K13" t="inlineStr">
        <is>
          <t>PDEI - Event Service</t>
        </is>
      </c>
      <c r="L13" t="inlineStr">
        <is>
          <t>MPL-PH S14 Addendum</t>
        </is>
      </c>
      <c r="M13" t="inlineStr">
        <is>
          <t>2024TEG-P0339</t>
        </is>
      </c>
      <c r="N13" t="inlineStr">
        <is>
          <t>Tiny</t>
        </is>
      </c>
      <c r="O13" t="inlineStr">
        <is>
          <t>202410070150-Duane Aaron Baret Cadangan-费用报销 - 副本 - 副本 - 副本-2024-10-07 16:45:49</t>
        </is>
      </c>
      <c r="P13" t="inlineStr">
        <is>
          <t>NO</t>
        </is>
      </c>
      <c r="Q13"/>
      <c r="R13" t="inlineStr">
        <is>
          <t>YES</t>
        </is>
      </c>
      <c r="S13" t="inlineStr">
        <is>
          <t>10ft Banners with Stand</t>
        </is>
      </c>
      <c r="T13">
        <v>8</v>
      </c>
      <c r="U13">
        <v>6500</v>
      </c>
      <c r="V13" t="inlineStr">
        <is>
          <t>PHP</t>
        </is>
      </c>
      <c r="W13">
        <v>52000</v>
      </c>
      <c r="X13" s="2"/>
      <c r="Y13"/>
      <c r="Z13"/>
      <c r="AA13"/>
      <c r="AB13"/>
      <c r="AC13"/>
      <c r="AD13" s="4"/>
      <c r="AE13"/>
      <c r="AF13" s="2"/>
      <c r="AG13" t="inlineStr">
        <is>
          <t>NzQyNTk5MTgyNzQ4MTg3MDM0MTozNDI3OERFMC03OTQxLTRCMEUtOEI0NC0wMUFEOTc0OTQ5QUUtMzpkNWRiMjIwZDVhZTY3YTc0YjYzMzEwNzY0MGQ0ZjczYjox</t>
        </is>
      </c>
      <c r="AH13"/>
      <c r="AI13"/>
      <c r="AJ13"/>
      <c r="AK13"/>
    </row>
    <row r="14" ht="25.5" customHeight="1">
      <c r="A14" s="2" t="str">
        <f>=HYPERLINK("https://applink.larksuite.com/client/mini_program/open?appId=cli_9c7cc8a9a9edd105&amp;mode=appCenter&amp;path_pc=pc/pages/requested/index?instanceId=7450020052042022918&amp;source=bitable&amp;path=pages/detail/index?instanceId=7450020052042022918&amp;source=bitable", "202412190058")</f>
        <v>202412190058</v>
      </c>
      <c r="B14" t="inlineStr">
        <is>
          <t>Approved</t>
        </is>
      </c>
      <c r="C14" t="inlineStr">
        <is>
          <t>Procurement Order</t>
        </is>
      </c>
      <c r="D14" s="3">
        <v>45645.64078703704</v>
      </c>
      <c r="E14" s="3">
        <v>45667.802037037036</v>
      </c>
      <c r="F14" t="inlineStr">
        <is>
          <t>Fatima Kathleen M. FLores</t>
        </is>
      </c>
      <c r="G14" t="inlineStr">
        <is>
          <t>Procurement</t>
        </is>
      </c>
      <c r="H14"/>
      <c r="I14"/>
      <c r="J14" t="inlineStr">
        <is>
          <t>Project</t>
        </is>
      </c>
      <c r="K14" t="inlineStr">
        <is>
          <t>PDEI - Event Service</t>
        </is>
      </c>
      <c r="L14" t="inlineStr">
        <is>
          <t>MPL-PH S14 Addendum</t>
        </is>
      </c>
      <c r="M14" t="inlineStr">
        <is>
          <t>2024TEG-P0339</t>
        </is>
      </c>
      <c r="N14" t="inlineStr">
        <is>
          <t>Tiny</t>
        </is>
      </c>
      <c r="O14" t="inlineStr">
        <is>
          <t>202410070150-Duane Aaron Baret Cadangan-费用报销 - 副本 - 副本 - 副本-2024-10-07 16:45:49</t>
        </is>
      </c>
      <c r="P14" t="inlineStr">
        <is>
          <t>NO</t>
        </is>
      </c>
      <c r="Q14"/>
      <c r="R14" t="inlineStr">
        <is>
          <t>YES</t>
        </is>
      </c>
      <c r="S14" t="inlineStr">
        <is>
          <t>8x4 Board up Stand</t>
        </is>
      </c>
      <c r="T14">
        <v>6</v>
      </c>
      <c r="U14">
        <v>1000</v>
      </c>
      <c r="V14" t="inlineStr">
        <is>
          <t>PHP</t>
        </is>
      </c>
      <c r="W14">
        <v>6000</v>
      </c>
      <c r="X14" s="2"/>
      <c r="Y14"/>
      <c r="Z14"/>
      <c r="AA14"/>
      <c r="AB14"/>
      <c r="AC14"/>
      <c r="AD14" s="4"/>
      <c r="AE14"/>
      <c r="AF14" s="2"/>
      <c r="AG14" t="inlineStr">
        <is>
          <t>NzQyNTk5MTgyNzQ4MTg3MDM0MTozNDI3OERFMC03OTQxLTRCMEUtOEI0NC0wMUFEOTc0OTQ5QUUtNDoyZGQ2ZmVjMmQ1ZGM1Y2I2MTJlYmUxMDcyMDQwOTc2Nzox</t>
        </is>
      </c>
      <c r="AH14"/>
      <c r="AI14"/>
      <c r="AJ14"/>
      <c r="AK14"/>
    </row>
    <row r="15" ht="25.5" customHeight="1">
      <c r="A15" s="2" t="str">
        <f>=HYPERLINK("https://applink.larksuite.com/client/mini_program/open?appId=cli_9c7cc8a9a9edd105&amp;mode=appCenter&amp;path_pc=pc/pages/requested/index?instanceId=7450020052042022918&amp;source=bitable&amp;path=pages/detail/index?instanceId=7450020052042022918&amp;source=bitable", "202412190058")</f>
        <v>202412190058</v>
      </c>
      <c r="B15" t="inlineStr">
        <is>
          <t>Approved</t>
        </is>
      </c>
      <c r="C15" t="inlineStr">
        <is>
          <t>Procurement Order</t>
        </is>
      </c>
      <c r="D15" s="3">
        <v>45645.64078703704</v>
      </c>
      <c r="E15" s="3">
        <v>45667.802037037036</v>
      </c>
      <c r="F15" t="inlineStr">
        <is>
          <t>Fatima Kathleen M. FLores</t>
        </is>
      </c>
      <c r="G15" t="inlineStr">
        <is>
          <t>Procurement</t>
        </is>
      </c>
      <c r="H15"/>
      <c r="I15"/>
      <c r="J15" t="inlineStr">
        <is>
          <t>Project</t>
        </is>
      </c>
      <c r="K15" t="inlineStr">
        <is>
          <t>PDEI - Event Service</t>
        </is>
      </c>
      <c r="L15" t="inlineStr">
        <is>
          <t>MPL-PH S14 Addendum</t>
        </is>
      </c>
      <c r="M15" t="inlineStr">
        <is>
          <t>2024TEG-P0339</t>
        </is>
      </c>
      <c r="N15" t="inlineStr">
        <is>
          <t>Tiny</t>
        </is>
      </c>
      <c r="O15" t="inlineStr">
        <is>
          <t>202410070150-Duane Aaron Baret Cadangan-费用报销 - 副本 - 副本 - 副本-2024-10-07 16:45:49</t>
        </is>
      </c>
      <c r="P15" t="inlineStr">
        <is>
          <t>NO</t>
        </is>
      </c>
      <c r="Q15"/>
      <c r="R15" t="inlineStr">
        <is>
          <t>YES</t>
        </is>
      </c>
      <c r="S15" t="inlineStr">
        <is>
          <t>8x4 Board up with Tarp reprint</t>
        </is>
      </c>
      <c r="T15">
        <v>6</v>
      </c>
      <c r="U15">
        <v>2200</v>
      </c>
      <c r="V15" t="inlineStr">
        <is>
          <t>PHP</t>
        </is>
      </c>
      <c r="W15">
        <v>13200</v>
      </c>
      <c r="X15" s="2"/>
      <c r="Y15"/>
      <c r="Z15"/>
      <c r="AA15"/>
      <c r="AB15"/>
      <c r="AC15"/>
      <c r="AD15" s="4"/>
      <c r="AE15"/>
      <c r="AF15" s="2"/>
      <c r="AG15" t="inlineStr">
        <is>
          <t>NzQyNTk5MTgyNzQ4MTg3MDM0MTozNDI3OERFMC03OTQxLTRCMEUtOEI0NC0wMUFEOTc0OTQ5QUUtNTo5NDk2MWVkN2JmNGY2MzY3NWQxNjgwYTk5NTg0ZmQyNjox</t>
        </is>
      </c>
      <c r="AH15"/>
      <c r="AI15"/>
      <c r="AJ15"/>
      <c r="AK15"/>
    </row>
    <row r="16" ht="25.5" customHeight="1">
      <c r="A16" s="2" t="str">
        <f>=HYPERLINK("https://applink.larksuite.com/client/mini_program/open?appId=cli_9c7cc8a9a9edd105&amp;mode=appCenter&amp;path_pc=pc/pages/requested/index?instanceId=7450020052042022918&amp;source=bitable&amp;path=pages/detail/index?instanceId=7450020052042022918&amp;source=bitable", "202412190058")</f>
        <v>202412190058</v>
      </c>
      <c r="B16" t="inlineStr">
        <is>
          <t>Approved</t>
        </is>
      </c>
      <c r="C16" t="inlineStr">
        <is>
          <t>Procurement Order</t>
        </is>
      </c>
      <c r="D16" s="3">
        <v>45645.64078703704</v>
      </c>
      <c r="E16" s="3">
        <v>45667.802037037036</v>
      </c>
      <c r="F16" t="inlineStr">
        <is>
          <t>Fatima Kathleen M. FLores</t>
        </is>
      </c>
      <c r="G16" t="inlineStr">
        <is>
          <t>Procurement</t>
        </is>
      </c>
      <c r="H16"/>
      <c r="I16"/>
      <c r="J16" t="inlineStr">
        <is>
          <t>Project</t>
        </is>
      </c>
      <c r="K16" t="inlineStr">
        <is>
          <t>PDEI - Event Service</t>
        </is>
      </c>
      <c r="L16" t="inlineStr">
        <is>
          <t>MPL-PH S14 Addendum</t>
        </is>
      </c>
      <c r="M16" t="inlineStr">
        <is>
          <t>2024TEG-P0339</t>
        </is>
      </c>
      <c r="N16" t="inlineStr">
        <is>
          <t>Tiny</t>
        </is>
      </c>
      <c r="O16" t="inlineStr">
        <is>
          <t>202410070150-Duane Aaron Baret Cadangan-费用报销 - 副本 - 副本 - 副本-2024-10-07 16:45:49</t>
        </is>
      </c>
      <c r="P16" t="inlineStr">
        <is>
          <t>NO</t>
        </is>
      </c>
      <c r="Q16"/>
      <c r="R16" t="inlineStr">
        <is>
          <t>YES</t>
        </is>
      </c>
      <c r="S16" t="inlineStr">
        <is>
          <t>Installation</t>
        </is>
      </c>
      <c r="T16">
        <v>1</v>
      </c>
      <c r="U16">
        <v>50000</v>
      </c>
      <c r="V16" t="inlineStr">
        <is>
          <t>PHP</t>
        </is>
      </c>
      <c r="W16">
        <v>50000</v>
      </c>
      <c r="X16" s="2" t="str">
        <f>=HYPERLINK("https://www.larksuite.com/approval/admin/previewAttachment?key=PMhBCsJQDATQK81M8n8SL-OmpYi0K6HYRc4uuOj2zSRmDtoseFEFdvgABAzBBamYrWZEITjTej22px3cdfF8fxfbcfX5Wrb1w1EhIczdEgAft1u4e9V0_H38AgAA__8", "2 attachment(s)")</f>
        <v>2 attachment(s)</v>
      </c>
      <c r="Y16"/>
      <c r="Z16"/>
      <c r="AA16"/>
      <c r="AB16"/>
      <c r="AC16"/>
      <c r="AD16" s="4"/>
      <c r="AE16"/>
      <c r="AF16" s="2"/>
      <c r="AG16" t="inlineStr">
        <is>
          <t>NzQyNTk5MTgyNzQ4MTg3MDM0MTozNDI3OERFMC03OTQxLTRCMEUtOEI0NC0wMUFEOTc0OTQ5QUUtNjo0OTcyMzQ4NGI0ZmVjNTQ3MDJmYjE5ZjUzMWI5NjA5Njox</t>
        </is>
      </c>
      <c r="AH16"/>
      <c r="AI16"/>
      <c r="AJ16"/>
      <c r="AK16"/>
    </row>
    <row r="17" ht="25.5" customHeight="1">
      <c r="A17" s="2" t="str">
        <f>=HYPERLINK("https://applink.larksuite.com/client/mini_program/open?appId=cli_9c7cc8a9a9edd105&amp;mode=appCenter&amp;path_pc=pc/pages/requested/index?instanceId=7457063264074137612&amp;source=bitable&amp;path=pages/detail/index?instanceId=7457063264074137612&amp;source=bitable", "202501070030")</f>
        <v>202501070030</v>
      </c>
      <c r="B17" t="inlineStr">
        <is>
          <t>Approved</t>
        </is>
      </c>
      <c r="C17" t="inlineStr">
        <is>
          <t>Procurement Order</t>
        </is>
      </c>
      <c r="D17" s="3">
        <v>45664.62082175926</v>
      </c>
      <c r="E17" s="3">
        <v>45674.687685185185</v>
      </c>
      <c r="F17" t="inlineStr">
        <is>
          <t>Fatima Kathleen M. FLores</t>
        </is>
      </c>
      <c r="G17" t="inlineStr">
        <is>
          <t>Procurement</t>
        </is>
      </c>
      <c r="H17"/>
      <c r="I17"/>
      <c r="J17" t="inlineStr">
        <is>
          <t>Project</t>
        </is>
      </c>
      <c r="K17" t="inlineStr">
        <is>
          <t>PDEI - Event Service</t>
        </is>
      </c>
      <c r="L17" t="inlineStr">
        <is>
          <t>eFIBA WORLD CHAMPIONSHIP ADDENDUM 1</t>
        </is>
      </c>
      <c r="M17" t="inlineStr">
        <is>
          <t>2024TEG-P0425</t>
        </is>
      </c>
      <c r="N17" t="inlineStr">
        <is>
          <t>Dominick Vallada Molina</t>
        </is>
      </c>
      <c r="O17" t="inlineStr">
        <is>
          <t>202412200044-Dominick Vallada Molina-费用报销 - 副本 - 副本 - 副本-2024-12-20 05:55:39</t>
        </is>
      </c>
      <c r="P17" t="inlineStr">
        <is>
          <t>NO</t>
        </is>
      </c>
      <c r="Q17"/>
      <c r="R17" t="inlineStr">
        <is>
          <t>YES</t>
        </is>
      </c>
      <c r="S17" t="inlineStr">
        <is>
          <t>Genset Power Allocation (4 days)</t>
        </is>
      </c>
      <c r="T17">
        <v>1</v>
      </c>
      <c r="U17">
        <v>94976.8</v>
      </c>
      <c r="V17" t="inlineStr">
        <is>
          <t>PHP</t>
        </is>
      </c>
      <c r="W17">
        <v>94976.8</v>
      </c>
      <c r="X17" s="2" t="str">
        <f>=HYPERLINK("https://www.larksuite.com/approval/admin/previewAttachment?key=PMgxDsIwDAXQK33bP_4xl2FJVSGgE2okhpwdiaHry27I3iyywDIv2BKbkOFJiBZK8-XLpIIsO9d27PfvHMf5Gu82p56n1nyMfftYK7lDQUYHYLfLQySrkvg7fgEAAP__", "2 attachment(s)")</f>
        <v>2 attachment(s)</v>
      </c>
      <c r="Y17" t="inlineStr">
        <is>
          <t>Bank Transfer</t>
        </is>
      </c>
      <c r="Z17" t="inlineStr">
        <is>
          <t>CBZN Corporations</t>
        </is>
      </c>
      <c r="AA17" t="inlineStr">
        <is>
          <t>0000036924831</t>
        </is>
      </c>
      <c r="AB17" t="inlineStr">
        <is>
          <t>Security Bank</t>
        </is>
      </c>
      <c r="AC17" t="inlineStr">
        <is>
          <t>2F Bldg C, Metrowalk Commercial Complex, Meralco Ave., Pasig City</t>
        </is>
      </c>
      <c r="AD17" s="4">
        <v>45642</v>
      </c>
      <c r="AE17" t="inlineStr">
        <is>
          <t>100% Full Payment</t>
        </is>
      </c>
      <c r="AF17" s="2" t="str">
        <f>=HYPERLINK("https://www.larksuite.com/approval/admin/previewAttachment?key=TMgxDsIwDAXQK_0fO98xl2FJVSGgE2okBp8dianr0yA0Ok0JT7YEK7wHZE2OcFqIrVoxIhHU8NqO_f5d8zhf893XiucZtR5z3z7UMMGzuzMB8HZxEjlM9nf8AgAA__8", "2 attachment(s)")</f>
        <v>2 attachment(s)</v>
      </c>
      <c r="AG17" t="inlineStr">
        <is>
          <t>NzQyNTk5MTgyNzQ4MTg3MDM0MTowOTM5RjE2Ri0xN0IxLTRENkItODRGNC1DQjMwOTE0QjE0NDYtMTo3NzdmNTQ5ODM5MGE2ZjgxNDA2YmRiNThkNTJkNTU2OTox</t>
        </is>
      </c>
      <c r="AH17"/>
      <c r="AI17"/>
      <c r="AJ17"/>
      <c r="AK17"/>
    </row>
    <row r="18" ht="25.5" customHeight="1">
      <c r="A18" s="2" t="str">
        <f>=HYPERLINK("https://applink.larksuite.com/client/mini_program/open?appId=cli_9c7cc8a9a9edd105&amp;mode=appCenter&amp;path_pc=pc/pages/requested/index?instanceId=7457424752949346316&amp;source=bitable&amp;path=pages/detail/index?instanceId=7457424752949346316&amp;source=bitable", "202501080012")</f>
        <v>202501080012</v>
      </c>
      <c r="B18" t="inlineStr">
        <is>
          <t>Approved</t>
        </is>
      </c>
      <c r="C18" t="inlineStr">
        <is>
          <t>Procurement Order</t>
        </is>
      </c>
      <c r="D18" s="3">
        <v>45665.59496527778</v>
      </c>
      <c r="E18" s="3">
        <v>45702.45203703704</v>
      </c>
      <c r="F18" t="inlineStr">
        <is>
          <t>Fatima Kathleen M. FLores</t>
        </is>
      </c>
      <c r="G18" t="inlineStr">
        <is>
          <t>Procurement</t>
        </is>
      </c>
      <c r="H18"/>
      <c r="I18"/>
      <c r="J18" t="inlineStr">
        <is>
          <t>Project</t>
        </is>
      </c>
      <c r="K18" t="inlineStr">
        <is>
          <t>PDEI - Event Service</t>
        </is>
      </c>
      <c r="L18" t="inlineStr">
        <is>
          <t>CFS 2024 Coverage</t>
        </is>
      </c>
      <c r="M18" t="inlineStr">
        <is>
          <t>2024TEG-P0153</t>
        </is>
      </c>
      <c r="N18" t="inlineStr">
        <is>
          <t>Raffy/Paeng</t>
        </is>
      </c>
      <c r="O18" t="inlineStr">
        <is>
          <t>202411220039-Raffy/Paeng-费用报销 - 副本 - 副本 - 副本-2024-11-22 06:34:47</t>
        </is>
      </c>
      <c r="P18" t="inlineStr">
        <is>
          <t>YES</t>
        </is>
      </c>
      <c r="Q18"/>
      <c r="R18" t="inlineStr">
        <is>
          <t>YES</t>
        </is>
      </c>
      <c r="S18" t="inlineStr">
        <is>
          <t>Outsourced Talent / Caster (Salvatore)</t>
        </is>
      </c>
      <c r="T18">
        <v>1</v>
      </c>
      <c r="U18">
        <v>37500</v>
      </c>
      <c r="V18" t="inlineStr">
        <is>
          <t>PHP</t>
        </is>
      </c>
      <c r="W18">
        <v>37500</v>
      </c>
      <c r="X18" s="2" t="str">
        <f>=HYPERLINK("https://www.larksuite.com/approval/admin/previewAttachment?key=PMhBqsMwDATQK81IY8n6l_kbh1CKUwol6cpnL3TR7YtORG_0KKhoBa5US5myWalc4Yxli5mFZHSt7dj_L56P-eZ9jueYx7mu29i3F1ulGdIl7wD493NPSVUhfB2fAAAA__8", "2 attachment(s)")</f>
        <v>2 attachment(s)</v>
      </c>
      <c r="Y18" t="inlineStr">
        <is>
          <t>Bank Transfer</t>
        </is>
      </c>
      <c r="Z18" t="inlineStr">
        <is>
          <t>Rhoemmielle Andray L. Rivera</t>
        </is>
      </c>
      <c r="AA18" t="inlineStr">
        <is>
          <t>09456396700</t>
        </is>
      </c>
      <c r="AB18" t="inlineStr">
        <is>
          <t>GCash</t>
        </is>
      </c>
      <c r="AC18" t="inlineStr">
        <is>
          <t>2438 Iridium St. Sta. Ana, Manila</t>
        </is>
      </c>
      <c r="AD18" s="4">
        <v>45630</v>
      </c>
      <c r="AE18" t="inlineStr">
        <is>
          <t>100% Full Payment - Jan. 10, 2025</t>
        </is>
      </c>
      <c r="AF18" s="2"/>
      <c r="AG18" t="inlineStr">
        <is>
          <t>NzQyNTk5MTgyNzQ4MTg3MDM0MTpFRUM2QjQ3RS03NUI2LTRCMDEtOUJDOS04NkEwQzk1MDgwREYtMTo1MmEzYzVkMDkyY2VjMzZiYzYzNzYxYWM3ZTgwNzYyNzox</t>
        </is>
      </c>
      <c r="AH18"/>
      <c r="AI18"/>
      <c r="AJ18"/>
      <c r="AK18"/>
    </row>
    <row r="19" ht="25.5" customHeight="1">
      <c r="A19" s="2" t="str">
        <f>=HYPERLINK("https://applink.larksuite.com/client/mini_program/open?appId=cli_9c7cc8a9a9edd105&amp;mode=appCenter&amp;path_pc=pc/pages/requested/index?instanceId=7457856092136095750&amp;source=bitable&amp;path=pages/detail/index?instanceId=7457856092136095750&amp;source=bitable", "202501090050")</f>
        <v>202501090050</v>
      </c>
      <c r="B19" t="inlineStr">
        <is>
          <t>Approved</t>
        </is>
      </c>
      <c r="C19" t="inlineStr">
        <is>
          <t>Procurement Order</t>
        </is>
      </c>
      <c r="D19" s="3">
        <v>45666.75733796296</v>
      </c>
      <c r="E19" s="3">
        <v>45686.82699074074</v>
      </c>
      <c r="F19" t="inlineStr">
        <is>
          <t>Fatima Kathleen M. FLores</t>
        </is>
      </c>
      <c r="G19" t="inlineStr">
        <is>
          <t>Procurement</t>
        </is>
      </c>
      <c r="H19"/>
      <c r="I19"/>
      <c r="J19" t="inlineStr">
        <is>
          <t>Project</t>
        </is>
      </c>
      <c r="K19" t="inlineStr">
        <is>
          <t>PDEI - Event Service</t>
        </is>
      </c>
      <c r="L19" t="inlineStr">
        <is>
          <t>26th Founders Cup</t>
        </is>
      </c>
      <c r="M19" t="inlineStr">
        <is>
          <t>2024TEG-P0356</t>
        </is>
      </c>
      <c r="N19" t="inlineStr">
        <is>
          <t>Alyanna Fenina Nakpil Cruz</t>
        </is>
      </c>
      <c r="O19" t="inlineStr">
        <is>
          <t>202501060010-Alyanna Fenina Nakpil Cruz-费用报销 - 副本 - 副本 - 副本-2025-01-06 03:17:20</t>
        </is>
      </c>
      <c r="P19" t="inlineStr">
        <is>
          <t>YES</t>
        </is>
      </c>
      <c r="Q19"/>
      <c r="R19" t="inlineStr">
        <is>
          <t>YES</t>
        </is>
      </c>
      <c r="S19" t="inlineStr">
        <is>
          <t>Outsourced Business Development Manager</t>
        </is>
      </c>
      <c r="T19">
        <v>1</v>
      </c>
      <c r="U19">
        <v>8000</v>
      </c>
      <c r="V19" t="inlineStr">
        <is>
          <t>PHP</t>
        </is>
      </c>
      <c r="W19">
        <v>8000</v>
      </c>
      <c r="X19" s="2" t="str">
        <f>=HYPERLINK("https://www.larksuite.com/approval/admin/previewAttachment?key=PMhBqgJBDATQK1U6laTrX-ZvHAaFEQRx7E3OLrhw-3IacoZ5CpQNwboYNSOhYZ5QVKBHW5VQljN6u-__R6y3r5d4OxbPR5_Xy749LVRjoJz0CcD-fu5FUkri6_gEAAD__w", "2 attachment(s)")</f>
        <v>2 attachment(s)</v>
      </c>
      <c r="Y19" t="inlineStr">
        <is>
          <t>Bank Transfer</t>
        </is>
      </c>
      <c r="Z19" t="inlineStr">
        <is>
          <t>John Alexis Ong</t>
        </is>
      </c>
      <c r="AA19" t="inlineStr">
        <is>
          <t>0000059792553</t>
        </is>
      </c>
      <c r="AB19" t="inlineStr">
        <is>
          <t>Security Bank</t>
        </is>
      </c>
      <c r="AC19" t="inlineStr">
        <is>
          <t>77 Dapitan Street Carlton Place Brgy Lourdes Quezon City</t>
        </is>
      </c>
      <c r="AD19" s="4">
        <v>45617</v>
      </c>
      <c r="AE19" t="inlineStr">
        <is>
          <t>100% Full Payment - Jan. 17, 2025</t>
        </is>
      </c>
      <c r="AF19" s="2"/>
      <c r="AG19" t="inlineStr">
        <is>
          <t>NzQyNTk5MTgyNzQ4MTg3MDM0MTo3QTlGMzFBRC1FMTJGLTQ1OTgtOTBBNi0wQTYxMDBGRkRBQ0ItMToxMWRjNDgwMzE2NzBiMDZlZTYwODkyYzg1MTE1MzViYTox</t>
        </is>
      </c>
      <c r="AH19"/>
      <c r="AI19"/>
      <c r="AJ19"/>
      <c r="AK19"/>
    </row>
    <row r="20" ht="25.5" customHeight="1">
      <c r="A20" s="2" t="str">
        <f>=HYPERLINK("https://applink.larksuite.com/client/mini_program/open?appId=cli_9c7cc8a9a9edd105&amp;mode=appCenter&amp;path_pc=pc/pages/requested/index?instanceId=7457864353266532358&amp;source=bitable&amp;path=pages/detail/index?instanceId=7457864353266532358&amp;source=bitable", "202501090055")</f>
        <v>202501090055</v>
      </c>
      <c r="B20" t="inlineStr">
        <is>
          <t>Approved</t>
        </is>
      </c>
      <c r="C20" t="inlineStr">
        <is>
          <t>Procurement Order</t>
        </is>
      </c>
      <c r="D20" s="3">
        <v>45666.779594907406</v>
      </c>
      <c r="E20" s="3">
        <v>45686.82596064815</v>
      </c>
      <c r="F20" t="inlineStr">
        <is>
          <t>Fatima Kathleen M. FLores</t>
        </is>
      </c>
      <c r="G20" t="inlineStr">
        <is>
          <t>Procurement</t>
        </is>
      </c>
      <c r="H20"/>
      <c r="I20"/>
      <c r="J20" t="inlineStr">
        <is>
          <t>Project</t>
        </is>
      </c>
      <c r="K20" t="inlineStr">
        <is>
          <t>PDEI - Event Service</t>
        </is>
      </c>
      <c r="L20" t="inlineStr">
        <is>
          <t>Coca-Cola Charity Golf Tournament</t>
        </is>
      </c>
      <c r="M20" t="inlineStr">
        <is>
          <t>2024TEG-P0302</t>
        </is>
      </c>
      <c r="N20" t="inlineStr">
        <is>
          <t>Alyanna Fenina Nakpil Cruz</t>
        </is>
      </c>
      <c r="O20" t="inlineStr">
        <is>
          <t>202501060012-Alyanna Fenina Nakpil Cruz-费用报销 - 副本 - 副本 - 副本-2025-01-06 03:21:13</t>
        </is>
      </c>
      <c r="P20" t="inlineStr">
        <is>
          <t>YES</t>
        </is>
      </c>
      <c r="Q20"/>
      <c r="R20" t="inlineStr">
        <is>
          <t>YES</t>
        </is>
      </c>
      <c r="S20" t="inlineStr">
        <is>
          <t>Outsourced Business Development Manager</t>
        </is>
      </c>
      <c r="T20">
        <v>1</v>
      </c>
      <c r="U20">
        <v>5000</v>
      </c>
      <c r="V20" t="inlineStr">
        <is>
          <t>PHP</t>
        </is>
      </c>
      <c r="W20">
        <v>5000</v>
      </c>
      <c r="X20" s="2" t="str">
        <f>=HYPERLINK("https://www.larksuite.com/approval/admin/previewAttachment?key=PMi7DcJgDATglc72-cUyNIkiEFChP51nR6JI-0UJolwsGmzRhkzSs4LmphFual6jI5mNlCif_XPcT1m5Pd-LrwVgzfnYjv0r3qmKNNIKgNwutyTZHcTf8QsAAP__", "2 attachment(s)")</f>
        <v>2 attachment(s)</v>
      </c>
      <c r="Y20" t="inlineStr">
        <is>
          <t>Bank Transfer</t>
        </is>
      </c>
      <c r="Z20" t="inlineStr">
        <is>
          <t>John Alexis Ong</t>
        </is>
      </c>
      <c r="AA20" t="inlineStr">
        <is>
          <t>0000059792553</t>
        </is>
      </c>
      <c r="AB20" t="inlineStr">
        <is>
          <t>Security Bank</t>
        </is>
      </c>
      <c r="AC20" t="inlineStr">
        <is>
          <t>77 Dapitan Street Carlton Place Brgy Lourdes Quezon City</t>
        </is>
      </c>
      <c r="AD20" s="4">
        <v>45621</v>
      </c>
      <c r="AE20" t="inlineStr">
        <is>
          <t>100% Full Payment - Jan. 17, 2025</t>
        </is>
      </c>
      <c r="AF20" s="2"/>
      <c r="AG20" t="inlineStr">
        <is>
          <t>NzQyNTk5MTgyNzQ4MTg3MDM0MTozNURCMDA0Mi1BNENBLTQ2NDItOEI0RC1COEZEREVGRUVFOUEtMTpmMWFkN2FkMWI2N2FiZjUwNTZmYjA0OWFkMDYxOTIzMjox</t>
        </is>
      </c>
      <c r="AH20"/>
      <c r="AI20"/>
      <c r="AJ20"/>
      <c r="AK20"/>
    </row>
    <row r="21" ht="25.5" customHeight="1">
      <c r="A21" s="2" t="str">
        <f>=HYPERLINK("https://applink.larksuite.com/client/mini_program/open?appId=cli_9c7cc8a9a9edd105&amp;mode=appCenter&amp;path_pc=pc/pages/requested/index?instanceId=7457868025362923526&amp;source=bitable&amp;path=pages/detail/index?instanceId=7457868025362923526&amp;source=bitable", "202501090057")</f>
        <v>202501090057</v>
      </c>
      <c r="B21" t="inlineStr">
        <is>
          <t>Approved</t>
        </is>
      </c>
      <c r="C21" t="inlineStr">
        <is>
          <t>Procurement Order</t>
        </is>
      </c>
      <c r="D21" s="3">
        <v>45666.78949074074</v>
      </c>
      <c r="E21" s="3">
        <v>45686.83111111111</v>
      </c>
      <c r="F21" t="inlineStr">
        <is>
          <t>Fatima Kathleen M. FLores</t>
        </is>
      </c>
      <c r="G21" t="inlineStr">
        <is>
          <t>Procurement</t>
        </is>
      </c>
      <c r="H21"/>
      <c r="I21"/>
      <c r="J21" t="inlineStr">
        <is>
          <t>Project</t>
        </is>
      </c>
      <c r="K21" t="inlineStr">
        <is>
          <t>PDEI - Event Service</t>
        </is>
      </c>
      <c r="L21" t="inlineStr">
        <is>
          <t>Ambassador Tantoco Cup</t>
        </is>
      </c>
      <c r="M21" t="inlineStr">
        <is>
          <t>2024TEG-P0411</t>
        </is>
      </c>
      <c r="N21" t="inlineStr">
        <is>
          <t>Alyanna Fenina Nakpil Cruz</t>
        </is>
      </c>
      <c r="O21" t="inlineStr">
        <is>
          <t>202501060011-Alyanna Fenina Nakpil Cruz-费用报销 - 副本 - 副本 - 副本-2025-01-06 03:19:44</t>
        </is>
      </c>
      <c r="P21" t="inlineStr">
        <is>
          <t>YES</t>
        </is>
      </c>
      <c r="Q21"/>
      <c r="R21" t="inlineStr">
        <is>
          <t>YES</t>
        </is>
      </c>
      <c r="S21" t="inlineStr">
        <is>
          <t>Outsourced Business Development Manager</t>
        </is>
      </c>
      <c r="T21">
        <v>1</v>
      </c>
      <c r="U21">
        <v>8000</v>
      </c>
      <c r="V21" t="inlineStr">
        <is>
          <t>PHP</t>
        </is>
      </c>
      <c r="W21">
        <v>8000</v>
      </c>
      <c r="X21" s="2" t="str">
        <f>=HYPERLINK("https://www.larksuite.com/approval/admin/previewAttachment?key=PMg9isNQDATgK41GPyPtZbbxwwSCqxB37-yBFGm_akN1mtcgxjiwrUh1NZheHHqyNrdJA1l17nWd_7wPxvKrn2-Nct-P41wvyxEJeYQ3APv7uSsiZirwdXwCAAD__w", "2 attachment(s)")</f>
        <v>2 attachment(s)</v>
      </c>
      <c r="Y21" t="inlineStr">
        <is>
          <t>Bank Transfer</t>
        </is>
      </c>
      <c r="Z21" t="inlineStr">
        <is>
          <t>John Alexis Ong</t>
        </is>
      </c>
      <c r="AA21" t="inlineStr">
        <is>
          <t>0000059792553</t>
        </is>
      </c>
      <c r="AB21" t="inlineStr">
        <is>
          <t>Security Bank</t>
        </is>
      </c>
      <c r="AC21" t="inlineStr">
        <is>
          <t>77 Dapitan Street Carlton Place Brgy Lourdes Quezon City</t>
        </is>
      </c>
      <c r="AD21" s="4">
        <v>45633</v>
      </c>
      <c r="AE21" t="inlineStr">
        <is>
          <t>100% Full Payment - Jan. 17, 2025</t>
        </is>
      </c>
      <c r="AF21" s="2"/>
      <c r="AG21" t="inlineStr">
        <is>
          <t>NzQyNTk5MTgyNzQ4MTg3MDM0MToxMUNCQTcyOC1DNTZCLTQ5QkEtODEwMS05MzhCNTk0OTM5QjUtMTo1MmI4MWRiZTZhODI1NzA1MmVhMjIxZTFjYjBlOTU2Mzox</t>
        </is>
      </c>
      <c r="AH21"/>
      <c r="AI21"/>
      <c r="AJ21"/>
      <c r="AK21"/>
    </row>
    <row r="22" ht="25.5" customHeight="1">
      <c r="A22" s="2" t="str">
        <f>=HYPERLINK("https://applink.larksuite.com/client/mini_program/open?appId=cli_9c7cc8a9a9edd105&amp;mode=appCenter&amp;path_pc=pc/pages/requested/index?instanceId=7462236160870318086&amp;source=bitable&amp;path=pages/detail/index?instanceId=7462236160870318086&amp;source=bitable", "202501210027")</f>
        <v>202501210027</v>
      </c>
      <c r="B22" t="inlineStr">
        <is>
          <t>Approved</t>
        </is>
      </c>
      <c r="C22" t="inlineStr">
        <is>
          <t>Procurement Order</t>
        </is>
      </c>
      <c r="D22" s="3">
        <v>45678.560740740744</v>
      </c>
      <c r="E22" s="3">
        <v>45679.43517361111</v>
      </c>
      <c r="F22" t="inlineStr">
        <is>
          <t>Fatima Kathleen M. FLores</t>
        </is>
      </c>
      <c r="G22" t="inlineStr">
        <is>
          <t>Procurement</t>
        </is>
      </c>
      <c r="H22"/>
      <c r="I22"/>
      <c r="J22" t="inlineStr">
        <is>
          <t>CAPEX</t>
        </is>
      </c>
      <c r="K22"/>
      <c r="L22"/>
      <c r="M22"/>
      <c r="N22"/>
      <c r="O22" t="inlineStr">
        <is>
          <t>202501160030-Cyd Ryan Maladaga-费用报销 - 副本 - 副本 - 副本-2025-01-16 07:50:20</t>
        </is>
      </c>
      <c r="P22"/>
      <c r="Q22" t="inlineStr">
        <is>
          <t>IT</t>
        </is>
      </c>
      <c r="R22"/>
      <c r="S22" t="inlineStr">
        <is>
          <t>Lenovo 3650 M5/E5-2620 v4(16c/32t)/32GB DDR4/1TB SAS/RAID DRIVER/4*1G LAN/Dual 550W</t>
        </is>
      </c>
      <c r="T22">
        <v>1</v>
      </c>
      <c r="U22">
        <v>30000</v>
      </c>
      <c r="V22" t="inlineStr">
        <is>
          <t>PHP</t>
        </is>
      </c>
      <c r="W22">
        <v>30000</v>
      </c>
      <c r="X22" s="2"/>
      <c r="Y22" t="inlineStr">
        <is>
          <t>Bank Transfer</t>
        </is>
      </c>
      <c r="Z22" t="inlineStr">
        <is>
          <t>Dan Francisco</t>
        </is>
      </c>
      <c r="AA22" t="inlineStr">
        <is>
          <t>001128031603</t>
        </is>
      </c>
      <c r="AB22" t="inlineStr">
        <is>
          <t>BDO</t>
        </is>
      </c>
      <c r="AC22" t="inlineStr">
        <is>
          <t>Taft, Manila</t>
        </is>
      </c>
      <c r="AD22" s="4">
        <v>45681</v>
      </c>
      <c r="AE22" t="inlineStr">
        <is>
          <t>100% Full Payment upon testing of units - Jan. 24, 2025</t>
        </is>
      </c>
      <c r="AF22" s="2" t="str">
        <f>=HYPERLINK("https://www.larksuite.com/approval/admin/previewAttachment?key=TMhBCsIwEAXQK_2fSf7MeBk3hiKNBUGQbubsgqtun4JQDJoSPdkSLO9qzUQhHMZAqFrRPeFUeM1ju692ms_X-zjXPvZV3-djmx8qTOg5emcC4O3iJDJM9nf8AgAA__8", "1 attachment(s)")</f>
        <v>1 attachment(s)</v>
      </c>
      <c r="AG22" t="inlineStr">
        <is>
          <t>NzQyNTk5MTgyNzQ4MTg3MDM0MTo5NjhEMDhFMS02MEE2LTRFMzYtQTAzMS02NjI0RUQ4ODhCRjctMTpmZGFlN2I1NTYzZjVjZDU2NDc5M2ViMTQxODQ4ZGM5Yzox</t>
        </is>
      </c>
      <c r="AH22"/>
      <c r="AI22"/>
      <c r="AJ22"/>
      <c r="AK22"/>
    </row>
    <row r="23" ht="25.5" customHeight="1">
      <c r="A23" s="2" t="str">
        <f>=HYPERLINK("https://applink.larksuite.com/client/mini_program/open?appId=cli_9c7cc8a9a9edd105&amp;mode=appCenter&amp;path_pc=pc/pages/requested/index?instanceId=7462236160870318086&amp;source=bitable&amp;path=pages/detail/index?instanceId=7462236160870318086&amp;source=bitable", "202501210027")</f>
        <v>202501210027</v>
      </c>
      <c r="B23" t="inlineStr">
        <is>
          <t>Approved</t>
        </is>
      </c>
      <c r="C23" t="inlineStr">
        <is>
          <t>Procurement Order</t>
        </is>
      </c>
      <c r="D23" s="3">
        <v>45678.560740740744</v>
      </c>
      <c r="E23" s="3">
        <v>45679.43517361111</v>
      </c>
      <c r="F23" t="inlineStr">
        <is>
          <t>Fatima Kathleen M. FLores</t>
        </is>
      </c>
      <c r="G23" t="inlineStr">
        <is>
          <t>Procurement</t>
        </is>
      </c>
      <c r="H23"/>
      <c r="I23"/>
      <c r="J23" t="inlineStr">
        <is>
          <t>CAPEX</t>
        </is>
      </c>
      <c r="K23"/>
      <c r="L23"/>
      <c r="M23"/>
      <c r="N23"/>
      <c r="O23" t="inlineStr">
        <is>
          <t>202501160030-Cyd Ryan Maladaga-费用报销 - 副本 - 副本 - 副本-2025-01-16 07:50:20</t>
        </is>
      </c>
      <c r="P23"/>
      <c r="Q23" t="inlineStr">
        <is>
          <t>IT</t>
        </is>
      </c>
      <c r="R23"/>
      <c r="S23" t="inlineStr">
        <is>
          <t>Lenovo 3650 M5/2*E5-2620 v4(16c/32t)/64GB DDR4/8*1TB SAS/RAID DRIVER/4*1G LAN/Dual 550W</t>
        </is>
      </c>
      <c r="T23">
        <v>1</v>
      </c>
      <c r="U23">
        <v>45000</v>
      </c>
      <c r="V23" t="inlineStr">
        <is>
          <t>PHP</t>
        </is>
      </c>
      <c r="W23">
        <v>45000</v>
      </c>
      <c r="X23" s="2" t="str">
        <f>=HYPERLINK("https://www.larksuite.com/approval/admin/previewAttachment?key=PMhNCsJADAXgK72XZPLjZdw4FOlYEATpJmcXXHT7eRKeg-oFK0qBHeYi6nRkQJlIb2lGFIKe0fPY7ktOjfl6H-fax776-3xs88NRIYJQM00AvF2uYWZVbvg7fwEAAP__", "2 attachment(s)")</f>
        <v>2 attachment(s)</v>
      </c>
      <c r="Y23"/>
      <c r="Z23"/>
      <c r="AA23"/>
      <c r="AB23"/>
      <c r="AC23"/>
      <c r="AD23" s="4"/>
      <c r="AE23"/>
      <c r="AF23" s="2"/>
      <c r="AG23" t="inlineStr">
        <is>
          <t>NzQyNTk5MTgyNzQ4MTg3MDM0MTo5NjhEMDhFMS02MEE2LTRFMzYtQTAzMS02NjI0RUQ4ODhCRjctMjo4ZjMyYTkzYzFmOGUyNzYzYmYyZTY0ZDY3Y2MxZjdmMjox</t>
        </is>
      </c>
      <c r="AH23"/>
      <c r="AI23"/>
      <c r="AJ23"/>
      <c r="AK23"/>
    </row>
    <row r="24" ht="25.5" customHeight="1">
      <c r="A24" s="2" t="str">
        <f>=HYPERLINK("https://applink.larksuite.com/client/mini_program/open?appId=cli_9c7cc8a9a9edd105&amp;mode=appCenter&amp;path_pc=pc/pages/requested/index?instanceId=7462998301575528460&amp;source=bitable&amp;path=pages/detail/index?instanceId=7462998301575528460&amp;source=bitable", "202501230044")</f>
        <v>202501230044</v>
      </c>
      <c r="B24" t="inlineStr">
        <is>
          <t>Approved</t>
        </is>
      </c>
      <c r="C24" t="inlineStr">
        <is>
          <t>Procurement Order</t>
        </is>
      </c>
      <c r="D24" s="3">
        <v>45680.61456018518</v>
      </c>
      <c r="E24" s="3">
        <v>45686.83903935185</v>
      </c>
      <c r="F24" t="inlineStr">
        <is>
          <t>Fatima Kathleen M. FLores</t>
        </is>
      </c>
      <c r="G24" t="inlineStr">
        <is>
          <t>Procurement</t>
        </is>
      </c>
      <c r="H24"/>
      <c r="I24"/>
      <c r="J24" t="inlineStr">
        <is>
          <t>Project</t>
        </is>
      </c>
      <c r="K24" t="inlineStr">
        <is>
          <t>PDEI - Event Service</t>
        </is>
      </c>
      <c r="L24" t="inlineStr">
        <is>
          <t>PESO Esports 101 Activity</t>
        </is>
      </c>
      <c r="M24" t="inlineStr">
        <is>
          <t>2025TEG-P0020</t>
        </is>
      </c>
      <c r="N24" t="inlineStr">
        <is>
          <t>Patrick Leygo Hernandez</t>
        </is>
      </c>
      <c r="O24" t="inlineStr">
        <is>
          <t>202501200054-Patrick Leygo Hernandez-费用报销 - 副本 - 副本 - 副本-2025-01-20 07:57:21</t>
        </is>
      </c>
      <c r="P24" t="inlineStr">
        <is>
          <t>YES</t>
        </is>
      </c>
      <c r="Q24"/>
      <c r="R24" t="inlineStr">
        <is>
          <t>YES</t>
        </is>
      </c>
      <c r="S24" t="inlineStr">
        <is>
          <t>Outsourced Project Manager</t>
        </is>
      </c>
      <c r="T24">
        <v>1</v>
      </c>
      <c r="U24">
        <v>3600</v>
      </c>
      <c r="V24" t="inlineStr">
        <is>
          <t>PHP</t>
        </is>
      </c>
      <c r="W24">
        <v>3600</v>
      </c>
      <c r="X24" s="2" t="str">
        <f>=HYPERLINK("https://www.larksuite.com/approval/admin/previewAttachment?key=PMg7CoJBDATgK02SycvL2LgsglqJokXOLlj87RcliHKxaLBFGzLJ0O4yiKe7FgOjI5mNlKiY9djnm34U93JurO_L53297PUU71RFGmkFQE6HW5LsDuLv-AUAAP__", "2 attachment(s)")</f>
        <v>2 attachment(s)</v>
      </c>
      <c r="Y24" t="inlineStr">
        <is>
          <t>Bank Transfer</t>
        </is>
      </c>
      <c r="Z24" t="inlineStr">
        <is>
          <t>Jose Miguel Gatchalian</t>
        </is>
      </c>
      <c r="AA24" t="inlineStr">
        <is>
          <t>0586865032</t>
        </is>
      </c>
      <c r="AB24" t="inlineStr">
        <is>
          <t>BPI</t>
        </is>
      </c>
      <c r="AC24" t="inlineStr">
        <is>
          <t>#4 Edinburg Street Greenland Phase 1, Nangka, Marikina City</t>
        </is>
      </c>
      <c r="AD24" s="4">
        <v>45678</v>
      </c>
      <c r="AE24" t="inlineStr">
        <is>
          <t>100% Full Payment - Feb. 7, 2025</t>
        </is>
      </c>
      <c r="AF24" s="2"/>
      <c r="AG24" t="inlineStr">
        <is>
          <t>NzQyNTk5MTgyNzQ4MTg3MDM0MTo3MjQ2NzMxNS1CRUQxLTREODktOUYwMi02NTFENEY1N0FGQzktMTo5ZGQyZjIyZGNjOGNjMWUyMzdiMjE5MmM2NGY3MjkxNzox</t>
        </is>
      </c>
      <c r="AH24"/>
      <c r="AI24"/>
      <c r="AJ24"/>
      <c r="AK24"/>
    </row>
    <row r="25" ht="25.5" customHeight="1">
      <c r="A25" s="2" t="str">
        <f>=HYPERLINK("https://applink.larksuite.com/client/mini_program/open?appId=cli_9c7cc8a9a9edd105&amp;mode=appCenter&amp;path_pc=pc/pages/requested/index?instanceId=7467868710150127628&amp;source=bitable&amp;path=pages/detail/index?instanceId=7467868710150127628&amp;source=bitable", "202502050099")</f>
        <v>202502050099</v>
      </c>
      <c r="B25" t="inlineStr">
        <is>
          <t>Approved</t>
        </is>
      </c>
      <c r="C25" t="inlineStr">
        <is>
          <t>Procurement Order</t>
        </is>
      </c>
      <c r="D25" s="3">
        <v>45693.739328703705</v>
      </c>
      <c r="E25" s="3">
        <v>45694.71440972222</v>
      </c>
      <c r="F25" t="inlineStr">
        <is>
          <t>Fatima Kathleen M. FLores</t>
        </is>
      </c>
      <c r="G25" t="inlineStr">
        <is>
          <t>Procurement</t>
        </is>
      </c>
      <c r="H25"/>
      <c r="I25"/>
      <c r="J25" t="inlineStr">
        <is>
          <t>Project</t>
        </is>
      </c>
      <c r="K25" t="inlineStr">
        <is>
          <t>PDEI - Event Service</t>
        </is>
      </c>
      <c r="L25" t="inlineStr">
        <is>
          <t>MDL PH S5 Media and Content</t>
        </is>
      </c>
      <c r="M25" t="inlineStr">
        <is>
          <t>2025TEG-P0005</t>
        </is>
      </c>
      <c r="N25" t="inlineStr">
        <is>
          <t>Kervin</t>
        </is>
      </c>
      <c r="O25" t="inlineStr">
        <is>
          <t>202502050079-Kervin-费用报销 - 副本 - 副本 - 副本-2025-02-05 07:29:11</t>
        </is>
      </c>
      <c r="P25" t="inlineStr">
        <is>
          <t>NO</t>
        </is>
      </c>
      <c r="Q25"/>
      <c r="R25" t="inlineStr">
        <is>
          <t>YES</t>
        </is>
      </c>
      <c r="S25" t="inlineStr">
        <is>
          <t>Crew and Team Meals (Breakfast, Lunch and Dinner) - Feb. 8, 2025</t>
        </is>
      </c>
      <c r="T25">
        <v>340</v>
      </c>
      <c r="U25">
        <v>200</v>
      </c>
      <c r="V25" t="inlineStr">
        <is>
          <t>PHP</t>
        </is>
      </c>
      <c r="W25">
        <v>68000</v>
      </c>
      <c r="X25" s="2"/>
      <c r="Y25" t="inlineStr">
        <is>
          <t>Bank Transfer</t>
        </is>
      </c>
      <c r="Z25" t="inlineStr">
        <is>
          <t>ANTHONY ROBERT CAMAYANG</t>
        </is>
      </c>
      <c r="AA25" t="inlineStr">
        <is>
          <t>2609349312</t>
        </is>
      </c>
      <c r="AB25" t="inlineStr">
        <is>
          <t>BPI</t>
        </is>
      </c>
      <c r="AC25" t="inlineStr">
        <is>
          <t>BLK 1 LOT 1 A3 JENNYS AVE MILLENIUM GARDEN MAYBUNGA 1607 PASIG CITY</t>
        </is>
      </c>
      <c r="AD25" s="4">
        <v>45696</v>
      </c>
      <c r="AE25" t="inlineStr">
        <is>
          <t>50% Down Payment upon confirmation
50% Final payment upon completion of services</t>
        </is>
      </c>
      <c r="AF25" s="2" t="str">
        <f>=HYPERLINK("https://www.larksuite.com/approval/admin/previewAttachment?key=TMgxCsJAFATQK83s_p3538vYGIIphIAYTLFnF6zSPiWhHOwqRLEVOB1yKk1wgM1qOdukXTCVmstrvW_H91MY4e08d-_zeD7W5U1lF6JGBAsAbxcnUdnV_45fAAAA__8", "6 attachment(s)")</f>
        <v>6 attachment(s)</v>
      </c>
      <c r="AG25" t="inlineStr">
        <is>
          <t>NzQyNTk5MTgyNzQ4MTg3MDM0MTowQjQ1MDgwQy1FODc5LTQyRUQtODY4Mi1GRDI2QzNDMzZGNjYtMTpiOGEyZjI4N2VlNWU3ZDVhZjE2Mzg2M2EwYWIwNWRkNjox</t>
        </is>
      </c>
      <c r="AH25"/>
      <c r="AI25"/>
      <c r="AJ25"/>
      <c r="AK25"/>
    </row>
    <row r="26" ht="25.5" customHeight="1">
      <c r="A26" s="2" t="str">
        <f>=HYPERLINK("https://applink.larksuite.com/client/mini_program/open?appId=cli_9c7cc8a9a9edd105&amp;mode=appCenter&amp;path_pc=pc/pages/requested/index?instanceId=7467891268069113862&amp;source=bitable&amp;path=pages/detail/index?instanceId=7467891268069113862&amp;source=bitable", "202502050105")</f>
        <v>202502050105</v>
      </c>
      <c r="B26" t="inlineStr">
        <is>
          <t>Approved</t>
        </is>
      </c>
      <c r="C26" t="inlineStr">
        <is>
          <t>Procurement Order</t>
        </is>
      </c>
      <c r="D26" s="3">
        <v>45693.80011574074</v>
      </c>
      <c r="E26" s="3">
        <v>45700.62065972222</v>
      </c>
      <c r="F26" t="inlineStr">
        <is>
          <t>Fatima Kathleen M. FLores</t>
        </is>
      </c>
      <c r="G26" t="inlineStr">
        <is>
          <t>Procurement</t>
        </is>
      </c>
      <c r="H26"/>
      <c r="I26"/>
      <c r="J26" t="inlineStr">
        <is>
          <t>Project</t>
        </is>
      </c>
      <c r="K26" t="inlineStr">
        <is>
          <t>PDEI - Event Service</t>
        </is>
      </c>
      <c r="L26" t="inlineStr">
        <is>
          <t>MPL PH S15 Media Day</t>
        </is>
      </c>
      <c r="M26" t="inlineStr">
        <is>
          <t>2024TEG-P0445</t>
        </is>
      </c>
      <c r="N26" t="inlineStr">
        <is>
          <t>Tiny</t>
        </is>
      </c>
      <c r="O26" t="inlineStr">
        <is>
          <t>202501270057-Tiny-费用报销 - 副本 - 副本 - 副本-2025-01-27 18:00:02</t>
        </is>
      </c>
      <c r="P26" t="inlineStr">
        <is>
          <t>NO</t>
        </is>
      </c>
      <c r="Q26"/>
      <c r="R26" t="inlineStr">
        <is>
          <t>YES</t>
        </is>
      </c>
      <c r="S26" t="inlineStr">
        <is>
          <t>Outsourced Manpower for black cloth installation</t>
        </is>
      </c>
      <c r="T26">
        <v>1</v>
      </c>
      <c r="U26">
        <v>44800</v>
      </c>
      <c r="V26" t="inlineStr">
        <is>
          <t>PHP</t>
        </is>
      </c>
      <c r="W26">
        <v>44800</v>
      </c>
      <c r="X26" s="2" t="str">
        <f>=HYPERLINK("https://www.larksuite.com/approval/admin/previewAttachment?key=PMhBCsJQDATQK83kp5PEy7hp-YhVEESxi5xdcOH2KQnlwqGCF63ADldk0ZRQkSNlbc2IQlCp3u7zvNvnejvW2F4Tj2Pv92Wd25NLhRliuI8EwNPfR7h7lRw_xzcAAP__", "2 attachment(s)")</f>
        <v>2 attachment(s)</v>
      </c>
      <c r="Y26" t="inlineStr">
        <is>
          <t>Bank Transfer</t>
        </is>
      </c>
      <c r="Z26" t="inlineStr">
        <is>
          <t>Inex Stagesystems Corp.</t>
        </is>
      </c>
      <c r="AA26" t="inlineStr">
        <is>
          <t>002470117670</t>
        </is>
      </c>
      <c r="AB26" t="inlineStr">
        <is>
          <t>BDO</t>
        </is>
      </c>
      <c r="AC26" t="inlineStr">
        <is>
          <t>4014 Cul De Sac St., Brgy. Sun Valley, Paranaque City</t>
        </is>
      </c>
      <c r="AD26" s="4">
        <v>45694</v>
      </c>
      <c r="AE26" t="inlineStr">
        <is>
          <t>100% Full Payment upon completion of services</t>
        </is>
      </c>
      <c r="AF26" s="2"/>
      <c r="AG26" t="inlineStr">
        <is>
          <t>NzQyNTk5MTgyNzQ4MTg3MDM0MTozQTFBMTM4RC03QjQ4LTRDRUQtQUI2Qi1BQkNENTAzOTU4OUEtMTowZDI5ZDEzOTEwY2I0NmQyZDA1YmNhNTg1ZjcxMzJlNTox</t>
        </is>
      </c>
      <c r="AH26"/>
      <c r="AI26"/>
      <c r="AJ26"/>
      <c r="AK26"/>
    </row>
    <row r="27" ht="25.5" customHeight="1">
      <c r="A27" s="2" t="str">
        <f>=HYPERLINK("https://applink.larksuite.com/client/mini_program/open?appId=cli_9c7cc8a9a9edd105&amp;mode=appCenter&amp;path_pc=pc/pages/requested/index?instanceId=7468260427609161734&amp;source=bitable&amp;path=pages/detail/index?instanceId=7468260427609161734&amp;source=bitable", "202502060039")</f>
        <v>202502060039</v>
      </c>
      <c r="B27" t="inlineStr">
        <is>
          <t>Approved</t>
        </is>
      </c>
      <c r="C27" t="inlineStr">
        <is>
          <t>Procurement Order</t>
        </is>
      </c>
      <c r="D27" s="3">
        <v>45694.79493055555</v>
      </c>
      <c r="E27" s="3">
        <v>45695.63138888889</v>
      </c>
      <c r="F27" t="inlineStr">
        <is>
          <t>Fatima Kathleen M. FLores</t>
        </is>
      </c>
      <c r="G27" t="inlineStr">
        <is>
          <t>Procurement</t>
        </is>
      </c>
      <c r="H27"/>
      <c r="I27"/>
      <c r="J27" t="inlineStr">
        <is>
          <t>Project</t>
        </is>
      </c>
      <c r="K27" t="inlineStr">
        <is>
          <t>PDEI - Event Service</t>
        </is>
      </c>
      <c r="L27" t="inlineStr">
        <is>
          <t>MDL PH S5 Qualifiers</t>
        </is>
      </c>
      <c r="M27" t="inlineStr">
        <is>
          <t>2025TEG-P0003</t>
        </is>
      </c>
      <c r="N27" t="inlineStr">
        <is>
          <t>Kervin</t>
        </is>
      </c>
      <c r="O27" t="inlineStr">
        <is>
          <t>202501250007-Kervin-费用报销 - 副本 - 副本 - 副本-2025-01-25 06:29:04</t>
        </is>
      </c>
      <c r="P27" t="inlineStr">
        <is>
          <t>NO</t>
        </is>
      </c>
      <c r="Q27"/>
      <c r="R27" t="inlineStr">
        <is>
          <t>YES</t>
        </is>
      </c>
      <c r="S27" t="inlineStr">
        <is>
          <t>Rental of 1 set LED Wall +Basic Lights and Sounds (Feb. 9, 2025)</t>
        </is>
      </c>
      <c r="T27">
        <v>1</v>
      </c>
      <c r="U27">
        <v>25000</v>
      </c>
      <c r="V27" t="inlineStr">
        <is>
          <t>PHP</t>
        </is>
      </c>
      <c r="W27">
        <v>25000</v>
      </c>
      <c r="X27" s="2" t="str">
        <f>=HYPERLINK("https://www.larksuite.com/approval/admin/previewAttachment?key=PMhBCsJADAXQK_1kfn8SL-PGMqhQGBBKNzm74MLtUxqUmw0VWOYF66DSBXoIZbIYbG-LKIQp1fsx7-vt1zHztepauZ19Ph9z_9hW4Y4Y5EgAdvv7CJJVIn6ObwAAAP__", "2 attachment(s)")</f>
        <v>2 attachment(s)</v>
      </c>
      <c r="Y27" t="inlineStr">
        <is>
          <t>Bank Transfer</t>
        </is>
      </c>
      <c r="Z27" t="inlineStr">
        <is>
          <t>ARS NOVA LIGHTS AND SOUNDS</t>
        </is>
      </c>
      <c r="AA27" t="inlineStr">
        <is>
          <t>6102 0172 91</t>
        </is>
      </c>
      <c r="AB27" t="inlineStr">
        <is>
          <t>Landbank</t>
        </is>
      </c>
      <c r="AC27" t="inlineStr">
        <is>
          <t>0015-A Mejares Compound, Apitong St. Ros, Hgts, Tubod, Iligan City</t>
        </is>
      </c>
      <c r="AD27" s="4">
        <v>45697</v>
      </c>
      <c r="AE27" t="inlineStr">
        <is>
          <t>50% Down payment upon confirmation
50% Full payment upon completion of services</t>
        </is>
      </c>
      <c r="AF27" s="2" t="str">
        <f>=HYPERLINK("https://www.larksuite.com/approval/admin/previewAttachment?key=TMhBCsJADAXQK_0_SX8SL-PGMqhQGBBKNzm74MrtUxLKjaaCF0eBHa4cgo8QimKY92hGFIJK9X7M-3qP65j5WnWt3M4-n4-5f6g0wWtzZwHg7c9JVJrs5_gGAAD__w", "2 attachment(s)")</f>
        <v>2 attachment(s)</v>
      </c>
      <c r="AG27" t="inlineStr">
        <is>
          <t>NzQyNTk5MTgyNzQ4MTg3MDM0MToyQjVEQzVDQS01QjgwLTQwMjItQjMzMS1FRTA0NzBDQTZEMDQtMTpmODJjNzFkNzk0MzMxY2I3Zjc2MDUwZjIyMGU2N2RhZDox</t>
        </is>
      </c>
      <c r="AH27"/>
      <c r="AI27"/>
      <c r="AJ27"/>
      <c r="AK27"/>
    </row>
    <row r="28" ht="25.5" customHeight="1">
      <c r="A28" s="2" t="str">
        <f>=HYPERLINK("https://applink.larksuite.com/client/mini_program/open?appId=cli_9c7cc8a9a9edd105&amp;mode=appCenter&amp;path_pc=pc/pages/requested/index?instanceId=7468584686634156044&amp;source=bitable&amp;path=pages/detail/index?instanceId=7468584686634156044&amp;source=bitable", "202502070034")</f>
        <v>202502070034</v>
      </c>
      <c r="B28" t="inlineStr">
        <is>
          <t>Approved</t>
        </is>
      </c>
      <c r="C28" t="inlineStr">
        <is>
          <t>Procurement Order</t>
        </is>
      </c>
      <c r="D28" s="3">
        <v>45695.66873842593</v>
      </c>
      <c r="E28" s="3">
        <v>45695.71916666667</v>
      </c>
      <c r="F28" t="inlineStr">
        <is>
          <t>Fatima Kathleen M. FLores</t>
        </is>
      </c>
      <c r="G28" t="inlineStr">
        <is>
          <t>Procurement</t>
        </is>
      </c>
      <c r="H28"/>
      <c r="I28"/>
      <c r="J28" t="inlineStr">
        <is>
          <t>Project</t>
        </is>
      </c>
      <c r="K28" t="inlineStr">
        <is>
          <t>PDEI - Event Service</t>
        </is>
      </c>
      <c r="L28" t="inlineStr">
        <is>
          <t>MAYA Sponsorship x MDLS5 and MPLS15</t>
        </is>
      </c>
      <c r="M28" t="inlineStr">
        <is>
          <t>2024TEG-P0371</t>
        </is>
      </c>
      <c r="N28" t="inlineStr">
        <is>
          <t>Tiny</t>
        </is>
      </c>
      <c r="O28" t="inlineStr">
        <is>
          <t>202502070033-Tiny-费用报销 - 副本 - 副本 - 副本-2025-02-07 07:43:29</t>
        </is>
      </c>
      <c r="P28" t="inlineStr">
        <is>
          <t>NO</t>
        </is>
      </c>
      <c r="Q28"/>
      <c r="R28" t="inlineStr">
        <is>
          <t>NO</t>
        </is>
      </c>
      <c r="S28" t="inlineStr">
        <is>
          <t>Sponsorship fee for MPL-PH S14 Playoffs</t>
        </is>
      </c>
      <c r="T28">
        <v>1</v>
      </c>
      <c r="U28">
        <v>1120000</v>
      </c>
      <c r="V28" t="inlineStr">
        <is>
          <t>PHP</t>
        </is>
      </c>
      <c r="W28">
        <v>1120000</v>
      </c>
      <c r="X28" s="2" t="str">
        <f>=HYPERLINK("https://www.larksuite.com/approval/admin/previewAttachment?key=PMgxCkIxEATQK80mk9ldL2Pj5yNI0ogRiz27YGH7FAbFsK4E01rCyqkYQYXUaUMgq5W5J9wUXsc8r2-u9dl7Tn8FH6v2_XYeTxvprcE72QOAXf7enWSmiJ_jGwAA__8", "3 attachment(s)")</f>
        <v>3 attachment(s)</v>
      </c>
      <c r="Y28" t="inlineStr">
        <is>
          <t>Bank Transfer</t>
        </is>
      </c>
      <c r="Z28" t="inlineStr">
        <is>
          <t>Moonton Philippines Technology Inc</t>
        </is>
      </c>
      <c r="AA28" t="inlineStr">
        <is>
          <t>026-266106-040</t>
        </is>
      </c>
      <c r="AB28" t="inlineStr">
        <is>
          <t>HSBC BANK (PHILIPPINES) LTD</t>
        </is>
      </c>
      <c r="AC28" t="inlineStr">
        <is>
          <t>23F The Curve Building 3rd Avenue cor 32nd Street, Bonifacio Global City Fort Bonifacio 1634 Taguig City</t>
        </is>
      </c>
      <c r="AD28" s="4">
        <v>45695</v>
      </c>
      <c r="AE28" t="inlineStr">
        <is>
          <t>100% Full Payment</t>
        </is>
      </c>
      <c r="AF28" s="2"/>
      <c r="AG28" t="inlineStr">
        <is>
          <t>NzQyNTk5MTgyNzQ4MTg3MDM0MToxNDUxMDA0NC04OTYxLTQ2NkYtOEJGQi0wNzk1QjNEMkIyOTUtMTo3OTk4YTczMmMyMjk4Zjk0OTJiN2RjNzk0NWJlNDdjNDox</t>
        </is>
      </c>
      <c r="AH28"/>
      <c r="AI28"/>
      <c r="AJ28"/>
      <c r="AK28"/>
    </row>
    <row r="29" ht="25.5" customHeight="1">
      <c r="A29" s="2" t="str">
        <f>=HYPERLINK("https://applink.larksuite.com/client/mini_program/open?appId=cli_9c7cc8a9a9edd105&amp;mode=appCenter&amp;path_pc=pc/pages/requested/index?instanceId=7470068037815697414&amp;source=bitable&amp;path=pages/detail/index?instanceId=7470068037815697414&amp;source=bitable", "202502110041")</f>
        <v>202502110041</v>
      </c>
      <c r="B29" t="inlineStr">
        <is>
          <t>Approved</t>
        </is>
      </c>
      <c r="C29" t="inlineStr">
        <is>
          <t>Procurement Order</t>
        </is>
      </c>
      <c r="D29" s="3">
        <v>45699.66607638889</v>
      </c>
      <c r="E29" s="3">
        <v>45702.633726851855</v>
      </c>
      <c r="F29" t="inlineStr">
        <is>
          <t>Fatima Kathleen M. FLores</t>
        </is>
      </c>
      <c r="G29" t="inlineStr">
        <is>
          <t>Procurement</t>
        </is>
      </c>
      <c r="H29"/>
      <c r="I29"/>
      <c r="J29" t="inlineStr">
        <is>
          <t>Project</t>
        </is>
      </c>
      <c r="K29" t="inlineStr">
        <is>
          <t>PDEI - Event Service</t>
        </is>
      </c>
      <c r="L29" t="inlineStr">
        <is>
          <t>HOK Invitational S3</t>
        </is>
      </c>
      <c r="M29" t="inlineStr">
        <is>
          <t>2025TEG-P0027</t>
        </is>
      </c>
      <c r="N29" t="inlineStr">
        <is>
          <t>Duane Aaron Baret Cadangan</t>
        </is>
      </c>
      <c r="O29" t="inlineStr">
        <is>
          <t>202502070079-Duane Aaron Baret Cadangan-费用报销 - 副本 - 副本 - 副本-2025-02-07 13:06:44</t>
        </is>
      </c>
      <c r="P29" t="inlineStr">
        <is>
          <t>NO</t>
        </is>
      </c>
      <c r="Q29"/>
      <c r="R29" t="inlineStr">
        <is>
          <t>YES</t>
        </is>
      </c>
      <c r="S29" t="inlineStr">
        <is>
          <t>Stage and On-ground Fabrication</t>
        </is>
      </c>
      <c r="T29">
        <v>1</v>
      </c>
      <c r="U29">
        <v>2240000</v>
      </c>
      <c r="V29" t="inlineStr">
        <is>
          <t>PHP</t>
        </is>
      </c>
      <c r="W29">
        <v>2240000</v>
      </c>
      <c r="X29" s="2" t="str">
        <f>=HYPERLINK("https://www.larksuite.com/approval/admin/previewAttachment?key=PMgxCkIxEATQK80kk51dL2PjJ9gEBFH8Rc4uWNi-SCJysEdBxVbgtgxEojs5oixqt027YEbGPta8qq181Xl--OCa3O_7bR5PjnJrcJd6AuDl792SqkL4Ob4BAAD__w", "2 attachment(s)")</f>
        <v>2 attachment(s)</v>
      </c>
      <c r="Y29" t="inlineStr">
        <is>
          <t>Bank Transfer</t>
        </is>
      </c>
      <c r="Z29" t="inlineStr">
        <is>
          <t>STAGE ONE EVENT SERVICES CORP.</t>
        </is>
      </c>
      <c r="AA29" t="inlineStr">
        <is>
          <t>0124 0800 3549</t>
        </is>
      </c>
      <c r="AB29" t="inlineStr">
        <is>
          <t>BDO</t>
        </is>
      </c>
      <c r="AC29" t="inlineStr">
        <is>
          <t>Kamagong St. cor. Ipil St. Hillcrest Village, Brgy. 173 Camarin, Caloocan</t>
        </is>
      </c>
      <c r="AD29" s="4">
        <v>45705</v>
      </c>
      <c r="AE29" t="inlineStr">
        <is>
          <t>50% Down payment upon confirmation
50% Final Payment - 30 days after complete set-up</t>
        </is>
      </c>
      <c r="AF29" s="2"/>
      <c r="AG29" t="inlineStr">
        <is>
          <t>NzQyNTk5MTgyNzQ4MTg3MDM0MTo4OUI0NDQ5Qy03MEZELTRBM0QtQkYyQy00NUJFRjVERTIwM0QtMTpmOTBkZGQyMGU2NDY0ODYzZmQzN2U1ZmI0NDc4N2EyMjox</t>
        </is>
      </c>
      <c r="AH29"/>
      <c r="AI29"/>
      <c r="AJ29"/>
      <c r="AK29"/>
    </row>
    <row r="30" ht="25.5" customHeight="1">
      <c r="A30" s="2" t="str">
        <f>=HYPERLINK("https://applink.larksuite.com/client/mini_program/open?appId=cli_9c7cc8a9a9edd105&amp;mode=appCenter&amp;path_pc=pc/pages/requested/index?instanceId=7471150108562718726&amp;source=bitable&amp;path=pages/detail/index?instanceId=7471150108562718726&amp;source=bitable", "202502140026")</f>
        <v>202502140026</v>
      </c>
      <c r="B30" t="inlineStr">
        <is>
          <t>Approved</t>
        </is>
      </c>
      <c r="C30" t="inlineStr">
        <is>
          <t>Procurement Order</t>
        </is>
      </c>
      <c r="D30" s="3">
        <v>45702.582037037035</v>
      </c>
      <c r="E30" s="3">
        <v>45702.64320601852</v>
      </c>
      <c r="F30" t="inlineStr">
        <is>
          <t>Fatima Kathleen M. FLores</t>
        </is>
      </c>
      <c r="G30" t="inlineStr">
        <is>
          <t>Procurement</t>
        </is>
      </c>
      <c r="H30"/>
      <c r="I30"/>
      <c r="J30" t="inlineStr">
        <is>
          <t>Project</t>
        </is>
      </c>
      <c r="K30" t="inlineStr">
        <is>
          <t>PDEI - Event Service</t>
        </is>
      </c>
      <c r="L30" t="inlineStr">
        <is>
          <t>HOK Invitational S3</t>
        </is>
      </c>
      <c r="M30" t="inlineStr">
        <is>
          <t>2025TEG-P0027</t>
        </is>
      </c>
      <c r="N30" t="inlineStr">
        <is>
          <t>Duane Aaron Baret Cadangan</t>
        </is>
      </c>
      <c r="O30" t="inlineStr">
        <is>
          <t>202502070080-Duane Aaron Baret Cadangan-费用报销 - 副本 - 副本 - 副本-2025-02-07 13:08:08</t>
        </is>
      </c>
      <c r="P30" t="inlineStr">
        <is>
          <t>NO</t>
        </is>
      </c>
      <c r="Q30"/>
      <c r="R30" t="inlineStr">
        <is>
          <t>NO</t>
        </is>
      </c>
      <c r="S30" t="inlineStr">
        <is>
          <t>Outsourced Technical Services</t>
        </is>
      </c>
      <c r="T30">
        <v>1</v>
      </c>
      <c r="U30">
        <v>5488000</v>
      </c>
      <c r="V30" t="inlineStr">
        <is>
          <t>PHP</t>
        </is>
      </c>
      <c r="W30">
        <v>5488000</v>
      </c>
      <c r="X30" s="2" t="str">
        <f>=HYPERLINK("https://www.larksuite.com/approval/admin/previewAttachment?key=PMgxCsMwDAXQK_0vy_pSL9MlwdTQTCWBDj57oUPWF0lEdrYoeNEKXHKRHUT2MDFlsWxRKoiRWvsxnnZtOd_ze_g4Z57rem1j_7CXzKDm3hIAH7c3uXtVOP6OXwAAAP__", "2 attachment(s)")</f>
        <v>2 attachment(s)</v>
      </c>
      <c r="Y30" t="inlineStr">
        <is>
          <t>Bank Transfer</t>
        </is>
      </c>
      <c r="Z30" t="inlineStr">
        <is>
          <t>XSTATIC EVENT SYSTEM INC.</t>
        </is>
      </c>
      <c r="AA30" t="inlineStr">
        <is>
          <t>011728001773</t>
        </is>
      </c>
      <c r="AB30" t="inlineStr">
        <is>
          <t>BDO</t>
        </is>
      </c>
      <c r="AC30" t="inlineStr">
        <is>
          <t>Blk. 15 Lot 26 BF Martinville Las Piñas City</t>
        </is>
      </c>
      <c r="AD30" s="4">
        <v>45705</v>
      </c>
      <c r="AE30" t="inlineStr">
        <is>
          <t>50% Down Payment upon confirmation
50% Final Payment upon completion of services</t>
        </is>
      </c>
      <c r="AF30" s="2"/>
      <c r="AG30" t="inlineStr">
        <is>
          <t>NzQyNTk5MTgyNzQ4MTg3MDM0MTpFMURGQjNCNS0zNjQ0LTRDMUMtQjEzOS04MTdDOTFGQjg2RkQtMTo5MTM4ZGJjNjc5M2U2YWU3OGVkN2FjOTA2OWI5ZWQ4ZDox</t>
        </is>
      </c>
      <c r="AH30"/>
      <c r="AI30"/>
      <c r="AJ30"/>
      <c r="AK30"/>
    </row>
    <row r="31" ht="25.5" customHeight="1">
      <c r="A31" s="2" t="str">
        <f>=HYPERLINK("https://applink.larksuite.com/client/mini_program/open?appId=cli_9c7cc8a9a9edd105&amp;mode=appCenter&amp;path_pc=pc/pages/requested/index?instanceId=7472281732272685068&amp;source=bitable&amp;path=pages/detail/index?instanceId=7472281732272685068&amp;source=bitable", "202502170056")</f>
        <v>202502170056</v>
      </c>
      <c r="B31" t="inlineStr">
        <is>
          <t>Approved</t>
        </is>
      </c>
      <c r="C31" t="inlineStr">
        <is>
          <t>Procurement Order</t>
        </is>
      </c>
      <c r="D31" s="3">
        <v>45705.63153935185</v>
      </c>
      <c r="E31" s="3">
        <v>45705.69663194445</v>
      </c>
      <c r="F31" t="inlineStr">
        <is>
          <t>Fatima Kathleen M. FLores</t>
        </is>
      </c>
      <c r="G31" t="inlineStr">
        <is>
          <t>Procurement</t>
        </is>
      </c>
      <c r="H31"/>
      <c r="I31"/>
      <c r="J31" t="inlineStr">
        <is>
          <t>Project</t>
        </is>
      </c>
      <c r="K31" t="inlineStr">
        <is>
          <t>PDEI - Event Service</t>
        </is>
      </c>
      <c r="L31" t="inlineStr">
        <is>
          <t>HOK Invitational S3</t>
        </is>
      </c>
      <c r="M31" t="inlineStr">
        <is>
          <t>2025TEG-P0027</t>
        </is>
      </c>
      <c r="N31" t="inlineStr">
        <is>
          <t>Duane Aaron Baret Cadangan</t>
        </is>
      </c>
      <c r="O31" t="inlineStr">
        <is>
          <t>202502100015-Duane Aaron Baret Cadangan-费用报销 - 副本 - 副本 - 副本-2025-02-10 01:43:01</t>
        </is>
      </c>
      <c r="P31" t="inlineStr">
        <is>
          <t>NO</t>
        </is>
      </c>
      <c r="Q31"/>
      <c r="R31" t="inlineStr">
        <is>
          <t>YES</t>
        </is>
      </c>
      <c r="S31" t="inlineStr">
        <is>
          <t>Manpower / Crew Meals (Feb. 17 to Mar. 1, 2025)</t>
        </is>
      </c>
      <c r="T31">
        <v>6591</v>
      </c>
      <c r="U31">
        <v>110</v>
      </c>
      <c r="V31" t="inlineStr">
        <is>
          <t>PHP</t>
        </is>
      </c>
      <c r="W31">
        <v>725010</v>
      </c>
      <c r="X31" s="2" t="str">
        <f>=HYPERLINK("https://www.larksuite.com/approval/admin/previewAttachment?key=PMgxCkIxDAbgK_1J0_yJl3Hpo4g-XcRCh5xdcHD9PAQeXZonLEUTUjSqhrCpUj06PEpLyATFw-t4zuteY37s_tr7fJxr1LqNebylJ1XBZtYCgFz-3mhmmW74Ob4BAAD__w", "2 attachment(s)")</f>
        <v>2 attachment(s)</v>
      </c>
      <c r="Y31" t="inlineStr">
        <is>
          <t>Bank Transfer</t>
        </is>
      </c>
      <c r="Z31" t="inlineStr">
        <is>
          <t>GAJA KITCHEN STORIES INC</t>
        </is>
      </c>
      <c r="AA31" t="inlineStr">
        <is>
          <t>0034-3803-3688</t>
        </is>
      </c>
      <c r="AB31" t="inlineStr">
        <is>
          <t>BDO</t>
        </is>
      </c>
      <c r="AC31" t="inlineStr">
        <is>
          <t>#4 Pines Street, Mandaluyong City</t>
        </is>
      </c>
      <c r="AD31" s="4">
        <v>45705</v>
      </c>
      <c r="AE31" t="inlineStr">
        <is>
          <t>50% Down Payment upon confirmation
50% Final Payment upon completion of services</t>
        </is>
      </c>
      <c r="AF31" s="2"/>
      <c r="AG31" t="inlineStr">
        <is>
          <t>NzQyNTk5MTgyNzQ4MTg3MDM0MTo4MERBRDZGOS04OEVELTQ2REEtOUM4RC0xREQyODUzMjc4MzctMTo1OGEyY2UxOGE0OTM3OWI1YjQxNTlkNjNhYjg0OGM4MDox</t>
        </is>
      </c>
      <c r="AH31"/>
      <c r="AI31"/>
      <c r="AJ31"/>
      <c r="AK31"/>
    </row>
    <row r="32" ht="25.5" customHeight="1">
      <c r="A32" s="2" t="str">
        <f>=HYPERLINK("https://applink.larksuite.com/client/mini_program/open?appId=cli_9c7cc8a9a9edd105&amp;mode=appCenter&amp;path_pc=pc/pages/requested/index?instanceId=7473419415271292934&amp;source=bitable&amp;path=pages/detail/index?instanceId=7473419415271292934&amp;source=bitable", "202502200045")</f>
        <v>202502200045</v>
      </c>
      <c r="B32" t="inlineStr">
        <is>
          <t>Approved</t>
        </is>
      </c>
      <c r="C32" t="inlineStr">
        <is>
          <t>Procurement Order</t>
        </is>
      </c>
      <c r="D32" s="3">
        <v>45708.69736111111</v>
      </c>
      <c r="E32" s="3">
        <v>45708.74469907407</v>
      </c>
      <c r="F32" t="inlineStr">
        <is>
          <t>Fatima Kathleen M. FLores</t>
        </is>
      </c>
      <c r="G32" t="inlineStr">
        <is>
          <t>Procurement</t>
        </is>
      </c>
      <c r="H32"/>
      <c r="I32"/>
      <c r="J32" t="inlineStr">
        <is>
          <t>CAPEX</t>
        </is>
      </c>
      <c r="K32"/>
      <c r="L32"/>
      <c r="M32"/>
      <c r="N32"/>
      <c r="O32" t="inlineStr">
        <is>
          <t>202501220040-Karl Kristian Cereno Durante-费用报销 - 副本 - 副本 - 副本-2025-01-22 11:29:26</t>
        </is>
      </c>
      <c r="P32"/>
      <c r="Q32" t="inlineStr">
        <is>
          <t>Broadcast</t>
        </is>
      </c>
      <c r="R32"/>
      <c r="S32" t="inlineStr">
        <is>
          <t>INTEL CORE i7-14700 PROCESSOR</t>
        </is>
      </c>
      <c r="T32">
        <v>2</v>
      </c>
      <c r="U32">
        <v>19260</v>
      </c>
      <c r="V32" t="inlineStr">
        <is>
          <t>PHP</t>
        </is>
      </c>
      <c r="W32">
        <v>38520</v>
      </c>
      <c r="X32" s="2"/>
      <c r="Y32" t="inlineStr">
        <is>
          <t>Bank Transfer</t>
        </is>
      </c>
      <c r="Z32" t="inlineStr">
        <is>
          <t>UBERTECH INC.</t>
        </is>
      </c>
      <c r="AA32" t="inlineStr">
        <is>
          <t>245-7-24581539-1</t>
        </is>
      </c>
      <c r="AB32" t="inlineStr">
        <is>
          <t>Metrobank</t>
        </is>
      </c>
      <c r="AC32" t="inlineStr">
        <is>
          <t>18 Saint Paul, Brgy Horseshoe, Quezon City</t>
        </is>
      </c>
      <c r="AD32" s="4">
        <v>45709</v>
      </c>
      <c r="AE32" t="inlineStr">
        <is>
          <t>100% Full Payment</t>
        </is>
      </c>
      <c r="AF32" s="2"/>
      <c r="AG32" t="inlineStr">
        <is>
          <t>NzQyNTk5MTgyNzQ4MTg3MDM0MTo4MzgyMkIxQy02RkEwLTRBRDMtOENERi1CMzY4M0I3RjdCOUUtMTo4MjdlYzBiYzhiNGRkYTc1NjQ0YjBlYjAxMWY5ZDU3Njox</t>
        </is>
      </c>
      <c r="AH32"/>
      <c r="AI32"/>
      <c r="AJ32"/>
      <c r="AK32"/>
    </row>
    <row r="33" ht="25.5" customHeight="1">
      <c r="A33" s="2" t="str">
        <f>=HYPERLINK("https://applink.larksuite.com/client/mini_program/open?appId=cli_9c7cc8a9a9edd105&amp;mode=appCenter&amp;path_pc=pc/pages/requested/index?instanceId=7473419415271292934&amp;source=bitable&amp;path=pages/detail/index?instanceId=7473419415271292934&amp;source=bitable", "202502200045")</f>
        <v>202502200045</v>
      </c>
      <c r="B33" t="inlineStr">
        <is>
          <t>Approved</t>
        </is>
      </c>
      <c r="C33" t="inlineStr">
        <is>
          <t>Procurement Order</t>
        </is>
      </c>
      <c r="D33" s="3">
        <v>45708.69736111111</v>
      </c>
      <c r="E33" s="3">
        <v>45708.74469907407</v>
      </c>
      <c r="F33" t="inlineStr">
        <is>
          <t>Fatima Kathleen M. FLores</t>
        </is>
      </c>
      <c r="G33" t="inlineStr">
        <is>
          <t>Procurement</t>
        </is>
      </c>
      <c r="H33"/>
      <c r="I33"/>
      <c r="J33" t="inlineStr">
        <is>
          <t>CAPEX</t>
        </is>
      </c>
      <c r="K33"/>
      <c r="L33"/>
      <c r="M33"/>
      <c r="N33"/>
      <c r="O33" t="inlineStr">
        <is>
          <t>202501220040-Karl Kristian Cereno Durante-费用报销 - 副本 - 副本 - 副本-2025-01-22 11:29:26</t>
        </is>
      </c>
      <c r="P33"/>
      <c r="Q33" t="inlineStr">
        <is>
          <t>Broadcast</t>
        </is>
      </c>
      <c r="R33"/>
      <c r="S33" t="inlineStr">
        <is>
          <t>GIGABYTE Z790 UD AX MOTHERBOARD</t>
        </is>
      </c>
      <c r="T33">
        <v>1</v>
      </c>
      <c r="U33">
        <v>12733</v>
      </c>
      <c r="V33" t="inlineStr">
        <is>
          <t>PHP</t>
        </is>
      </c>
      <c r="W33">
        <v>12733</v>
      </c>
      <c r="X33" s="2"/>
      <c r="Y33"/>
      <c r="Z33"/>
      <c r="AA33"/>
      <c r="AB33"/>
      <c r="AC33"/>
      <c r="AD33" s="4"/>
      <c r="AE33"/>
      <c r="AF33" s="2"/>
      <c r="AG33" t="inlineStr">
        <is>
          <t>NzQyNTk5MTgyNzQ4MTg3MDM0MTo4MzgyMkIxQy02RkEwLTRBRDMtOENERi1CMzY4M0I3RjdCOUUtMjo5YzViNDcyZWFhOWZhOTk1NGM5ZjA1Yzc0N2ZmMjlmNDox</t>
        </is>
      </c>
      <c r="AH33"/>
      <c r="AI33"/>
      <c r="AJ33"/>
      <c r="AK33"/>
    </row>
    <row r="34" ht="25.5" customHeight="1">
      <c r="A34" s="2" t="str">
        <f>=HYPERLINK("https://applink.larksuite.com/client/mini_program/open?appId=cli_9c7cc8a9a9edd105&amp;mode=appCenter&amp;path_pc=pc/pages/requested/index?instanceId=7473419415271292934&amp;source=bitable&amp;path=pages/detail/index?instanceId=7473419415271292934&amp;source=bitable", "202502200045")</f>
        <v>202502200045</v>
      </c>
      <c r="B34" t="inlineStr">
        <is>
          <t>Approved</t>
        </is>
      </c>
      <c r="C34" t="inlineStr">
        <is>
          <t>Procurement Order</t>
        </is>
      </c>
      <c r="D34" s="3">
        <v>45708.69736111111</v>
      </c>
      <c r="E34" s="3">
        <v>45708.74469907407</v>
      </c>
      <c r="F34" t="inlineStr">
        <is>
          <t>Fatima Kathleen M. FLores</t>
        </is>
      </c>
      <c r="G34" t="inlineStr">
        <is>
          <t>Procurement</t>
        </is>
      </c>
      <c r="H34"/>
      <c r="I34"/>
      <c r="J34" t="inlineStr">
        <is>
          <t>CAPEX</t>
        </is>
      </c>
      <c r="K34"/>
      <c r="L34"/>
      <c r="M34"/>
      <c r="N34"/>
      <c r="O34" t="inlineStr">
        <is>
          <t>202501220040-Karl Kristian Cereno Durante-费用报销 - 副本 - 副本 - 副本-2025-01-22 11:29:26</t>
        </is>
      </c>
      <c r="P34"/>
      <c r="Q34" t="inlineStr">
        <is>
          <t>Broadcast</t>
        </is>
      </c>
      <c r="R34"/>
      <c r="S34" t="inlineStr">
        <is>
          <t>GIGABYTE GEN3 2500E SSD 500GB</t>
        </is>
      </c>
      <c r="T34">
        <v>2</v>
      </c>
      <c r="U34">
        <v>0</v>
      </c>
      <c r="V34" t="inlineStr">
        <is>
          <t>PHP</t>
        </is>
      </c>
      <c r="W34">
        <v>0</v>
      </c>
      <c r="X34" s="2"/>
      <c r="Y34"/>
      <c r="Z34"/>
      <c r="AA34"/>
      <c r="AB34"/>
      <c r="AC34"/>
      <c r="AD34" s="4"/>
      <c r="AE34"/>
      <c r="AF34" s="2"/>
      <c r="AG34" t="inlineStr">
        <is>
          <t>NzQyNTk5MTgyNzQ4MTg3MDM0MTo4MzgyMkIxQy02RkEwLTRBRDMtOENERi1CMzY4M0I3RjdCOUUtMzo4MzBjNmMwN2E5ZDg3MjcwMjUxM2Y3YTViNDVkODg2MDox</t>
        </is>
      </c>
      <c r="AH34"/>
      <c r="AI34"/>
      <c r="AJ34"/>
      <c r="AK34"/>
    </row>
    <row r="35" ht="25.5" customHeight="1">
      <c r="A35" s="2" t="str">
        <f>=HYPERLINK("https://applink.larksuite.com/client/mini_program/open?appId=cli_9c7cc8a9a9edd105&amp;mode=appCenter&amp;path_pc=pc/pages/requested/index?instanceId=7473419415271292934&amp;source=bitable&amp;path=pages/detail/index?instanceId=7473419415271292934&amp;source=bitable", "202502200045")</f>
        <v>202502200045</v>
      </c>
      <c r="B35" t="inlineStr">
        <is>
          <t>Approved</t>
        </is>
      </c>
      <c r="C35" t="inlineStr">
        <is>
          <t>Procurement Order</t>
        </is>
      </c>
      <c r="D35" s="3">
        <v>45708.69736111111</v>
      </c>
      <c r="E35" s="3">
        <v>45708.74469907407</v>
      </c>
      <c r="F35" t="inlineStr">
        <is>
          <t>Fatima Kathleen M. FLores</t>
        </is>
      </c>
      <c r="G35" t="inlineStr">
        <is>
          <t>Procurement</t>
        </is>
      </c>
      <c r="H35"/>
      <c r="I35"/>
      <c r="J35" t="inlineStr">
        <is>
          <t>CAPEX</t>
        </is>
      </c>
      <c r="K35"/>
      <c r="L35"/>
      <c r="M35"/>
      <c r="N35"/>
      <c r="O35" t="inlineStr">
        <is>
          <t>202501220040-Karl Kristian Cereno Durante-费用报销 - 副本 - 副本 - 副本-2025-01-22 11:29:26</t>
        </is>
      </c>
      <c r="P35"/>
      <c r="Q35" t="inlineStr">
        <is>
          <t>Broadcast</t>
        </is>
      </c>
      <c r="R35"/>
      <c r="S35" t="inlineStr">
        <is>
          <t>Z790 AORUS ELITE AX MOTHERBOARD</t>
        </is>
      </c>
      <c r="T35">
        <v>1</v>
      </c>
      <c r="U35">
        <v>16445</v>
      </c>
      <c r="V35" t="inlineStr">
        <is>
          <t>PHP</t>
        </is>
      </c>
      <c r="W35">
        <v>16445</v>
      </c>
      <c r="X35" s="2"/>
      <c r="Y35"/>
      <c r="Z35"/>
      <c r="AA35"/>
      <c r="AB35"/>
      <c r="AC35"/>
      <c r="AD35" s="4"/>
      <c r="AE35"/>
      <c r="AF35" s="2"/>
      <c r="AG35" t="inlineStr">
        <is>
          <t>NzQyNTk5MTgyNzQ4MTg3MDM0MTo4MzgyMkIxQy02RkEwLTRBRDMtOENERi1CMzY4M0I3RjdCOUUtNDphZWM1YjU0YTlmNzJkNGY3NTAwZmEyZWExOWI4M2ZkMTox</t>
        </is>
      </c>
      <c r="AH35"/>
      <c r="AI35"/>
      <c r="AJ35"/>
      <c r="AK35"/>
    </row>
    <row r="36" ht="25.5" customHeight="1">
      <c r="A36" s="2" t="str">
        <f>=HYPERLINK("https://applink.larksuite.com/client/mini_program/open?appId=cli_9c7cc8a9a9edd105&amp;mode=appCenter&amp;path_pc=pc/pages/requested/index?instanceId=7473419415271292934&amp;source=bitable&amp;path=pages/detail/index?instanceId=7473419415271292934&amp;source=bitable", "202502200045")</f>
        <v>202502200045</v>
      </c>
      <c r="B36" t="inlineStr">
        <is>
          <t>Approved</t>
        </is>
      </c>
      <c r="C36" t="inlineStr">
        <is>
          <t>Procurement Order</t>
        </is>
      </c>
      <c r="D36" s="3">
        <v>45708.69736111111</v>
      </c>
      <c r="E36" s="3">
        <v>45708.74469907407</v>
      </c>
      <c r="F36" t="inlineStr">
        <is>
          <t>Fatima Kathleen M. FLores</t>
        </is>
      </c>
      <c r="G36" t="inlineStr">
        <is>
          <t>Procurement</t>
        </is>
      </c>
      <c r="H36"/>
      <c r="I36"/>
      <c r="J36" t="inlineStr">
        <is>
          <t>CAPEX</t>
        </is>
      </c>
      <c r="K36"/>
      <c r="L36"/>
      <c r="M36"/>
      <c r="N36"/>
      <c r="O36" t="inlineStr">
        <is>
          <t>202501220040-Karl Kristian Cereno Durante-费用报销 - 副本 - 副本 - 副本-2025-01-22 11:29:26</t>
        </is>
      </c>
      <c r="P36"/>
      <c r="Q36" t="inlineStr">
        <is>
          <t>Broadcast</t>
        </is>
      </c>
      <c r="R36"/>
      <c r="S36" t="inlineStr">
        <is>
          <t>GIGABYTE GEFORCE RTX 3060 WINDFORCE OC 12G VGA CARD</t>
        </is>
      </c>
      <c r="T36">
        <v>2</v>
      </c>
      <c r="U36">
        <v>17783</v>
      </c>
      <c r="V36" t="inlineStr">
        <is>
          <t>PHP</t>
        </is>
      </c>
      <c r="W36">
        <v>35566</v>
      </c>
      <c r="X36" s="2"/>
      <c r="Y36"/>
      <c r="Z36"/>
      <c r="AA36"/>
      <c r="AB36"/>
      <c r="AC36"/>
      <c r="AD36" s="4"/>
      <c r="AE36"/>
      <c r="AF36" s="2"/>
      <c r="AG36" t="inlineStr">
        <is>
          <t>NzQyNTk5MTgyNzQ4MTg3MDM0MTo4MzgyMkIxQy02RkEwLTRBRDMtOENERi1CMzY4M0I3RjdCOUUtNTo4MzFlNDQzNjM4ZTM0MGFjNWQzMWM5ZDM0NGNiNzg1ZTox</t>
        </is>
      </c>
      <c r="AH36"/>
      <c r="AI36"/>
      <c r="AJ36"/>
      <c r="AK36"/>
    </row>
    <row r="37" ht="25.5" customHeight="1">
      <c r="A37" s="2" t="str">
        <f>=HYPERLINK("https://applink.larksuite.com/client/mini_program/open?appId=cli_9c7cc8a9a9edd105&amp;mode=appCenter&amp;path_pc=pc/pages/requested/index?instanceId=7473419415271292934&amp;source=bitable&amp;path=pages/detail/index?instanceId=7473419415271292934&amp;source=bitable", "202502200045")</f>
        <v>202502200045</v>
      </c>
      <c r="B37" t="inlineStr">
        <is>
          <t>Approved</t>
        </is>
      </c>
      <c r="C37" t="inlineStr">
        <is>
          <t>Procurement Order</t>
        </is>
      </c>
      <c r="D37" s="3">
        <v>45708.69736111111</v>
      </c>
      <c r="E37" s="3">
        <v>45708.74469907407</v>
      </c>
      <c r="F37" t="inlineStr">
        <is>
          <t>Fatima Kathleen M. FLores</t>
        </is>
      </c>
      <c r="G37" t="inlineStr">
        <is>
          <t>Procurement</t>
        </is>
      </c>
      <c r="H37"/>
      <c r="I37"/>
      <c r="J37" t="inlineStr">
        <is>
          <t>CAPEX</t>
        </is>
      </c>
      <c r="K37"/>
      <c r="L37"/>
      <c r="M37"/>
      <c r="N37"/>
      <c r="O37" t="inlineStr">
        <is>
          <t>202501220040-Karl Kristian Cereno Durante-费用报销 - 副本 - 副本 - 副本-2025-01-22 11:29:26</t>
        </is>
      </c>
      <c r="P37"/>
      <c r="Q37" t="inlineStr">
        <is>
          <t>Broadcast</t>
        </is>
      </c>
      <c r="R37"/>
      <c r="S37" t="inlineStr">
        <is>
          <t>CORSAIR DOMINATOR TITANIUM RGB 32GB (2X16GB) DDR-56600 C32 INTEL XMP MEMORY KIT - BLACK</t>
        </is>
      </c>
      <c r="T37">
        <v>3</v>
      </c>
      <c r="U37">
        <v>9897.5</v>
      </c>
      <c r="V37" t="inlineStr">
        <is>
          <t>PHP</t>
        </is>
      </c>
      <c r="W37">
        <v>29692.5</v>
      </c>
      <c r="X37" s="2" t="str">
        <f>=HYPERLINK("https://www.larksuite.com/approval/admin/previewAttachment?key=PMhBCgIxDAXQK-Unv02_l3HTUhxEEISBWeTsggu3rw9YHw3RZRRchkpmECKaJ1yuYHkhU5boQ7Ve-36d87B4t_3ksa5Z52Pu9UFTulsGGcPMcPt7JEmp037evgEAAP__", "3 attachment(s)")</f>
        <v>3 attachment(s)</v>
      </c>
      <c r="Y37"/>
      <c r="Z37"/>
      <c r="AA37"/>
      <c r="AB37"/>
      <c r="AC37"/>
      <c r="AD37" s="4"/>
      <c r="AE37"/>
      <c r="AF37" s="2"/>
      <c r="AG37" t="inlineStr">
        <is>
          <t>NzQyNTk5MTgyNzQ4MTg3MDM0MTo4MzgyMkIxQy02RkEwLTRBRDMtOENERi1CMzY4M0I3RjdCOUUtNjoxYjIyZWE3NDhlNzkzM2IzNmE1OGViMGM0ZGY5Y2U2MDox</t>
        </is>
      </c>
      <c r="AH37"/>
      <c r="AI37"/>
      <c r="AJ37"/>
      <c r="AK37"/>
    </row>
    <row r="38" ht="25.5" customHeight="1">
      <c r="A38" s="2" t="str">
        <f>=HYPERLINK("https://applink.larksuite.com/client/mini_program/open?appId=cli_9c7cc8a9a9edd105&amp;mode=appCenter&amp;path_pc=pc/pages/requested/index?instanceId=7475571992528158726&amp;source=bitable&amp;path=pages/detail/index?instanceId=7475571992528158726&amp;source=bitable", "202502260014")</f>
        <v>202502260014</v>
      </c>
      <c r="B38" t="inlineStr">
        <is>
          <t>Approved</t>
        </is>
      </c>
      <c r="C38" t="inlineStr">
        <is>
          <t>Procurement Order</t>
        </is>
      </c>
      <c r="D38" s="3">
        <v>45714.498125</v>
      </c>
      <c r="E38" s="3">
        <v>45714.69951388889</v>
      </c>
      <c r="F38" t="inlineStr">
        <is>
          <t>Fatima Kathleen M. FLores</t>
        </is>
      </c>
      <c r="G38" t="inlineStr">
        <is>
          <t>Procurement</t>
        </is>
      </c>
      <c r="H38"/>
      <c r="I38"/>
      <c r="J38" t="inlineStr">
        <is>
          <t>Project</t>
        </is>
      </c>
      <c r="K38" t="inlineStr">
        <is>
          <t>PDEI - Event Service</t>
        </is>
      </c>
      <c r="L38" t="inlineStr">
        <is>
          <t>MPL PH S15 Golden Month Phone Giveaway</t>
        </is>
      </c>
      <c r="M38" t="inlineStr">
        <is>
          <t>2025TEG-P0069</t>
        </is>
      </c>
      <c r="N38" t="inlineStr">
        <is>
          <t>Chrysta Angela Arias Montesa</t>
        </is>
      </c>
      <c r="O38" t="inlineStr">
        <is>
          <t>202502260006-Chrysta Angela Arias Montesa-费用报销 - 副本 - 副本 - 副本-2025-02-26 02:48:31</t>
        </is>
      </c>
      <c r="P38" t="inlineStr">
        <is>
          <t>NO</t>
        </is>
      </c>
      <c r="Q38"/>
      <c r="R38" t="inlineStr">
        <is>
          <t>NO</t>
        </is>
      </c>
      <c r="S38" t="inlineStr">
        <is>
          <t>Infinix Smartphones GT 20 PRO 12+256GB</t>
        </is>
      </c>
      <c r="T38">
        <v>12</v>
      </c>
      <c r="U38">
        <v>15999</v>
      </c>
      <c r="V38" t="inlineStr">
        <is>
          <t>PHP</t>
        </is>
      </c>
      <c r="W38">
        <v>191988</v>
      </c>
      <c r="X38" s="2" t="str">
        <f>=HYPERLINK("https://www.larksuite.com/approval/admin/previewAttachment?key=PMixDUIxDATQle6csx2zDA1fEU0q9NN5diQK2heTiOkcUVDRCuxUuierzG3SZ1q0NTMLySj0tdfz8N5bS0fjbNx93q91feiVZsghjQmAj7-PlFQVws_xDQAA__8", "2 attachment(s)")</f>
        <v>2 attachment(s)</v>
      </c>
      <c r="Y38" t="inlineStr">
        <is>
          <t>Bank Transfer</t>
        </is>
      </c>
      <c r="Z38" t="inlineStr">
        <is>
          <t>WINSTORM ROYAL INC.</t>
        </is>
      </c>
      <c r="AA38" t="inlineStr">
        <is>
          <t>0129-1800-0882</t>
        </is>
      </c>
      <c r="AB38" t="inlineStr">
        <is>
          <t>BDO</t>
        </is>
      </c>
      <c r="AC38" t="inlineStr">
        <is>
          <t>925 Aurora Boulevard, Cubao</t>
        </is>
      </c>
      <c r="AD38" s="4">
        <v>45714</v>
      </c>
      <c r="AE38" t="inlineStr">
        <is>
          <t>100% Full payment</t>
        </is>
      </c>
      <c r="AF38" s="2"/>
      <c r="AG38" t="inlineStr">
        <is>
          <t>NzQyNTk5MTgyNzQ4MTg3MDM0MTpDNEFFQjBDNy1CRkVDLTRDNDctQTJDQi0yMDVGMDRFRkY3RDktMTo3ZmNmNTg1MTY0NGY5ZjU5ZjUyZmExODUzMzI3MWIzYzox</t>
        </is>
      </c>
      <c r="AH38"/>
      <c r="AI38"/>
      <c r="AJ38"/>
      <c r="AK38"/>
    </row>
    <row r="39" ht="25.5" customHeight="1">
      <c r="A39" s="2" t="str">
        <f>=HYPERLINK("https://applink.larksuite.com/client/mini_program/open?appId=cli_9c7cc8a9a9edd105&amp;mode=appCenter&amp;path_pc=pc/pages/requested/index?instanceId=7485256014413971468&amp;source=bitable&amp;path=pages/detail/index?instanceId=7485256014413971468&amp;source=bitable", "202503240051")</f>
        <v>202503240051</v>
      </c>
      <c r="B39" t="inlineStr">
        <is>
          <t>Approved</t>
        </is>
      </c>
      <c r="C39" t="inlineStr">
        <is>
          <t>Procurement Order</t>
        </is>
      </c>
      <c r="D39" s="3">
        <v>45740.594618055555</v>
      </c>
      <c r="E39" s="3">
        <v>45741.68479166667</v>
      </c>
      <c r="F39" t="inlineStr">
        <is>
          <t>Fatima Kathleen M. FLores</t>
        </is>
      </c>
      <c r="G39" t="inlineStr">
        <is>
          <t>Procurement</t>
        </is>
      </c>
      <c r="H39"/>
      <c r="I39"/>
      <c r="J39" t="inlineStr">
        <is>
          <t>Project</t>
        </is>
      </c>
      <c r="K39" t="inlineStr">
        <is>
          <t>PDEI - Event Service</t>
        </is>
      </c>
      <c r="L39" t="inlineStr">
        <is>
          <t>HOK Invitational S3</t>
        </is>
      </c>
      <c r="M39" t="inlineStr">
        <is>
          <t>2025TEG-P0027</t>
        </is>
      </c>
      <c r="N39" t="inlineStr">
        <is>
          <t>Duane Aaron Baret Cadangan</t>
        </is>
      </c>
      <c r="O39" t="inlineStr">
        <is>
          <t>202502280032-Duane Aaron Baret Cadangan-费用报销 - 副本 - 副本 - 副本-2025-02-28 08:10:15</t>
        </is>
      </c>
      <c r="P39" t="inlineStr">
        <is>
          <t>NO</t>
        </is>
      </c>
      <c r="Q39"/>
      <c r="R39" t="inlineStr">
        <is>
          <t>YES</t>
        </is>
      </c>
      <c r="S39" t="inlineStr">
        <is>
          <t>FVMP Mock Check (Sticker on Sintra / 70cm x 100cm)</t>
        </is>
      </c>
      <c r="T39">
        <v>1</v>
      </c>
      <c r="U39">
        <v>1800</v>
      </c>
      <c r="V39" t="inlineStr">
        <is>
          <t>PHP</t>
        </is>
      </c>
      <c r="W39">
        <v>1800</v>
      </c>
      <c r="X39" s="2" t="str">
        <f>=HYPERLINK("https://www.larksuite.com/approval/admin/previewAttachment?key=PMg9CsJQEATgK828nbc_XsYmIWhAEcSgxZ5dsLD9PAnPSfOCiqPADuUc00GJVkF59mhGFIJe7PW2na_Hm_ZZ7gv2-doffVyWbX1yVoyBMMkSAE9_t5BU5cLP8Q0AAP__", "1 attachment(s)")</f>
        <v>1 attachment(s)</v>
      </c>
      <c r="Y39" t="inlineStr">
        <is>
          <t>Bank Transfer</t>
        </is>
      </c>
      <c r="Z39" t="inlineStr">
        <is>
          <t>MaxPrecision Corporation</t>
        </is>
      </c>
      <c r="AA39" t="inlineStr">
        <is>
          <t>4440117166</t>
        </is>
      </c>
      <c r="AB39" t="inlineStr">
        <is>
          <t>BDO</t>
        </is>
      </c>
      <c r="AC39" t="inlineStr">
        <is>
          <t>No. 5 Lt. Artiaga Street, Brgy Corazon De Jesus San Juan</t>
        </is>
      </c>
      <c r="AD39" s="4">
        <v>45716</v>
      </c>
      <c r="AE39" t="inlineStr">
        <is>
          <t>100% Full Payment - 30 days upon complete delivery</t>
        </is>
      </c>
      <c r="AF39" s="2"/>
      <c r="AG39" t="inlineStr">
        <is>
          <t>NzQyNTk5MTgyNzQ4MTg3MDM0MTo5OTkyRTEyRC00ODI3LTRGNTQtQUQwRC05MDU4RjZFNUFFQTAtMTo2MGJjYmQzOWU2YjRlZDQ1NGQ1MTBhMGMwN2I0ZmIzZjox</t>
        </is>
      </c>
      <c r="AH39"/>
      <c r="AI39"/>
      <c r="AJ39"/>
      <c r="AK39"/>
    </row>
    <row r="40" ht="25.5" customHeight="1">
      <c r="A40" s="2" t="str">
        <f>=HYPERLINK("https://applink.larksuite.com/client/mini_program/open?appId=cli_9c7cc8a9a9edd105&amp;mode=appCenter&amp;path_pc=pc/pages/requested/index?instanceId=7485256014413971468&amp;source=bitable&amp;path=pages/detail/index?instanceId=7485256014413971468&amp;source=bitable", "202503240051")</f>
        <v>202503240051</v>
      </c>
      <c r="B40" t="inlineStr">
        <is>
          <t>Approved</t>
        </is>
      </c>
      <c r="C40" t="inlineStr">
        <is>
          <t>Procurement Order</t>
        </is>
      </c>
      <c r="D40" s="3">
        <v>45740.594618055555</v>
      </c>
      <c r="E40" s="3">
        <v>45741.68479166667</v>
      </c>
      <c r="F40" t="inlineStr">
        <is>
          <t>Fatima Kathleen M. FLores</t>
        </is>
      </c>
      <c r="G40" t="inlineStr">
        <is>
          <t>Procurement</t>
        </is>
      </c>
      <c r="H40"/>
      <c r="I40"/>
      <c r="J40" t="inlineStr">
        <is>
          <t>Project</t>
        </is>
      </c>
      <c r="K40" t="inlineStr">
        <is>
          <t>PDEI - Event Service</t>
        </is>
      </c>
      <c r="L40" t="inlineStr">
        <is>
          <t>HOK Invitational S3</t>
        </is>
      </c>
      <c r="M40" t="inlineStr">
        <is>
          <t>2025TEG-P0027</t>
        </is>
      </c>
      <c r="N40" t="inlineStr">
        <is>
          <t>Duane Aaron Baret Cadangan</t>
        </is>
      </c>
      <c r="O40" t="inlineStr">
        <is>
          <t>202502280032-Duane Aaron Baret Cadangan-费用报销 - 副本 - 副本 - 副本-2025-02-28 08:10:15</t>
        </is>
      </c>
      <c r="P40" t="inlineStr">
        <is>
          <t>NO</t>
        </is>
      </c>
      <c r="Q40"/>
      <c r="R40" t="inlineStr">
        <is>
          <t>YES</t>
        </is>
      </c>
      <c r="S40" t="inlineStr">
        <is>
          <t>Solo King Mock Check</t>
        </is>
      </c>
      <c r="T40">
        <v>1</v>
      </c>
      <c r="U40">
        <v>550</v>
      </c>
      <c r="V40" t="inlineStr">
        <is>
          <t>PHP</t>
        </is>
      </c>
      <c r="W40">
        <v>550</v>
      </c>
      <c r="X40" s="2" t="str">
        <f>=HYPERLINK("https://www.larksuite.com/approval/admin/previewAttachment?key=PMg9CsJQEATgK828nbc_XsYmIWhAEcSgxZ5dsLD9PAnPSfOCiqPADuUc00GJVkF59mhGFIJe7PW2na_Hm_ZZ7gv2-doffVyWbX1yVoyBMMkSAE9_t5BU5cLP-Q0AAP__", "2 attachment(s)")</f>
        <v>2 attachment(s)</v>
      </c>
      <c r="Y40"/>
      <c r="Z40"/>
      <c r="AA40"/>
      <c r="AB40"/>
      <c r="AC40"/>
      <c r="AD40" s="4"/>
      <c r="AE40"/>
      <c r="AF40" s="2"/>
      <c r="AG40" t="inlineStr">
        <is>
          <t>NzQyNTk5MTgyNzQ4MTg3MDM0MTo5OTkyRTEyRC00ODI3LTRGNTQtQUQwRC05MDU4RjZFNUFFQTAtMjo4ZDRkZjc2ZjRjNTUwZDhiN2U2NTZjYWVkMTQ4YzRkZjox</t>
        </is>
      </c>
      <c r="AH40"/>
      <c r="AI40"/>
      <c r="AJ40"/>
      <c r="AK40"/>
    </row>
    <row r="41" ht="25.5" customHeight="1">
      <c r="A41" s="2" t="str">
        <f>=HYPERLINK("https://applink.larksuite.com/client/mini_program/open?appId=cli_9c7cc8a9a9edd105&amp;mode=appCenter&amp;path_pc=pc/pages/requested/index?instanceId=7485679736551784460&amp;source=bitable&amp;path=pages/detail/index?instanceId=7485679736551784460&amp;source=bitable", "202503250109")</f>
        <v>202503250109</v>
      </c>
      <c r="B41" t="inlineStr">
        <is>
          <t>Approved</t>
        </is>
      </c>
      <c r="C41" t="inlineStr">
        <is>
          <t>Procurement Order</t>
        </is>
      </c>
      <c r="D41" s="3">
        <v>45741.73646990741</v>
      </c>
      <c r="E41" s="3">
        <v>45749.419120370374</v>
      </c>
      <c r="F41" t="inlineStr">
        <is>
          <t>Fatima Kathleen M. FLores</t>
        </is>
      </c>
      <c r="G41" t="inlineStr">
        <is>
          <t>Procurement</t>
        </is>
      </c>
      <c r="H41"/>
      <c r="I41"/>
      <c r="J41" t="inlineStr">
        <is>
          <t>Project</t>
        </is>
      </c>
      <c r="K41" t="inlineStr">
        <is>
          <t>PDEI - Event Service</t>
        </is>
      </c>
      <c r="L41" t="inlineStr">
        <is>
          <t>MPL PH S15</t>
        </is>
      </c>
      <c r="M41" t="inlineStr">
        <is>
          <t>2024TEG-P0430</t>
        </is>
      </c>
      <c r="N41" t="inlineStr">
        <is>
          <t>Tiny</t>
        </is>
      </c>
      <c r="O41" t="inlineStr">
        <is>
          <t>202502170129-Tiny-费用报销 - 副本 - 副本 - 副本-2025-02-17 18:52:07</t>
        </is>
      </c>
      <c r="P41" t="inlineStr">
        <is>
          <t>YES</t>
        </is>
      </c>
      <c r="Q41"/>
      <c r="R41" t="inlineStr">
        <is>
          <t>YES</t>
        </is>
      </c>
      <c r="S41" t="inlineStr">
        <is>
          <t>Outsourced Observer (Week 4 to PO)</t>
        </is>
      </c>
      <c r="T41">
        <v>1</v>
      </c>
      <c r="U41">
        <v>44000</v>
      </c>
      <c r="V41" t="inlineStr">
        <is>
          <t>PHP</t>
        </is>
      </c>
      <c r="W41">
        <v>44000</v>
      </c>
      <c r="X41" s="2" t="str">
        <f>=HYPERLINK("https://www.larksuite.com/approval/admin/previewAttachment?key=PMgxDkIxDAPQK9mJGzdchqVfXyx_QgKWnh2JgfXVJGoOZjXUjAa3NUe5nTUGPaXCjk27YVZzH9d5V1yIyPfFtdb67NdjnceTox0Bp5QTAG9_T0vqLuHn-AYAAP__", "2 attachment(s)")</f>
        <v>2 attachment(s)</v>
      </c>
      <c r="Y41" t="inlineStr">
        <is>
          <t>Bank Transfer</t>
        </is>
      </c>
      <c r="Z41" t="inlineStr">
        <is>
          <t>Annejeleeka Cherrell Ho</t>
        </is>
      </c>
      <c r="AA41" t="inlineStr">
        <is>
          <t>1093 2537 7435</t>
        </is>
      </c>
      <c r="AB41" t="inlineStr">
        <is>
          <t>Unionbank</t>
        </is>
      </c>
      <c r="AC41" t="inlineStr">
        <is>
          <t>24B Camia St. Brgy Talipapa Quezon City</t>
        </is>
      </c>
      <c r="AD41" s="4">
        <v>45737</v>
      </c>
      <c r="AE41" t="inlineStr">
        <is>
          <t>1st Payment - Apr. 18, 2025
2nd Payment - May 2, 2025
3rd Payment - May 23, 2025
Final Payment - Jun 27, 2025</t>
        </is>
      </c>
      <c r="AF41" s="2"/>
      <c r="AG41" t="inlineStr">
        <is>
          <t>NzQyNTk5MTgyNzQ4MTg3MDM0MTo3M0U4NjYzMy0yNjhDLTQwNzktQkQxNy01NDI2RjMyNERFQUItMTo0YWY5NjFjZjUwNzk0MmY5ZjhmOTI2ZjI2ZTViNmZjYjox</t>
        </is>
      </c>
      <c r="AH41"/>
      <c r="AI41"/>
      <c r="AJ41"/>
      <c r="AK41"/>
    </row>
    <row r="42" ht="25.5" customHeight="1">
      <c r="A42" s="2" t="str">
        <f>=HYPERLINK("https://applink.larksuite.com/client/mini_program/open?appId=cli_9c7cc8a9a9edd105&amp;mode=appCenter&amp;path_pc=pc/pages/requested/index?instanceId=7485941430964224006&amp;source=bitable&amp;path=pages/detail/index?instanceId=7485941430964224006&amp;source=bitable", "202503260006")</f>
        <v>202503260006</v>
      </c>
      <c r="B42" t="inlineStr">
        <is>
          <t>Approved</t>
        </is>
      </c>
      <c r="C42" t="inlineStr">
        <is>
          <t>Procurement Order</t>
        </is>
      </c>
      <c r="D42" s="3">
        <v>45742.44167824074</v>
      </c>
      <c r="E42" s="3">
        <v>45744.4284837963</v>
      </c>
      <c r="F42" t="inlineStr">
        <is>
          <t>Fatima Kathleen M. FLores</t>
        </is>
      </c>
      <c r="G42" t="inlineStr">
        <is>
          <t>Procurement</t>
        </is>
      </c>
      <c r="H42"/>
      <c r="I42"/>
      <c r="J42" t="inlineStr">
        <is>
          <t>Project</t>
        </is>
      </c>
      <c r="K42" t="inlineStr">
        <is>
          <t>PDEI - Event Service</t>
        </is>
      </c>
      <c r="L42" t="inlineStr">
        <is>
          <t>MPL PH S15</t>
        </is>
      </c>
      <c r="M42" t="inlineStr">
        <is>
          <t>2024TEG-P0430</t>
        </is>
      </c>
      <c r="N42" t="inlineStr">
        <is>
          <t>Tiny</t>
        </is>
      </c>
      <c r="O42" t="inlineStr">
        <is>
          <t>202502170131-Tiny-费用报销 - 副本 - 副本 - 副本-2025-02-17 18:57:46</t>
        </is>
      </c>
      <c r="P42" t="inlineStr">
        <is>
          <t>YES</t>
        </is>
      </c>
      <c r="Q42"/>
      <c r="R42" t="inlineStr">
        <is>
          <t>YES</t>
        </is>
      </c>
      <c r="S42" t="inlineStr">
        <is>
          <t>Outsourced Logistics Manpower (Event Days)</t>
        </is>
      </c>
      <c r="T42">
        <v>1</v>
      </c>
      <c r="U42">
        <v>90000</v>
      </c>
      <c r="V42" t="inlineStr">
        <is>
          <t>PHP</t>
        </is>
      </c>
      <c r="W42">
        <v>90000</v>
      </c>
      <c r="X42" s="2" t="str">
        <f>=HYPERLINK("https://www.larksuite.com/approval/admin/previewAttachment?key=PMgxCgJBDAXQK_0kf5L5XsbGZVFBGBAWLXJ2wWLbl9OQc1ikQJkL1sU5RGNASXcC2d5WJZSlrLfXfl1Pn_75YsWjtI4-7rd9e9tQuaOCjAnALqdHkZSS-Dt-AQAA__8", "2 attachment(s)")</f>
        <v>2 attachment(s)</v>
      </c>
      <c r="Y42" t="inlineStr">
        <is>
          <t>Bank Transfer</t>
        </is>
      </c>
      <c r="Z42" t="inlineStr">
        <is>
          <t>Marc Kevin Serrano</t>
        </is>
      </c>
      <c r="AA42" t="inlineStr">
        <is>
          <t>1519218972</t>
        </is>
      </c>
      <c r="AB42" t="inlineStr">
        <is>
          <t>BPI</t>
        </is>
      </c>
      <c r="AC42" t="inlineStr">
        <is>
          <t>3 Don Guillermo Street, Barangay Holy Spirit, Commonwealth, Quezon City</t>
        </is>
      </c>
      <c r="AD42" s="4">
        <v>45716</v>
      </c>
      <c r="AE42" t="inlineStr">
        <is>
          <t>1st Payment - Mar. 21, 2025
2nd Payment - Apr. 18, 2025
3rd Payment - May 2, 2025
4th Payment - May 23, 2025
Final Payment - Jun 27, 2025</t>
        </is>
      </c>
      <c r="AF42" s="2"/>
      <c r="AG42" t="inlineStr">
        <is>
          <t>NzQyNTk5MTgyNzQ4MTg3MDM0MTo4NUIwMkQyQy0xMTc1LTQ2ODAtQjE3OS0xQjVFNTg5QTAyNEMtMTo2NmFmM2Y5YmEzODc4M2ZiNTU3NWRjMmY0YWQ1YjFmZTox</t>
        </is>
      </c>
      <c r="AH42"/>
      <c r="AI42"/>
      <c r="AJ42"/>
      <c r="AK42"/>
    </row>
    <row r="43" ht="25.5" customHeight="1">
      <c r="A43" s="2" t="str">
        <f>=HYPERLINK("https://applink.larksuite.com/client/mini_program/open?appId=cli_9c7cc8a9a9edd105&amp;mode=appCenter&amp;path_pc=pc/pages/requested/index?instanceId=7485990928251912204&amp;source=bitable&amp;path=pages/detail/index?instanceId=7485990928251912204&amp;source=bitable", "202503260029")</f>
        <v>202503260029</v>
      </c>
      <c r="B43" t="inlineStr">
        <is>
          <t>Approved</t>
        </is>
      </c>
      <c r="C43" t="inlineStr">
        <is>
          <t>Procurement Order</t>
        </is>
      </c>
      <c r="D43" s="3">
        <v>45742.57506944444</v>
      </c>
      <c r="E43" s="3">
        <v>45744.64434027778</v>
      </c>
      <c r="F43" t="inlineStr">
        <is>
          <t>Fatima Kathleen M. FLores</t>
        </is>
      </c>
      <c r="G43" t="inlineStr">
        <is>
          <t>Procurement</t>
        </is>
      </c>
      <c r="H43"/>
      <c r="I43"/>
      <c r="J43" t="inlineStr">
        <is>
          <t>GAE</t>
        </is>
      </c>
      <c r="K43"/>
      <c r="L43"/>
      <c r="M43"/>
      <c r="N43"/>
      <c r="O43" t="inlineStr">
        <is>
          <t>202503230012-Andew James Sarmiento-费用报销 - 副本 - 副本 - 副本-2025-03-23 09:16:05</t>
        </is>
      </c>
      <c r="P43"/>
      <c r="Q43" t="inlineStr">
        <is>
          <t>Mineski PH</t>
        </is>
      </c>
      <c r="R43"/>
      <c r="S43" t="inlineStr">
        <is>
          <t>Outsourced 3D Designer</t>
        </is>
      </c>
      <c r="T43">
        <v>1</v>
      </c>
      <c r="U43">
        <v>80000</v>
      </c>
      <c r="V43" t="inlineStr">
        <is>
          <t>PHP</t>
        </is>
      </c>
      <c r="W43">
        <v>80000</v>
      </c>
      <c r="X43" s="2" t="str">
        <f>=HYPERLINK("https://www.larksuite.com/approval/admin/previewAttachment?key=PMgxrgIxDATQK804ju35l_kNUQQSuw3SUvnsSBS0L4qImhwhuGgCO72mBFnZpGgGb2tmCskQex37fxzXsxbfu3A-6uzrftvrxak0Qw73UQD49_OR7i6F4-v4BAAA__8", "2 attachment(s)")</f>
        <v>2 attachment(s)</v>
      </c>
      <c r="Y43" t="inlineStr">
        <is>
          <t>Bank Transfer</t>
        </is>
      </c>
      <c r="Z43" t="inlineStr">
        <is>
          <t>Ezzard Slim Eguia</t>
        </is>
      </c>
      <c r="AA43" t="inlineStr">
        <is>
          <t>6196 2357 26</t>
        </is>
      </c>
      <c r="AB43" t="inlineStr">
        <is>
          <t>BPI</t>
        </is>
      </c>
      <c r="AC43" t="inlineStr">
        <is>
          <t>34 Ambuklao St NPC Village, Pasong Tamo, QC</t>
        </is>
      </c>
      <c r="AD43" s="4">
        <v>45717</v>
      </c>
      <c r="AE43" t="inlineStr">
        <is>
          <t>NOTE: THESE ARE FOR PROJECTS WE BID FOR BUT LOST.</t>
        </is>
      </c>
      <c r="AF43" s="2"/>
      <c r="AG43" t="inlineStr">
        <is>
          <t>NzQyNTk5MTgyNzQ4MTg3MDM0MToxODRDQzc5Qi04NjgwLTRGOTktOTZGOS01OThENjU1MkE4M0EtMTplZTUxMzY1MWQwNmM2YmZkMmFkOGNkMWRlOGNmN2UwODox</t>
        </is>
      </c>
      <c r="AH43"/>
      <c r="AI43"/>
      <c r="AJ43"/>
      <c r="AK43"/>
    </row>
    <row r="44" ht="25.5" customHeight="1">
      <c r="A44" s="2" t="str">
        <f>=HYPERLINK("https://applink.larksuite.com/client/mini_program/open?appId=cli_9c7cc8a9a9edd105&amp;mode=appCenter&amp;path_pc=pc/pages/requested/index?instanceId=7486726478606450694&amp;source=bitable&amp;path=pages/detail/index?instanceId=7486726478606450694&amp;source=bitable", "202503280033")</f>
        <v>202503280033</v>
      </c>
      <c r="B44" t="inlineStr">
        <is>
          <t>Approved</t>
        </is>
      </c>
      <c r="C44" t="inlineStr">
        <is>
          <t>Procurement Order</t>
        </is>
      </c>
      <c r="D44" s="3">
        <v>45744.557233796295</v>
      </c>
      <c r="E44" s="3">
        <v>45750.36989583333</v>
      </c>
      <c r="F44" t="inlineStr">
        <is>
          <t>Fatima Kathleen M. FLores</t>
        </is>
      </c>
      <c r="G44" t="inlineStr">
        <is>
          <t>Procurement</t>
        </is>
      </c>
      <c r="H44"/>
      <c r="I44"/>
      <c r="J44" t="inlineStr">
        <is>
          <t>Project</t>
        </is>
      </c>
      <c r="K44" t="inlineStr">
        <is>
          <t>PDEI - Event Service</t>
        </is>
      </c>
      <c r="L44" t="inlineStr">
        <is>
          <t>MPL PH S15</t>
        </is>
      </c>
      <c r="M44" t="inlineStr">
        <is>
          <t>2024TEG-P0430</t>
        </is>
      </c>
      <c r="N44" t="inlineStr">
        <is>
          <t>Tiny</t>
        </is>
      </c>
      <c r="O44" t="inlineStr">
        <is>
          <t>202502170129-Tiny-费用报销 - 副本 - 副本 - 副本-2025-02-17 18:52:07</t>
        </is>
      </c>
      <c r="P44" t="inlineStr">
        <is>
          <t>YES</t>
        </is>
      </c>
      <c r="Q44"/>
      <c r="R44" t="inlineStr">
        <is>
          <t>YES</t>
        </is>
      </c>
      <c r="S44" t="inlineStr">
        <is>
          <t>Outsourced Game Director (Rehearsals to Week 1)</t>
        </is>
      </c>
      <c r="T44">
        <v>1</v>
      </c>
      <c r="U44">
        <v>8250</v>
      </c>
      <c r="V44" t="inlineStr">
        <is>
          <t>PHP</t>
        </is>
      </c>
      <c r="W44">
        <v>8250</v>
      </c>
      <c r="X44" s="2" t="str">
        <f>=HYPERLINK("https://www.larksuite.com/approval/admin/previewAttachment?key=PMhBqoIxDATgK03SaZJ5l3mb_hSxCILgLmcXXLj9ogxR00YIlLlgnaxID2YFghMhtrdlCmkh6-ux_-m11n3i6Jzntn7f1r5eNpXuyEGOAmB_Px9JUgri6_gEAAD__w", "2 attachment(s)")</f>
        <v>2 attachment(s)</v>
      </c>
      <c r="Y44" t="inlineStr">
        <is>
          <t>Bank Transfer</t>
        </is>
      </c>
      <c r="Z44" t="inlineStr">
        <is>
          <t>John Joesel Kais</t>
        </is>
      </c>
      <c r="AA44" t="inlineStr">
        <is>
          <t>09208127047</t>
        </is>
      </c>
      <c r="AB44" t="inlineStr">
        <is>
          <t>GCash</t>
        </is>
      </c>
      <c r="AC44" t="inlineStr">
        <is>
          <t>Lot 10 Blk 5 Ilang-Ilang St., Nieves Hills, Brgy. San Isidro, Angono, Rizal</t>
        </is>
      </c>
      <c r="AD44" s="4">
        <v>45714</v>
      </c>
      <c r="AE44" t="inlineStr">
        <is>
          <t>100% Full Payment - Apr. 4, 2025</t>
        </is>
      </c>
      <c r="AF44" s="2"/>
      <c r="AG44" t="inlineStr">
        <is>
          <t>NzQyNTk5MTgyNzQ4MTg3MDM0MTpEMDdEMTgxRC0xMTI2LTQzRjgtQkQ4NS04NEI5NzZBQUY2OUEtMTo4ZWM5YmM4YjliOGIxNmQxNDg4ODZiZGFiZjliMWVhNjox</t>
        </is>
      </c>
      <c r="AH44"/>
      <c r="AI44"/>
      <c r="AJ44"/>
      <c r="AK44"/>
    </row>
    <row r="45" ht="25.5" customHeight="1">
      <c r="A45" s="2" t="str">
        <f>=HYPERLINK("https://applink.larksuite.com/client/mini_program/open?appId=cli_9c7cc8a9a9edd105&amp;mode=appCenter&amp;path_pc=pc/pages/requested/index?instanceId=7487853431135141920&amp;source=bitable&amp;path=pages/detail/index?instanceId=7487853431135141920&amp;source=bitable", "202503310072")</f>
        <v>202503310072</v>
      </c>
      <c r="B45" t="inlineStr">
        <is>
          <t>Approved</t>
        </is>
      </c>
      <c r="C45" t="inlineStr">
        <is>
          <t>Procurement Order</t>
        </is>
      </c>
      <c r="D45" s="3">
        <v>45747.594143518516</v>
      </c>
      <c r="E45" s="3">
        <v>45750.41244212963</v>
      </c>
      <c r="F45" t="inlineStr">
        <is>
          <t>Fatima Kathleen M. FLores</t>
        </is>
      </c>
      <c r="G45" t="inlineStr">
        <is>
          <t>Procurement</t>
        </is>
      </c>
      <c r="H45"/>
      <c r="I45"/>
      <c r="J45" t="inlineStr">
        <is>
          <t>Project</t>
        </is>
      </c>
      <c r="K45" t="inlineStr">
        <is>
          <t>PDEI - Event Service</t>
        </is>
      </c>
      <c r="L45" t="inlineStr">
        <is>
          <t>HOK Invitational S3 Addendum</t>
        </is>
      </c>
      <c r="M45" t="inlineStr">
        <is>
          <t>2025TEG-P0090</t>
        </is>
      </c>
      <c r="N45" t="inlineStr">
        <is>
          <t>Duane Aaron Baret Cadangan</t>
        </is>
      </c>
      <c r="O45" t="inlineStr">
        <is>
          <t>202503170052-Duane Aaron Baret Cadangan-费用报销 - 副本 - 副本 - 副本-2025-03-17 05:24:25</t>
        </is>
      </c>
      <c r="P45" t="inlineStr">
        <is>
          <t>YES</t>
        </is>
      </c>
      <c r="Q45"/>
      <c r="R45" t="inlineStr">
        <is>
          <t>YES</t>
        </is>
      </c>
      <c r="S45" t="inlineStr">
        <is>
          <t>Outsourced HMUA - Media Day</t>
        </is>
      </c>
      <c r="T45">
        <v>1</v>
      </c>
      <c r="U45">
        <v>92100</v>
      </c>
      <c r="V45" t="inlineStr">
        <is>
          <t>PHP</t>
        </is>
      </c>
      <c r="W45">
        <v>92100</v>
      </c>
      <c r="X45" s="2" t="str">
        <f>=HYPERLINK("https://www.larksuite.com/approval/admin/previewAttachment?key=PMg9CsJAEAXgK703PzvzvIyNIUgglZDVYs8uWNh-o4nRSR9CiCZwVXR1ejjpyaAMyxarhOIQ13bud7v6eM-P5jntyFzX87FvL6bKDOUR3gB4-7tXREgj8HN8AwAA__8", "2 attachment(s)")</f>
        <v>2 attachment(s)</v>
      </c>
      <c r="Y45" t="inlineStr">
        <is>
          <t>Bank Transfer</t>
        </is>
      </c>
      <c r="Z45" t="inlineStr">
        <is>
          <t>Grace Filomeno</t>
        </is>
      </c>
      <c r="AA45" t="inlineStr">
        <is>
          <t>007340484415</t>
        </is>
      </c>
      <c r="AB45" t="inlineStr">
        <is>
          <t>BDO</t>
        </is>
      </c>
      <c r="AC45" t="inlineStr">
        <is>
          <t>89 T Santos St. San Jose, Rodriguez, Rizal</t>
        </is>
      </c>
      <c r="AD45" s="4">
        <v>45751</v>
      </c>
      <c r="AE45" t="inlineStr">
        <is>
          <t>100% Full Payment - Apr. 4, 2025</t>
        </is>
      </c>
      <c r="AF45" s="2"/>
      <c r="AG45" t="inlineStr">
        <is>
          <t>NzQyNTk5MTgyNzQ4MTg3MDM0MTo5MTU4Qzk4Qi1GOUU0LTQ3QTYtQkE4Ri1DMDUyRjYxMzhBNjMtMTozMzczODg0NTIzZmJmNDVkNmZhYTYwZTQxOGE3ZDE5Nzox</t>
        </is>
      </c>
      <c r="AH45"/>
      <c r="AI45"/>
      <c r="AJ45"/>
      <c r="AK45"/>
    </row>
    <row r="46" ht="25.5" customHeight="1">
      <c r="A46" s="2" t="str">
        <f>=HYPERLINK("https://applink.larksuite.com/client/mini_program/open?appId=cli_9c7cc8a9a9edd105&amp;mode=appCenter&amp;path_pc=pc/pages/requested/index?instanceId=7488572875805327398&amp;source=bitable&amp;path=pages/detail/index?instanceId=7488572875805327398&amp;source=bitable", "202504020022")</f>
        <v>202504020022</v>
      </c>
      <c r="B46" t="inlineStr">
        <is>
          <t>Approved</t>
        </is>
      </c>
      <c r="C46" t="inlineStr">
        <is>
          <t>Procurement Order</t>
        </is>
      </c>
      <c r="D46" s="3">
        <v>45749.53289351852</v>
      </c>
      <c r="E46" s="3">
        <v>45750.368368055555</v>
      </c>
      <c r="F46" t="inlineStr">
        <is>
          <t>Fatima Kathleen M. FLores</t>
        </is>
      </c>
      <c r="G46" t="inlineStr">
        <is>
          <t>Procurement</t>
        </is>
      </c>
      <c r="H46"/>
      <c r="I46"/>
      <c r="J46" t="inlineStr">
        <is>
          <t>Project</t>
        </is>
      </c>
      <c r="K46" t="inlineStr">
        <is>
          <t>PDEI - Event Service</t>
        </is>
      </c>
      <c r="L46" t="inlineStr">
        <is>
          <t>MPL PH S15</t>
        </is>
      </c>
      <c r="M46" t="inlineStr">
        <is>
          <t>2024TEG-P0430</t>
        </is>
      </c>
      <c r="N46" t="inlineStr">
        <is>
          <t>Tiny</t>
        </is>
      </c>
      <c r="O46" t="inlineStr">
        <is>
          <t>202502170129-Tiny-费用报销 - 副本 - 副本 - 副本-2025-02-17 18:52:07</t>
        </is>
      </c>
      <c r="P46" t="inlineStr">
        <is>
          <t>YES</t>
        </is>
      </c>
      <c r="Q46"/>
      <c r="R46" t="inlineStr">
        <is>
          <t>YES</t>
        </is>
      </c>
      <c r="S46" t="inlineStr">
        <is>
          <t>Outsourced Dynamic CG Operator (Weeks 4 to PO)</t>
        </is>
      </c>
      <c r="T46">
        <v>1</v>
      </c>
      <c r="U46">
        <v>61111.16</v>
      </c>
      <c r="V46" t="inlineStr">
        <is>
          <t>PHP</t>
        </is>
      </c>
      <c r="W46">
        <v>61111.16</v>
      </c>
      <c r="X46" s="2" t="str">
        <f>=HYPERLINK("https://www.larksuite.com/approval/admin/previewAttachment?key=PMg9isMwFATgK83707zZy2xjYRKBwRBIp7MHUqT9RhtGl8UQUuaCbWZ30ZvVqHCGevs2UqAN2Z7X-b8u3Vz1XDNg97Hfj-OcLyvRHYzMaAD29_NgZkoj8XV8AgAA__8", "2 attachment(s)")</f>
        <v>2 attachment(s)</v>
      </c>
      <c r="Y46" t="inlineStr">
        <is>
          <t>Bank Transfer</t>
        </is>
      </c>
      <c r="Z46" t="inlineStr">
        <is>
          <t>Jan Laurence Antonio</t>
        </is>
      </c>
      <c r="AA46" t="inlineStr">
        <is>
          <t>1094 2724 1990</t>
        </is>
      </c>
      <c r="AB46" t="inlineStr">
        <is>
          <t>UnionBank</t>
        </is>
      </c>
      <c r="AC46" t="inlineStr">
        <is>
          <t>46.F. Ablola St. Tangos North Navotas City</t>
        </is>
      </c>
      <c r="AD46" s="4">
        <v>45737</v>
      </c>
      <c r="AE46" t="inlineStr">
        <is>
          <t>1st Payment - Apr. 18, 2025
2nd Payment - May 2, 2025
3rd Payment - May 23, 2025
Final Payment - Jun 27, 2025</t>
        </is>
      </c>
      <c r="AF46" s="2"/>
      <c r="AG46" t="inlineStr">
        <is>
          <t>NzQyNTk5MTgyNzQ4MTg3MDM0MToxQTU2REU3Ni1FNzU2LTRFQTgtQUNBMS01RjgwNEQ5RDU3NjAtMTpmYmM5MDA0MmQ5ZTM4MmM0NjUyZTAzNzExMDQ4YTZjYjox</t>
        </is>
      </c>
      <c r="AH46"/>
      <c r="AI46"/>
      <c r="AJ46"/>
      <c r="AK46"/>
    </row>
    <row r="47" ht="25.5" customHeight="1">
      <c r="A47" s="2" t="str">
        <f>=HYPERLINK("https://applink.larksuite.com/client/mini_program/open?appId=cli_9c7cc8a9a9edd105&amp;mode=appCenter&amp;path_pc=pc/pages/requested/index?instanceId=7489330954377396256&amp;source=bitable&amp;path=pages/detail/index?instanceId=7489330954377396256&amp;source=bitable", "202504040020")</f>
        <v>202504040020</v>
      </c>
      <c r="B47" t="inlineStr">
        <is>
          <t>Approved</t>
        </is>
      </c>
      <c r="C47" t="inlineStr">
        <is>
          <t>Procurement Order</t>
        </is>
      </c>
      <c r="D47" s="3">
        <v>45751.57576388889</v>
      </c>
      <c r="E47" s="3">
        <v>45761.70836805556</v>
      </c>
      <c r="F47" t="inlineStr">
        <is>
          <t>Fatima Kathleen M. FLores</t>
        </is>
      </c>
      <c r="G47" t="inlineStr">
        <is>
          <t>Procurement</t>
        </is>
      </c>
      <c r="H47"/>
      <c r="I47"/>
      <c r="J47" t="inlineStr">
        <is>
          <t>Project</t>
        </is>
      </c>
      <c r="K47" t="inlineStr">
        <is>
          <t>PDEI - Event Service</t>
        </is>
      </c>
      <c r="L47" t="inlineStr">
        <is>
          <t>HOK Invitational S3</t>
        </is>
      </c>
      <c r="M47" t="inlineStr">
        <is>
          <t>2025TEG-P0027</t>
        </is>
      </c>
      <c r="N47" t="inlineStr">
        <is>
          <t>Duane Aaron Baret Cadangan</t>
        </is>
      </c>
      <c r="O47" t="inlineStr">
        <is>
          <t>202504030019-Duane Aaron Baret Cadangan-费用报销 - 副本 - 副本 - 副本-2025-04-03 05:39:47</t>
        </is>
      </c>
      <c r="P47" t="inlineStr">
        <is>
          <t>NO</t>
        </is>
      </c>
      <c r="Q47"/>
      <c r="R47" t="inlineStr">
        <is>
          <t>YES</t>
        </is>
      </c>
      <c r="S47" t="inlineStr">
        <is>
          <t>Philcom Dedicated Internet Access 300 Mbps (Feb. 17 to Mar. 1, 2025)</t>
        </is>
      </c>
      <c r="T47">
        <v>1</v>
      </c>
      <c r="U47">
        <v>541153.93</v>
      </c>
      <c r="V47" t="inlineStr">
        <is>
          <t>PHP</t>
        </is>
      </c>
      <c r="W47">
        <v>541153.93</v>
      </c>
      <c r="X47" s="2" t="str">
        <f>=HYPERLINK("https://www.larksuite.com/approval/admin/previewAttachment?key=PMgxqsMwEATQK81qRzuaf5nfSJjgkCpgVzp7IEXaVyNQo0eWQUczYovDmXBnSulqvXbbIRmKcuz1Ov5vpq5z3vOMqfXc12Me6x3dag1KMgeA-Pt5iqRdxNfxCQAA__8", "2 attachment(s)")</f>
        <v>2 attachment(s)</v>
      </c>
      <c r="Y47" t="inlineStr">
        <is>
          <t>Bank Transfer</t>
        </is>
      </c>
      <c r="Z47" t="inlineStr">
        <is>
          <t>SM Prime Holdings Inc.</t>
        </is>
      </c>
      <c r="AA47" t="inlineStr">
        <is>
          <t>NA</t>
        </is>
      </c>
      <c r="AB47" t="inlineStr">
        <is>
          <t>via bills payment</t>
        </is>
      </c>
      <c r="AC47" t="inlineStr">
        <is>
          <t>SM North EDSA</t>
        </is>
      </c>
      <c r="AD47" s="4">
        <v>45705</v>
      </c>
      <c r="AE47" t="inlineStr">
        <is>
          <t>100% Full Payment</t>
        </is>
      </c>
      <c r="AF47" s="2"/>
      <c r="AG47" t="inlineStr">
        <is>
          <t>NzQyNTk5MTgyNzQ4MTg3MDM0MTpGOUVBQjAxMi1GRkE0LTQzQ0MtQjlFOS05MUI4MjZFQkYwQUItMTo0ZWM4NTU0MzNiZjY1YTgzZTFiNTJiZTJlNjU4MzUyYTox</t>
        </is>
      </c>
      <c r="AH47"/>
      <c r="AI47"/>
      <c r="AJ47"/>
      <c r="AK47"/>
    </row>
    <row r="48" ht="25.5" customHeight="1">
      <c r="A48" s="2" t="str">
        <f>=HYPERLINK("https://applink.larksuite.com/client/mini_program/open?appId=cli_9c7cc8a9a9edd105&amp;mode=appCenter&amp;path_pc=pc/pages/requested/index?instanceId=7493050905533644832&amp;source=bitable&amp;path=pages/detail/index?instanceId=7493050905533644832&amp;source=bitable", "202504140065")</f>
        <v>202504140065</v>
      </c>
      <c r="B48" t="inlineStr">
        <is>
          <t>Approved</t>
        </is>
      </c>
      <c r="C48" t="inlineStr">
        <is>
          <t>Procurement Order</t>
        </is>
      </c>
      <c r="D48" s="3">
        <v>45761.60028935185</v>
      </c>
      <c r="E48" s="3">
        <v>45762.77615740741</v>
      </c>
      <c r="F48" t="inlineStr">
        <is>
          <t>Fatima Kathleen M. FLores</t>
        </is>
      </c>
      <c r="G48" t="inlineStr">
        <is>
          <t>Procurement</t>
        </is>
      </c>
      <c r="H48"/>
      <c r="I48"/>
      <c r="J48" t="inlineStr">
        <is>
          <t>Project</t>
        </is>
      </c>
      <c r="K48" t="inlineStr">
        <is>
          <t>PDEI - Game Marketing</t>
        </is>
      </c>
      <c r="L48" t="inlineStr">
        <is>
          <t>MDL FunMeet</t>
        </is>
      </c>
      <c r="M48" t="inlineStr">
        <is>
          <t>2025TEG-P0105</t>
        </is>
      </c>
      <c r="N48" t="inlineStr">
        <is>
          <t>Kervin</t>
        </is>
      </c>
      <c r="O48" t="inlineStr">
        <is>
          <t>202504070084-Kervin-费用报销 - 副本 - 副本 - 副本-2025-04-07 11:32:50</t>
        </is>
      </c>
      <c r="P48" t="inlineStr">
        <is>
          <t>YES</t>
        </is>
      </c>
      <c r="Q48"/>
      <c r="R48" t="inlineStr">
        <is>
          <t>YES</t>
        </is>
      </c>
      <c r="S48" t="inlineStr">
        <is>
          <t>Outsourced Talent / Host (Odin)</t>
        </is>
      </c>
      <c r="T48">
        <v>1</v>
      </c>
      <c r="U48">
        <v>5800</v>
      </c>
      <c r="V48" t="inlineStr">
        <is>
          <t>PHP</t>
        </is>
      </c>
      <c r="W48">
        <v>5800</v>
      </c>
      <c r="X48" s="2" t="str">
        <f>=HYPERLINK("https://www.larksuite.com/approval/admin/previewAttachment?key=PMgxCkIxEATQK83sTnYzXsbGTxDkV4La5OyChe2rSdQczDJkhsHdcmLAGCOzpJmxY7PbaJa5j3Nd30pg-fzEDOKxX_fbOp4c7gh0SjkB8PL3bEl2CT_HNwAA__8", "2 attachment(s)")</f>
        <v>2 attachment(s)</v>
      </c>
      <c r="Y48" t="inlineStr">
        <is>
          <t>Bank Transfer</t>
        </is>
      </c>
      <c r="Z48" t="inlineStr">
        <is>
          <t>Claudine E. Tayco</t>
        </is>
      </c>
      <c r="AA48" t="inlineStr">
        <is>
          <t>2419004314</t>
        </is>
      </c>
      <c r="AB48" t="inlineStr">
        <is>
          <t>BPI</t>
        </is>
      </c>
      <c r="AC48" t="inlineStr">
        <is>
          <t>193 Magdalo St. Buna Lejos II, Indang, Cavite Apalit, Pampanga</t>
        </is>
      </c>
      <c r="AD48" s="4">
        <v>45757</v>
      </c>
      <c r="AE48" t="inlineStr">
        <is>
          <t>100% Full Payment - April 25, 2025</t>
        </is>
      </c>
      <c r="AF48" s="2"/>
      <c r="AG48" t="inlineStr">
        <is>
          <t>NzQyNTk5MTgyNzQ4MTg3MDM0MTozMDBCODhFMS1FRkNBLTQ4RTQtQTYyNi0zODdCRDlGQjE0QTktMToyNzFjNTIxZTlmOWY5MTU4ZTQ0NmU2ZTAyYjE2NGQyODox</t>
        </is>
      </c>
      <c r="AH48"/>
      <c r="AI48"/>
      <c r="AJ48"/>
      <c r="AK48"/>
    </row>
    <row r="49" ht="25.5" customHeight="1">
      <c r="A49" s="2" t="str">
        <f>=HYPERLINK("https://applink.larksuite.com/client/mini_program/open?appId=cli_9c7cc8a9a9edd105&amp;mode=appCenter&amp;path_pc=pc/pages/requested/index?instanceId=7493056827848917024&amp;source=bitable&amp;path=pages/detail/index?instanceId=7493056827848917024&amp;source=bitable", "202504140070")</f>
        <v>202504140070</v>
      </c>
      <c r="B49" t="inlineStr">
        <is>
          <t>Approved</t>
        </is>
      </c>
      <c r="C49" t="inlineStr">
        <is>
          <t>Procurement Order</t>
        </is>
      </c>
      <c r="D49" s="3">
        <v>45761.61625</v>
      </c>
      <c r="E49" s="3">
        <v>45762.77700231481</v>
      </c>
      <c r="F49" t="inlineStr">
        <is>
          <t>Fatima Kathleen M. FLores</t>
        </is>
      </c>
      <c r="G49" t="inlineStr">
        <is>
          <t>Procurement</t>
        </is>
      </c>
      <c r="H49"/>
      <c r="I49"/>
      <c r="J49" t="inlineStr">
        <is>
          <t>Project</t>
        </is>
      </c>
      <c r="K49" t="inlineStr">
        <is>
          <t>PDEI - Game Marketing</t>
        </is>
      </c>
      <c r="L49" t="inlineStr">
        <is>
          <t>MDL FunMeet</t>
        </is>
      </c>
      <c r="M49" t="inlineStr">
        <is>
          <t>2025TEG-P0105</t>
        </is>
      </c>
      <c r="N49" t="inlineStr">
        <is>
          <t>Kervin</t>
        </is>
      </c>
      <c r="O49" t="inlineStr">
        <is>
          <t>202504070084-Kervin-费用报销 - 副本 - 副本 - 副本-2025-04-07 11:32:50</t>
        </is>
      </c>
      <c r="P49" t="inlineStr">
        <is>
          <t>YES</t>
        </is>
      </c>
      <c r="Q49"/>
      <c r="R49" t="inlineStr">
        <is>
          <t>YES</t>
        </is>
      </c>
      <c r="S49" t="inlineStr">
        <is>
          <t>Outsourced Talent / Caster (Uomi)</t>
        </is>
      </c>
      <c r="T49">
        <v>1</v>
      </c>
      <c r="U49">
        <v>8377.78</v>
      </c>
      <c r="V49" t="inlineStr">
        <is>
          <t>PHP</t>
        </is>
      </c>
      <c r="W49">
        <v>8377.78</v>
      </c>
      <c r="X49" s="2" t="str">
        <f>=HYPERLINK("https://www.larksuite.com/approval/admin/previewAttachment?key=PMhBCsJQDATQK03y8zMZL-PGUsTabkShi5xdcOH2ZRmypo0UQuaCNUMDM8tZUTLCo72NFGgp62Vfr49d23a-eR7r1PPoz_22Li-bojs4IkYBsMvfByNCysDP8Q0AAP__", "2 attachment(s)")</f>
        <v>2 attachment(s)</v>
      </c>
      <c r="Y49" t="inlineStr">
        <is>
          <t>Bank Transfer</t>
        </is>
      </c>
      <c r="Z49" t="inlineStr">
        <is>
          <t>Marcus Theodore R. Ignacio</t>
        </is>
      </c>
      <c r="AA49" t="inlineStr">
        <is>
          <t>146210035714</t>
        </is>
      </c>
      <c r="AB49" t="inlineStr">
        <is>
          <t>PNB</t>
        </is>
      </c>
      <c r="AC49" t="inlineStr">
        <is>
          <t>Maricielo Villas, Pulanglupa Uno, Las Pinas City</t>
        </is>
      </c>
      <c r="AD49" s="4">
        <v>45757</v>
      </c>
      <c r="AE49" t="inlineStr">
        <is>
          <t>100% Full Payment - April 25, 2025</t>
        </is>
      </c>
      <c r="AF49" s="2"/>
      <c r="AG49" t="inlineStr">
        <is>
          <t>NzQyNTk5MTgyNzQ4MTg3MDM0MTpBNkE0RDZFNi1COURCLTRCMEQtQjQ2Ny1FNDdCOEM0MDNDM0EtMTphZjJmMWYwNDIwNDIyZWYzOTc0MjdlZTc1Yzk4NDIzMjox</t>
        </is>
      </c>
      <c r="AH49"/>
      <c r="AI49"/>
      <c r="AJ49"/>
      <c r="AK49"/>
    </row>
    <row r="50" ht="25.5" customHeight="1">
      <c r="A50" s="2" t="str">
        <f>=HYPERLINK("https://applink.larksuite.com/client/mini_program/open?appId=cli_9c7cc8a9a9edd105&amp;mode=appCenter&amp;path_pc=pc/pages/requested/index?instanceId=7493071986835324967&amp;source=bitable&amp;path=pages/detail/index?instanceId=7493071986835324967&amp;source=bitable", "202504140078")</f>
        <v>202504140078</v>
      </c>
      <c r="B50" t="inlineStr">
        <is>
          <t>Approved</t>
        </is>
      </c>
      <c r="C50" t="inlineStr">
        <is>
          <t>Procurement Order</t>
        </is>
      </c>
      <c r="D50" s="3">
        <v>45761.65709490741</v>
      </c>
      <c r="E50" s="3">
        <v>45769.78037037037</v>
      </c>
      <c r="F50" t="inlineStr">
        <is>
          <t>Fatima Kathleen M. FLores</t>
        </is>
      </c>
      <c r="G50" t="inlineStr">
        <is>
          <t>Procurement</t>
        </is>
      </c>
      <c r="H50"/>
      <c r="I50"/>
      <c r="J50" t="inlineStr">
        <is>
          <t>GAE</t>
        </is>
      </c>
      <c r="K50"/>
      <c r="L50"/>
      <c r="M50"/>
      <c r="N50"/>
      <c r="O50" t="inlineStr">
        <is>
          <t>202504080050-Rachel Anne Aquino-费用报销 - 副本 - 副本 - 副本-2025-04-08 07:41:27</t>
        </is>
      </c>
      <c r="P50"/>
      <c r="Q50" t="inlineStr">
        <is>
          <t>IT</t>
        </is>
      </c>
      <c r="R50"/>
      <c r="S50" t="inlineStr">
        <is>
          <t>ESET PROTECT ADVANCED (Security Solutions) / 1 year / 100 Nodes</t>
        </is>
      </c>
      <c r="T50">
        <v>100</v>
      </c>
      <c r="U50">
        <v>1362.9</v>
      </c>
      <c r="V50" t="inlineStr">
        <is>
          <t>PHP</t>
        </is>
      </c>
      <c r="W50">
        <v>136290</v>
      </c>
      <c r="X50" s="2" t="str">
        <f>=HYPERLINK("https://www.larksuite.com/approval/admin/previewAttachment?key=PMgxCsJQEATQK83-nezseBkbQ7CJCBIlxT-7YGH7qgPVS2QZdAwjpuiEwl2dSw66NMcMyVCUY677ds29j-PkKfKJz2O-77dtfcVijQElmQ0gLn9PkbSL-Dm-AQAA__8", "2 attachment(s)")</f>
        <v>2 attachment(s)</v>
      </c>
      <c r="Y50" t="inlineStr">
        <is>
          <t>Bank Transfer</t>
        </is>
      </c>
      <c r="Z50" t="inlineStr">
        <is>
          <t>B1G2 Technologies International Inc.</t>
        </is>
      </c>
      <c r="AA50" t="inlineStr">
        <is>
          <t>003640386641</t>
        </is>
      </c>
      <c r="AB50" t="inlineStr">
        <is>
          <t>BDO</t>
        </is>
      </c>
      <c r="AC50" t="inlineStr">
        <is>
          <t>Unit 2A J&amp;L Bldg., 23 Matalino St., Central, QC</t>
        </is>
      </c>
      <c r="AD50" s="4">
        <v>45772</v>
      </c>
      <c r="AE50" t="inlineStr">
        <is>
          <t>100% Full Payment</t>
        </is>
      </c>
      <c r="AF50" s="2" t="str">
        <f>=HYPERLINK("https://www.larksuite.com/approval/admin/previewAttachment?key=TMgxCgJBDAXQK_0_yST5XsbGZbFZEWSVKXJ2wcr2RRFRkxaCi0Ngp8uQVEXZtOGK7NHMFJIh9nbsVzvqPJevdH_i8-j3_bZvL0ZZwDXdKQC8_DkJlYX9HN8AAAD__w", "3 attachment(s)")</f>
        <v>3 attachment(s)</v>
      </c>
      <c r="AG50" t="inlineStr">
        <is>
          <t>NzQyNTk5MTgyNzQ4MTg3MDM0MTozMDQ5NjU0RS0yMzNDLTRBRjItQkEzMi03REZGN0NCQTQ4MDItMTpkNTFkZWY4MDUxNDg3NTZlN2FlYzljZmYyNTdiNGIwYTox</t>
        </is>
      </c>
      <c r="AH50"/>
      <c r="AI50"/>
      <c r="AJ50"/>
      <c r="AK50"/>
    </row>
    <row r="51" ht="25.5" customHeight="1">
      <c r="A51" s="2" t="str">
        <f>=HYPERLINK("https://applink.larksuite.com/client/mini_program/open?appId=cli_9c7cc8a9a9edd105&amp;mode=appCenter&amp;path_pc=pc/pages/requested/index?instanceId=7493432107528699935&amp;source=bitable&amp;path=pages/detail/index?instanceId=7493432107528699935&amp;source=bitable", "202504150055")</f>
        <v>202504150055</v>
      </c>
      <c r="B51" t="inlineStr">
        <is>
          <t>Approved</t>
        </is>
      </c>
      <c r="C51" t="inlineStr">
        <is>
          <t>Procurement Order</t>
        </is>
      </c>
      <c r="D51" s="3">
        <v>45762.62755787037</v>
      </c>
      <c r="E51" s="3">
        <v>45763.54498842593</v>
      </c>
      <c r="F51" t="inlineStr">
        <is>
          <t>Fatima Kathleen M. FLores</t>
        </is>
      </c>
      <c r="G51" t="inlineStr">
        <is>
          <t>Procurement</t>
        </is>
      </c>
      <c r="H51"/>
      <c r="I51"/>
      <c r="J51" t="inlineStr">
        <is>
          <t>Project</t>
        </is>
      </c>
      <c r="K51" t="inlineStr">
        <is>
          <t>PDEI - Game Marketing</t>
        </is>
      </c>
      <c r="L51" t="inlineStr">
        <is>
          <t>MDL FunMeet</t>
        </is>
      </c>
      <c r="M51" t="inlineStr">
        <is>
          <t>2025TEG-P0105</t>
        </is>
      </c>
      <c r="N51" t="inlineStr">
        <is>
          <t>Kervin</t>
        </is>
      </c>
      <c r="O51" t="inlineStr">
        <is>
          <t>202504100009-Kervin-费用报销 - 副本 - 副本 - 副本-2025-04-10 02:46:06</t>
        </is>
      </c>
      <c r="P51" t="inlineStr">
        <is>
          <t>YES</t>
        </is>
      </c>
      <c r="Q51"/>
      <c r="R51" t="inlineStr">
        <is>
          <t>YES</t>
        </is>
      </c>
      <c r="S51" t="inlineStr">
        <is>
          <t>Outsourced Logistics Associates</t>
        </is>
      </c>
      <c r="T51">
        <v>1</v>
      </c>
      <c r="U51">
        <v>6000</v>
      </c>
      <c r="V51" t="inlineStr">
        <is>
          <t>PHP</t>
        </is>
      </c>
      <c r="W51">
        <v>6000</v>
      </c>
      <c r="X51" s="2" t="str">
        <f>=HYPERLINK("https://www.larksuite.com/approval/admin/previewAttachment?key=PMgxDsIwDAXQK33b33Y-l2FpVLF0QkVZcnYkBtZXw1AjLUqgzAXbTQXDDZ0-SlLk9m3dQlvJ9rzO53FfCc8117qZ3J_Xcc63pdodHWQMAPb4ezRJqYif4xsAAP__", "2 attachment(s)")</f>
        <v>2 attachment(s)</v>
      </c>
      <c r="Y51" t="inlineStr">
        <is>
          <t>Bank Transfer</t>
        </is>
      </c>
      <c r="Z51" t="inlineStr">
        <is>
          <t>Rizel John Obong</t>
        </is>
      </c>
      <c r="AA51" t="inlineStr">
        <is>
          <t>09709731174</t>
        </is>
      </c>
      <c r="AB51" t="inlineStr">
        <is>
          <t>GCash</t>
        </is>
      </c>
      <c r="AC51" t="inlineStr">
        <is>
          <t>Blk 1j Lot 31 Phase 3 E-1 Dagat Dagatan Caloocan City</t>
        </is>
      </c>
      <c r="AD51" s="4">
        <v>45758</v>
      </c>
      <c r="AE51" t="inlineStr">
        <is>
          <t>100% Full Payment - April 25, 2025</t>
        </is>
      </c>
      <c r="AF51" s="2"/>
      <c r="AG51" t="inlineStr">
        <is>
          <t>NzQyNTk5MTgyNzQ4MTg3MDM0MTpBQTJEOTAxRi1BN0NELTQzMDYtQjZGQi0wNkREMkMxMUU1NjQtMTo5NTAwODY4ZTVlOTJhMzI0M2I0MDk0NTU4NDY1NjA5OTox</t>
        </is>
      </c>
      <c r="AH51"/>
      <c r="AI51"/>
      <c r="AJ51"/>
      <c r="AK51"/>
    </row>
    <row r="52" ht="25.5" customHeight="1">
      <c r="A52" s="2" t="str">
        <f>=HYPERLINK("https://applink.larksuite.com/client/mini_program/open?appId=cli_9c7cc8a9a9edd105&amp;mode=appCenter&amp;path_pc=pc/pages/requested/index?instanceId=7493433534921703456&amp;source=bitable&amp;path=pages/detail/index?instanceId=7493433534921703456&amp;source=bitable", "202504150056")</f>
        <v>202504150056</v>
      </c>
      <c r="B52" t="inlineStr">
        <is>
          <t>Approved</t>
        </is>
      </c>
      <c r="C52" t="inlineStr">
        <is>
          <t>Procurement Order</t>
        </is>
      </c>
      <c r="D52" s="3">
        <v>45762.63140046296</v>
      </c>
      <c r="E52" s="3">
        <v>45763.53989583333</v>
      </c>
      <c r="F52" t="inlineStr">
        <is>
          <t>Fatima Kathleen M. FLores</t>
        </is>
      </c>
      <c r="G52" t="inlineStr">
        <is>
          <t>Procurement</t>
        </is>
      </c>
      <c r="H52"/>
      <c r="I52"/>
      <c r="J52" t="inlineStr">
        <is>
          <t>Project</t>
        </is>
      </c>
      <c r="K52" t="inlineStr">
        <is>
          <t>PDEI - Game Marketing</t>
        </is>
      </c>
      <c r="L52" t="inlineStr">
        <is>
          <t>MDL FunMeet</t>
        </is>
      </c>
      <c r="M52" t="inlineStr">
        <is>
          <t>2025TEG-P0105</t>
        </is>
      </c>
      <c r="N52" t="inlineStr">
        <is>
          <t>Kervin</t>
        </is>
      </c>
      <c r="O52" t="inlineStr">
        <is>
          <t>202504100009-Kervin-费用报销 - 副本 - 副本 - 副本-2025-04-10 02:46:06</t>
        </is>
      </c>
      <c r="P52" t="inlineStr">
        <is>
          <t>YES</t>
        </is>
      </c>
      <c r="Q52"/>
      <c r="R52" t="inlineStr">
        <is>
          <t>YES</t>
        </is>
      </c>
      <c r="S52" t="inlineStr">
        <is>
          <t>Outsourced Talent Manager</t>
        </is>
      </c>
      <c r="T52">
        <v>1</v>
      </c>
      <c r="U52">
        <v>1500</v>
      </c>
      <c r="V52" t="inlineStr">
        <is>
          <t>PHP</t>
        </is>
      </c>
      <c r="W52">
        <v>1500</v>
      </c>
      <c r="X52" s="2" t="str">
        <f>=HYPERLINK("https://www.larksuite.com/approval/admin/previewAttachment?key=PMixDUIxDATQlc722c6xDA1RRJPfICGazI5EQftqGGqkRQmUuWCnqWBEBuXWCGYdP9YttJXszL3uM5zI-blW733leT8fa74s1e7oIGMAsNvfo0lKRfwc3wAAAP__", "2 attachment(s)")</f>
        <v>2 attachment(s)</v>
      </c>
      <c r="Y52" t="inlineStr">
        <is>
          <t>Bank Transfer</t>
        </is>
      </c>
      <c r="Z52" t="inlineStr">
        <is>
          <t>Sandee Garcia</t>
        </is>
      </c>
      <c r="AA52" t="inlineStr">
        <is>
          <t>09289769063</t>
        </is>
      </c>
      <c r="AB52" t="inlineStr">
        <is>
          <t>GCash</t>
        </is>
      </c>
      <c r="AC52" t="inlineStr">
        <is>
          <t>33 Countryside Barangka Ibaba Mandaluyong City</t>
        </is>
      </c>
      <c r="AD52" s="4">
        <v>45758</v>
      </c>
      <c r="AE52" t="inlineStr">
        <is>
          <t>100% Full Payment - April 25, 2025</t>
        </is>
      </c>
      <c r="AF52" s="2"/>
      <c r="AG52" t="inlineStr">
        <is>
          <t>NzQyNTk5MTgyNzQ4MTg3MDM0MToxRDQ4NTYyNy0yRjA3LTRGNkYtOUZERi1DMkZGMjM5MERFRUUtMTplYjc3NzI4ZTdmYjhmOTQ5N2E1NzdmNmVjY2JmMjc4ODox</t>
        </is>
      </c>
      <c r="AH52"/>
      <c r="AI52"/>
      <c r="AJ52"/>
      <c r="AK52"/>
    </row>
    <row r="53" ht="25.5" customHeight="1">
      <c r="A53" s="2" t="str">
        <f>=HYPERLINK("https://applink.larksuite.com/client/mini_program/open?appId=cli_9c7cc8a9a9edd105&amp;mode=appCenter&amp;path_pc=pc/pages/requested/index?instanceId=7493758473138634791&amp;source=bitable&amp;path=pages/detail/index?instanceId=7493758473138634791&amp;source=bitable", "202504160025")</f>
        <v>202504160025</v>
      </c>
      <c r="B53" t="inlineStr">
        <is>
          <t>Approved</t>
        </is>
      </c>
      <c r="C53" t="inlineStr">
        <is>
          <t>Procurement Order</t>
        </is>
      </c>
      <c r="D53" s="3">
        <v>45763.50703703704</v>
      </c>
      <c r="E53" s="3">
        <v>45763.5441087963</v>
      </c>
      <c r="F53" t="inlineStr">
        <is>
          <t>Fatima Kathleen M. FLores</t>
        </is>
      </c>
      <c r="G53" t="inlineStr">
        <is>
          <t>Procurement</t>
        </is>
      </c>
      <c r="H53"/>
      <c r="I53"/>
      <c r="J53" t="inlineStr">
        <is>
          <t>Project</t>
        </is>
      </c>
      <c r="K53" t="inlineStr">
        <is>
          <t>PDEI - Event Service</t>
        </is>
      </c>
      <c r="L53" t="inlineStr">
        <is>
          <t>UAAP Esports S87</t>
        </is>
      </c>
      <c r="M53" t="inlineStr">
        <is>
          <t>2025TEG-P0068</t>
        </is>
      </c>
      <c r="N53" t="inlineStr">
        <is>
          <t>Raffy/Paeng</t>
        </is>
      </c>
      <c r="O53" t="inlineStr">
        <is>
          <t>202504150087-Raffy/Paeng-费用报销 - 副本 - 副本 - 副本-2025-04-15 10:55:02</t>
        </is>
      </c>
      <c r="P53" t="inlineStr">
        <is>
          <t>NO</t>
        </is>
      </c>
      <c r="Q53"/>
      <c r="R53" t="inlineStr">
        <is>
          <t>NO</t>
        </is>
      </c>
      <c r="S53" t="inlineStr">
        <is>
          <t>Rental of GM2- Quantum Activity Area (12 days)</t>
        </is>
      </c>
      <c r="T53">
        <v>1</v>
      </c>
      <c r="U53">
        <v>3539912</v>
      </c>
      <c r="V53" t="inlineStr">
        <is>
          <t>PHP</t>
        </is>
      </c>
      <c r="W53">
        <v>3539912</v>
      </c>
      <c r="X53" s="2" t="str">
        <f>=HYPERLINK("https://www.larksuite.com/approval/admin/previewAttachment?key=PMgxCkJBDATQK2U2s0nGy9i4LBYqgvC1ydkFC9sXBYua8JBRGDJ0Up6zmA6vcKbQo5EpS4TQ677PHPV8r2Pj49sftz6ul71emMoxLJ30MjOc_u5JUgraz-0bAAD__w", "3 attachment(s)")</f>
        <v>3 attachment(s)</v>
      </c>
      <c r="Y53" t="inlineStr">
        <is>
          <t>Bank Transfer</t>
        </is>
      </c>
      <c r="Z53" t="inlineStr">
        <is>
          <t>ACI, INC.</t>
        </is>
      </c>
      <c r="AA53" t="inlineStr">
        <is>
          <t>3181040598</t>
        </is>
      </c>
      <c r="AB53" t="inlineStr">
        <is>
          <t>BPI</t>
        </is>
      </c>
      <c r="AC53" t="inlineStr">
        <is>
          <t>25th to 26th Floors, Gateway Tower, Araneta City, Quezon City</t>
        </is>
      </c>
      <c r="AD53" s="4">
        <v>45782</v>
      </c>
      <c r="AE53" t="inlineStr">
        <is>
          <t>Php 500,000.00 - Reservation Fee (April 16, 2025)
Balance to be paid before ingress</t>
        </is>
      </c>
      <c r="AF53" s="2" t="str">
        <f>=HYPERLINK("https://www.larksuite.com/approval/admin/previewAttachment?key=TMgxCkJBDATQK2V2sknGy9i4LBYqgvC1ydkFK9sXBYuaYMhcGDJ0upizPAlW0FPo0ciUJULodd9nH_V8r2Pjw83HrY_rZa8Xohjmmu6QmeH054CpGPy5fQMAAP__", "2 attachment(s)")</f>
        <v>2 attachment(s)</v>
      </c>
      <c r="AG53" t="inlineStr">
        <is>
          <t>NzQyNTk5MTgyNzQ4MTg3MDM0MTo4Nzc2NDFCNy1EMUNGLTQyMkEtQjFDNy0yREYyRTg5NzEwNTktMTo4MWY1ODdhZDMyMTU2Yjg4OThkNmZjYzFhZThhMjg2Nzox</t>
        </is>
      </c>
      <c r="AH53"/>
      <c r="AI53"/>
      <c r="AJ53"/>
      <c r="AK53"/>
    </row>
    <row r="54" ht="25.5" customHeight="1">
      <c r="A54" s="2" t="str">
        <f>=HYPERLINK("https://applink.larksuite.com/client/mini_program/open?appId=cli_9c7cc8a9a9edd105&amp;mode=appCenter&amp;path_pc=pc/pages/requested/index?instanceId=7498266163789496359&amp;source=bitable&amp;path=pages/detail/index?instanceId=7498266163789496359&amp;source=bitable", "202504280039")</f>
        <v>202504280039</v>
      </c>
      <c r="B54" t="inlineStr">
        <is>
          <t>Recalled</t>
        </is>
      </c>
      <c r="C54" t="inlineStr">
        <is>
          <t>Procurement Order</t>
        </is>
      </c>
      <c r="D54" s="3">
        <v>45775.65436342593</v>
      </c>
      <c r="E54" s="3">
        <v>45775.661215277774</v>
      </c>
      <c r="F54" t="inlineStr">
        <is>
          <t>Fatima Kathleen M. FLores</t>
        </is>
      </c>
      <c r="G54" t="inlineStr">
        <is>
          <t>Procurement</t>
        </is>
      </c>
      <c r="H54"/>
      <c r="I54"/>
      <c r="J54" t="inlineStr">
        <is>
          <t>Project</t>
        </is>
      </c>
      <c r="K54" t="inlineStr">
        <is>
          <t>PDEI - Event Service</t>
        </is>
      </c>
      <c r="L54" t="inlineStr">
        <is>
          <t>1xBET MEKONG Tournament</t>
        </is>
      </c>
      <c r="M54" t="inlineStr">
        <is>
          <t>2025TEG-P0102</t>
        </is>
      </c>
      <c r="N54" t="inlineStr">
        <is>
          <t>Frances Angelita Arreglado</t>
        </is>
      </c>
      <c r="O54" t="inlineStr">
        <is>
          <t>202504240072-Frances Angelita Arreglado-费用报销 - 副本 - 副本 - 副本-2025-04-24 10:06:16</t>
        </is>
      </c>
      <c r="P54" t="inlineStr">
        <is>
          <t>YES</t>
        </is>
      </c>
      <c r="Q54"/>
      <c r="R54" t="inlineStr">
        <is>
          <t>YES</t>
        </is>
      </c>
      <c r="S54" t="inlineStr">
        <is>
          <t>Outsourced Head Operations League</t>
        </is>
      </c>
      <c r="T54">
        <v>1</v>
      </c>
      <c r="U54">
        <v>70000</v>
      </c>
      <c r="V54" t="inlineStr">
        <is>
          <t>PHP</t>
        </is>
      </c>
      <c r="W54">
        <v>70000</v>
      </c>
      <c r="X54" s="2" t="str">
        <f>=HYPERLINK("https://www.larksuite.com/approval/admin/previewAttachment?key=PMgxDkIxDAPQKzmNG8dchuV_VSxM6CMx9OxIDKyvOlA9I8ugYxixRfeoikq16crpPXZIhqLMfT7Xfc7W8blWmOcF7ffjWOcrpjUGlGQ2gLj9PUXSLuLn-AYAAP__", "2 attachment(s)")</f>
        <v>2 attachment(s)</v>
      </c>
      <c r="Y54" t="inlineStr">
        <is>
          <t>Bank Transfer</t>
        </is>
      </c>
      <c r="Z54" t="inlineStr">
        <is>
          <t>Jeremiah Montemayor Obial</t>
        </is>
      </c>
      <c r="AA54" t="inlineStr">
        <is>
          <t>109427684740</t>
        </is>
      </c>
      <c r="AB54" t="inlineStr">
        <is>
          <t>Unionbank</t>
        </is>
      </c>
      <c r="AC54" t="inlineStr">
        <is>
          <t>18 Alfa Street North Fairview Park Subdivision</t>
        </is>
      </c>
      <c r="AD54" s="4">
        <v>45761</v>
      </c>
      <c r="AE54" t="inlineStr">
        <is>
          <t>1st Payment - April 30, 2025
2nd Payment - May 23, 2025
3rd Payment - June 13, 2025
Final Payment - Jul 4, 2025</t>
        </is>
      </c>
      <c r="AF54" s="2"/>
      <c r="AG54" t="inlineStr">
        <is>
          <t>NzQyNTk5MTgyNzQ4MTg3MDM0MTpGMTVEM0QxOC1FMjBELTRFM0UtQjBCMi04NDlCMzA2MTVENzQtMTo2ODg0YWY5YWI0MjU4ZGRlOTA0ODk3Mjg4NGIyMTMwMzox</t>
        </is>
      </c>
      <c r="AH54"/>
      <c r="AI54"/>
      <c r="AJ54"/>
      <c r="AK54"/>
    </row>
    <row r="55" ht="25.5" customHeight="1">
      <c r="A55" s="2" t="str">
        <f>=HYPERLINK("https://applink.larksuite.com/client/mini_program/open?appId=cli_9c7cc8a9a9edd105&amp;mode=appCenter&amp;path_pc=pc/pages/requested/index?instanceId=7498268815843704864&amp;source=bitable&amp;path=pages/detail/index?instanceId=7498268815843704864&amp;source=bitable", "202504280041")</f>
        <v>202504280041</v>
      </c>
      <c r="B55" t="inlineStr">
        <is>
          <t>Approved</t>
        </is>
      </c>
      <c r="C55" t="inlineStr">
        <is>
          <t>Procurement Order</t>
        </is>
      </c>
      <c r="D55" s="3">
        <v>45775.66150462963</v>
      </c>
      <c r="E55" s="3">
        <v>45776.54184027778</v>
      </c>
      <c r="F55" t="inlineStr">
        <is>
          <t>Fatima Kathleen M. FLores</t>
        </is>
      </c>
      <c r="G55" t="inlineStr">
        <is>
          <t>Procurement</t>
        </is>
      </c>
      <c r="H55"/>
      <c r="I55"/>
      <c r="J55" t="inlineStr">
        <is>
          <t>Project</t>
        </is>
      </c>
      <c r="K55" t="inlineStr">
        <is>
          <t>PDEI - Event Service</t>
        </is>
      </c>
      <c r="L55" t="inlineStr">
        <is>
          <t>1xBET MEKONG Tournament</t>
        </is>
      </c>
      <c r="M55" t="inlineStr">
        <is>
          <t>2025TEG-P0102</t>
        </is>
      </c>
      <c r="N55" t="inlineStr">
        <is>
          <t>Frances Angelita Arreglado</t>
        </is>
      </c>
      <c r="O55" t="inlineStr">
        <is>
          <t>202504240072-Frances Angelita Arreglado-费用报销 - 副本 - 副本 - 副本-2025-04-24 10:06:16</t>
        </is>
      </c>
      <c r="P55" t="inlineStr">
        <is>
          <t>YES</t>
        </is>
      </c>
      <c r="Q55"/>
      <c r="R55" t="inlineStr">
        <is>
          <t>NO</t>
        </is>
      </c>
      <c r="S55" t="inlineStr">
        <is>
          <t>Outsourced Head Operations League</t>
        </is>
      </c>
      <c r="T55">
        <v>1</v>
      </c>
      <c r="U55">
        <v>70000</v>
      </c>
      <c r="V55" t="inlineStr">
        <is>
          <t>PHP</t>
        </is>
      </c>
      <c r="W55">
        <v>70000</v>
      </c>
      <c r="X55" s="2" t="str">
        <f>=HYPERLINK("https://www.larksuite.com/approval/admin/previewAttachment?key=PMg9igJREATgK1V11-ufvcwm8xgEnUjQqM8uGJh-UUTUokdDTWtwUl0WVVwlT6hCY8PMRjJas6_zX1b54HHd33sbOa_bce4nV6cZ0iUvAPz7uaek7hC-jk8AAAD__w", "2 attachment(s)")</f>
        <v>2 attachment(s)</v>
      </c>
      <c r="Y55" t="inlineStr">
        <is>
          <t>Bank Transfer</t>
        </is>
      </c>
      <c r="Z55" t="inlineStr">
        <is>
          <t>Jeremiah Montemayor Obial</t>
        </is>
      </c>
      <c r="AA55" t="inlineStr">
        <is>
          <t>109427684740</t>
        </is>
      </c>
      <c r="AB55" t="inlineStr">
        <is>
          <t>Unionbank</t>
        </is>
      </c>
      <c r="AC55" t="inlineStr">
        <is>
          <t>18 Alfa Street North Fairview Park Subdivision</t>
        </is>
      </c>
      <c r="AD55" s="4">
        <v>45761</v>
      </c>
      <c r="AE55" t="inlineStr">
        <is>
          <t>1st Payment - April 30, 2025
2nd Payment - May 23, 2025
3rd Payment - June 13, 2025
Final Payment - Jul 4, 2025</t>
        </is>
      </c>
      <c r="AF55" s="2"/>
      <c r="AG55" t="inlineStr">
        <is>
          <t>NzQyNTk5MTgyNzQ4MTg3MDM0MTpGNkE2QTQ3OC0yNzdFLTQ3RjctOTI3OC0wNzU4N0REMDc4NkMtMTpmZTZhMmMxM2JlYzRkN2QwNTI2YTQ2NDA1ZWQwOWVhZTox</t>
        </is>
      </c>
      <c r="AH55"/>
      <c r="AI55"/>
      <c r="AJ55"/>
      <c r="AK55"/>
    </row>
    <row r="56" ht="25.5" customHeight="1">
      <c r="A56" s="2" t="str">
        <f>=HYPERLINK("https://applink.larksuite.com/client/mini_program/open?appId=cli_9c7cc8a9a9edd105&amp;mode=appCenter&amp;path_pc=pc/pages/requested/index?instanceId=7498636815008530463&amp;source=bitable&amp;path=pages/detail/index?instanceId=7498636815008530463&amp;source=bitable", "202504290051")</f>
        <v>202504290051</v>
      </c>
      <c r="B56" t="inlineStr">
        <is>
          <t>Approved</t>
        </is>
      </c>
      <c r="C56" t="inlineStr">
        <is>
          <t>Procurement Order</t>
        </is>
      </c>
      <c r="D56" s="3">
        <v>45776.65319444444</v>
      </c>
      <c r="E56" s="3">
        <v>45777.49519675926</v>
      </c>
      <c r="F56" t="inlineStr">
        <is>
          <t>Fatima Kathleen M. FLores</t>
        </is>
      </c>
      <c r="G56" t="inlineStr">
        <is>
          <t>Procurement</t>
        </is>
      </c>
      <c r="H56"/>
      <c r="I56"/>
      <c r="J56" t="inlineStr">
        <is>
          <t>Project</t>
        </is>
      </c>
      <c r="K56" t="inlineStr">
        <is>
          <t>PDEI - Event Service</t>
        </is>
      </c>
      <c r="L56" t="inlineStr">
        <is>
          <t>MPL PH S15 Addendum</t>
        </is>
      </c>
      <c r="M56" t="inlineStr">
        <is>
          <t>2025TEG-P0071</t>
        </is>
      </c>
      <c r="N56" t="inlineStr">
        <is>
          <t>Tiny</t>
        </is>
      </c>
      <c r="O56" t="inlineStr">
        <is>
          <t>202504260010-Tiny-费用报销 - 副本 - 副本 - 副本-2025-04-26 09:25:11</t>
        </is>
      </c>
      <c r="P56" t="inlineStr">
        <is>
          <t>NO</t>
        </is>
      </c>
      <c r="Q56"/>
      <c r="R56" t="inlineStr">
        <is>
          <t>NO</t>
        </is>
      </c>
      <c r="S56" t="inlineStr">
        <is>
          <t>Plain Orange Clappers (pairs)</t>
        </is>
      </c>
      <c r="T56">
        <v>750</v>
      </c>
      <c r="U56">
        <v>8</v>
      </c>
      <c r="V56" t="inlineStr">
        <is>
          <t>PHP</t>
        </is>
      </c>
      <c r="W56">
        <v>6000</v>
      </c>
      <c r="X56" s="2" t="str">
        <f>=HYPERLINK("https://www.larksuite.com/approval/admin/previewAttachment?key=PMgxCkJBDATQK002s0nGy9j4WWwEQfyyRc4uWNi-KEPUNA-BsiFYJ1XhUTaBmg6G92jLFNJC7OOxrvt8K4f2zA-ea_d5v63jZVM5BtJJLwB2-bsnSSmIn-MbAAD__w", "2 attachment(s)")</f>
        <v>2 attachment(s)</v>
      </c>
      <c r="Y56" t="inlineStr">
        <is>
          <t>Bank Transfer</t>
        </is>
      </c>
      <c r="Z56" t="inlineStr">
        <is>
          <t>Hamilton Philippines Inc.</t>
        </is>
      </c>
      <c r="AA56" t="inlineStr">
        <is>
          <t>0029-5038-0537</t>
        </is>
      </c>
      <c r="AB56" t="inlineStr">
        <is>
          <t>BDO</t>
        </is>
      </c>
      <c r="AC56" t="inlineStr">
        <is>
          <t>28 C. Gallares St., 2nd District, Tagbiliran City, Bohol</t>
        </is>
      </c>
      <c r="AD56" s="4">
        <v>45777</v>
      </c>
      <c r="AE56" t="inlineStr">
        <is>
          <t>100% Full Payment before delivery</t>
        </is>
      </c>
      <c r="AF56" s="2"/>
      <c r="AG56" t="inlineStr">
        <is>
          <t>NzQyNTk5MTgyNzQ4MTg3MDM0MTpERDVCMjI5My01NjVDLTQ3MEEtQjkxMC1CMDUwNzY5NUZEQTAtMTpiMjQ1ODcyYWIyMDNlOGMwMTgwMThiNGUzZmQ0MDc1NTox</t>
        </is>
      </c>
      <c r="AH56"/>
      <c r="AI56"/>
      <c r="AJ56"/>
      <c r="AK56"/>
    </row>
    <row r="57" ht="25.5" customHeight="1">
      <c r="A57" s="2" t="str">
        <f>=HYPERLINK("https://applink.larksuite.com/client/mini_program/open?appId=cli_9c7cc8a9a9edd105&amp;mode=appCenter&amp;path_pc=pc/pages/requested/index?instanceId=7499769447280934943&amp;source=bitable&amp;path=pages/detail/index?instanceId=7499769447280934943&amp;source=bitable", "202505020048")</f>
        <v>202505020048</v>
      </c>
      <c r="B57" t="inlineStr">
        <is>
          <t>Approved</t>
        </is>
      </c>
      <c r="C57" t="inlineStr">
        <is>
          <t>Procurement Order</t>
        </is>
      </c>
      <c r="D57" s="3">
        <v>45779.705405092594</v>
      </c>
      <c r="E57" s="3">
        <v>45782.40707175926</v>
      </c>
      <c r="F57" t="inlineStr">
        <is>
          <t>Fatima Kathleen M. FLores</t>
        </is>
      </c>
      <c r="G57" t="inlineStr">
        <is>
          <t>Procurement</t>
        </is>
      </c>
      <c r="H57"/>
      <c r="I57"/>
      <c r="J57" t="inlineStr">
        <is>
          <t>Project</t>
        </is>
      </c>
      <c r="K57" t="inlineStr">
        <is>
          <t>PDEI - Event Service</t>
        </is>
      </c>
      <c r="L57" t="inlineStr">
        <is>
          <t>Minotaur x Jollibee GameJoy Launch</t>
        </is>
      </c>
      <c r="M57" t="inlineStr">
        <is>
          <t>2025TEG-P0091</t>
        </is>
      </c>
      <c r="N57" t="inlineStr">
        <is>
          <t>Duane Aaron Baret Cadangan</t>
        </is>
      </c>
      <c r="O57" t="inlineStr">
        <is>
          <t>202504110015-Duane Aaron Baret Cadangan-费用报销 - 副本 - 副本 - 副本-2025-04-11 03:54:51</t>
        </is>
      </c>
      <c r="P57" t="inlineStr">
        <is>
          <t>NO</t>
        </is>
      </c>
      <c r="Q57"/>
      <c r="R57" t="inlineStr">
        <is>
          <t>NO</t>
        </is>
      </c>
      <c r="S57" t="inlineStr">
        <is>
          <t>Outsourced Technical Services</t>
        </is>
      </c>
      <c r="T57">
        <v>1</v>
      </c>
      <c r="U57">
        <v>950000</v>
      </c>
      <c r="V57" t="inlineStr">
        <is>
          <t>PHP</t>
        </is>
      </c>
      <c r="W57">
        <v>950000</v>
      </c>
      <c r="X57" s="2" t="str">
        <f>=HYPERLINK("https://www.larksuite.com/approval/admin/previewAttachment?key=PMgxDsJQDAPQKzk_bvzNZVhafTHAhIrUIWdHYmB9NQM1t8gy6BhGtGirTGpMOGlmjw7JUJTZx2vdz2tea-06n1tK7M9jX8c7NmsMKMmcAOL29xRJu4if4xsAAP__", "2 attachment(s)")</f>
        <v>2 attachment(s)</v>
      </c>
      <c r="Y57" t="inlineStr">
        <is>
          <t>Bank Transfer</t>
        </is>
      </c>
      <c r="Z57" t="inlineStr">
        <is>
          <t>XSTATIC EVENT SYSTEM INC.</t>
        </is>
      </c>
      <c r="AA57" t="inlineStr">
        <is>
          <t>011728001773</t>
        </is>
      </c>
      <c r="AB57" t="inlineStr">
        <is>
          <t>BDO</t>
        </is>
      </c>
      <c r="AC57" t="inlineStr">
        <is>
          <t>Blk. 15 Lot 26 BF Martinville Las Piñas City</t>
        </is>
      </c>
      <c r="AD57" s="4">
        <v>45781</v>
      </c>
      <c r="AE57" t="inlineStr">
        <is>
          <t>100% Full Payment upon confirmation
NOTE: AMOUNT IN PO IS DISCOUNTED. VENDOR TO SEND AN UPDATED PROPOSAL</t>
        </is>
      </c>
      <c r="AF57" s="2"/>
      <c r="AG57" t="inlineStr">
        <is>
          <t>NzQyNTk5MTgyNzQ4MTg3MDM0MToyQ0VGQzQ5Qy1DNTdDLTQ3NUUtOUJFRS1BNTgwRkY0QzQyMEMtMTpiNTNiMDQ3YzdiMjRlMmM4MzhkYjg1N2M1OWU3YjA4Yjox</t>
        </is>
      </c>
      <c r="AH57"/>
      <c r="AI57"/>
      <c r="AJ57"/>
      <c r="AK57"/>
    </row>
    <row r="58" ht="25.5" customHeight="1">
      <c r="A58" s="2" t="str">
        <f>=HYPERLINK("https://applink.larksuite.com/client/mini_program/open?appId=cli_9c7cc8a9a9edd105&amp;mode=appCenter&amp;path_pc=pc/pages/requested/index?instanceId=7500592578849407007&amp;source=bitable&amp;path=pages/detail/index?instanceId=7500592578849407007&amp;source=bitable", "202505040030")</f>
        <v>202505040030</v>
      </c>
      <c r="B58" t="inlineStr">
        <is>
          <t>Recalled</t>
        </is>
      </c>
      <c r="C58" t="inlineStr">
        <is>
          <t>Procurement Order</t>
        </is>
      </c>
      <c r="D58" s="3">
        <v>45781.92358796296</v>
      </c>
      <c r="E58" s="3">
        <v>45782.40256944444</v>
      </c>
      <c r="F58" t="inlineStr">
        <is>
          <t>Fatima Kathleen M. FLores</t>
        </is>
      </c>
      <c r="G58" t="inlineStr">
        <is>
          <t>Procurement</t>
        </is>
      </c>
      <c r="H58"/>
      <c r="I58"/>
      <c r="J58" t="inlineStr">
        <is>
          <t>Project</t>
        </is>
      </c>
      <c r="K58" t="inlineStr">
        <is>
          <t>PDEI - Game Marketing</t>
        </is>
      </c>
      <c r="L58" t="inlineStr">
        <is>
          <t>Minotaur x Jollibee GameJoy Launch</t>
        </is>
      </c>
      <c r="M58" t="inlineStr">
        <is>
          <t>2025TEG-P0091</t>
        </is>
      </c>
      <c r="N58" t="inlineStr">
        <is>
          <t>Duane Aaron Baret Cadangan</t>
        </is>
      </c>
      <c r="O58" t="inlineStr">
        <is>
          <t>202505030011-Duane Aaron Baret Cadangan-费用报销 - 副本 - 副本 - 副本-2025-05-03 10:01:16</t>
        </is>
      </c>
      <c r="P58" t="inlineStr">
        <is>
          <t>NO</t>
        </is>
      </c>
      <c r="Q58"/>
      <c r="R58" t="inlineStr">
        <is>
          <t>YES</t>
        </is>
      </c>
      <c r="S58" t="inlineStr">
        <is>
          <t>Rental of P2.5 Indoor Led Poster</t>
        </is>
      </c>
      <c r="T58">
        <v>1</v>
      </c>
      <c r="U58">
        <v>11200</v>
      </c>
      <c r="V58" t="inlineStr">
        <is>
          <t>PHP</t>
        </is>
      </c>
      <c r="W58">
        <v>11200</v>
      </c>
      <c r="X58" s="2" t="str">
        <f>=HYPERLINK("https://www.larksuite.com/approval/admin/previewAttachment?key=PMgxDgIxEAPAL3k33jjmMzScIpByFTq6vB2Jgnb6CPRR0bpBRxqxVUA5S2PQhADt3CEZiu7cxznvq9apdeFqL0we-_N8zOMdZWVCjWwDQNz-3kTS7sTP8Q0AAP__", "2 attachment(s)")</f>
        <v>2 attachment(s)</v>
      </c>
      <c r="Y58" t="inlineStr">
        <is>
          <t>Bank Transfer</t>
        </is>
      </c>
      <c r="Z58" t="inlineStr">
        <is>
          <t>Mediacast Digital Group Incorporated</t>
        </is>
      </c>
      <c r="AA58" t="inlineStr">
        <is>
          <t>0000-1018-7650</t>
        </is>
      </c>
      <c r="AB58" t="inlineStr">
        <is>
          <t>BDO</t>
        </is>
      </c>
      <c r="AC58" t="inlineStr">
        <is>
          <t>60 Kundiman St., Brgy. Paltok, SFDM, Quezon City</t>
        </is>
      </c>
      <c r="AD58" s="4">
        <v>45782</v>
      </c>
      <c r="AE58" t="inlineStr">
        <is>
          <t>100% Full Payment before pick-up of item
NOTE: LED POSTER MUST BE RETURNED BY MAY 6, 2025 BEFORE 10AM TO AVOID ADDITIONAL CHARGES</t>
        </is>
      </c>
      <c r="AF58" s="2"/>
      <c r="AG58" t="inlineStr">
        <is>
          <t>NzQyNTk5MTgyNzQ4MTg3MDM0MTo0NUI3OEVFRS0zRjFGLTQxRUEtOEUzOC1DNUVDMUU5Mjk3QjItMTpkNjBlYjYyMzAyOGM1N2I3ZjhhN2E2OWIzODkzMjI4MTox</t>
        </is>
      </c>
      <c r="AH58"/>
      <c r="AI58"/>
      <c r="AJ58"/>
      <c r="AK58"/>
    </row>
    <row r="59" ht="25.5" customHeight="1">
      <c r="A59" s="2" t="str">
        <f>=HYPERLINK("https://applink.larksuite.com/client/mini_program/open?appId=cli_9c7cc8a9a9edd105&amp;mode=appCenter&amp;path_pc=pc/pages/requested/index?instanceId=7500771695712534566&amp;source=bitable&amp;path=pages/detail/index?instanceId=7500771695712534566&amp;source=bitable", "202505050006")</f>
        <v>202505050006</v>
      </c>
      <c r="B59" t="inlineStr">
        <is>
          <t>Recalled</t>
        </is>
      </c>
      <c r="C59" t="inlineStr">
        <is>
          <t>Procurement Order</t>
        </is>
      </c>
      <c r="D59" s="3">
        <v>45782.406273148146</v>
      </c>
      <c r="E59" s="3">
        <v>45782.597337962965</v>
      </c>
      <c r="F59" t="inlineStr">
        <is>
          <t>Fatima Kathleen M. FLores</t>
        </is>
      </c>
      <c r="G59" t="inlineStr">
        <is>
          <t>Procurement</t>
        </is>
      </c>
      <c r="H59"/>
      <c r="I59"/>
      <c r="J59" t="inlineStr">
        <is>
          <t>Project</t>
        </is>
      </c>
      <c r="K59" t="inlineStr">
        <is>
          <t>PDEI - Game Marketing</t>
        </is>
      </c>
      <c r="L59" t="inlineStr">
        <is>
          <t>Minotaur x Jollibee GameJoy Launch</t>
        </is>
      </c>
      <c r="M59" t="inlineStr">
        <is>
          <t>2025TEG-P0091</t>
        </is>
      </c>
      <c r="N59" t="inlineStr">
        <is>
          <t>Duane Aaron Baret Cadangan</t>
        </is>
      </c>
      <c r="O59" t="inlineStr">
        <is>
          <t>202505030011-Duane Aaron Baret Cadangan-费用报销 - 副本 - 副本 - 副本-2025-05-03 10:01:16</t>
        </is>
      </c>
      <c r="P59" t="inlineStr">
        <is>
          <t>NO</t>
        </is>
      </c>
      <c r="Q59"/>
      <c r="R59" t="inlineStr">
        <is>
          <t>YES</t>
        </is>
      </c>
      <c r="S59" t="inlineStr">
        <is>
          <t>Indoor DigiPoster</t>
        </is>
      </c>
      <c r="T59">
        <v>1</v>
      </c>
      <c r="U59">
        <v>13500</v>
      </c>
      <c r="V59" t="inlineStr">
        <is>
          <t>PHP</t>
        </is>
      </c>
      <c r="W59">
        <v>13500</v>
      </c>
      <c r="X59" s="2" t="str">
        <f>=HYPERLINK("https://www.larksuite.com/approval/admin/previewAttachment?key=PMg9CsJAEAXgK703vztexsYQJBJYEBabObtokfaLQcRwahSsKAV2OpDJKE-Kq3lESzOz8FPt7dzviy-ZsuT4rMPm2ev52Lc3vVIEqWY6APB2uaaZVYXh7_gGAAD__w", "2 attachment(s)")</f>
        <v>2 attachment(s)</v>
      </c>
      <c r="Y59" t="inlineStr">
        <is>
          <t>Bank Transfer</t>
        </is>
      </c>
      <c r="Z59" t="inlineStr">
        <is>
          <t>AVOLUTION INC</t>
        </is>
      </c>
      <c r="AA59" t="inlineStr">
        <is>
          <t>006580056877</t>
        </is>
      </c>
      <c r="AB59" t="inlineStr">
        <is>
          <t>BDO</t>
        </is>
      </c>
      <c r="AC59" t="inlineStr">
        <is>
          <t>231 B. Padilla St., Brgy. Santa Lucia, San Juan City</t>
        </is>
      </c>
      <c r="AD59" s="4">
        <v>45782</v>
      </c>
      <c r="AE59" t="inlineStr">
        <is>
          <t>100% Full Payment before pick-up of item</t>
        </is>
      </c>
      <c r="AF59" s="2"/>
      <c r="AG59" t="inlineStr">
        <is>
          <t>NzQyNTk5MTgyNzQ4MTg3MDM0MTozOUMxQkVCNC05Q0E2LTQ1MEEtODE5OS05ODRCRDE2NzEyRkQtMToxZjA1OTRkMzI2ZjFjYTVlNDA5NTc1YzNkNzQ5MTY2MTox</t>
        </is>
      </c>
      <c r="AH59"/>
      <c r="AI59"/>
      <c r="AJ59"/>
      <c r="AK59"/>
    </row>
    <row r="60" ht="25.5" customHeight="1">
      <c r="A60" s="2" t="str">
        <f>=HYPERLINK("https://applink.larksuite.com/client/mini_program/open?appId=cli_9c7cc8a9a9edd105&amp;mode=appCenter&amp;path_pc=pc/pages/requested/index?instanceId=7500842785361133599&amp;source=bitable&amp;path=pages/detail/index?instanceId=7500842785361133599&amp;source=bitable", "202505050050")</f>
        <v>202505050050</v>
      </c>
      <c r="B60" t="inlineStr">
        <is>
          <t>Approved</t>
        </is>
      </c>
      <c r="C60" t="inlineStr">
        <is>
          <t>Procurement Order</t>
        </is>
      </c>
      <c r="D60" s="3">
        <v>45782.59784722222</v>
      </c>
      <c r="E60" s="3">
        <v>45783.6340162037</v>
      </c>
      <c r="F60" t="inlineStr">
        <is>
          <t>Fatima Kathleen M. FLores</t>
        </is>
      </c>
      <c r="G60" t="inlineStr">
        <is>
          <t>Procurement</t>
        </is>
      </c>
      <c r="H60"/>
      <c r="I60"/>
      <c r="J60" t="inlineStr">
        <is>
          <t>Project</t>
        </is>
      </c>
      <c r="K60" t="inlineStr">
        <is>
          <t>PDEI - Game Marketing</t>
        </is>
      </c>
      <c r="L60" t="inlineStr">
        <is>
          <t>Minotaur x Jollibee GameJoy Launch</t>
        </is>
      </c>
      <c r="M60" t="inlineStr">
        <is>
          <t>2025TEG-P0091</t>
        </is>
      </c>
      <c r="N60" t="inlineStr">
        <is>
          <t>Duane Aaron Baret Cadangan</t>
        </is>
      </c>
      <c r="O60" t="inlineStr">
        <is>
          <t>202505030011-Duane Aaron Baret Cadangan-费用报销 - 副本 - 副本 - 副本-2025-05-03 10:01:16</t>
        </is>
      </c>
      <c r="P60" t="inlineStr">
        <is>
          <t>NO</t>
        </is>
      </c>
      <c r="Q60"/>
      <c r="R60" t="inlineStr">
        <is>
          <t>YES</t>
        </is>
      </c>
      <c r="S60" t="inlineStr">
        <is>
          <t>Indoor DigiPoster</t>
        </is>
      </c>
      <c r="T60">
        <v>1</v>
      </c>
      <c r="U60">
        <v>14000</v>
      </c>
      <c r="V60" t="inlineStr">
        <is>
          <t>PHP</t>
        </is>
      </c>
      <c r="W60">
        <v>14000</v>
      </c>
      <c r="X60" s="2" t="str">
        <f>=HYPERLINK("https://www.larksuite.com/approval/admin/previewAttachment?key=PMg5CgJBFATQK1X1X8vLmNgMLkwkKhP02QUD05dNZActBReHwFUBtI_qsCTNQlpjsUoopsaa-3Z-Hb3H_fhM6lF1W-_rZZtPhmoMlLlbA-Dp71buLqXj5_gGAAD__w", "2 attachment(s)")</f>
        <v>2 attachment(s)</v>
      </c>
      <c r="Y60" t="inlineStr">
        <is>
          <t>Bank Transfer</t>
        </is>
      </c>
      <c r="Z60" t="inlineStr">
        <is>
          <t>AVOLUTION INC</t>
        </is>
      </c>
      <c r="AA60" t="inlineStr">
        <is>
          <t>006580056877</t>
        </is>
      </c>
      <c r="AB60" t="inlineStr">
        <is>
          <t>BDO</t>
        </is>
      </c>
      <c r="AC60" t="inlineStr">
        <is>
          <t>231 B. Padilla St., Brgy. Santa Lucia, San Juan City</t>
        </is>
      </c>
      <c r="AD60" s="4">
        <v>45782</v>
      </c>
      <c r="AE60" t="inlineStr">
        <is>
          <t>100% Full Payment before pick-up of item</t>
        </is>
      </c>
      <c r="AF60" s="2"/>
      <c r="AG60" t="inlineStr">
        <is>
          <t>NzQyNTk5MTgyNzQ4MTg3MDM0MTo1RDA3MDREQy1GMUE2LTRFMEQtQkRCMS02OUUyODdFQzRCNzMtMTo2Y2Q3MDA5NTZjMjlmZDUzNjQxNTE3ZTA3NzdkNmIyODox</t>
        </is>
      </c>
      <c r="AH60"/>
      <c r="AI60"/>
      <c r="AJ60"/>
      <c r="AK60"/>
    </row>
    <row r="61" ht="25.5" customHeight="1">
      <c r="A61" s="2" t="str">
        <f>=HYPERLINK("https://applink.larksuite.com/client/mini_program/open?appId=cli_9c7cc8a9a9edd105&amp;mode=appCenter&amp;path_pc=pc/pages/requested/index?instanceId=7506010480402612255&amp;source=bitable&amp;path=pages/detail/index?instanceId=7506010480402612255&amp;source=bitable", "202505190014")</f>
        <v>202505190014</v>
      </c>
      <c r="B61" t="inlineStr">
        <is>
          <t>Approved</t>
        </is>
      </c>
      <c r="C61" t="inlineStr">
        <is>
          <t>Procurement Order</t>
        </is>
      </c>
      <c r="D61" s="3">
        <v>45796.52373842592</v>
      </c>
      <c r="E61" s="3">
        <v>45799.57871527778</v>
      </c>
      <c r="F61" t="inlineStr">
        <is>
          <t>Fatima Kathleen M. FLores</t>
        </is>
      </c>
      <c r="G61" t="inlineStr">
        <is>
          <t>Procurement</t>
        </is>
      </c>
      <c r="H61"/>
      <c r="I61"/>
      <c r="J61" t="inlineStr">
        <is>
          <t>Project</t>
        </is>
      </c>
      <c r="K61" t="inlineStr">
        <is>
          <t>PDEI - Game Marketing</t>
        </is>
      </c>
      <c r="L61" t="inlineStr">
        <is>
          <t>Minotaur x Jollibee GameJoy Launch</t>
        </is>
      </c>
      <c r="M61" t="inlineStr">
        <is>
          <t>2025TEG-P0091</t>
        </is>
      </c>
      <c r="N61" t="inlineStr">
        <is>
          <t>Duane Aaron Baret Cadangan</t>
        </is>
      </c>
      <c r="O61" t="inlineStr">
        <is>
          <t>202504100083-Duane Aaron Baret Cadangan-费用报销 - 副本 - 副本 - 副本-2025-04-10 12:15:10</t>
        </is>
      </c>
      <c r="P61" t="inlineStr">
        <is>
          <t>YES</t>
        </is>
      </c>
      <c r="Q61"/>
      <c r="R61" t="inlineStr">
        <is>
          <t>YES</t>
        </is>
      </c>
      <c r="S61" t="inlineStr">
        <is>
          <t>Outsourced CG Operator / Asst. Director</t>
        </is>
      </c>
      <c r="T61">
        <v>1</v>
      </c>
      <c r="U61">
        <v>10000</v>
      </c>
      <c r="V61" t="inlineStr">
        <is>
          <t>PHP</t>
        </is>
      </c>
      <c r="W61">
        <v>10000</v>
      </c>
      <c r="X61" s="2" t="str">
        <f>=HYPERLINK("https://www.larksuite.com/approval/admin/previewAttachment?key=PMg9CsJAEAXgK703vztexsawiFkhIKjNnF2wSPvFIGI4NQpWlAI7HQHCBgwSFHFvaWYWklHR23Nej4fK-nxzx9qPNft9v83tRa8UQaqZDgC8nK5pZlVh-Dt-AQAA__8", "2 attachment(s)")</f>
        <v>2 attachment(s)</v>
      </c>
      <c r="Y61" t="inlineStr">
        <is>
          <t>Bank Transfer</t>
        </is>
      </c>
      <c r="Z61" t="inlineStr">
        <is>
          <t>Mark Noel Alcaraz</t>
        </is>
      </c>
      <c r="AA61" t="inlineStr">
        <is>
          <t>003520333729</t>
        </is>
      </c>
      <c r="AB61" t="inlineStr">
        <is>
          <t>BDO</t>
        </is>
      </c>
      <c r="AC61" t="inlineStr">
        <is>
          <t>045 Bancal Meycauayan Bulacan</t>
        </is>
      </c>
      <c r="AD61" s="4">
        <v>45782</v>
      </c>
      <c r="AE61" t="inlineStr">
        <is>
          <t>100% Full Payment - May 16, 2025</t>
        </is>
      </c>
      <c r="AF61" s="2"/>
      <c r="AG61" t="inlineStr">
        <is>
          <t>NzQyNTk5MTgyNzQ4MTg3MDM0MTpERTExQTU0MS04QTUwLTRERDYtQUI4Ny04NjVCQjlGNkRGOUMtMTpkOTU5Y2EyOGFiZTNmNzBkMjgzZjIxZjNkYzI3MzQ1OTox</t>
        </is>
      </c>
      <c r="AH61"/>
      <c r="AI61"/>
      <c r="AJ61"/>
      <c r="AK61"/>
    </row>
    <row r="62" ht="25.5" customHeight="1">
      <c r="A62" s="2" t="str">
        <f>=HYPERLINK("https://applink.larksuite.com/client/mini_program/open?appId=cli_9c7cc8a9a9edd105&amp;mode=appCenter&amp;path_pc=pc/pages/requested/index?instanceId=7506015304749727775&amp;source=bitable&amp;path=pages/detail/index?instanceId=7506015304749727775&amp;source=bitable", "202505190018")</f>
        <v>202505190018</v>
      </c>
      <c r="B62" t="inlineStr">
        <is>
          <t>Approved</t>
        </is>
      </c>
      <c r="C62" t="inlineStr">
        <is>
          <t>Procurement Order</t>
        </is>
      </c>
      <c r="D62" s="3">
        <v>45796.53673611111</v>
      </c>
      <c r="E62" s="3">
        <v>45799.42886574074</v>
      </c>
      <c r="F62" t="inlineStr">
        <is>
          <t>Fatima Kathleen M. FLores</t>
        </is>
      </c>
      <c r="G62" t="inlineStr">
        <is>
          <t>Procurement</t>
        </is>
      </c>
      <c r="H62"/>
      <c r="I62"/>
      <c r="J62" t="inlineStr">
        <is>
          <t>Project</t>
        </is>
      </c>
      <c r="K62" t="inlineStr">
        <is>
          <t>PDEI - Event Service</t>
        </is>
      </c>
      <c r="L62" t="inlineStr">
        <is>
          <t>SM Cyberzone Game Fest</t>
        </is>
      </c>
      <c r="M62" t="inlineStr">
        <is>
          <t>2025TEG-P0082</t>
        </is>
      </c>
      <c r="N62" t="inlineStr">
        <is>
          <t>Anteaus Villena</t>
        </is>
      </c>
      <c r="O62" t="inlineStr">
        <is>
          <t>202504210049-Anteaus Villena-费用报销 - 副本 - 副本 - 副本-2025-04-21 08:07:40</t>
        </is>
      </c>
      <c r="P62" t="inlineStr">
        <is>
          <t>YES</t>
        </is>
      </c>
      <c r="Q62"/>
      <c r="R62" t="inlineStr">
        <is>
          <t>YES</t>
        </is>
      </c>
      <c r="S62" t="inlineStr">
        <is>
          <t>Outsourced IT (SM Clark &amp; Dasma)</t>
        </is>
      </c>
      <c r="T62">
        <v>1</v>
      </c>
      <c r="U62">
        <v>6680</v>
      </c>
      <c r="V62" t="inlineStr">
        <is>
          <t>PHP</t>
        </is>
      </c>
      <c r="W62">
        <v>6680</v>
      </c>
      <c r="X62" s="2" t="str">
        <f>=HYPERLINK("https://www.larksuite.com/approval/admin/previewAttachment?key=PMhBCgIxDAXQK_2kaX6_l3HTMkhBEGRml7MLLmb7chhydGsphMwFK3YkrDcEQ3SSvbyMFGiprPU-nn6NufjRPufecdb1msf6WhfdwRbRBgB73N4YEVIG_o5fAAAA__8", "2 attachment(s)")</f>
        <v>2 attachment(s)</v>
      </c>
      <c r="Y62" t="inlineStr">
        <is>
          <t>Bank Transfer</t>
        </is>
      </c>
      <c r="Z62" t="inlineStr">
        <is>
          <t>Jay Laurence Francisco</t>
        </is>
      </c>
      <c r="AA62" t="inlineStr">
        <is>
          <t>09275444740</t>
        </is>
      </c>
      <c r="AB62" t="inlineStr">
        <is>
          <t>GCash</t>
        </is>
      </c>
      <c r="AC62" t="inlineStr">
        <is>
          <t>45 Zamora Compound, Banaba San Mateo Rizal</t>
        </is>
      </c>
      <c r="AD62" s="4">
        <v>45780</v>
      </c>
      <c r="AE62" t="inlineStr">
        <is>
          <t>1st Payment - May 16, 2025
Final Payment - May 30, 2025</t>
        </is>
      </c>
      <c r="AF62" s="2"/>
      <c r="AG62" t="inlineStr">
        <is>
          <t>NzQyNTk5MTgyNzQ4MTg3MDM0MTo2Mjg5QjJENC0xQTFBLTQ3QkQtOTUzRS1ENTZGNDNBQ0JDNjAtMTpmOGFiZGM1OTk1ZDkwZmQ4Y2UzZDMwZmFmNWY5MTkzNTox</t>
        </is>
      </c>
      <c r="AH62"/>
      <c r="AI62"/>
      <c r="AJ62"/>
      <c r="AK62"/>
    </row>
    <row r="63" ht="25.5" customHeight="1">
      <c r="A63" s="2" t="str">
        <f>=HYPERLINK("https://applink.larksuite.com/client/mini_program/open?appId=cli_9c7cc8a9a9edd105&amp;mode=appCenter&amp;path_pc=pc/pages/requested/index?instanceId=7506019185902796832&amp;source=bitable&amp;path=pages/detail/index?instanceId=7506019185902796832&amp;source=bitable", "202505190022")</f>
        <v>202505190022</v>
      </c>
      <c r="B63" t="inlineStr">
        <is>
          <t>Approved</t>
        </is>
      </c>
      <c r="C63" t="inlineStr">
        <is>
          <t>Procurement Order</t>
        </is>
      </c>
      <c r="D63" s="3">
        <v>45796.54719907408</v>
      </c>
      <c r="E63" s="3">
        <v>45799.42800925926</v>
      </c>
      <c r="F63" t="inlineStr">
        <is>
          <t>Fatima Kathleen M. FLores</t>
        </is>
      </c>
      <c r="G63" t="inlineStr">
        <is>
          <t>Procurement</t>
        </is>
      </c>
      <c r="H63"/>
      <c r="I63"/>
      <c r="J63" t="inlineStr">
        <is>
          <t>Project</t>
        </is>
      </c>
      <c r="K63" t="inlineStr">
        <is>
          <t>PDEI - Event Service</t>
        </is>
      </c>
      <c r="L63" t="inlineStr">
        <is>
          <t>SM Cyberzone Game Fest</t>
        </is>
      </c>
      <c r="M63" t="inlineStr">
        <is>
          <t>2025TEG-P0082</t>
        </is>
      </c>
      <c r="N63" t="inlineStr">
        <is>
          <t>Anteaus Villena</t>
        </is>
      </c>
      <c r="O63" t="inlineStr">
        <is>
          <t>202504210049-Anteaus Villena-费用报销 - 副本 - 副本 - 副本-2025-04-21 08:07:40</t>
        </is>
      </c>
      <c r="P63" t="inlineStr">
        <is>
          <t>YES</t>
        </is>
      </c>
      <c r="Q63"/>
      <c r="R63" t="inlineStr">
        <is>
          <t>YES</t>
        </is>
      </c>
      <c r="S63" t="inlineStr">
        <is>
          <t>Outsourced IT (SM Clark &amp; Dasma)</t>
        </is>
      </c>
      <c r="T63">
        <v>1</v>
      </c>
      <c r="U63">
        <v>6680</v>
      </c>
      <c r="V63" t="inlineStr">
        <is>
          <t>PHP</t>
        </is>
      </c>
      <c r="W63">
        <v>6680</v>
      </c>
      <c r="X63" s="2" t="str">
        <f>=HYPERLINK("https://www.larksuite.com/approval/admin/previewAttachment?key=PMgxCkJBDATQK80k2WTHy9i4LCIIgvDRImcXLH77chI5Bz2FEE1g10CC4hyClXK6tTWrhGIqez33dbl91ndL-7HiePVxv-315lCZoTzCJwBeTveKCCkDf8cvAAD__w", "2 attachment(s)")</f>
        <v>2 attachment(s)</v>
      </c>
      <c r="Y63" t="inlineStr">
        <is>
          <t>Bank Transfer</t>
        </is>
      </c>
      <c r="Z63" t="inlineStr">
        <is>
          <t>Gabrielle Sotto</t>
        </is>
      </c>
      <c r="AA63" t="inlineStr">
        <is>
          <t>10631761247</t>
        </is>
      </c>
      <c r="AB63" t="inlineStr">
        <is>
          <t>Seabank</t>
        </is>
      </c>
      <c r="AC63" t="inlineStr">
        <is>
          <t>Sta. maria phase 2 Banaba, San mateo, Rizal</t>
        </is>
      </c>
      <c r="AD63" s="4">
        <v>45780</v>
      </c>
      <c r="AE63" t="inlineStr">
        <is>
          <t>1st Payment - May 16, 2025
Final Payment - May 30, 2025</t>
        </is>
      </c>
      <c r="AF63" s="2"/>
      <c r="AG63" t="inlineStr">
        <is>
          <t>NzQyNTk5MTgyNzQ4MTg3MDM0MTpCMEQyRUY0MS1DNDRGLTQ2NTctQTdDOS0wQzM1RTY0NzE4N0QtMTpkM2FiNmFhYTMxM2Y1MGRjOGEyZDVkMThjZTY4MWM3NDox</t>
        </is>
      </c>
      <c r="AH63"/>
      <c r="AI63"/>
      <c r="AJ63"/>
      <c r="AK63"/>
    </row>
    <row r="64" ht="25.5" customHeight="1">
      <c r="A64" s="2" t="str">
        <f>=HYPERLINK("https://applink.larksuite.com/client/mini_program/open?appId=cli_9c7cc8a9a9edd105&amp;mode=appCenter&amp;path_pc=pc/pages/requested/index?instanceId=7506053612125077543&amp;source=bitable&amp;path=pages/detail/index?instanceId=7506053612125077543&amp;source=bitable", "202505190057")</f>
        <v>202505190057</v>
      </c>
      <c r="B64" t="inlineStr">
        <is>
          <t>Approved</t>
        </is>
      </c>
      <c r="C64" t="inlineStr">
        <is>
          <t>Procurement Order</t>
        </is>
      </c>
      <c r="D64" s="3">
        <v>45796.63997685185</v>
      </c>
      <c r="E64" s="3">
        <v>45800.72673611111</v>
      </c>
      <c r="F64" t="inlineStr">
        <is>
          <t>Fatima Kathleen M. FLores</t>
        </is>
      </c>
      <c r="G64" t="inlineStr">
        <is>
          <t>Procurement</t>
        </is>
      </c>
      <c r="H64"/>
      <c r="I64"/>
      <c r="J64" t="inlineStr">
        <is>
          <t>GAE</t>
        </is>
      </c>
      <c r="K64"/>
      <c r="L64"/>
      <c r="M64"/>
      <c r="N64"/>
      <c r="O64" t="inlineStr">
        <is>
          <t>202504300041-Madelyn Espanto-费用报销 - 副本 - 副本 - 副本-2025-04-30 08:30:11</t>
        </is>
      </c>
      <c r="P64"/>
      <c r="Q64" t="inlineStr">
        <is>
          <t>Mineski PH</t>
        </is>
      </c>
      <c r="R64"/>
      <c r="S64" t="inlineStr">
        <is>
          <t>Repair Works (Relocation of lobby glass door)</t>
        </is>
      </c>
      <c r="T64">
        <v>1</v>
      </c>
      <c r="U64">
        <v>86700</v>
      </c>
      <c r="V64" t="inlineStr">
        <is>
          <t>PHP</t>
        </is>
      </c>
      <c r="W64">
        <v>86700</v>
      </c>
      <c r="X64" s="2" t="str">
        <f>=HYPERLINK("https://www.larksuite.com/approval/admin/previewAttachment?key=PMg7CsJgEATgK83sa_71MjYJQZBUomCxZxcs0n61iFpJr0Y0rcFRopBeNFpCyvCxodQQq2v287ivWPza-Yzt3QnN57Ed-4vZMoM8whcA3i53RUR3Bf6OXwAAAP__", "2 attachment(s)")</f>
        <v>2 attachment(s)</v>
      </c>
      <c r="Y64" t="inlineStr">
        <is>
          <t>Bank Transfer</t>
        </is>
      </c>
      <c r="Z64" t="inlineStr">
        <is>
          <t>Jonathan Reyes</t>
        </is>
      </c>
      <c r="AA64" t="inlineStr">
        <is>
          <t>008480110703</t>
        </is>
      </c>
      <c r="AB64" t="inlineStr">
        <is>
          <t>BDO</t>
        </is>
      </c>
      <c r="AC64" t="inlineStr">
        <is>
          <t>Quezon City</t>
        </is>
      </c>
      <c r="AD64" s="4">
        <v>45794</v>
      </c>
      <c r="AE64" t="inlineStr">
        <is>
          <t>80% Down Payment upon confirmation
20% Final payment upon completion of services</t>
        </is>
      </c>
      <c r="AF64" s="2"/>
      <c r="AG64" t="inlineStr">
        <is>
          <t>NzQyNTk5MTgyNzQ4MTg3MDM0MTpENEExMUJFMi00QzEwLTQwQTQtOTgxMS04OUU4QjBDRUU3NTktMToyOTRjOWUzNWQwYzhjNWFkZDgxNGJiZTYyNjZiMzA3Yjox</t>
        </is>
      </c>
      <c r="AH64"/>
      <c r="AI64"/>
      <c r="AJ64"/>
      <c r="AK64"/>
    </row>
    <row r="65" ht="25.5" customHeight="1">
      <c r="A65" s="2" t="str">
        <f>=HYPERLINK("https://applink.larksuite.com/client/mini_program/open?appId=cli_9c7cc8a9a9edd105&amp;mode=appCenter&amp;path_pc=pc/pages/requested/index?instanceId=7506795526763954215&amp;source=bitable&amp;path=pages/detail/index?instanceId=7506795526763954215&amp;source=bitable", "202505210075")</f>
        <v>202505210075</v>
      </c>
      <c r="B65" t="inlineStr">
        <is>
          <t>Approved</t>
        </is>
      </c>
      <c r="C65" t="inlineStr">
        <is>
          <t>Procurement Order</t>
        </is>
      </c>
      <c r="D65" s="3">
        <v>45798.63928240741</v>
      </c>
      <c r="E65" s="3">
        <v>45799.747152777774</v>
      </c>
      <c r="F65" t="inlineStr">
        <is>
          <t>Fatima Kathleen M. FLores</t>
        </is>
      </c>
      <c r="G65" t="inlineStr">
        <is>
          <t>Procurement</t>
        </is>
      </c>
      <c r="H65"/>
      <c r="I65"/>
      <c r="J65" t="inlineStr">
        <is>
          <t>Project</t>
        </is>
      </c>
      <c r="K65" t="inlineStr">
        <is>
          <t>PDEI - Game Marketing</t>
        </is>
      </c>
      <c r="L65" t="inlineStr">
        <is>
          <t>realme Cup</t>
        </is>
      </c>
      <c r="M65" t="inlineStr">
        <is>
          <t>2025TEG-P0094</t>
        </is>
      </c>
      <c r="N65" t="inlineStr">
        <is>
          <t>Anteaus Villena</t>
        </is>
      </c>
      <c r="O65" t="inlineStr">
        <is>
          <t>202505050016-Anteaus Villena-费用报销 - 副本 - 副本 - 副本-2025-05-05 03:09:57</t>
        </is>
      </c>
      <c r="P65" t="inlineStr">
        <is>
          <t>YES</t>
        </is>
      </c>
      <c r="Q65"/>
      <c r="R65" t="inlineStr">
        <is>
          <t>YES</t>
        </is>
      </c>
      <c r="S65" t="inlineStr">
        <is>
          <t>Outsourced CG/Director</t>
        </is>
      </c>
      <c r="T65">
        <v>1</v>
      </c>
      <c r="U65">
        <v>14000</v>
      </c>
      <c r="V65" t="inlineStr">
        <is>
          <t>PHP</t>
        </is>
      </c>
      <c r="W65">
        <v>14000</v>
      </c>
      <c r="X65" s="2" t="str">
        <f>=HYPERLINK("https://www.larksuite.com/approval/admin/previewAttachment?key=PMg7CsIAEATQK81-J-NlbAxBJUkjCBZ7dsHC9vVi6KUsWkiZCzYsNFXlzQ5VutX4GCnQWj3rsV2fh8T9jMInHvs57_ttW19WojsYmbEAsMvfg5kpdeLn-AYAAP__", "2 attachment(s)")</f>
        <v>2 attachment(s)</v>
      </c>
      <c r="Y65" t="inlineStr">
        <is>
          <t>Bank Transfer</t>
        </is>
      </c>
      <c r="Z65" t="inlineStr">
        <is>
          <t>Remar John Bayona</t>
        </is>
      </c>
      <c r="AA65" t="inlineStr">
        <is>
          <t>09458591894</t>
        </is>
      </c>
      <c r="AB65" t="inlineStr">
        <is>
          <t>GCash</t>
        </is>
      </c>
      <c r="AC65" t="inlineStr">
        <is>
          <t>Puntales Road,Concepcion,Iloilo</t>
        </is>
      </c>
      <c r="AD65" s="4">
        <v>45782</v>
      </c>
      <c r="AE65" t="inlineStr">
        <is>
          <t>100% Final Payment - May 23, 2025</t>
        </is>
      </c>
      <c r="AF65" s="2"/>
      <c r="AG65" t="inlineStr">
        <is>
          <t>NzQyNTk5MTgyNzQ4MTg3MDM0MTpFMTlDODlFRi1FNTU3LTRFNEYtQTdFRS0zQkVDNzhBMDI3NUEtMTphMThiM2U2Y2QzMTQwNDc2NTFjZjQxY2IxM2JjYzBmNTox</t>
        </is>
      </c>
      <c r="AH65"/>
      <c r="AI65"/>
      <c r="AJ65"/>
      <c r="AK65"/>
    </row>
    <row r="66" ht="25.5" customHeight="1">
      <c r="A66" s="2" t="str">
        <f>=HYPERLINK("https://applink.larksuite.com/client/mini_program/open?appId=cli_9c7cc8a9a9edd105&amp;mode=appCenter&amp;path_pc=pc/pages/requested/index?instanceId=7506797018270973984&amp;source=bitable&amp;path=pages/detail/index?instanceId=7506797018270973984&amp;source=bitable", "202505210076")</f>
        <v>202505210076</v>
      </c>
      <c r="B66" t="inlineStr">
        <is>
          <t>Approved</t>
        </is>
      </c>
      <c r="C66" t="inlineStr">
        <is>
          <t>Procurement Order</t>
        </is>
      </c>
      <c r="D66" s="3">
        <v>45798.64329861111</v>
      </c>
      <c r="E66" s="3">
        <v>45799.7487962963</v>
      </c>
      <c r="F66" t="inlineStr">
        <is>
          <t>Fatima Kathleen M. FLores</t>
        </is>
      </c>
      <c r="G66" t="inlineStr">
        <is>
          <t>Procurement</t>
        </is>
      </c>
      <c r="H66"/>
      <c r="I66"/>
      <c r="J66" t="inlineStr">
        <is>
          <t>Project</t>
        </is>
      </c>
      <c r="K66" t="inlineStr">
        <is>
          <t>PDEI - Game Marketing</t>
        </is>
      </c>
      <c r="L66" t="inlineStr">
        <is>
          <t>realme Cup</t>
        </is>
      </c>
      <c r="M66" t="inlineStr">
        <is>
          <t>2025TEG-P0094</t>
        </is>
      </c>
      <c r="N66" t="inlineStr">
        <is>
          <t>Anteaus Villena</t>
        </is>
      </c>
      <c r="O66" t="inlineStr">
        <is>
          <t>202505050016-Anteaus Villena-费用报销 - 副本 - 副本 - 副本-2025-05-05 03:09:57</t>
        </is>
      </c>
      <c r="P66" t="inlineStr">
        <is>
          <t>YES</t>
        </is>
      </c>
      <c r="Q66"/>
      <c r="R66" t="inlineStr">
        <is>
          <t>YES</t>
        </is>
      </c>
      <c r="S66" t="inlineStr">
        <is>
          <t>Outsourced Game Observer</t>
        </is>
      </c>
      <c r="T66">
        <v>1</v>
      </c>
      <c r="U66">
        <v>4250</v>
      </c>
      <c r="V66" t="inlineStr">
        <is>
          <t>PHP</t>
        </is>
      </c>
      <c r="W66">
        <v>4250</v>
      </c>
      <c r="X66" s="2" t="str">
        <f>=HYPERLINK("https://www.larksuite.com/approval/admin/previewAttachment?key=PMhBqgJBDATQK1XS6VTqX-ZvuhlkZEAQ3eXsggu3L8uQNW2kEDIXrDmRFGHlhDhU0d5GCrRU9r6O__OSiPt-rPXyOPt9W8d-2hTdwRExCoD9_XwwIqQMfB2fAAAA__8", "2 attachment(s)")</f>
        <v>2 attachment(s)</v>
      </c>
      <c r="Y66" t="inlineStr">
        <is>
          <t>Bank Transfer</t>
        </is>
      </c>
      <c r="Z66" t="inlineStr">
        <is>
          <t>John Mark Ramos</t>
        </is>
      </c>
      <c r="AA66" t="inlineStr">
        <is>
          <t>09472005353</t>
        </is>
      </c>
      <c r="AB66" t="inlineStr">
        <is>
          <t>GCash</t>
        </is>
      </c>
      <c r="AC66" t="inlineStr">
        <is>
          <t>Camella St. Patdu Compound South Green Heights Putatan Muntinlupa City</t>
        </is>
      </c>
      <c r="AD66" s="4">
        <v>45786</v>
      </c>
      <c r="AE66" t="inlineStr">
        <is>
          <t>100% Final Payment - May 23, 2025</t>
        </is>
      </c>
      <c r="AF66" s="2"/>
      <c r="AG66" t="inlineStr">
        <is>
          <t>NzQyNTk5MTgyNzQ4MTg3MDM0MTo3OEQ5NkNBMS0yNTdDLTRFNjMtODE2MS1COEQ5NDdFQ0U1OUUtMTo4OTBlOGI2ZWE1YWMyZWUxNzU2OTYzMmFjZjRmNGQzOTox</t>
        </is>
      </c>
      <c r="AH66"/>
      <c r="AI66"/>
      <c r="AJ66"/>
      <c r="AK66"/>
    </row>
    <row r="67" ht="25.5" customHeight="1">
      <c r="A67" s="2" t="str">
        <f>=HYPERLINK("https://applink.larksuite.com/client/mini_program/open?appId=cli_9c7cc8a9a9edd105&amp;mode=appCenter&amp;path_pc=pc/pages/requested/index?instanceId=7506798800682385446&amp;source=bitable&amp;path=pages/detail/index?instanceId=7506798800682385446&amp;source=bitable", "202505210077")</f>
        <v>202505210077</v>
      </c>
      <c r="B67" t="inlineStr">
        <is>
          <t>Approved</t>
        </is>
      </c>
      <c r="C67" t="inlineStr">
        <is>
          <t>Procurement Order</t>
        </is>
      </c>
      <c r="D67" s="3">
        <v>45798.64810185185</v>
      </c>
      <c r="E67" s="3">
        <v>45799.749398148146</v>
      </c>
      <c r="F67" t="inlineStr">
        <is>
          <t>Fatima Kathleen M. FLores</t>
        </is>
      </c>
      <c r="G67" t="inlineStr">
        <is>
          <t>Procurement</t>
        </is>
      </c>
      <c r="H67"/>
      <c r="I67"/>
      <c r="J67" t="inlineStr">
        <is>
          <t>Project</t>
        </is>
      </c>
      <c r="K67" t="inlineStr">
        <is>
          <t>PDEI - Game Marketing</t>
        </is>
      </c>
      <c r="L67" t="inlineStr">
        <is>
          <t>realme Cup</t>
        </is>
      </c>
      <c r="M67" t="inlineStr">
        <is>
          <t>2025TEG-P0094</t>
        </is>
      </c>
      <c r="N67" t="inlineStr">
        <is>
          <t>Anteaus Villena</t>
        </is>
      </c>
      <c r="O67" t="inlineStr">
        <is>
          <t>202505050016-Anteaus Villena-费用报销 - 副本 - 副本 - 副本-2025-05-05 03:09:57</t>
        </is>
      </c>
      <c r="P67" t="inlineStr">
        <is>
          <t>YES</t>
        </is>
      </c>
      <c r="Q67"/>
      <c r="R67" t="inlineStr">
        <is>
          <t>YES</t>
        </is>
      </c>
      <c r="S67" t="inlineStr">
        <is>
          <t>Outsourced Lead Stream Engineer</t>
        </is>
      </c>
      <c r="T67">
        <v>1</v>
      </c>
      <c r="U67">
        <v>5000</v>
      </c>
      <c r="V67" t="inlineStr">
        <is>
          <t>PHP</t>
        </is>
      </c>
      <c r="W67">
        <v>5000</v>
      </c>
      <c r="X67" s="2" t="str">
        <f>=HYPERLINK("https://www.larksuite.com/approval/admin/previewAttachment?key=PMgxCgJRDATQK01-8pMZL2PjsriFIoi7WuTsgoXtSxqS0zyFkA3BuiayRALJ4ZwR2aOtSihLZS-39fz6kMfjfd-OnbCt9-tlXZ42VWOgPMIJwE5_94oIKQM_xzcAAP__", "2 attachment(s)")</f>
        <v>2 attachment(s)</v>
      </c>
      <c r="Y67" t="inlineStr">
        <is>
          <t>Bank Transfer</t>
        </is>
      </c>
      <c r="Z67" t="inlineStr">
        <is>
          <t>Kyle Gloria Jimenez</t>
        </is>
      </c>
      <c r="AA67" t="inlineStr">
        <is>
          <t>4601-8600-5556-7392</t>
        </is>
      </c>
      <c r="AB67" t="inlineStr">
        <is>
          <t>GoTyme Bank</t>
        </is>
      </c>
      <c r="AC67" t="inlineStr">
        <is>
          <t>905-E Timog St, Brgy. Barangka Drive, Mandaluyong City</t>
        </is>
      </c>
      <c r="AD67" s="4">
        <v>45786</v>
      </c>
      <c r="AE67" t="inlineStr">
        <is>
          <t>100% Final Payment - May 23, 2025</t>
        </is>
      </c>
      <c r="AF67" s="2"/>
      <c r="AG67" t="inlineStr">
        <is>
          <t>NzQyNTk5MTgyNzQ4MTg3MDM0MTpCODA1QzU3Qy04MzZCLTQ1M0MtODZGQy1GNzI4MDkzOTlDQjgtMTo4NDc3NDI3NWNlMzBlYzljZmM2YWM3OGQ0MWE3MTg5MDox</t>
        </is>
      </c>
      <c r="AH67"/>
      <c r="AI67"/>
      <c r="AJ67"/>
      <c r="AK67"/>
    </row>
    <row r="68" ht="25.5" customHeight="1">
      <c r="A68" s="2" t="str">
        <f>=HYPERLINK("https://applink.larksuite.com/client/mini_program/open?appId=cli_9c7cc8a9a9edd105&amp;mode=appCenter&amp;path_pc=pc/pages/requested/index?instanceId=7506800521819340838&amp;source=bitable&amp;path=pages/detail/index?instanceId=7506800521819340838&amp;source=bitable", "202505210081")</f>
        <v>202505210081</v>
      </c>
      <c r="B68" t="inlineStr">
        <is>
          <t>Rejected</t>
        </is>
      </c>
      <c r="C68" t="inlineStr">
        <is>
          <t>Procurement Order</t>
        </is>
      </c>
      <c r="D68" s="3">
        <v>45798.65274305556</v>
      </c>
      <c r="E68" s="3">
        <v>45799.564837962964</v>
      </c>
      <c r="F68" t="inlineStr">
        <is>
          <t>Fatima Kathleen M. FLores</t>
        </is>
      </c>
      <c r="G68" t="inlineStr">
        <is>
          <t>Procurement</t>
        </is>
      </c>
      <c r="H68"/>
      <c r="I68"/>
      <c r="J68" t="inlineStr">
        <is>
          <t>Project</t>
        </is>
      </c>
      <c r="K68" t="inlineStr">
        <is>
          <t>PDEI - Game Marketing</t>
        </is>
      </c>
      <c r="L68" t="inlineStr">
        <is>
          <t>realme Cup</t>
        </is>
      </c>
      <c r="M68" t="inlineStr">
        <is>
          <t>2025TEG-P0094</t>
        </is>
      </c>
      <c r="N68" t="inlineStr">
        <is>
          <t>Anteaus Villena</t>
        </is>
      </c>
      <c r="O68" t="inlineStr">
        <is>
          <t>202505050016-Anteaus Villena-费用报销 - 副本 - 副本 - 副本-2025-05-05 03:09:57</t>
        </is>
      </c>
      <c r="P68" t="inlineStr">
        <is>
          <t>YES</t>
        </is>
      </c>
      <c r="Q68"/>
      <c r="R68" t="inlineStr">
        <is>
          <t>YES</t>
        </is>
      </c>
      <c r="S68" t="inlineStr">
        <is>
          <t>Outsourced Assistant Project Manager</t>
        </is>
      </c>
      <c r="T68">
        <v>1</v>
      </c>
      <c r="U68">
        <v>8000</v>
      </c>
      <c r="V68" t="inlineStr">
        <is>
          <t>PHP</t>
        </is>
      </c>
      <c r="W68">
        <v>8000</v>
      </c>
      <c r="X68" s="2" t="str">
        <f>=HYPERLINK("https://www.larksuite.com/approval/admin/previewAttachment?key=PMg5CsIAEAXQK_0_-3gZG0NwIZXEYDFnFyzSvigiyqnRsKY0OOmIAlxYbDWU1sgws5GMjlm29bp_q47Xc9v9kMzHfO63dXnTO0WQaqYFgJfTNc2sOwx_xy8AAP__", "2 attachment(s)")</f>
        <v>2 attachment(s)</v>
      </c>
      <c r="Y68" t="inlineStr">
        <is>
          <t>Bank Transfer</t>
        </is>
      </c>
      <c r="Z68" t="inlineStr">
        <is>
          <t>Jose Miguel Gatchalian</t>
        </is>
      </c>
      <c r="AA68" t="inlineStr">
        <is>
          <t>0586865032</t>
        </is>
      </c>
      <c r="AB68" t="inlineStr">
        <is>
          <t>BPI</t>
        </is>
      </c>
      <c r="AC68" t="inlineStr">
        <is>
          <t>#4 Edinburg Street, Greenland Phase 1, Nangka, Marikina City</t>
        </is>
      </c>
      <c r="AD68" s="4">
        <v>45786</v>
      </c>
      <c r="AE68" t="inlineStr">
        <is>
          <t>100% Final Payment - May 23, 2025</t>
        </is>
      </c>
      <c r="AF68" s="2"/>
      <c r="AG68" t="inlineStr">
        <is>
          <t>NzQyNTk5MTgyNzQ4MTg3MDM0MTo0NjA0N0REQi1BQTlELTQxQzYtOUJFOC0zMDdGRDU2NkVCMzEtMTpjZTQwNTAyNDMzNGI1MGEwNWU3ZTI1Nzk5ZjBhN2JiYzox</t>
        </is>
      </c>
      <c r="AH68"/>
      <c r="AI68"/>
      <c r="AJ68"/>
      <c r="AK68"/>
    </row>
    <row r="69" ht="25.5" customHeight="1">
      <c r="A69" s="2" t="str">
        <f>=HYPERLINK("https://applink.larksuite.com/client/mini_program/open?appId=cli_9c7cc8a9a9edd105&amp;mode=appCenter&amp;path_pc=pc/pages/requested/index?instanceId=7506808721398349863&amp;source=bitable&amp;path=pages/detail/index?instanceId=7506808721398349863&amp;source=bitable", "202505210087")</f>
        <v>202505210087</v>
      </c>
      <c r="B69" t="inlineStr">
        <is>
          <t>Approved</t>
        </is>
      </c>
      <c r="C69" t="inlineStr">
        <is>
          <t>Procurement Order</t>
        </is>
      </c>
      <c r="D69" s="3">
        <v>45798.674837962964</v>
      </c>
      <c r="E69" s="3">
        <v>45799.75278935185</v>
      </c>
      <c r="F69" t="inlineStr">
        <is>
          <t>Fatima Kathleen M. FLores</t>
        </is>
      </c>
      <c r="G69" t="inlineStr">
        <is>
          <t>Procurement</t>
        </is>
      </c>
      <c r="H69"/>
      <c r="I69"/>
      <c r="J69" t="inlineStr">
        <is>
          <t>Project</t>
        </is>
      </c>
      <c r="K69" t="inlineStr">
        <is>
          <t>PDEI - Event Service</t>
        </is>
      </c>
      <c r="L69" t="inlineStr">
        <is>
          <t>UAAP Esports S87</t>
        </is>
      </c>
      <c r="M69" t="inlineStr">
        <is>
          <t>2025TEG-P0068</t>
        </is>
      </c>
      <c r="N69" t="inlineStr">
        <is>
          <t>Frances Angelita Arreglado</t>
        </is>
      </c>
      <c r="O69" t="inlineStr">
        <is>
          <t>202505040004-Frances Angelita Arreglado-费用报销 - 副本 - 副本 - 副本-2025-05-04 07:30:04</t>
        </is>
      </c>
      <c r="P69" t="inlineStr">
        <is>
          <t>YES</t>
        </is>
      </c>
      <c r="Q69"/>
      <c r="R69" t="inlineStr">
        <is>
          <t>YES</t>
        </is>
      </c>
      <c r="S69" t="inlineStr">
        <is>
          <t>Outsourced Show Producer</t>
        </is>
      </c>
      <c r="T69">
        <v>1</v>
      </c>
      <c r="U69">
        <v>44444.44</v>
      </c>
      <c r="V69" t="inlineStr">
        <is>
          <t>PHP</t>
        </is>
      </c>
      <c r="W69">
        <v>44444.44</v>
      </c>
      <c r="X69" s="2" t="str">
        <f>=HYPERLINK("https://www.larksuite.com/approval/admin/previewAttachment?key=PMi7DQIxEATQlmY_3p2hGRIsi-Qi5MtcOxIB6SsaisOihJS5YKcHimC7hRgpVhw_1i20lerMaz39Jn3vC7HUc5_7_VrzY0Ptjo7MIAB7_D06M6VK_BzfAAAA__8", "2 attachment(s)")</f>
        <v>2 attachment(s)</v>
      </c>
      <c r="Y69" t="inlineStr">
        <is>
          <t>Bank Transfer</t>
        </is>
      </c>
      <c r="Z69" t="inlineStr">
        <is>
          <t>Khrizen A. Angeles</t>
        </is>
      </c>
      <c r="AA69" t="inlineStr">
        <is>
          <t>109356750810</t>
        </is>
      </c>
      <c r="AB69" t="inlineStr">
        <is>
          <t>Unionbank</t>
        </is>
      </c>
      <c r="AC69" t="inlineStr">
        <is>
          <t>9G, Tower 1, Toyota Avenue, corner Marquinton Drive, Barangay Sto. Niño, Marikina</t>
        </is>
      </c>
      <c r="AD69" s="4">
        <v>45779</v>
      </c>
      <c r="AE69" t="inlineStr">
        <is>
          <t>1st Payment - May 30, 2025
Final Payment - June 20, 2025</t>
        </is>
      </c>
      <c r="AF69" s="2"/>
      <c r="AG69" t="inlineStr">
        <is>
          <t>NzQyNTk5MTgyNzQ4MTg3MDM0MTpCRjM1MzE1OC1DRDNFLTQxMzEtQTZBMC1CMzJCNDJDQTU5NEYtMTpmMTgzMmQ3MDQzMzBjY2E4OTM2OWFmZjhmNTNmYTUyMDox</t>
        </is>
      </c>
      <c r="AH69"/>
      <c r="AI69"/>
      <c r="AJ69"/>
      <c r="AK69"/>
    </row>
    <row r="70" ht="25.5" customHeight="1">
      <c r="A70" s="2" t="str">
        <f>=HYPERLINK("https://applink.larksuite.com/client/mini_program/open?appId=cli_9c7cc8a9a9edd105&amp;mode=appCenter&amp;path_pc=pc/pages/requested/index?instanceId=7506861621629698080&amp;source=bitable&amp;path=pages/detail/index?instanceId=7506861621629698080&amp;source=bitable", "202505210167")</f>
        <v>202505210167</v>
      </c>
      <c r="B70" t="inlineStr">
        <is>
          <t>Approved</t>
        </is>
      </c>
      <c r="C70" t="inlineStr">
        <is>
          <t>Procurement Order</t>
        </is>
      </c>
      <c r="D70" s="3">
        <v>45798.817395833335</v>
      </c>
      <c r="E70" s="3">
        <v>45799.744259259256</v>
      </c>
      <c r="F70" t="inlineStr">
        <is>
          <t>Fatima Kathleen M. FLores</t>
        </is>
      </c>
      <c r="G70" t="inlineStr">
        <is>
          <t>Procurement</t>
        </is>
      </c>
      <c r="H70"/>
      <c r="I70"/>
      <c r="J70" t="inlineStr">
        <is>
          <t>Project</t>
        </is>
      </c>
      <c r="K70" t="inlineStr">
        <is>
          <t>PDEI - Event Service</t>
        </is>
      </c>
      <c r="L70" t="inlineStr">
        <is>
          <t>BPI Well Legendary Unibankers Cup - MLBB Tournament</t>
        </is>
      </c>
      <c r="M70" t="inlineStr">
        <is>
          <t>2025TEG-P0118</t>
        </is>
      </c>
      <c r="N70" t="inlineStr">
        <is>
          <t>Tiny</t>
        </is>
      </c>
      <c r="O70" t="inlineStr">
        <is>
          <t>202505060049-Tiny-费用报销 - 副本 - 副本 - 副本-2025-05-06 06:02:32</t>
        </is>
      </c>
      <c r="P70" t="inlineStr">
        <is>
          <t>YES</t>
        </is>
      </c>
      <c r="Q70"/>
      <c r="R70" t="inlineStr">
        <is>
          <t>YES</t>
        </is>
      </c>
      <c r="S70" t="inlineStr">
        <is>
          <t>Outsourced Talent / Caster (Ingan)</t>
        </is>
      </c>
      <c r="T70">
        <v>1</v>
      </c>
      <c r="U70">
        <v>11200</v>
      </c>
      <c r="V70" t="inlineStr">
        <is>
          <t>PHP</t>
        </is>
      </c>
      <c r="W70">
        <v>11200</v>
      </c>
      <c r="X70" s="2" t="str">
        <f>=HYPERLINK("https://www.larksuite.com/approval/admin/previewAttachment?key=PMgxrgIxDATQK40dZ-z5l_nNRiuERIUI2_jsSBS0j2VgTRsUQuaCdU6waHSjiyoU2tsyhTSKvR7n_xrud8w9X9d-X0fv23Gup02lO3JEjAJgfz8fGRESA1_HJwAA__8", "2 attachment(s)")</f>
        <v>2 attachment(s)</v>
      </c>
      <c r="Y70" t="inlineStr">
        <is>
          <t>Bank Transfer</t>
        </is>
      </c>
      <c r="Z70" t="inlineStr">
        <is>
          <t>JOSE EMMANUEL INGAN</t>
        </is>
      </c>
      <c r="AA70" t="inlineStr">
        <is>
          <t>2679189061</t>
        </is>
      </c>
      <c r="AB70" t="inlineStr">
        <is>
          <t>BPI</t>
        </is>
      </c>
      <c r="AC70" t="inlineStr">
        <is>
          <t>D3 RSG TOWNHOMES ROSARIO PASIG CITY</t>
        </is>
      </c>
      <c r="AD70" s="4">
        <v>45786</v>
      </c>
      <c r="AE70" t="inlineStr">
        <is>
          <t>100% Full Payment - June 13, 2025</t>
        </is>
      </c>
      <c r="AF70" s="2"/>
      <c r="AG70" t="inlineStr">
        <is>
          <t>NzQyNTk5MTgyNzQ4MTg3MDM0MTozNjQ5RUE5Ny1ENTg0LTQyREQtQTUyNC0yNkE0REJCM0I2QjAtMTo1OWQxYjAwZTYyMmQ3MjkwZGYzNTk1MjI0ZjFiNDIyMTox</t>
        </is>
      </c>
      <c r="AH70"/>
      <c r="AI70"/>
      <c r="AJ70"/>
      <c r="AK70"/>
    </row>
    <row r="71" ht="25.5" customHeight="1">
      <c r="A71" s="2" t="str">
        <f>=HYPERLINK("https://applink.larksuite.com/client/mini_program/open?appId=cli_9c7cc8a9a9edd105&amp;mode=appCenter&amp;path_pc=pc/pages/requested/index?instanceId=7506867567252865063&amp;source=bitable&amp;path=pages/detail/index?instanceId=7506867567252865063&amp;source=bitable", "202505210170")</f>
        <v>202505210170</v>
      </c>
      <c r="B71" t="inlineStr">
        <is>
          <t>Approved</t>
        </is>
      </c>
      <c r="C71" t="inlineStr">
        <is>
          <t>Procurement Order</t>
        </is>
      </c>
      <c r="D71" s="3">
        <v>45798.83341435185</v>
      </c>
      <c r="E71" s="3">
        <v>45799.753842592596</v>
      </c>
      <c r="F71" t="inlineStr">
        <is>
          <t>Fatima Kathleen M. FLores</t>
        </is>
      </c>
      <c r="G71" t="inlineStr">
        <is>
          <t>Procurement</t>
        </is>
      </c>
      <c r="H71"/>
      <c r="I71"/>
      <c r="J71" t="inlineStr">
        <is>
          <t>Project</t>
        </is>
      </c>
      <c r="K71" t="inlineStr">
        <is>
          <t>PDEI - Event Service</t>
        </is>
      </c>
      <c r="L71" t="inlineStr">
        <is>
          <t>UAAP Esports S87</t>
        </is>
      </c>
      <c r="M71" t="inlineStr">
        <is>
          <t>2025TEG-P0068</t>
        </is>
      </c>
      <c r="N71" t="inlineStr">
        <is>
          <t>Frances Angelita Arreglado</t>
        </is>
      </c>
      <c r="O71" t="inlineStr">
        <is>
          <t>202505150072-Frances Angelita Arreglado-费用报销 - 副本 - 副本 - 副本-2025-05-15 07:32:16</t>
        </is>
      </c>
      <c r="P71" t="inlineStr">
        <is>
          <t>YES</t>
        </is>
      </c>
      <c r="Q71"/>
      <c r="R71" t="inlineStr">
        <is>
          <t>YES</t>
        </is>
      </c>
      <c r="S71" t="inlineStr">
        <is>
          <t>Outsourced LED Ceiling Installer</t>
        </is>
      </c>
      <c r="T71">
        <v>1</v>
      </c>
      <c r="U71">
        <v>7000</v>
      </c>
      <c r="V71" t="inlineStr">
        <is>
          <t>PHP</t>
        </is>
      </c>
      <c r="W71">
        <v>7000</v>
      </c>
      <c r="X71" s="2" t="str">
        <f>=HYPERLINK("https://www.larksuite.com/approval/admin/previewAttachment?key=PMg9isNADAXgKz39PUl7mW08DCFgMARMGp09kCLtxxKwQowNb9GGTAZYzGBqaDFAGx3JbKSwOevc_9fTbOn5rquPve65H8deL4lOVaS5WwGQv59buns3HV_HJwAA__8", "2 attachment(s)")</f>
        <v>2 attachment(s)</v>
      </c>
      <c r="Y71" t="inlineStr">
        <is>
          <t>Bank Transfer</t>
        </is>
      </c>
      <c r="Z71" t="inlineStr">
        <is>
          <t>Mark Chester Manosa</t>
        </is>
      </c>
      <c r="AA71" t="inlineStr">
        <is>
          <t>09266310895</t>
        </is>
      </c>
      <c r="AB71" t="inlineStr">
        <is>
          <t>GCash</t>
        </is>
      </c>
      <c r="AC71" t="inlineStr">
        <is>
          <t>Gateway Mall 2, 28 General Araneta, Cubao, Quezon City</t>
        </is>
      </c>
      <c r="AD71" s="4">
        <v>45783</v>
      </c>
      <c r="AE71" t="inlineStr">
        <is>
          <t>100% Full Payment</t>
        </is>
      </c>
      <c r="AF71" s="2"/>
      <c r="AG71" t="inlineStr">
        <is>
          <t>NzQyNTk5MTgyNzQ4MTg3MDM0MTpFNzMwMjlBRC0xRTMzLTQ2N0MtQTdDNC03MDgxMDZGOTc5MkMtMTo5ZTBhODUzZTQzZGQxNDg3ZGU5MzZkMDRkZjczMjk2NDox</t>
        </is>
      </c>
      <c r="AH71"/>
      <c r="AI71"/>
      <c r="AJ71"/>
      <c r="AK71"/>
    </row>
    <row r="72" ht="25.5" customHeight="1">
      <c r="A72" s="2" t="str">
        <f>=HYPERLINK("https://applink.larksuite.com/client/mini_program/open?appId=cli_9c7cc8a9a9edd105&amp;mode=appCenter&amp;path_pc=pc/pages/requested/index?instanceId=7508670845636739104&amp;source=bitable&amp;path=pages/detail/index?instanceId=7508670845636739104&amp;source=bitable", "202505260114")</f>
        <v>202505260114</v>
      </c>
      <c r="B72" t="inlineStr">
        <is>
          <t>Approved</t>
        </is>
      </c>
      <c r="C72" t="inlineStr">
        <is>
          <t>Procurement Order</t>
        </is>
      </c>
      <c r="D72" s="3">
        <v>45803.69289351852</v>
      </c>
      <c r="E72" s="3">
        <v>45804.6577662037</v>
      </c>
      <c r="F72" t="inlineStr">
        <is>
          <t>Fatima Kathleen M. FLores</t>
        </is>
      </c>
      <c r="G72" t="inlineStr">
        <is>
          <t>Procurement</t>
        </is>
      </c>
      <c r="H72"/>
      <c r="I72"/>
      <c r="J72" t="inlineStr">
        <is>
          <t>Project</t>
        </is>
      </c>
      <c r="K72" t="inlineStr">
        <is>
          <t>PDEI - Event Service</t>
        </is>
      </c>
      <c r="L72" t="inlineStr">
        <is>
          <t>MDL PH S5 - Playoffs</t>
        </is>
      </c>
      <c r="M72" t="inlineStr">
        <is>
          <t>2025TEG-P0004</t>
        </is>
      </c>
      <c r="N72" t="inlineStr">
        <is>
          <t>Kervin</t>
        </is>
      </c>
      <c r="O72" t="inlineStr">
        <is>
          <t>202505050074-Kervin-费用报销 - 副本 - 副本 - 副本-2025-05-05 09:12:30</t>
        </is>
      </c>
      <c r="P72" t="inlineStr">
        <is>
          <t>YES</t>
        </is>
      </c>
      <c r="Q72"/>
      <c r="R72" t="inlineStr">
        <is>
          <t>YES</t>
        </is>
      </c>
      <c r="S72" t="inlineStr">
        <is>
          <t>Outsourced Staging Technical Director</t>
        </is>
      </c>
      <c r="T72">
        <v>1</v>
      </c>
      <c r="U72">
        <v>48750</v>
      </c>
      <c r="V72" t="inlineStr">
        <is>
          <t>PHP</t>
        </is>
      </c>
      <c r="W72">
        <v>48750</v>
      </c>
      <c r="X72" s="2" t="str">
        <f>=HYPERLINK("https://www.larksuite.com/approval/admin/previewAttachment?key=PMg9CkIxEATgK81kJ_vjZWx8BAsFQQy8Ys8uWNh-noTnpHlBxVFgx0R6IDXdPKwI9WhGFIJe3sdzXc_9WdNyUK_zwd37flvHm7NiDIRJlgB4-buFpCoXfo5vAAAA__8", "2 attachment(s)")</f>
        <v>2 attachment(s)</v>
      </c>
      <c r="Y72" t="inlineStr">
        <is>
          <t>Bank Transfer</t>
        </is>
      </c>
      <c r="Z72" t="inlineStr">
        <is>
          <t>Allen Bert Araño</t>
        </is>
      </c>
      <c r="AA72" t="inlineStr">
        <is>
          <t>109855637640</t>
        </is>
      </c>
      <c r="AB72" t="inlineStr">
        <is>
          <t>Unionbank</t>
        </is>
      </c>
      <c r="AC72" t="inlineStr">
        <is>
          <t>Marungko, Angat, Bulacan</t>
        </is>
      </c>
      <c r="AD72" s="4">
        <v>45794</v>
      </c>
      <c r="AE72" t="inlineStr">
        <is>
          <t>1st Payment - May 30, 2025
Final Payment - June 13, 2025</t>
        </is>
      </c>
      <c r="AF72" s="2"/>
      <c r="AG72" t="inlineStr">
        <is>
          <t>NzQyNTk5MTgyNzQ4MTg3MDM0MTpBRTdDQjUxNS0zMkU4LTRGQkUtOEYyNS03OEQyODY5NUE4RkMtMTpiMThiZTFkZmJhZmY2ZGMwOTFlMWU4MjBkOTZlZDcwMDox</t>
        </is>
      </c>
      <c r="AH72"/>
      <c r="AI72"/>
      <c r="AJ72"/>
      <c r="AK72"/>
    </row>
    <row r="73" ht="25.5" customHeight="1">
      <c r="A73" s="2" t="str">
        <f>=HYPERLINK("https://applink.larksuite.com/client/mini_program/open?appId=cli_9c7cc8a9a9edd105&amp;mode=appCenter&amp;path_pc=pc/pages/requested/index?instanceId=7508689917233381415&amp;source=bitable&amp;path=pages/detail/index?instanceId=7508689917233381415&amp;source=bitable", "202505260138")</f>
        <v>202505260138</v>
      </c>
      <c r="B73" t="inlineStr">
        <is>
          <t>Approved</t>
        </is>
      </c>
      <c r="C73" t="inlineStr">
        <is>
          <t>Procurement Order</t>
        </is>
      </c>
      <c r="D73" s="3">
        <v>45803.74428240741</v>
      </c>
      <c r="E73" s="3">
        <v>45804.57613425926</v>
      </c>
      <c r="F73" t="inlineStr">
        <is>
          <t>Fatima Kathleen M. FLores</t>
        </is>
      </c>
      <c r="G73" t="inlineStr">
        <is>
          <t>Procurement</t>
        </is>
      </c>
      <c r="H73"/>
      <c r="I73"/>
      <c r="J73" t="inlineStr">
        <is>
          <t>Project</t>
        </is>
      </c>
      <c r="K73" t="inlineStr">
        <is>
          <t>PDEI - Event Service</t>
        </is>
      </c>
      <c r="L73" t="inlineStr">
        <is>
          <t>MPL PH S15 Addendum</t>
        </is>
      </c>
      <c r="M73" t="inlineStr">
        <is>
          <t>2025TEG-P0071</t>
        </is>
      </c>
      <c r="N73" t="inlineStr">
        <is>
          <t>Tiny</t>
        </is>
      </c>
      <c r="O73" t="inlineStr">
        <is>
          <t>202505260002-Tiny-费用报销 - 副本 - 副本 - 副本-2025-05-26 00:41:33</t>
        </is>
      </c>
      <c r="P73" t="inlineStr">
        <is>
          <t>NO</t>
        </is>
      </c>
      <c r="Q73"/>
      <c r="R73" t="inlineStr">
        <is>
          <t>YES</t>
        </is>
      </c>
      <c r="S73" t="inlineStr">
        <is>
          <t>Rental of REM 1000 Transmitter and Wireless Receiver (Brand: Audio Active)</t>
        </is>
      </c>
      <c r="T73">
        <v>1</v>
      </c>
      <c r="U73">
        <v>70000</v>
      </c>
      <c r="V73" t="inlineStr">
        <is>
          <t>PHP</t>
        </is>
      </c>
      <c r="W73">
        <v>70000</v>
      </c>
      <c r="X73" s="2" t="str">
        <f>=HYPERLINK("https://www.larksuite.com/approval/admin/previewAttachment?key=PMixDcJQDATQle6-_W0fy9AkilAgFYKIwrMjUdC-KCJq0kJwcQjsnKgoiTnMrOicPZqZQjIUvR7bdXkd9WCe97l_fD_7fVu29cmpHANp7lYAePm7pbtL4fg5vgEAAP__", "2 attachment(s)")</f>
        <v>2 attachment(s)</v>
      </c>
      <c r="Y73" t="inlineStr">
        <is>
          <t>Bank Transfer</t>
        </is>
      </c>
      <c r="Z73" t="inlineStr">
        <is>
          <t>Brian Louis Tan</t>
        </is>
      </c>
      <c r="AA73" t="inlineStr">
        <is>
          <t>002720106662</t>
        </is>
      </c>
      <c r="AB73" t="inlineStr">
        <is>
          <t>BDO</t>
        </is>
      </c>
      <c r="AC73" t="inlineStr">
        <is>
          <t>49 Scout Alcaraz cor. D. Tuazon, Quezon City</t>
        </is>
      </c>
      <c r="AD73" s="4">
        <v>45804</v>
      </c>
      <c r="AE73" t="inlineStr">
        <is>
          <t>100% Full Payment</t>
        </is>
      </c>
      <c r="AF73" s="2"/>
      <c r="AG73" t="inlineStr">
        <is>
          <t>NzQyNTk5MTgyNzQ4MTg3MDM0MTpDNkQ1MTM2Mi1FOEUzLTQ2NUMtODY0Ny1GNzM0RDAxNjU4OUMtMTpkNWYzNzhmMzdiNzJmMzJiYWQ5M2QyY2EyNjUwYmFlMDox</t>
        </is>
      </c>
      <c r="AH73"/>
      <c r="AI73"/>
      <c r="AJ73"/>
      <c r="AK73"/>
    </row>
    <row r="74" ht="25.5" customHeight="1">
      <c r="A74" s="2" t="str">
        <f>=HYPERLINK("https://applink.larksuite.com/client/mini_program/open?appId=cli_9c7cc8a9a9edd105&amp;mode=appCenter&amp;path_pc=pc/pages/requested/index?instanceId=7508696949797781536&amp;source=bitable&amp;path=pages/detail/index?instanceId=7508696949797781536&amp;source=bitable", "202505260146")</f>
        <v>202505260146</v>
      </c>
      <c r="B74" t="inlineStr">
        <is>
          <t>Approved</t>
        </is>
      </c>
      <c r="C74" t="inlineStr">
        <is>
          <t>Procurement Order</t>
        </is>
      </c>
      <c r="D74" s="3">
        <v>45803.76322916667</v>
      </c>
      <c r="E74" s="3">
        <v>45804.64171296296</v>
      </c>
      <c r="F74" t="inlineStr">
        <is>
          <t>Fatima Kathleen M. FLores</t>
        </is>
      </c>
      <c r="G74" t="inlineStr">
        <is>
          <t>Procurement</t>
        </is>
      </c>
      <c r="H74"/>
      <c r="I74"/>
      <c r="J74" t="inlineStr">
        <is>
          <t>Project</t>
        </is>
      </c>
      <c r="K74" t="inlineStr">
        <is>
          <t>PDEI - Event Service</t>
        </is>
      </c>
      <c r="L74" t="inlineStr">
        <is>
          <t>UAAP Esports S87</t>
        </is>
      </c>
      <c r="M74" t="inlineStr">
        <is>
          <t>2025TEG-P0068</t>
        </is>
      </c>
      <c r="N74" t="inlineStr">
        <is>
          <t>Frances Angelita Arreglado</t>
        </is>
      </c>
      <c r="O74" t="inlineStr">
        <is>
          <t>202505070078-Frances Angelita Arreglado-费用报销 - 副本 - 副本 - 副本-2025-05-07 13:06:41</t>
        </is>
      </c>
      <c r="P74" t="inlineStr">
        <is>
          <t>NO</t>
        </is>
      </c>
      <c r="Q74"/>
      <c r="R74" t="inlineStr">
        <is>
          <t>YES</t>
        </is>
      </c>
      <c r="S74" t="inlineStr">
        <is>
          <t>Outsourced IT Associate / Support</t>
        </is>
      </c>
      <c r="T74">
        <v>1</v>
      </c>
      <c r="U74">
        <v>18150</v>
      </c>
      <c r="V74" t="inlineStr">
        <is>
          <t>PHP</t>
        </is>
      </c>
      <c r="W74">
        <v>18150</v>
      </c>
      <c r="X74" s="2" t="str">
        <f>=HYPERLINK("https://www.larksuite.com/approval/admin/previewAttachment?key=PMg9CgJRDATgK01-XibjZWxcHoJuJYhNzi5Y2H7VhuplUULKXLDhQpdKKYpsW1HjY6RAK9Uc574iOn3HOh_74_mc9_22j5ct0R2MzGgAdvl7MDOlSvwc3wAAAP__", "2 attachment(s)")</f>
        <v>2 attachment(s)</v>
      </c>
      <c r="Y74" t="inlineStr">
        <is>
          <t>Bank Transfer</t>
        </is>
      </c>
      <c r="Z74" t="inlineStr">
        <is>
          <t>Elton John Lee</t>
        </is>
      </c>
      <c r="AA74" t="inlineStr">
        <is>
          <t>1993906533791</t>
        </is>
      </c>
      <c r="AB74" t="inlineStr">
        <is>
          <t>Metrobank</t>
        </is>
      </c>
      <c r="AC74" t="inlineStr">
        <is>
          <t>22 St. Joseph St. Dela Costa Homes 1, Barangka, Marikina City</t>
        </is>
      </c>
      <c r="AD74" s="4">
        <v>45784</v>
      </c>
      <c r="AE74" t="inlineStr">
        <is>
          <t>1st Payment - May 30, 2025
Final payment - June 20, 2025</t>
        </is>
      </c>
      <c r="AF74" s="2"/>
      <c r="AG74" t="inlineStr">
        <is>
          <t>NzQyNTk5MTgyNzQ4MTg3MDM0MTpBNzAwOUExRC0wQ0MzLTQyQTctOTVFNC1CQTYwQzhBMTQwNTctMTo5ZTFhNjM0OGQ1NWMxODA0MmNmOGE4MmFiNzRjY2Y0Njox</t>
        </is>
      </c>
      <c r="AH74"/>
      <c r="AI74"/>
      <c r="AJ74"/>
      <c r="AK74"/>
    </row>
    <row r="75" ht="25.5" customHeight="1">
      <c r="A75" s="2" t="str">
        <f>=HYPERLINK("https://applink.larksuite.com/client/mini_program/open?appId=cli_9c7cc8a9a9edd105&amp;mode=appCenter&amp;path_pc=pc/pages/requested/index?instanceId=7509020755628359711&amp;source=bitable&amp;path=pages/detail/index?instanceId=7509020755628359711&amp;source=bitable", "202505270047")</f>
        <v>202505270047</v>
      </c>
      <c r="B75" t="inlineStr">
        <is>
          <t>Approved</t>
        </is>
      </c>
      <c r="C75" t="inlineStr">
        <is>
          <t>Procurement Order</t>
        </is>
      </c>
      <c r="D75" s="3">
        <v>45804.63582175926</v>
      </c>
      <c r="E75" s="3">
        <v>45804.731099537035</v>
      </c>
      <c r="F75" t="inlineStr">
        <is>
          <t>Fatima Kathleen M. FLores</t>
        </is>
      </c>
      <c r="G75" t="inlineStr">
        <is>
          <t>Procurement</t>
        </is>
      </c>
      <c r="H75"/>
      <c r="I75"/>
      <c r="J75" t="inlineStr">
        <is>
          <t>Project</t>
        </is>
      </c>
      <c r="K75" t="inlineStr">
        <is>
          <t>PDEI - Event Service</t>
        </is>
      </c>
      <c r="L75" t="inlineStr">
        <is>
          <t>MPL PH S15 Addendum</t>
        </is>
      </c>
      <c r="M75" t="inlineStr">
        <is>
          <t>2025TEG-P0071</t>
        </is>
      </c>
      <c r="N75" t="inlineStr">
        <is>
          <t>Tiny</t>
        </is>
      </c>
      <c r="O75" t="inlineStr">
        <is>
          <t>202505260164-Tiny-费用报销 - 副本 - 副本 - 副本-2025-05-26 11:45:39</t>
        </is>
      </c>
      <c r="P75" t="inlineStr">
        <is>
          <t>NO</t>
        </is>
      </c>
      <c r="Q75"/>
      <c r="R75" t="inlineStr">
        <is>
          <t>YES</t>
        </is>
      </c>
      <c r="S75" t="inlineStr">
        <is>
          <t xml:space="preserve">Waterproof Wristband with security cut </t>
        </is>
      </c>
      <c r="T75">
        <v>5567</v>
      </c>
      <c r="U75">
        <v>3.696</v>
      </c>
      <c r="V75" t="inlineStr">
        <is>
          <t>PHP</t>
        </is>
      </c>
      <c r="W75">
        <v>20575.632</v>
      </c>
      <c r="X75" s="2" t="str">
        <f>=HYPERLINK("https://www.larksuite.com/approval/admin/previewAttachment?key=PMg7CgIxGATgK838z4yXsdkQLFYRhO1ydsHC9qtB1Eh6CSGawN0JwdCZZcNTTW7b7Baapdrzue7TbfR1Gt_na81jX49jzQ9TbYb2CB8AePu7d0RIFfg5vgEAAP__", "2 attachment(s)")</f>
        <v>2 attachment(s)</v>
      </c>
      <c r="Y75" t="inlineStr">
        <is>
          <t>Bank Transfer</t>
        </is>
      </c>
      <c r="Z75" t="inlineStr">
        <is>
          <t>CLVISION ENTERPRISE</t>
        </is>
      </c>
      <c r="AA75" t="inlineStr">
        <is>
          <t>4470  0762  92</t>
        </is>
      </c>
      <c r="AB75" t="inlineStr">
        <is>
          <t>BPI</t>
        </is>
      </c>
      <c r="AC75" t="inlineStr">
        <is>
          <t>6B Kalapati St., Villilia Village, Brgy. Talipapa, Novaliches, QC</t>
        </is>
      </c>
      <c r="AD75" s="4">
        <v>45805</v>
      </c>
      <c r="AE75" t="inlineStr">
        <is>
          <t>50% Down Payment upon confirmation
50% Final payment before delivery</t>
        </is>
      </c>
      <c r="AF75" s="2"/>
      <c r="AG75" t="inlineStr">
        <is>
          <t>NzQyNTk5MTgyNzQ4MTg3MDM0MTpGNjFBRjEwQS1GNkFBLTQxMTAtOEFCQS0xNEY2M0E3QjE4QUItMTo1MTdhYzc2ZjE3ZmE4OTRmZWE0ZDEwZjMzOWQ4Y2VkMTox</t>
        </is>
      </c>
      <c r="AH75"/>
      <c r="AI75"/>
      <c r="AJ75"/>
      <c r="AK75"/>
    </row>
    <row r="76" ht="25.5" customHeight="1">
      <c r="A76" s="2" t="str">
        <f>=HYPERLINK("https://applink.larksuite.com/client/mini_program/open?appId=cli_9c7cc8a9a9edd105&amp;mode=appCenter&amp;path_pc=pc/pages/requested/index?instanceId=7509044118908223527&amp;source=bitable&amp;path=pages/detail/index?instanceId=7509044118908223527&amp;source=bitable", "202505270060")</f>
        <v>202505270060</v>
      </c>
      <c r="B76" t="inlineStr">
        <is>
          <t>Approved</t>
        </is>
      </c>
      <c r="C76" t="inlineStr">
        <is>
          <t>Procurement Order</t>
        </is>
      </c>
      <c r="D76" s="3">
        <v>45804.69878472222</v>
      </c>
      <c r="E76" s="3">
        <v>45805.66540509259</v>
      </c>
      <c r="F76" t="inlineStr">
        <is>
          <t>Fatima Kathleen M. FLores</t>
        </is>
      </c>
      <c r="G76" t="inlineStr">
        <is>
          <t>Procurement</t>
        </is>
      </c>
      <c r="H76"/>
      <c r="I76"/>
      <c r="J76" t="inlineStr">
        <is>
          <t>Project</t>
        </is>
      </c>
      <c r="K76" t="inlineStr">
        <is>
          <t>PDEI - Game Marketing</t>
        </is>
      </c>
      <c r="L76" t="inlineStr">
        <is>
          <t>SM Cyberzone Game Fest</t>
        </is>
      </c>
      <c r="M76" t="inlineStr">
        <is>
          <t>2025TEG-P0082</t>
        </is>
      </c>
      <c r="N76" t="inlineStr">
        <is>
          <t>Anteaus Villena</t>
        </is>
      </c>
      <c r="O76" t="inlineStr">
        <is>
          <t>202504100073-Anteaus Villena-费用报销 - 副本 - 副本 - 副本-2025-04-10 10:05:35</t>
        </is>
      </c>
      <c r="P76" t="inlineStr">
        <is>
          <t>NO</t>
        </is>
      </c>
      <c r="Q76"/>
      <c r="R76" t="inlineStr">
        <is>
          <t>YES</t>
        </is>
      </c>
      <c r="S76" t="inlineStr">
        <is>
          <t>Rental of SONY CRT TVs (22” 2x, 16”2x in 8 Days)</t>
        </is>
      </c>
      <c r="T76">
        <v>4</v>
      </c>
      <c r="U76">
        <v>4000</v>
      </c>
      <c r="V76" t="inlineStr">
        <is>
          <t>PHP</t>
        </is>
      </c>
      <c r="W76">
        <v>16000</v>
      </c>
      <c r="X76" s="2"/>
      <c r="Y76" t="inlineStr">
        <is>
          <t>Bank Transfer</t>
        </is>
      </c>
      <c r="Z76" t="inlineStr">
        <is>
          <t>Jhonbelle Valenzuela</t>
        </is>
      </c>
      <c r="AA76" t="inlineStr">
        <is>
          <t>092-12-002403-8</t>
        </is>
      </c>
      <c r="AB76" t="inlineStr">
        <is>
          <t>Asia United Bank</t>
        </is>
      </c>
      <c r="AC76" t="inlineStr">
        <is>
          <t>Unit C Santana Peralta Compound, Mercedes Ave., Pasig City</t>
        </is>
      </c>
      <c r="AD76" s="4">
        <v>45758</v>
      </c>
      <c r="AE76" t="inlineStr">
        <is>
          <t>100% Full payment</t>
        </is>
      </c>
      <c r="AF76" s="2" t="str">
        <f>=HYPERLINK("https://www.larksuite.com/approval/admin/previewAttachment?key=TMgxDsJADATAL-3aPp-Xz9AkOkEBDSIihd-OREU7WUTWoKcQognsOSBEkCWUmQ-bbc05hclU9v5Y1_dZ6_g8fTtZd4s-btvaX8zyRGhEUAB4-XMSKk__Ob4BAAD__w", "2 attachment(s)")</f>
        <v>2 attachment(s)</v>
      </c>
      <c r="AG76" t="inlineStr">
        <is>
          <t>NzQyNTk5MTgyNzQ4MTg3MDM0MTozNzNFQkQzRC1FRUMxLTQ0MTAtQUJBMS1FRTQ3NzczOTgyQkMtMTpjYWU1NWY3YjExMzZlZjJjN2FhNmVmMTBmZTllNjQyNzox</t>
        </is>
      </c>
      <c r="AH76"/>
      <c r="AI76"/>
      <c r="AJ76"/>
      <c r="AK76"/>
    </row>
    <row r="77" ht="25.5" customHeight="1">
      <c r="A77" s="2" t="str">
        <f>=HYPERLINK("https://applink.larksuite.com/client/mini_program/open?appId=cli_9c7cc8a9a9edd105&amp;mode=appCenter&amp;path_pc=pc/pages/requested/index?instanceId=7509044118908223527&amp;source=bitable&amp;path=pages/detail/index?instanceId=7509044118908223527&amp;source=bitable", "202505270060")</f>
        <v>202505270060</v>
      </c>
      <c r="B77" t="inlineStr">
        <is>
          <t>Approved</t>
        </is>
      </c>
      <c r="C77" t="inlineStr">
        <is>
          <t>Procurement Order</t>
        </is>
      </c>
      <c r="D77" s="3">
        <v>45804.69878472222</v>
      </c>
      <c r="E77" s="3">
        <v>45805.66540509259</v>
      </c>
      <c r="F77" t="inlineStr">
        <is>
          <t>Fatima Kathleen M. FLores</t>
        </is>
      </c>
      <c r="G77" t="inlineStr">
        <is>
          <t>Procurement</t>
        </is>
      </c>
      <c r="H77"/>
      <c r="I77"/>
      <c r="J77" t="inlineStr">
        <is>
          <t>Project</t>
        </is>
      </c>
      <c r="K77" t="inlineStr">
        <is>
          <t>PDEI - Game Marketing</t>
        </is>
      </c>
      <c r="L77" t="inlineStr">
        <is>
          <t>SM Cyberzone Game Fest</t>
        </is>
      </c>
      <c r="M77" t="inlineStr">
        <is>
          <t>2025TEG-P0082</t>
        </is>
      </c>
      <c r="N77" t="inlineStr">
        <is>
          <t>Anteaus Villena</t>
        </is>
      </c>
      <c r="O77" t="inlineStr">
        <is>
          <t>202504100073-Anteaus Villena-费用报销 - 副本 - 副本 - 副本-2025-04-10 10:05:35</t>
        </is>
      </c>
      <c r="P77" t="inlineStr">
        <is>
          <t>NO</t>
        </is>
      </c>
      <c r="Q77"/>
      <c r="R77" t="inlineStr">
        <is>
          <t>YES</t>
        </is>
      </c>
      <c r="S77" t="inlineStr">
        <is>
          <t>Storage Fee (21 Days)</t>
        </is>
      </c>
      <c r="T77">
        <v>21</v>
      </c>
      <c r="U77">
        <v>400</v>
      </c>
      <c r="V77" t="inlineStr">
        <is>
          <t>PHP</t>
        </is>
      </c>
      <c r="W77">
        <v>8400</v>
      </c>
      <c r="X77" s="2" t="str">
        <f>=HYPERLINK("https://www.larksuite.com/approval/admin/previewAttachment?key=PMgxDsJADATAL-3aPtvLZ2gSnaCABhGR4t6OREE72UT2oKcQoglcNSBEkC20mQ-rZYtVQjGVa3_M6_vseXyevp3su8U6btvcXxwqM5RHeAPg5e9eESFl4Of8BgAA__8", "2 attachment(s)")</f>
        <v>2 attachment(s)</v>
      </c>
      <c r="Y77"/>
      <c r="Z77"/>
      <c r="AA77"/>
      <c r="AB77"/>
      <c r="AC77"/>
      <c r="AD77" s="4"/>
      <c r="AE77"/>
      <c r="AF77" s="2"/>
      <c r="AG77" t="inlineStr">
        <is>
          <t>NzQyNTk5MTgyNzQ4MTg3MDM0MTozNzNFQkQzRC1FRUMxLTQ0MTAtQUJBMS1FRTQ3NzczOTgyQkMtMjo3Y2Y2Y2M1NzkyZjQ1YTgxNGZhNDAxN2E0Zjc1ZWVmMjox</t>
        </is>
      </c>
      <c r="AH77"/>
      <c r="AI77"/>
      <c r="AJ77"/>
      <c r="AK77"/>
    </row>
    <row r="78" ht="25.5" customHeight="1">
      <c r="A78" s="2" t="str">
        <f>=HYPERLINK("https://applink.larksuite.com/client/mini_program/open?appId=cli_9c7cc8a9a9edd105&amp;mode=appCenter&amp;path_pc=pc/pages/requested/index?instanceId=7509049808519184415&amp;source=bitable&amp;path=pages/detail/index?instanceId=7509049808519184415&amp;source=bitable", "202505270067")</f>
        <v>202505270067</v>
      </c>
      <c r="B78" t="inlineStr">
        <is>
          <t>Approved</t>
        </is>
      </c>
      <c r="C78" t="inlineStr">
        <is>
          <t>Procurement Order</t>
        </is>
      </c>
      <c r="D78" s="3">
        <v>45804.71412037037</v>
      </c>
      <c r="E78" s="3">
        <v>45805.621828703705</v>
      </c>
      <c r="F78" t="inlineStr">
        <is>
          <t>Fatima Kathleen M. FLores</t>
        </is>
      </c>
      <c r="G78" t="inlineStr">
        <is>
          <t>Procurement</t>
        </is>
      </c>
      <c r="H78"/>
      <c r="I78"/>
      <c r="J78" t="inlineStr">
        <is>
          <t>Project</t>
        </is>
      </c>
      <c r="K78" t="inlineStr">
        <is>
          <t>PDEI - Event Service</t>
        </is>
      </c>
      <c r="L78" t="inlineStr">
        <is>
          <t>MPL PH S15 Addendum</t>
        </is>
      </c>
      <c r="M78" t="inlineStr">
        <is>
          <t>2025TEG-P0071</t>
        </is>
      </c>
      <c r="N78" t="inlineStr">
        <is>
          <t>Tiny</t>
        </is>
      </c>
      <c r="O78" t="inlineStr">
        <is>
          <t>202504280062-Tiny-费用报销 - 副本 - 副本 - 副本-2025-04-28 09:22:14</t>
        </is>
      </c>
      <c r="P78" t="inlineStr">
        <is>
          <t>YES</t>
        </is>
      </c>
      <c r="Q78"/>
      <c r="R78" t="inlineStr">
        <is>
          <t>YES</t>
        </is>
      </c>
      <c r="S78" t="inlineStr">
        <is>
          <t>Outsourced Motion Graphics Artist</t>
        </is>
      </c>
      <c r="T78">
        <v>1</v>
      </c>
      <c r="U78">
        <v>25000</v>
      </c>
      <c r="V78" t="inlineStr">
        <is>
          <t>PHP</t>
        </is>
      </c>
      <c r="W78">
        <v>25000</v>
      </c>
      <c r="X78" s="2" t="str">
        <f>=HYPERLINK("https://www.larksuite.com/approval/admin/previewAttachment?key=PMi7DQIxEATQlmbW-6UZElsnJEyEuGxrRxBc-J4n4WkcXtCiFNhh-CGRxmKq0lqaEYWgl_d6Hfc1JGPvc0885TP7fMxjvWkVIoihOhIAb9ePUNUqV_wf3wAAAP__", "2 attachment(s)")</f>
        <v>2 attachment(s)</v>
      </c>
      <c r="Y78" t="inlineStr">
        <is>
          <t>Bank Transfer</t>
        </is>
      </c>
      <c r="Z78" t="inlineStr">
        <is>
          <t>Vasquez, Benjamin James H.</t>
        </is>
      </c>
      <c r="AA78" t="inlineStr">
        <is>
          <t>0000059188660</t>
        </is>
      </c>
      <c r="AB78" t="inlineStr">
        <is>
          <t>Security Bank</t>
        </is>
      </c>
      <c r="AC78" t="inlineStr">
        <is>
          <t>90 Dela Cruz Street, Sitio Roque 1, Barangay Pasong Tamo, Quezon City</t>
        </is>
      </c>
      <c r="AD78" s="4">
        <v>45779</v>
      </c>
      <c r="AE78" t="inlineStr">
        <is>
          <t>1st Payment - June 6, 2025
Final Payment - June 27, 2025</t>
        </is>
      </c>
      <c r="AF78" s="2"/>
      <c r="AG78" t="inlineStr">
        <is>
          <t>NzQyNTk5MTgyNzQ4MTg3MDM0MTo0MDkyN0Q0Ni1EQ0RFLTRGMTItODdFRC02RDk0QzczQzU5RTctMTozZjg2ZGU1MWQ0ZjJlNzUzNjExYTc4YTU3ZTk1YmQxNDox</t>
        </is>
      </c>
      <c r="AH78"/>
      <c r="AI78"/>
      <c r="AJ78"/>
      <c r="AK78"/>
    </row>
    <row r="79" ht="25.5" customHeight="1">
      <c r="A79" s="2" t="str">
        <f>=HYPERLINK("https://applink.larksuite.com/client/mini_program/open?appId=cli_9c7cc8a9a9edd105&amp;mode=appCenter&amp;path_pc=pc/pages/requested/index?instanceId=7509095925646639135&amp;source=bitable&amp;path=pages/detail/index?instanceId=7509095925646639135&amp;source=bitable", "202505270119")</f>
        <v>202505270119</v>
      </c>
      <c r="B79" t="inlineStr">
        <is>
          <t>Approved</t>
        </is>
      </c>
      <c r="C79" t="inlineStr">
        <is>
          <t>Procurement Order</t>
        </is>
      </c>
      <c r="D79" s="3">
        <v>45804.8383912037</v>
      </c>
      <c r="E79" s="3">
        <v>45805.61760416667</v>
      </c>
      <c r="F79" t="inlineStr">
        <is>
          <t>Fatima Kathleen M. FLores</t>
        </is>
      </c>
      <c r="G79" t="inlineStr">
        <is>
          <t>Procurement</t>
        </is>
      </c>
      <c r="H79"/>
      <c r="I79"/>
      <c r="J79" t="inlineStr">
        <is>
          <t>Project</t>
        </is>
      </c>
      <c r="K79" t="inlineStr">
        <is>
          <t>PDEI - Event Service</t>
        </is>
      </c>
      <c r="L79" t="inlineStr">
        <is>
          <t>UAAP Esports S87</t>
        </is>
      </c>
      <c r="M79" t="inlineStr">
        <is>
          <t>2025TEG-P0068</t>
        </is>
      </c>
      <c r="N79" t="inlineStr">
        <is>
          <t>Frances Angelita Arreglado</t>
        </is>
      </c>
      <c r="O79" t="inlineStr">
        <is>
          <t>202505090065-Frances Angelita Arreglado-费用报销 - 副本 - 副本 - 副本-2025-05-09 10:34:28</t>
        </is>
      </c>
      <c r="P79" t="inlineStr">
        <is>
          <t>YES</t>
        </is>
      </c>
      <c r="Q79"/>
      <c r="R79" t="inlineStr">
        <is>
          <t>YES</t>
        </is>
      </c>
      <c r="S79" t="inlineStr">
        <is>
          <t>Outsourced Talent / Caster - Valorant (ReyReyx)</t>
        </is>
      </c>
      <c r="T79">
        <v>1</v>
      </c>
      <c r="U79">
        <v>30000</v>
      </c>
      <c r="V79" t="inlineStr">
        <is>
          <t>PHP</t>
        </is>
      </c>
      <c r="W79">
        <v>30000</v>
      </c>
      <c r="X79" s="2" t="str">
        <f>=HYPERLINK("https://www.larksuite.com/approval/admin/previewAttachment?key=PMg9CsJAFATgK83s-9vxMjaGRYIBQQxYvLMLFrZfTiJn0FJwcQjsCggKjUjPNNGiR7NKKKayt2Nd35-5tvN4Lj6479Hn_ba2F0M1BsrcbQLg5e9W7i6l4-f4BgAA__8", "2 attachment(s)")</f>
        <v>2 attachment(s)</v>
      </c>
      <c r="Y79" t="inlineStr">
        <is>
          <t>Bank Transfer</t>
        </is>
      </c>
      <c r="Z79" t="inlineStr">
        <is>
          <t>Reycelle Anne Claravall Garrido</t>
        </is>
      </c>
      <c r="AA79" t="inlineStr">
        <is>
          <t>6044 0200 6105</t>
        </is>
      </c>
      <c r="AB79" t="inlineStr">
        <is>
          <t>China Bank Savings</t>
        </is>
      </c>
      <c r="AC79" t="inlineStr">
        <is>
          <t>35-B Zamboanga Street, Brgy. Nayong Kanluran, West Avenue, Quezon City</t>
        </is>
      </c>
      <c r="AD79" s="4">
        <v>45788</v>
      </c>
      <c r="AE79" t="inlineStr">
        <is>
          <t>1st Payment - June 20, 2025
Final Payment - July 4, 2025</t>
        </is>
      </c>
      <c r="AF79" s="2"/>
      <c r="AG79" t="inlineStr">
        <is>
          <t>NzQyNTk5MTgyNzQ4MTg3MDM0MTpBQzg2RTg3Qi1CRDBELTQ4QTItOUMyOC1BQjk3MzI4QjkxMTYtMTpkYjE0NDViZDBhYWIxNDk2Y2YyNWYzYzZiYmU3M2M0MDox</t>
        </is>
      </c>
      <c r="AH79"/>
      <c r="AI79"/>
      <c r="AJ79"/>
      <c r="AK79"/>
    </row>
    <row r="80" ht="25.5" customHeight="1">
      <c r="A80" s="2" t="str">
        <f>=HYPERLINK("https://applink.larksuite.com/client/mini_program/open?appId=cli_9c7cc8a9a9edd105&amp;mode=appCenter&amp;path_pc=pc/pages/requested/index?instanceId=7509338717287383072&amp;source=bitable&amp;path=pages/detail/index?instanceId=7509338717287383072&amp;source=bitable", "202505280024")</f>
        <v>202505280024</v>
      </c>
      <c r="B80" t="inlineStr">
        <is>
          <t>Approved</t>
        </is>
      </c>
      <c r="C80" t="inlineStr">
        <is>
          <t>Procurement Order</t>
        </is>
      </c>
      <c r="D80" s="3">
        <v>45805.49267361111</v>
      </c>
      <c r="E80" s="3">
        <v>45806.755474537036</v>
      </c>
      <c r="F80" t="inlineStr">
        <is>
          <t>Fatima Kathleen M. FLores</t>
        </is>
      </c>
      <c r="G80" t="inlineStr">
        <is>
          <t>Procurement</t>
        </is>
      </c>
      <c r="H80"/>
      <c r="I80"/>
      <c r="J80" t="inlineStr">
        <is>
          <t>Project</t>
        </is>
      </c>
      <c r="K80" t="inlineStr">
        <is>
          <t>PDEI - Event Service</t>
        </is>
      </c>
      <c r="L80" t="inlineStr">
        <is>
          <t>UAAP Esports S87</t>
        </is>
      </c>
      <c r="M80" t="inlineStr">
        <is>
          <t>2025TEG-P0068</t>
        </is>
      </c>
      <c r="N80" t="inlineStr">
        <is>
          <t>Frances Angelita Arreglado</t>
        </is>
      </c>
      <c r="O80" t="inlineStr">
        <is>
          <t>202505120011-Frances Angelita Arreglado-费用报销 - 副本 - 副本 - 副本-2025-05-12 08:07:04</t>
        </is>
      </c>
      <c r="P80" t="inlineStr">
        <is>
          <t>YES</t>
        </is>
      </c>
      <c r="Q80"/>
      <c r="R80" t="inlineStr">
        <is>
          <t>YES</t>
        </is>
      </c>
      <c r="S80" t="inlineStr">
        <is>
          <t>Outsourced Talent / Caster - MLBB (Uomi)</t>
        </is>
      </c>
      <c r="T80">
        <v>1</v>
      </c>
      <c r="U80">
        <v>30000</v>
      </c>
      <c r="V80" t="inlineStr">
        <is>
          <t>PHP</t>
        </is>
      </c>
      <c r="W80">
        <v>30000</v>
      </c>
      <c r="X80" s="2" t="str">
        <f>=HYPERLINK("https://www.larksuite.com/approval/admin/previewAttachment?key=PMgxCgJRDATQK00y2UziZWz8LIK4LIh2ObtgYfuyDFmbMRvR5g0bbWiyZPISi5CPj0kNWXbOeu5XsOJxrH4fPE_jfO63fb1sa7lDjGABsMvfqYjozsDP8Q0AAP__", "2 attachment(s)")</f>
        <v>2 attachment(s)</v>
      </c>
      <c r="Y80" t="inlineStr">
        <is>
          <t>Bank Transfer</t>
        </is>
      </c>
      <c r="Z80" t="inlineStr">
        <is>
          <t>Marcus Theodore R. Ignacio</t>
        </is>
      </c>
      <c r="AA80" t="inlineStr">
        <is>
          <t>146210035714</t>
        </is>
      </c>
      <c r="AB80" t="inlineStr">
        <is>
          <t>PNB</t>
        </is>
      </c>
      <c r="AC80" t="inlineStr">
        <is>
          <t>Maricielo Villas, Pulanglupa Uno, Las Pinas City</t>
        </is>
      </c>
      <c r="AD80" s="4">
        <v>45791</v>
      </c>
      <c r="AE80" t="inlineStr">
        <is>
          <t>1st Payment - June 20, 2025
Final Payment - July 4, 2025</t>
        </is>
      </c>
      <c r="AF80" s="2"/>
      <c r="AG80" t="inlineStr">
        <is>
          <t>NzQyNTk5MTgyNzQ4MTg3MDM0MTo5MkE0OEE3NS0zODJFLTQ2RTUtOUNGOS04NkYyNUQzREQxM0MtMTpiYjBiZmQyMWVmYjA4OTA2MjVjNTIyOTQxNDc0N2U2MDox</t>
        </is>
      </c>
      <c r="AH80"/>
      <c r="AI80"/>
      <c r="AJ80"/>
      <c r="AK80"/>
    </row>
    <row r="81" ht="25.5" customHeight="1">
      <c r="A81" s="2" t="str">
        <f>=HYPERLINK("https://applink.larksuite.com/client/mini_program/open?appId=cli_9c7cc8a9a9edd105&amp;mode=appCenter&amp;path_pc=pc/pages/requested/index?instanceId=7509455767469064224&amp;source=bitable&amp;path=pages/detail/index?instanceId=7509455767469064224&amp;source=bitable", "202505280134")</f>
        <v>202505280134</v>
      </c>
      <c r="B81" t="inlineStr">
        <is>
          <t>Approved</t>
        </is>
      </c>
      <c r="C81" t="inlineStr">
        <is>
          <t>Procurement Order</t>
        </is>
      </c>
      <c r="D81" s="3">
        <v>45805.80809027778</v>
      </c>
      <c r="E81" s="3">
        <v>45807.711643518516</v>
      </c>
      <c r="F81" t="inlineStr">
        <is>
          <t>Fatima Kathleen M. FLores</t>
        </is>
      </c>
      <c r="G81" t="inlineStr">
        <is>
          <t>Procurement</t>
        </is>
      </c>
      <c r="H81"/>
      <c r="I81"/>
      <c r="J81" t="inlineStr">
        <is>
          <t>Project</t>
        </is>
      </c>
      <c r="K81" t="inlineStr">
        <is>
          <t>PDEI - Event Service</t>
        </is>
      </c>
      <c r="L81" t="inlineStr">
        <is>
          <t>UAAP Esports S87</t>
        </is>
      </c>
      <c r="M81" t="inlineStr">
        <is>
          <t>2025TEG-P0068</t>
        </is>
      </c>
      <c r="N81" t="inlineStr">
        <is>
          <t>Frances Angelita Arreglado</t>
        </is>
      </c>
      <c r="O81" t="inlineStr">
        <is>
          <t>202505130069-Frances Angelita Arreglado-费用报销 - 副本 - 副本 - 副本-2025-05-13 10:17:22</t>
        </is>
      </c>
      <c r="P81" t="inlineStr">
        <is>
          <t>YES</t>
        </is>
      </c>
      <c r="Q81"/>
      <c r="R81" t="inlineStr">
        <is>
          <t>YES</t>
        </is>
      </c>
      <c r="S81" t="inlineStr">
        <is>
          <t>Outsourced Audio Engineer</t>
        </is>
      </c>
      <c r="T81">
        <v>1</v>
      </c>
      <c r="U81">
        <v>27777.78</v>
      </c>
      <c r="V81" t="inlineStr">
        <is>
          <t>PHP</t>
        </is>
      </c>
      <c r="W81">
        <v>27777.78</v>
      </c>
      <c r="X81" s="2" t="str">
        <f>=HYPERLINK("https://www.larksuite.com/approval/admin/previewAttachment?key=PMgxDsJADATAL619azvLZ2g4nSiSCimBwm9HoqCd3Ay5hY0UKHPBugJiRGUxhaQ729uqhLJU9jzW_eJYO9f7msf-Odnn87Hmy0Lljhrk2ADY7e-jSEpJ_BzfAAAA__8", "2 attachment(s)")</f>
        <v>2 attachment(s)</v>
      </c>
      <c r="Y81" t="inlineStr">
        <is>
          <t>Bank Transfer</t>
        </is>
      </c>
      <c r="Z81" t="inlineStr">
        <is>
          <t>Kenneth Singian</t>
        </is>
      </c>
      <c r="AA81" t="inlineStr">
        <is>
          <t>09176559151</t>
        </is>
      </c>
      <c r="AB81" t="inlineStr">
        <is>
          <t>GCash</t>
        </is>
      </c>
      <c r="AC81" t="inlineStr">
        <is>
          <t>84 Montreal St. Cubao Quezon City</t>
        </is>
      </c>
      <c r="AD81" s="4">
        <v>45784</v>
      </c>
      <c r="AE81" t="inlineStr">
        <is>
          <t>1st Payment - May 30, 2025
Final Payment - June 20, 2025</t>
        </is>
      </c>
      <c r="AF81" s="2"/>
      <c r="AG81" t="inlineStr">
        <is>
          <t>NzQyNTk5MTgyNzQ4MTg3MDM0MTowNDE4MzRFRi0yN0RBLTRCRUYtQUIwNy1BNjVFQzdBOTgzMTQtMTo1ODY0YTgyMDAyMjJkZDkyNjE4NjZkYTI5MmY4YWQyMDox</t>
        </is>
      </c>
      <c r="AH81"/>
      <c r="AI81"/>
      <c r="AJ81"/>
      <c r="AK81"/>
    </row>
    <row r="82" ht="25.5" customHeight="1">
      <c r="A82" s="2" t="str">
        <f>=HYPERLINK("https://applink.larksuite.com/client/mini_program/open?appId=cli_9c7cc8a9a9edd105&amp;mode=appCenter&amp;path_pc=pc/pages/requested/index?instanceId=7509457212616491046&amp;source=bitable&amp;path=pages/detail/index?instanceId=7509457212616491046&amp;source=bitable", "202505280137")</f>
        <v>202505280137</v>
      </c>
      <c r="B82" t="inlineStr">
        <is>
          <t>Approved</t>
        </is>
      </c>
      <c r="C82" t="inlineStr">
        <is>
          <t>Procurement Order</t>
        </is>
      </c>
      <c r="D82" s="3">
        <v>45805.81199074074</v>
      </c>
      <c r="E82" s="3">
        <v>45807.71084490741</v>
      </c>
      <c r="F82" t="inlineStr">
        <is>
          <t>Fatima Kathleen M. FLores</t>
        </is>
      </c>
      <c r="G82" t="inlineStr">
        <is>
          <t>Procurement</t>
        </is>
      </c>
      <c r="H82"/>
      <c r="I82"/>
      <c r="J82" t="inlineStr">
        <is>
          <t>Project</t>
        </is>
      </c>
      <c r="K82" t="inlineStr">
        <is>
          <t>PDEI - Event Service</t>
        </is>
      </c>
      <c r="L82" t="inlineStr">
        <is>
          <t>UAAP Esports S87</t>
        </is>
      </c>
      <c r="M82" t="inlineStr">
        <is>
          <t>2025TEG-P0068</t>
        </is>
      </c>
      <c r="N82" t="inlineStr">
        <is>
          <t>Frances Angelita Arreglado</t>
        </is>
      </c>
      <c r="O82" t="inlineStr">
        <is>
          <t>202505130070-Frances Angelita Arreglado-费用报销 - 副本 - 副本 - 副本-2025-05-13 10:18:43</t>
        </is>
      </c>
      <c r="P82" t="inlineStr">
        <is>
          <t>YES</t>
        </is>
      </c>
      <c r="Q82"/>
      <c r="R82" t="inlineStr">
        <is>
          <t>YES</t>
        </is>
      </c>
      <c r="S82" t="inlineStr">
        <is>
          <t>Outsourced Camera Director</t>
        </is>
      </c>
      <c r="T82">
        <v>1</v>
      </c>
      <c r="U82">
        <v>27777.78</v>
      </c>
      <c r="V82" t="inlineStr">
        <is>
          <t>PHP</t>
        </is>
      </c>
      <c r="W82">
        <v>27777.78</v>
      </c>
      <c r="X82" s="2" t="str">
        <f>=HYPERLINK("https://www.larksuite.com/approval/admin/previewAttachment?key=PMgxDsJADATAL-36fPYtn6HBilBEaBBQ-e1IFGknFhFrcoTgognsnJDPNFowXIRHWzNTSIai69iu-6HaH-_6LtSsZ3_ut61enEoz5HAfCwAvp490dykcf8cvAAD__w", "2 attachment(s)")</f>
        <v>2 attachment(s)</v>
      </c>
      <c r="Y82" t="inlineStr">
        <is>
          <t>Bank Transfer</t>
        </is>
      </c>
      <c r="Z82" t="inlineStr">
        <is>
          <t>Khim Segovia</t>
        </is>
      </c>
      <c r="AA82" t="inlineStr">
        <is>
          <t>09053390100</t>
        </is>
      </c>
      <c r="AB82" t="inlineStr">
        <is>
          <t>GCash</t>
        </is>
      </c>
      <c r="AC82" t="inlineStr">
        <is>
          <t>105 K-6th Street Cubao Quezon City</t>
        </is>
      </c>
      <c r="AD82" s="4">
        <v>45784</v>
      </c>
      <c r="AE82" t="inlineStr">
        <is>
          <t>1st Payment - May 30, 2025
Final Payment - June 20, 2025</t>
        </is>
      </c>
      <c r="AF82" s="2"/>
      <c r="AG82" t="inlineStr">
        <is>
          <t>NzQyNTk5MTgyNzQ4MTg3MDM0MTo1RjBFODlDQi0zN0Q0LTREOTItQkRBQi1GMzUyNkEyQzE3NTMtMTo1NDczODgyMjNkNjk4YTg3YjdiZWY5Yjg2M2U1NWU5ODox</t>
        </is>
      </c>
      <c r="AH82"/>
      <c r="AI82"/>
      <c r="AJ82"/>
      <c r="AK82"/>
    </row>
    <row r="83" ht="25.5" customHeight="1">
      <c r="A83" s="2" t="str">
        <f>=HYPERLINK("https://applink.larksuite.com/client/mini_program/open?appId=cli_9c7cc8a9a9edd105&amp;mode=appCenter&amp;path_pc=pc/pages/requested/index?instanceId=7509711840188858406&amp;source=bitable&amp;path=pages/detail/index?instanceId=7509711840188858406&amp;source=bitable", "202505290008")</f>
        <v>202505290008</v>
      </c>
      <c r="B83" t="inlineStr">
        <is>
          <t>Approved</t>
        </is>
      </c>
      <c r="C83" t="inlineStr">
        <is>
          <t>Procurement Order</t>
        </is>
      </c>
      <c r="D83" s="3">
        <v>45806.49815972222</v>
      </c>
      <c r="E83" s="3">
        <v>45807.7091087963</v>
      </c>
      <c r="F83" t="inlineStr">
        <is>
          <t>Fatima Kathleen M. FLores</t>
        </is>
      </c>
      <c r="G83" t="inlineStr">
        <is>
          <t>Procurement</t>
        </is>
      </c>
      <c r="H83"/>
      <c r="I83"/>
      <c r="J83" t="inlineStr">
        <is>
          <t>Project</t>
        </is>
      </c>
      <c r="K83" t="inlineStr">
        <is>
          <t>PDEI - Event Service</t>
        </is>
      </c>
      <c r="L83" t="inlineStr">
        <is>
          <t>UAAP Esports S87</t>
        </is>
      </c>
      <c r="M83" t="inlineStr">
        <is>
          <t>2025TEG-P0068</t>
        </is>
      </c>
      <c r="N83" t="inlineStr">
        <is>
          <t>Frances Angelita Arreglado</t>
        </is>
      </c>
      <c r="O83" t="inlineStr">
        <is>
          <t>202505140114-Frances Angelita Arreglado-费用报销 - 副本 - 副本 - 副本-2025-05-14 10:34:15</t>
        </is>
      </c>
      <c r="P83" t="inlineStr">
        <is>
          <t>YES</t>
        </is>
      </c>
      <c r="Q83"/>
      <c r="R83" t="inlineStr">
        <is>
          <t>YES</t>
        </is>
      </c>
      <c r="S83" t="inlineStr">
        <is>
          <t>Outsourced Stream Engineer</t>
        </is>
      </c>
      <c r="T83">
        <v>1</v>
      </c>
      <c r="U83">
        <v>18000</v>
      </c>
      <c r="V83" t="inlineStr">
        <is>
          <t>PHP</t>
        </is>
      </c>
      <c r="W83">
        <v>18000</v>
      </c>
      <c r="X83" s="2" t="str">
        <f>=HYPERLINK("https://www.larksuite.com/approval/admin/previewAttachment?key=PMgxCsJAFATQK83szv7_x8vYJASRxEYULfbsgkXaF0VEDfYwZDaDMwecZAmsqlFCzDaZaSTDMddju94PP177p3V_5X2Z79uyrU8OZ2vILvUCwMvpPSXZIfwdvwAAAP__", "2 attachment(s)")</f>
        <v>2 attachment(s)</v>
      </c>
      <c r="Y83" t="inlineStr">
        <is>
          <t>Bank Transfer</t>
        </is>
      </c>
      <c r="Z83" t="inlineStr">
        <is>
          <t>SEAN JHONAS A. ARAGO</t>
        </is>
      </c>
      <c r="AA83" t="inlineStr">
        <is>
          <t>011880108133</t>
        </is>
      </c>
      <c r="AB83" t="inlineStr">
        <is>
          <t>BDO</t>
        </is>
      </c>
      <c r="AC83" t="inlineStr">
        <is>
          <t>7 SUNFLOWER ST. LUMANG BAYAN EXECUTIVE VILLAGE, BRGY. MAYAMOT, ANTIPOLO CITY</t>
        </is>
      </c>
      <c r="AD83" s="4">
        <v>45784</v>
      </c>
      <c r="AE83" t="inlineStr">
        <is>
          <t>1st Payment - May 30, 2025
Final Payment - June 20, 2025</t>
        </is>
      </c>
      <c r="AF83" s="2"/>
      <c r="AG83" t="inlineStr">
        <is>
          <t>NzQyNTk5MTgyNzQ4MTg3MDM0MTo0NjhCQTFFOC0xMURGLTREMkQtODZDNS02MkY0MERFMjhBNUQtMTowMDMwZmQ1OTIwMWU1YzI1NTQxNGQ2MjgzYTQ4NjMyNjox</t>
        </is>
      </c>
      <c r="AH83"/>
      <c r="AI83"/>
      <c r="AJ83"/>
      <c r="AK83"/>
    </row>
    <row r="84" ht="25.5" customHeight="1">
      <c r="A84" s="2" t="str">
        <f>=HYPERLINK("https://applink.larksuite.com/client/mini_program/open?appId=cli_9c7cc8a9a9edd105&amp;mode=appCenter&amp;path_pc=pc/pages/requested/index?instanceId=7509739622973423655&amp;source=bitable&amp;path=pages/detail/index?instanceId=7509739622973423655&amp;source=bitable", "202505290019")</f>
        <v>202505290019</v>
      </c>
      <c r="B84" t="inlineStr">
        <is>
          <t>Approved</t>
        </is>
      </c>
      <c r="C84" t="inlineStr">
        <is>
          <t>Procurement Order</t>
        </is>
      </c>
      <c r="D84" s="3">
        <v>45806.57303240741</v>
      </c>
      <c r="E84" s="3">
        <v>45806.741377314815</v>
      </c>
      <c r="F84" t="inlineStr">
        <is>
          <t>Fatima Kathleen M. FLores</t>
        </is>
      </c>
      <c r="G84" t="inlineStr">
        <is>
          <t>Procurement</t>
        </is>
      </c>
      <c r="H84"/>
      <c r="I84"/>
      <c r="J84" t="inlineStr">
        <is>
          <t>Project</t>
        </is>
      </c>
      <c r="K84" t="inlineStr">
        <is>
          <t>PDEI - Event Service</t>
        </is>
      </c>
      <c r="L84" t="inlineStr">
        <is>
          <t>UAAP Esports S87</t>
        </is>
      </c>
      <c r="M84" t="inlineStr">
        <is>
          <t>2025TEG-P0068</t>
        </is>
      </c>
      <c r="N84" t="inlineStr">
        <is>
          <t>Frances Angelita Arreglado</t>
        </is>
      </c>
      <c r="O84" t="inlineStr">
        <is>
          <t>202505150033-Frances Angelita Arreglado-费用报销 - 副本 - 副本 - 副本-2025-05-15 03:53:18</t>
        </is>
      </c>
      <c r="P84" t="inlineStr">
        <is>
          <t>YES</t>
        </is>
      </c>
      <c r="Q84"/>
      <c r="R84" t="inlineStr">
        <is>
          <t>YES</t>
        </is>
      </c>
      <c r="S84" t="inlineStr">
        <is>
          <t>Outsourced Lead Stream Engineer</t>
        </is>
      </c>
      <c r="T84">
        <v>1</v>
      </c>
      <c r="U84">
        <v>20000</v>
      </c>
      <c r="V84" t="inlineStr">
        <is>
          <t>PHP</t>
        </is>
      </c>
      <c r="W84">
        <v>20000</v>
      </c>
      <c r="X84" s="2" t="str">
        <f>=HYPERLINK("https://www.larksuite.com/approval/admin/previewAttachment?key=PMg9CsJAFATgK82b95fxMjYJi6JCQKI2e3bBwvarxVBLmpcQMgo2O6F2Fan2oFfm5LRuoa1Uc3uM843H_Z37eozPlTvn67KO7WmpJtEe4QsAO_3dOyKkCvwc3wAAAP__", "2 attachment(s)")</f>
        <v>2 attachment(s)</v>
      </c>
      <c r="Y84" t="inlineStr">
        <is>
          <t>Bank Transfer</t>
        </is>
      </c>
      <c r="Z84" t="inlineStr">
        <is>
          <t>Ernesto L. Senedrin III</t>
        </is>
      </c>
      <c r="AA84" t="inlineStr">
        <is>
          <t>109425334198</t>
        </is>
      </c>
      <c r="AB84" t="inlineStr">
        <is>
          <t>Unionbank</t>
        </is>
      </c>
      <c r="AC84" t="inlineStr">
        <is>
          <t>North Tower, Unit 23D, The Radiance Manila Bay, Roxas Blvd, Pasay</t>
        </is>
      </c>
      <c r="AD84" s="4">
        <v>45784</v>
      </c>
      <c r="AE84" t="inlineStr">
        <is>
          <t>1st Payment - May 30, 2025
Final Payment - June 20, 2025</t>
        </is>
      </c>
      <c r="AF84" s="2"/>
      <c r="AG84" t="inlineStr">
        <is>
          <t>NzQyNTk5MTgyNzQ4MTg3MDM0MTo1RERFNjhGMC02REYyLTQ2NzItQTM3Qy0yNUY2NDE0NDQ5MTAtMTpkYTFlYjZiMTQ2YWIyZDczY2YzNjc0ZGY3NjAyNjg0ODox</t>
        </is>
      </c>
      <c r="AH84"/>
      <c r="AI84"/>
      <c r="AJ84"/>
      <c r="AK84"/>
    </row>
    <row r="85" ht="25.5" customHeight="1">
      <c r="A85" s="2" t="str">
        <f>=HYPERLINK("https://applink.larksuite.com/client/mini_program/open?appId=cli_9c7cc8a9a9edd105&amp;mode=appCenter&amp;path_pc=pc/pages/requested/index?instanceId=7509744128754728992&amp;source=bitable&amp;path=pages/detail/index?instanceId=7509744128754728992&amp;source=bitable", "202505290023")</f>
        <v>202505290023</v>
      </c>
      <c r="B85" t="inlineStr">
        <is>
          <t>Approved</t>
        </is>
      </c>
      <c r="C85" t="inlineStr">
        <is>
          <t>Procurement Order</t>
        </is>
      </c>
      <c r="D85" s="3">
        <v>45806.585173611114</v>
      </c>
      <c r="E85" s="3">
        <v>45806.74290509259</v>
      </c>
      <c r="F85" t="inlineStr">
        <is>
          <t>Fatima Kathleen M. FLores</t>
        </is>
      </c>
      <c r="G85" t="inlineStr">
        <is>
          <t>Procurement</t>
        </is>
      </c>
      <c r="H85"/>
      <c r="I85"/>
      <c r="J85" t="inlineStr">
        <is>
          <t>Project</t>
        </is>
      </c>
      <c r="K85" t="inlineStr">
        <is>
          <t>PDEI - Event Service</t>
        </is>
      </c>
      <c r="L85" t="inlineStr">
        <is>
          <t>UAAP Esports S87</t>
        </is>
      </c>
      <c r="M85" t="inlineStr">
        <is>
          <t>2025TEG-P0068</t>
        </is>
      </c>
      <c r="N85" t="inlineStr">
        <is>
          <t>Frances Angelita Arreglado</t>
        </is>
      </c>
      <c r="O85" t="inlineStr">
        <is>
          <t>202505150053-Frances Angelita Arreglado-费用报销 - 副本 - 副本 - 副本-2025-05-15 06:47:49</t>
        </is>
      </c>
      <c r="P85" t="inlineStr">
        <is>
          <t>YES</t>
        </is>
      </c>
      <c r="Q85"/>
      <c r="R85" t="inlineStr">
        <is>
          <t>YES</t>
        </is>
      </c>
      <c r="S85" t="inlineStr">
        <is>
          <t>Outsourced Lighting Director</t>
        </is>
      </c>
      <c r="T85">
        <v>1</v>
      </c>
      <c r="U85">
        <v>60000</v>
      </c>
      <c r="V85" t="inlineStr">
        <is>
          <t>PHP</t>
        </is>
      </c>
      <c r="W85">
        <v>60000</v>
      </c>
      <c r="X85" s="2" t="str">
        <f>=HYPERLINK("https://www.larksuite.com/approval/admin/previewAttachment?key=PMg7jgIxEATQK1V_3NW1l9nE1ohkSBAjCHx2JALSV22oHhYlpMwF2xwQM82bI-kt-fZtpEAr1V7n8R9nUx7POa_Xfb33dZvHetgQ3cHIjAZgfz8PZqZUia_jEwAA__8", "2 attachment(s)")</f>
        <v>2 attachment(s)</v>
      </c>
      <c r="Y85" t="inlineStr">
        <is>
          <t>Bank Transfer</t>
        </is>
      </c>
      <c r="Z85" t="inlineStr">
        <is>
          <t>Mark Anthony Flor</t>
        </is>
      </c>
      <c r="AA85" t="inlineStr">
        <is>
          <t>09199712271</t>
        </is>
      </c>
      <c r="AB85" t="inlineStr">
        <is>
          <t>GCash</t>
        </is>
      </c>
      <c r="AC85" t="inlineStr">
        <is>
          <t>Blk179 Lot44 St. Cecilia Street, Deca Homes Loma de Gato, Marilao, Bulacan</t>
        </is>
      </c>
      <c r="AD85" s="4">
        <v>45784</v>
      </c>
      <c r="AE85" t="inlineStr">
        <is>
          <t>1st Payment - May 30, 2025
Final Payment - June 20, 2025</t>
        </is>
      </c>
      <c r="AF85" s="2"/>
      <c r="AG85" t="inlineStr">
        <is>
          <t>NzQyNTk5MTgyNzQ4MTg3MDM0MTo0MkU5OUI2QS05NDUyLTRCRjEtQkM3NC01MTk2NDMzOTFBNjItMTpkM2E1ZDUyZWZlYzcxZDk5NmJkOGI1Yzg4YWRmNTcyZDox</t>
        </is>
      </c>
      <c r="AH85"/>
      <c r="AI85"/>
      <c r="AJ85"/>
      <c r="AK85"/>
    </row>
    <row r="86" ht="25.5" customHeight="1">
      <c r="A86" s="2" t="str">
        <f>=HYPERLINK("https://applink.larksuite.com/client/mini_program/open?appId=cli_9c7cc8a9a9edd105&amp;mode=appCenter&amp;path_pc=pc/pages/requested/index?instanceId=7509745502590910496&amp;source=bitable&amp;path=pages/detail/index?instanceId=7509745502590910496&amp;source=bitable", "202505290024")</f>
        <v>202505290024</v>
      </c>
      <c r="B86" t="inlineStr">
        <is>
          <t>Approved</t>
        </is>
      </c>
      <c r="C86" t="inlineStr">
        <is>
          <t>Procurement Order</t>
        </is>
      </c>
      <c r="D86" s="3">
        <v>45806.58887731482</v>
      </c>
      <c r="E86" s="3">
        <v>45806.74561342593</v>
      </c>
      <c r="F86" t="inlineStr">
        <is>
          <t>Fatima Kathleen M. FLores</t>
        </is>
      </c>
      <c r="G86" t="inlineStr">
        <is>
          <t>Procurement</t>
        </is>
      </c>
      <c r="H86"/>
      <c r="I86"/>
      <c r="J86" t="inlineStr">
        <is>
          <t>Project</t>
        </is>
      </c>
      <c r="K86" t="inlineStr">
        <is>
          <t>PDEI - Event Service</t>
        </is>
      </c>
      <c r="L86" t="inlineStr">
        <is>
          <t>UAAP Esports S87</t>
        </is>
      </c>
      <c r="M86" t="inlineStr">
        <is>
          <t>2025TEG-P0068</t>
        </is>
      </c>
      <c r="N86" t="inlineStr">
        <is>
          <t>Frances Angelita Arreglado</t>
        </is>
      </c>
      <c r="O86" t="inlineStr">
        <is>
          <t>202505150054-Frances Angelita Arreglado-费用报销 - 副本 - 副本 - 副本-2025-05-15 06:52:56</t>
        </is>
      </c>
      <c r="P86" t="inlineStr">
        <is>
          <t>YES</t>
        </is>
      </c>
      <c r="Q86"/>
      <c r="R86" t="inlineStr">
        <is>
          <t>YES</t>
        </is>
      </c>
      <c r="S86" t="inlineStr">
        <is>
          <t>Outsourced Teleprompter</t>
        </is>
      </c>
      <c r="T86">
        <v>1</v>
      </c>
      <c r="U86">
        <v>16500</v>
      </c>
      <c r="V86" t="inlineStr">
        <is>
          <t>PHP</t>
        </is>
      </c>
      <c r="W86">
        <v>16500</v>
      </c>
      <c r="X86" s="2" t="str">
        <f>=HYPERLINK("https://www.larksuite.com/approval/admin/previewAttachment?key=PMg9CsJAEAXgK7353-dlbBKCIEpA3K3m7IJF2i-HIEeIJeEUJaQrwPIIaBAUOLO1pYooSWbvr-OucyyLc23zferz2_OxHftHgqWKMncbAOR2uZW7k-n4O34BAAD__w", "2 attachment(s)")</f>
        <v>2 attachment(s)</v>
      </c>
      <c r="Y86" t="inlineStr">
        <is>
          <t>Bank Transfer</t>
        </is>
      </c>
      <c r="Z86" t="inlineStr">
        <is>
          <t>Mc Kenneth R. Esteban</t>
        </is>
      </c>
      <c r="AA86" t="inlineStr">
        <is>
          <t>9619212212</t>
        </is>
      </c>
      <c r="AB86" t="inlineStr">
        <is>
          <t>BPI</t>
        </is>
      </c>
      <c r="AC86" t="inlineStr">
        <is>
          <t>10 Kasoy St. Pasong Tamo Quezon City</t>
        </is>
      </c>
      <c r="AD86" s="4">
        <v>45784</v>
      </c>
      <c r="AE86" t="inlineStr">
        <is>
          <t>1st Payment - May 30, 2025
Final Payment - June 20, 2025</t>
        </is>
      </c>
      <c r="AF86" s="2"/>
      <c r="AG86" t="inlineStr">
        <is>
          <t>NzQyNTk5MTgyNzQ4MTg3MDM0MTo5RDNEOTY0Mi03NzM0LTQ3MEItOTNGQy1EMTJDOUY5QjQ4OEMtMTo3OWQ0MDViMzEyZmRlZGY0ZDllZDc2NWUyMDg5Y2Q4YTox</t>
        </is>
      </c>
      <c r="AH86"/>
      <c r="AI86"/>
      <c r="AJ86"/>
      <c r="AK86"/>
    </row>
    <row r="87" ht="25.5" customHeight="1">
      <c r="A87" s="2" t="str">
        <f>=HYPERLINK("https://applink.larksuite.com/client/mini_program/open?appId=cli_9c7cc8a9a9edd105&amp;mode=appCenter&amp;path_pc=pc/pages/requested/index?instanceId=7509750385549017119&amp;source=bitable&amp;path=pages/detail/index?instanceId=7509750385549017119&amp;source=bitable", "202505290028")</f>
        <v>202505290028</v>
      </c>
      <c r="B87" t="inlineStr">
        <is>
          <t>Approved</t>
        </is>
      </c>
      <c r="C87" t="inlineStr">
        <is>
          <t>Procurement Order</t>
        </is>
      </c>
      <c r="D87" s="3">
        <v>45806.60203703704</v>
      </c>
      <c r="E87" s="3">
        <v>45806.744722222225</v>
      </c>
      <c r="F87" t="inlineStr">
        <is>
          <t>Fatima Kathleen M. FLores</t>
        </is>
      </c>
      <c r="G87" t="inlineStr">
        <is>
          <t>Procurement</t>
        </is>
      </c>
      <c r="H87"/>
      <c r="I87"/>
      <c r="J87" t="inlineStr">
        <is>
          <t>Project</t>
        </is>
      </c>
      <c r="K87" t="inlineStr">
        <is>
          <t>PDEI - Event Service</t>
        </is>
      </c>
      <c r="L87" t="inlineStr">
        <is>
          <t>UAAP Esports S87</t>
        </is>
      </c>
      <c r="M87" t="inlineStr">
        <is>
          <t>2025TEG-P0068</t>
        </is>
      </c>
      <c r="N87" t="inlineStr">
        <is>
          <t>Frances Angelita Arreglado</t>
        </is>
      </c>
      <c r="O87" t="inlineStr">
        <is>
          <t>202505140120-Frances Angelita Arreglado-费用报销 - 副本 - 副本 - 副本-2025-05-14 10:49:52</t>
        </is>
      </c>
      <c r="P87" t="inlineStr">
        <is>
          <t>YES</t>
        </is>
      </c>
      <c r="Q87"/>
      <c r="R87" t="inlineStr">
        <is>
          <t>YES</t>
        </is>
      </c>
      <c r="S87" t="inlineStr">
        <is>
          <t>Outsourced Game Director</t>
        </is>
      </c>
      <c r="T87">
        <v>1</v>
      </c>
      <c r="U87">
        <v>25000</v>
      </c>
      <c r="V87" t="inlineStr">
        <is>
          <t>PHP</t>
        </is>
      </c>
      <c r="W87">
        <v>25000</v>
      </c>
      <c r="X87" s="2" t="str">
        <f>=HYPERLINK("https://www.larksuite.com/approval/admin/previewAttachment?key=PMg9DoJAFATgK83s-9vxMjYQYkBsDHbv7CYWtl9OImfQUnBxCOwKqAI2I1xgkerRrBKKqez13O77qddhlx11Lc_Y-_NYtvXNUI2BMnebAHj7u5W7S-n4Ob4BAAD__w", "2 attachment(s)")</f>
        <v>2 attachment(s)</v>
      </c>
      <c r="Y87" t="inlineStr">
        <is>
          <t>Bank Transfer</t>
        </is>
      </c>
      <c r="Z87" t="inlineStr">
        <is>
          <t>Ralp Gabriel Garcia</t>
        </is>
      </c>
      <c r="AA87" t="inlineStr">
        <is>
          <t>09569945794</t>
        </is>
      </c>
      <c r="AB87" t="inlineStr">
        <is>
          <t>GCash</t>
        </is>
      </c>
      <c r="AC87" t="inlineStr">
        <is>
          <t>2817 Beata St. Pandacan Manila</t>
        </is>
      </c>
      <c r="AD87" s="4">
        <v>45784</v>
      </c>
      <c r="AE87" t="inlineStr">
        <is>
          <t>1st Payment - May 30, 2025
Final Payment - June 20, 2025</t>
        </is>
      </c>
      <c r="AF87" s="2"/>
      <c r="AG87" t="inlineStr">
        <is>
          <t>NzQyNTk5MTgyNzQ4MTg3MDM0MTo1OEI0OEY5OC1CNjQzLTQ3Q0QtODg5Qy01QUFDQjI5QjE0MEQtMToyMzI0YmYzMGVmYzExMjcyNDgwOThkZjgzOTQ0MzMwNDox</t>
        </is>
      </c>
      <c r="AH87"/>
      <c r="AI87"/>
      <c r="AJ87"/>
      <c r="AK87"/>
    </row>
    <row r="88" ht="25.5" customHeight="1">
      <c r="A88" s="2" t="str">
        <f>=HYPERLINK("https://applink.larksuite.com/client/mini_program/open?appId=cli_9c7cc8a9a9edd105&amp;mode=appCenter&amp;path_pc=pc/pages/requested/index?instanceId=7509768905171173407&amp;source=bitable&amp;path=pages/detail/index?instanceId=7509768905171173407&amp;source=bitable", "202505290035")</f>
        <v>202505290035</v>
      </c>
      <c r="B88" t="inlineStr">
        <is>
          <t>Approved</t>
        </is>
      </c>
      <c r="C88" t="inlineStr">
        <is>
          <t>Procurement Order</t>
        </is>
      </c>
      <c r="D88" s="3">
        <v>45806.65194444444</v>
      </c>
      <c r="E88" s="3">
        <v>45811.656435185185</v>
      </c>
      <c r="F88" t="inlineStr">
        <is>
          <t>Fatima Kathleen M. FLores</t>
        </is>
      </c>
      <c r="G88" t="inlineStr">
        <is>
          <t>Procurement</t>
        </is>
      </c>
      <c r="H88"/>
      <c r="I88"/>
      <c r="J88" t="inlineStr">
        <is>
          <t>Project</t>
        </is>
      </c>
      <c r="K88" t="inlineStr">
        <is>
          <t>PDEI - Event Service</t>
        </is>
      </c>
      <c r="L88" t="inlineStr">
        <is>
          <t>MPL PH S15 Addendum</t>
        </is>
      </c>
      <c r="M88" t="inlineStr">
        <is>
          <t>2025TEG-P0071</t>
        </is>
      </c>
      <c r="N88" t="inlineStr">
        <is>
          <t>Tiny</t>
        </is>
      </c>
      <c r="O88" t="inlineStr">
        <is>
          <t>202505210094-Tiny-费用报销 - 副本 - 副本 - 副本-2025-05-21 08:20:27</t>
        </is>
      </c>
      <c r="P88" t="inlineStr">
        <is>
          <t>NO</t>
        </is>
      </c>
      <c r="Q88"/>
      <c r="R88" t="inlineStr">
        <is>
          <t>YES</t>
        </is>
      </c>
      <c r="S88" t="inlineStr">
        <is>
          <t>Outsourced Technical Services</t>
        </is>
      </c>
      <c r="T88">
        <v>1</v>
      </c>
      <c r="U88">
        <v>1200000</v>
      </c>
      <c r="V88" t="inlineStr">
        <is>
          <t>PHP</t>
        </is>
      </c>
      <c r="W88">
        <v>1200000</v>
      </c>
      <c r="X88" s="2" t="str">
        <f>=HYPERLINK("https://www.larksuite.com/approval/admin/previewAttachment?key=PMgxDkIxDAPQK9lNGsdchuVXXwwwIdh6diSGv75qonoyykhzGNyasKqNSZGKhPbYlAyxXHu9zntnTyjW56k4qP19HOd6c1pjQJEZDYC3y0OZaVfi7_gFAAD__w", "2 attachment(s)")</f>
        <v>2 attachment(s)</v>
      </c>
      <c r="Y88" t="inlineStr">
        <is>
          <t>Bank Transfer</t>
        </is>
      </c>
      <c r="Z88" t="inlineStr">
        <is>
          <t>XSTATIC EVENT SYSTEM INC.</t>
        </is>
      </c>
      <c r="AA88" t="inlineStr">
        <is>
          <t>011728001773</t>
        </is>
      </c>
      <c r="AB88" t="inlineStr">
        <is>
          <t>BDO</t>
        </is>
      </c>
      <c r="AC88" t="inlineStr">
        <is>
          <t>Blk. 15 Lot 26 BF Martinville Las Piñas City</t>
        </is>
      </c>
      <c r="AD88" s="4">
        <v>45805</v>
      </c>
      <c r="AE88" t="inlineStr">
        <is>
          <t>60% Down Payment - upon confirmation of Services
40% Final Payment upon completion of services</t>
        </is>
      </c>
      <c r="AF88" s="2"/>
      <c r="AG88" t="inlineStr">
        <is>
          <t>NzQyNTk5MTgyNzQ4MTg3MDM0MTo4REE2QkM3Ri04MTdELTQ5RjgtQTM0Ri01RDA2RjVCREE2N0QtMTo0NjEwMWNhNTA1ODJmNWM0MjE1NWNlMDYxMWUxMzhjNTox</t>
        </is>
      </c>
      <c r="AH88"/>
      <c r="AI88"/>
      <c r="AJ88"/>
      <c r="AK88"/>
    </row>
    <row r="89" ht="25.5" customHeight="1">
      <c r="A89" s="2" t="str">
        <f>=HYPERLINK("https://applink.larksuite.com/client/mini_program/open?appId=cli_9c7cc8a9a9edd105&amp;mode=appCenter&amp;path_pc=pc/pages/requested/index?instanceId=7509783303029784607&amp;source=bitable&amp;path=pages/detail/index?instanceId=7509783303029784607&amp;source=bitable", "202505290039")</f>
        <v>202505290039</v>
      </c>
      <c r="B89" t="inlineStr">
        <is>
          <t>Approved</t>
        </is>
      </c>
      <c r="C89" t="inlineStr">
        <is>
          <t>Procurement Order</t>
        </is>
      </c>
      <c r="D89" s="3">
        <v>45806.69074074074</v>
      </c>
      <c r="E89" s="3">
        <v>45807.72342592593</v>
      </c>
      <c r="F89" t="inlineStr">
        <is>
          <t>Fatima Kathleen M. FLores</t>
        </is>
      </c>
      <c r="G89" t="inlineStr">
        <is>
          <t>Procurement</t>
        </is>
      </c>
      <c r="H89"/>
      <c r="I89"/>
      <c r="J89" t="inlineStr">
        <is>
          <t>GAE</t>
        </is>
      </c>
      <c r="K89"/>
      <c r="L89"/>
      <c r="M89"/>
      <c r="N89"/>
      <c r="O89" t="inlineStr">
        <is>
          <t>202505150090-Anteaus Villena-费用报销 - 副本 - 副本 - 副本-2025-05-15 08:42:28</t>
        </is>
      </c>
      <c r="P89"/>
      <c r="Q89" t="inlineStr">
        <is>
          <t>Sales</t>
        </is>
      </c>
      <c r="R89"/>
      <c r="S89" t="inlineStr">
        <is>
          <t>Outsourced Creative Director with 3D Design Render</t>
        </is>
      </c>
      <c r="T89">
        <v>1</v>
      </c>
      <c r="U89">
        <v>50000</v>
      </c>
      <c r="V89" t="inlineStr">
        <is>
          <t>PHP</t>
        </is>
      </c>
      <c r="W89">
        <v>50000</v>
      </c>
      <c r="X89" s="2" t="str">
        <f>=HYPERLINK("https://www.larksuite.com/approval/admin/previewAttachment?key=PMhLisJgEATgK1U__q6uucxsDEEJgiDJrs8uuHD7VRuql0UJKXPBhgtiRyDgYmeB42OkQCvVbM_9v7MX7Dp19Ot8HHPdb_v2tiW6g5EZDcD-fh7MTKkSX8cnAAD__w", "2 attachment(s)")</f>
        <v>2 attachment(s)</v>
      </c>
      <c r="Y89" t="inlineStr">
        <is>
          <t>Bank Transfer</t>
        </is>
      </c>
      <c r="Z89" t="inlineStr">
        <is>
          <t>Jasper Cajilig</t>
        </is>
      </c>
      <c r="AA89" t="inlineStr">
        <is>
          <t>1469190872</t>
        </is>
      </c>
      <c r="AB89" t="inlineStr">
        <is>
          <t>BPI</t>
        </is>
      </c>
      <c r="AC89" t="inlineStr">
        <is>
          <t>Balusbos, Malay, Aklan</t>
        </is>
      </c>
      <c r="AD89" s="4">
        <v>45791</v>
      </c>
      <c r="AE89" t="inlineStr">
        <is>
          <t>1st Payment - May 30, 2025
Final Payment - June 6, 2025</t>
        </is>
      </c>
      <c r="AF89" s="2"/>
      <c r="AG89" t="inlineStr">
        <is>
          <t>NzQyNTk5MTgyNzQ4MTg3MDM0MToyNUEzQTY4OS1ENkM4LTRFOTAtQkVGRC03MUUwNDA4MTY5REUtMToyNDhhZTNiYzU1ZWVkMTA1YTM2YjUwNjY2ZTQ3NzcwZDox</t>
        </is>
      </c>
      <c r="AH89"/>
      <c r="AI89"/>
      <c r="AJ89"/>
      <c r="AK89"/>
    </row>
    <row r="90" ht="25.5" customHeight="1">
      <c r="A90" s="2" t="str">
        <f>=HYPERLINK("https://applink.larksuite.com/client/mini_program/open?appId=cli_9c7cc8a9a9edd105&amp;mode=appCenter&amp;path_pc=pc/pages/requested/index?instanceId=7510106428049424422&amp;source=bitable&amp;path=pages/detail/index?instanceId=7510106428049424422&amp;source=bitable", "202505300053")</f>
        <v>202505300053</v>
      </c>
      <c r="B90" t="inlineStr">
        <is>
          <t>Approved</t>
        </is>
      </c>
      <c r="C90" t="inlineStr">
        <is>
          <t>Procurement Order</t>
        </is>
      </c>
      <c r="D90" s="3">
        <v>45807.56149305555</v>
      </c>
      <c r="E90" s="3">
        <v>45819.51113425926</v>
      </c>
      <c r="F90" t="inlineStr">
        <is>
          <t>Fatima Kathleen M. FLores</t>
        </is>
      </c>
      <c r="G90" t="inlineStr">
        <is>
          <t>Procurement</t>
        </is>
      </c>
      <c r="H90"/>
      <c r="I90"/>
      <c r="J90" t="inlineStr">
        <is>
          <t>Project</t>
        </is>
      </c>
      <c r="K90" t="inlineStr">
        <is>
          <t>PDEI - Event Service</t>
        </is>
      </c>
      <c r="L90" t="inlineStr">
        <is>
          <t>MPL PH S15 Addendum</t>
        </is>
      </c>
      <c r="M90" t="inlineStr">
        <is>
          <t>2025TEG-P0071</t>
        </is>
      </c>
      <c r="N90" t="inlineStr">
        <is>
          <t>Tiny</t>
        </is>
      </c>
      <c r="O90" t="inlineStr">
        <is>
          <t>202505180018-Anteaus Villena-费用报销 - 副本 - 副本 - 副本-2025-05-18 12:48:11</t>
        </is>
      </c>
      <c r="P90" t="inlineStr">
        <is>
          <t>NO</t>
        </is>
      </c>
      <c r="Q90"/>
      <c r="R90" t="inlineStr">
        <is>
          <t>YES</t>
        </is>
      </c>
      <c r="S90" t="inlineStr">
        <is>
          <t>Outsourced Photography &amp; Videography Team</t>
        </is>
      </c>
      <c r="T90">
        <v>1</v>
      </c>
      <c r="U90">
        <v>168000</v>
      </c>
      <c r="V90" t="inlineStr">
        <is>
          <t>PHP</t>
        </is>
      </c>
      <c r="W90">
        <v>168000</v>
      </c>
      <c r="X90" s="2" t="str">
        <f>=HYPERLINK("https://www.larksuite.com/approval/admin/previewAttachment?key=PMhBqgIxEATQK1VVKt3pf5m_yTA4YFai4CJnF1y4fTGIGJ0tCi6qwJ2dIMIacFm2tLWZWUhGxT7W-T-fS3Nc6333pe79us3zeLBXSshmtwGAfz9vabsqjK_jEwAA__8", "2 attachment(s)")</f>
        <v>2 attachment(s)</v>
      </c>
      <c r="Y90" t="inlineStr">
        <is>
          <t>Bank Transfer</t>
        </is>
      </c>
      <c r="Z90" t="inlineStr">
        <is>
          <t>Ryan Matias</t>
        </is>
      </c>
      <c r="AA90" t="inlineStr">
        <is>
          <t>1996 2285 79</t>
        </is>
      </c>
      <c r="AB90" t="inlineStr">
        <is>
          <t>BPI</t>
        </is>
      </c>
      <c r="AC90" t="inlineStr">
        <is>
          <t>21 Lancelot St., Kingsville Court, Mambugan, Antipolo City</t>
        </is>
      </c>
      <c r="AD90" s="4">
        <v>45803</v>
      </c>
      <c r="AE90" t="inlineStr">
        <is>
          <t>50% Down payment upon confirmation
50% Full Payment - 14 days upon completion of services</t>
        </is>
      </c>
      <c r="AF90" s="2"/>
      <c r="AG90" t="inlineStr">
        <is>
          <t>NzQyNTk5MTgyNzQ4MTg3MDM0MTpFMkJBNEYzRi04QjcwLTQ1NzQtQUNBRi0xQTE2NjY0MDc1MUUtMTo1YWE0Nzg1MTAwMzVhMzE1MzQ5N2NkZjc0ZTQ3NWI4Mzox</t>
        </is>
      </c>
      <c r="AH90"/>
      <c r="AI90"/>
      <c r="AJ90"/>
      <c r="AK90"/>
    </row>
    <row r="91" ht="25.5" customHeight="1">
      <c r="A91" s="2" t="str">
        <f>=HYPERLINK("https://applink.larksuite.com/client/mini_program/open?appId=cli_9c7cc8a9a9edd105&amp;mode=appCenter&amp;path_pc=pc/pages/requested/index?instanceId=7510115597578043431&amp;source=bitable&amp;path=pages/detail/index?instanceId=7510115597578043431&amp;source=bitable", "202505300056")</f>
        <v>202505300056</v>
      </c>
      <c r="B91" t="inlineStr">
        <is>
          <t>Approved</t>
        </is>
      </c>
      <c r="C91" t="inlineStr">
        <is>
          <t>Procurement Order</t>
        </is>
      </c>
      <c r="D91" s="3">
        <v>45807.5862037037</v>
      </c>
      <c r="E91" s="3">
        <v>45819.51063657407</v>
      </c>
      <c r="F91" t="inlineStr">
        <is>
          <t>Fatima Kathleen M. FLores</t>
        </is>
      </c>
      <c r="G91" t="inlineStr">
        <is>
          <t>Procurement</t>
        </is>
      </c>
      <c r="H91"/>
      <c r="I91"/>
      <c r="J91" t="inlineStr">
        <is>
          <t>Project</t>
        </is>
      </c>
      <c r="K91" t="inlineStr">
        <is>
          <t>PDEI - Event Service</t>
        </is>
      </c>
      <c r="L91" t="inlineStr">
        <is>
          <t>MPL PH S15 Addendum</t>
        </is>
      </c>
      <c r="M91" t="inlineStr">
        <is>
          <t>2025TEG-P0071</t>
        </is>
      </c>
      <c r="N91" t="inlineStr">
        <is>
          <t>Tiny</t>
        </is>
      </c>
      <c r="O91" t="inlineStr">
        <is>
          <t>202505210092-Tiny-费用报销 - 副本 - 副本 - 副本-2025-05-21 08:16:48</t>
        </is>
      </c>
      <c r="P91" t="inlineStr">
        <is>
          <t>NO</t>
        </is>
      </c>
      <c r="Q91"/>
      <c r="R91" t="inlineStr">
        <is>
          <t>YES</t>
        </is>
      </c>
      <c r="S91" t="inlineStr">
        <is>
          <t>Stage Fabrication and Upgrades</t>
        </is>
      </c>
      <c r="T91">
        <v>1</v>
      </c>
      <c r="U91">
        <v>392896</v>
      </c>
      <c r="V91" t="inlineStr">
        <is>
          <t>PHP</t>
        </is>
      </c>
      <c r="W91">
        <v>392896</v>
      </c>
      <c r="X91" s="2" t="str">
        <f>=HYPERLINK("https://www.larksuite.com/approval/admin/previewAttachment?key=PMgxjsJQDATQK818jz32XmabRBFNKiSo_tmRKGhfNVGdjBpouAbcToLMHKcbCgX32rQHZk3t877-W53vW8epWYb363Fc55M5XgsOKRoA_34eljRTwtfxCQAA__8", "2 attachment(s)")</f>
        <v>2 attachment(s)</v>
      </c>
      <c r="Y91" t="inlineStr">
        <is>
          <t>Bank Transfer</t>
        </is>
      </c>
      <c r="Z91" t="inlineStr">
        <is>
          <t>Inex Stagesystems Corp.</t>
        </is>
      </c>
      <c r="AA91" t="inlineStr">
        <is>
          <t>002470117670</t>
        </is>
      </c>
      <c r="AB91" t="inlineStr">
        <is>
          <t>BDO</t>
        </is>
      </c>
      <c r="AC91" t="inlineStr">
        <is>
          <t>4014 Cul De Sac St., Brgy. Sun Valley, Paranaque City</t>
        </is>
      </c>
      <c r="AD91" s="4">
        <v>45803</v>
      </c>
      <c r="AE91" t="inlineStr">
        <is>
          <t>50% Down Payment upon confirmation
50% Final payment - 30 days after event</t>
        </is>
      </c>
      <c r="AF91" s="2"/>
      <c r="AG91" t="inlineStr">
        <is>
          <t>NzQyNTk5MTgyNzQ4MTg3MDM0MTpENTlGNTkzMi0xM0UyLTQ3RDMtQkQ5NS03REExNjdEQTIxQ0MtMTo3MTEwZTFmY2M4NDliMTY4NjU2ZjNiNmE3OWY3ODg3NTox</t>
        </is>
      </c>
      <c r="AH91"/>
      <c r="AI91"/>
      <c r="AJ91"/>
      <c r="AK91"/>
    </row>
    <row r="92" ht="25.5" customHeight="1">
      <c r="A92" s="2" t="str">
        <f>=HYPERLINK("https://applink.larksuite.com/client/mini_program/open?appId=cli_9c7cc8a9a9edd105&amp;mode=appCenter&amp;path_pc=pc/pages/requested/index?instanceId=7510173625971048486&amp;source=bitable&amp;path=pages/detail/index?instanceId=7510173625971048486&amp;source=bitable", "202505300094")</f>
        <v>202505300094</v>
      </c>
      <c r="B92" t="inlineStr">
        <is>
          <t>Approved</t>
        </is>
      </c>
      <c r="C92" t="inlineStr">
        <is>
          <t>Procurement Order</t>
        </is>
      </c>
      <c r="D92" s="3">
        <v>45807.742581018516</v>
      </c>
      <c r="E92" s="3">
        <v>45812.45542824074</v>
      </c>
      <c r="F92" t="inlineStr">
        <is>
          <t>Fatima Kathleen M. FLores</t>
        </is>
      </c>
      <c r="G92" t="inlineStr">
        <is>
          <t>Procurement</t>
        </is>
      </c>
      <c r="H92"/>
      <c r="I92"/>
      <c r="J92" t="inlineStr">
        <is>
          <t>Project</t>
        </is>
      </c>
      <c r="K92" t="inlineStr">
        <is>
          <t>PDEI - Event Service</t>
        </is>
      </c>
      <c r="L92" t="inlineStr">
        <is>
          <t>MPL PH S15 Addendum</t>
        </is>
      </c>
      <c r="M92" t="inlineStr">
        <is>
          <t>2025TEG-P0071</t>
        </is>
      </c>
      <c r="N92" t="inlineStr">
        <is>
          <t>Tiny</t>
        </is>
      </c>
      <c r="O92" t="inlineStr">
        <is>
          <t>202504110019-Duane Aaron Baret Cadangan-费用报销 - 副本 - 副本 - 副本-2025-04-11 04:14:16</t>
        </is>
      </c>
      <c r="P92" t="inlineStr">
        <is>
          <t>NO</t>
        </is>
      </c>
      <c r="Q92"/>
      <c r="R92" t="inlineStr">
        <is>
          <t>YES</t>
        </is>
      </c>
      <c r="S92" t="inlineStr">
        <is>
          <t>Rental of Bean Bags (10 pcs / color ORANGE) - inclusive of delivery &amp; pick-up</t>
        </is>
      </c>
      <c r="T92">
        <v>1</v>
      </c>
      <c r="U92">
        <v>15000</v>
      </c>
      <c r="V92" t="inlineStr">
        <is>
          <t>PHP</t>
        </is>
      </c>
      <c r="W92">
        <v>15000</v>
      </c>
      <c r="X92" s="2" t="str">
        <f>=HYPERLINK("https://www.larksuite.com/approval/admin/previewAttachment?key=PMg9jkIxEAPgK9mJMxPvZbYheuJHVEhBr5izI1HQfjGJmIM9DJnNYOUgmD3acBKamlGtmGkkw1Hrefzf9t04t_b5eO-1al8vx3pxOFtDdqlPAPz7eU9JdghfxycAAP__", "2 attachment(s)")</f>
        <v>2 attachment(s)</v>
      </c>
      <c r="Y92" t="inlineStr">
        <is>
          <t>Bank Transfer</t>
        </is>
      </c>
      <c r="Z92" t="inlineStr">
        <is>
          <t>Majestic Events Enterprises</t>
        </is>
      </c>
      <c r="AA92" t="inlineStr">
        <is>
          <t>1450 0130 28</t>
        </is>
      </c>
      <c r="AB92" t="inlineStr">
        <is>
          <t>BPI</t>
        </is>
      </c>
      <c r="AC92" t="inlineStr">
        <is>
          <t>653 Santol St., cor. Rd Santos St., Sta. Mesa Manila</t>
        </is>
      </c>
      <c r="AD92" s="4">
        <v>45806</v>
      </c>
      <c r="AE92" t="inlineStr">
        <is>
          <t>100% Full Payment before delivery
NOTE: THIS IS A CONFIRMING PO ONLY. ITEMS DELIVERED AND PAID.</t>
        </is>
      </c>
      <c r="AF92" s="2" t="str">
        <f>=HYPERLINK("https://www.larksuite.com/approval/admin/previewAttachment?key=TMg9jkIxEAPgK9nJxDPey2xD9MSPqJCCXpGzI1HRfipCNdhlhNkM7hwEs6sNJxEVpd02M42krD2fx_9t3Y1zxTof7zXnXtfLMV9UdSE8ImgA_PtxEq6u_nV8AgAA__8", "3 attachment(s)")</f>
        <v>3 attachment(s)</v>
      </c>
      <c r="AG92" t="inlineStr">
        <is>
          <t>NzQyNTk5MTgyNzQ4MTg3MDM0MTpFRjcxODk0Qi0zNkU5LTREQUItOUZDNC02MjBFOTZERDZGOTItMToxNWQ0NThhODU2MzUxNGQ5MTE3MmEzYWEwYzk4ZGM4ZDox</t>
        </is>
      </c>
      <c r="AH92"/>
      <c r="AI92"/>
      <c r="AJ92"/>
      <c r="AK92"/>
    </row>
    <row r="93" ht="25.5" customHeight="1">
      <c r="A93" s="2" t="str">
        <f>=HYPERLINK("https://applink.larksuite.com/client/mini_program/open?appId=cli_9c7cc8a9a9edd105&amp;mode=appCenter&amp;path_pc=pc/pages/requested/index?instanceId=7511601509025546272&amp;source=bitable&amp;path=pages/detail/index?instanceId=7511601509025546272&amp;source=bitable", "202506030039")</f>
        <v>202506030039</v>
      </c>
      <c r="B93" t="inlineStr">
        <is>
          <t>Approved</t>
        </is>
      </c>
      <c r="C93" t="inlineStr">
        <is>
          <t>Procurement Order</t>
        </is>
      </c>
      <c r="D93" s="3">
        <v>45811.59043981481</v>
      </c>
      <c r="E93" s="3">
        <v>45812.65777777778</v>
      </c>
      <c r="F93" t="inlineStr">
        <is>
          <t>Fatima Kathleen M. FLores</t>
        </is>
      </c>
      <c r="G93" t="inlineStr">
        <is>
          <t>Procurement</t>
        </is>
      </c>
      <c r="H93"/>
      <c r="I93"/>
      <c r="J93" t="inlineStr">
        <is>
          <t>Project</t>
        </is>
      </c>
      <c r="K93" t="inlineStr">
        <is>
          <t>PDEI - Game Marketing</t>
        </is>
      </c>
      <c r="L93" t="inlineStr">
        <is>
          <t>realme Cup</t>
        </is>
      </c>
      <c r="M93" t="inlineStr">
        <is>
          <t>2025TEG-P0094</t>
        </is>
      </c>
      <c r="N93" t="inlineStr">
        <is>
          <t>Anteaus Villena</t>
        </is>
      </c>
      <c r="O93" t="inlineStr">
        <is>
          <t>202505180008-Anteaus Villena-费用报销 - 副本 - 副本 - 副本-2025-05-18 08:58:28</t>
        </is>
      </c>
      <c r="P93" t="inlineStr">
        <is>
          <t>YES</t>
        </is>
      </c>
      <c r="Q93"/>
      <c r="R93" t="inlineStr">
        <is>
          <t>YES</t>
        </is>
      </c>
      <c r="S93" t="inlineStr">
        <is>
          <t>Outsourced Show Director</t>
        </is>
      </c>
      <c r="T93">
        <v>1</v>
      </c>
      <c r="U93">
        <v>44444.44</v>
      </c>
      <c r="V93" t="inlineStr">
        <is>
          <t>PHP</t>
        </is>
      </c>
      <c r="W93">
        <v>44444.44</v>
      </c>
      <c r="X93" s="2" t="str">
        <f>=HYPERLINK("https://www.larksuite.com/approval/admin/previewAttachment?key=PMg7CgJBEATQK1X19GfKy5i4DMoiCOKCQZ9dMNj05SRyBkcKLprAriATDAgW4Wllbc0qoZjK3p7rutvHj_37GIXXovVxv63tzVCZoYb7mAB4OX2Uu0vp-Dt-AQAA__8", "2 attachment(s)")</f>
        <v>2 attachment(s)</v>
      </c>
      <c r="Y93" t="inlineStr">
        <is>
          <t>Bank Transfer</t>
        </is>
      </c>
      <c r="Z93" t="inlineStr">
        <is>
          <t>Karl Kristian C. Durante</t>
        </is>
      </c>
      <c r="AA93" t="inlineStr">
        <is>
          <t>0003 3054 9030</t>
        </is>
      </c>
      <c r="AB93" t="inlineStr">
        <is>
          <t>BDO</t>
        </is>
      </c>
      <c r="AC93" t="inlineStr">
        <is>
          <t>21/23 Emerald Street, Marikit Subdivision, Concepcion Uno, Marikina City</t>
        </is>
      </c>
      <c r="AD93" s="4">
        <v>45805</v>
      </c>
      <c r="AE93" t="inlineStr">
        <is>
          <t>1st Payment - June 6, 2025
Final Payment - June 27, 2025</t>
        </is>
      </c>
      <c r="AF93" s="2"/>
      <c r="AG93" t="inlineStr">
        <is>
          <t>NzQyNTk5MTgyNzQ4MTg3MDM0MTo1QTBFM0RCRS01ODJDLTRGNEQtQTRCQy1BREQ0QTI0NDY5MkItMTplOGUxNWYwMDliZDMyNGMzY2ZhNTU0YzA1MzMzZDdmMTox</t>
        </is>
      </c>
      <c r="AH93"/>
      <c r="AI93"/>
      <c r="AJ93"/>
      <c r="AK93"/>
    </row>
    <row r="94" ht="25.5" customHeight="1">
      <c r="A94" s="2" t="str">
        <f>=HYPERLINK("https://applink.larksuite.com/client/mini_program/open?appId=cli_9c7cc8a9a9edd105&amp;mode=appCenter&amp;path_pc=pc/pages/requested/index?instanceId=7511614222170701856&amp;source=bitable&amp;path=pages/detail/index?instanceId=7511614222170701856&amp;source=bitable", "202506030056")</f>
        <v>202506030056</v>
      </c>
      <c r="B94" t="inlineStr">
        <is>
          <t>Approved</t>
        </is>
      </c>
      <c r="C94" t="inlineStr">
        <is>
          <t>Procurement Order</t>
        </is>
      </c>
      <c r="D94" s="3">
        <v>45811.62469907408</v>
      </c>
      <c r="E94" s="3">
        <v>45819.50646990741</v>
      </c>
      <c r="F94" t="inlineStr">
        <is>
          <t>Fatima Kathleen M. FLores</t>
        </is>
      </c>
      <c r="G94" t="inlineStr">
        <is>
          <t>Procurement</t>
        </is>
      </c>
      <c r="H94"/>
      <c r="I94"/>
      <c r="J94" t="inlineStr">
        <is>
          <t>Project</t>
        </is>
      </c>
      <c r="K94" t="inlineStr">
        <is>
          <t>PDEI - Game Marketing</t>
        </is>
      </c>
      <c r="L94" t="inlineStr">
        <is>
          <t>realme Cup</t>
        </is>
      </c>
      <c r="M94" t="inlineStr">
        <is>
          <t>2025TEG-P0094</t>
        </is>
      </c>
      <c r="N94" t="inlineStr">
        <is>
          <t>Anteaus Villena</t>
        </is>
      </c>
      <c r="O94" t="inlineStr">
        <is>
          <t>202505180008-Anteaus Villena-费用报销 - 副本 - 副本 - 副本-2025-05-18 08:58:28</t>
        </is>
      </c>
      <c r="P94" t="inlineStr">
        <is>
          <t>YES</t>
        </is>
      </c>
      <c r="Q94"/>
      <c r="R94" t="inlineStr">
        <is>
          <t>YES</t>
        </is>
      </c>
      <c r="S94" t="inlineStr">
        <is>
          <t>Outsourced Show Producer (On Ground)</t>
        </is>
      </c>
      <c r="T94">
        <v>1</v>
      </c>
      <c r="U94">
        <v>40000</v>
      </c>
      <c r="V94" t="inlineStr">
        <is>
          <t>PHP</t>
        </is>
      </c>
      <c r="W94">
        <v>40000</v>
      </c>
      <c r="X94" s="2" t="str">
        <f>=HYPERLINK("https://www.larksuite.com/approval/admin/previewAttachment?key=PMgxCgJBDAXQK_2fyeQnXsbGZRFGQRBWm5xdsNj2RRKRkyMKXrQCW5MMuplREJgz2ppSQYyK3p771Y7EWp_14Pg6X33cb_v25iyZQcN9JABeTh9y96pw_B2_AAAA__8", "2 attachment(s)")</f>
        <v>2 attachment(s)</v>
      </c>
      <c r="Y94" t="inlineStr">
        <is>
          <t>Bank Transfer</t>
        </is>
      </c>
      <c r="Z94" t="inlineStr">
        <is>
          <t>Khrizen A. Angeles</t>
        </is>
      </c>
      <c r="AA94" t="inlineStr">
        <is>
          <t>109356750810</t>
        </is>
      </c>
      <c r="AB94" t="inlineStr">
        <is>
          <t>BPI</t>
        </is>
      </c>
      <c r="AC94" t="inlineStr">
        <is>
          <t>9G, Tower 1, Toyota Avenue, corner Marquinton Drive, Barangay Sto. Niño, Marikina</t>
        </is>
      </c>
      <c r="AD94" s="4">
        <v>45805</v>
      </c>
      <c r="AE94" t="inlineStr">
        <is>
          <t>1st Payment - June 13, 2025
Final Payment - June 27, 2025</t>
        </is>
      </c>
      <c r="AF94" s="2"/>
      <c r="AG94" t="inlineStr">
        <is>
          <t>NzQyNTk5MTgyNzQ4MTg3MDM0MTo3QkZBNDQ2Ny1CQzY3LTRGQzYtODhCNy05QTIwMUE1NUU4QjYtMTphMWMzNTk4ZDY5MWM1NWFkYWZjZWQzNmJiNDM4Yjk0Zjox</t>
        </is>
      </c>
      <c r="AH94"/>
      <c r="AI94"/>
      <c r="AJ94"/>
      <c r="AK94"/>
    </row>
    <row r="95" ht="25.5" customHeight="1">
      <c r="A95" s="2" t="str">
        <f>=HYPERLINK("https://applink.larksuite.com/client/mini_program/open?appId=cli_9c7cc8a9a9edd105&amp;mode=appCenter&amp;path_pc=pc/pages/requested/index?instanceId=7511615694253867039&amp;source=bitable&amp;path=pages/detail/index?instanceId=7511615694253867039&amp;source=bitable", "202506030059")</f>
        <v>202506030059</v>
      </c>
      <c r="B95" t="inlineStr">
        <is>
          <t>Approved</t>
        </is>
      </c>
      <c r="C95" t="inlineStr">
        <is>
          <t>Procurement Order</t>
        </is>
      </c>
      <c r="D95" s="3">
        <v>45811.62866898148</v>
      </c>
      <c r="E95" s="3">
        <v>45812.65393518518</v>
      </c>
      <c r="F95" t="inlineStr">
        <is>
          <t>Fatima Kathleen M. FLores</t>
        </is>
      </c>
      <c r="G95" t="inlineStr">
        <is>
          <t>Procurement</t>
        </is>
      </c>
      <c r="H95"/>
      <c r="I95"/>
      <c r="J95" t="inlineStr">
        <is>
          <t>Project</t>
        </is>
      </c>
      <c r="K95" t="inlineStr">
        <is>
          <t>PDEI - Game Marketing</t>
        </is>
      </c>
      <c r="L95" t="inlineStr">
        <is>
          <t>realme Cup</t>
        </is>
      </c>
      <c r="M95" t="inlineStr">
        <is>
          <t>2025TEG-P0094</t>
        </is>
      </c>
      <c r="N95" t="inlineStr">
        <is>
          <t>Anteaus Villena</t>
        </is>
      </c>
      <c r="O95" t="inlineStr">
        <is>
          <t>202505180008-Anteaus Villena-费用报销 - 副本 - 副本 - 副本-2025-05-18 08:58:28</t>
        </is>
      </c>
      <c r="P95" t="inlineStr">
        <is>
          <t>YES</t>
        </is>
      </c>
      <c r="Q95"/>
      <c r="R95" t="inlineStr">
        <is>
          <t>YES</t>
        </is>
      </c>
      <c r="S95" t="inlineStr">
        <is>
          <t>Outsourced Audio Engineer</t>
        </is>
      </c>
      <c r="T95">
        <v>1</v>
      </c>
      <c r="U95">
        <v>2777.78</v>
      </c>
      <c r="V95" t="inlineStr">
        <is>
          <t>PHP</t>
        </is>
      </c>
      <c r="W95">
        <v>2777.78</v>
      </c>
      <c r="X95" s="2" t="str">
        <f>=HYPERLINK("https://www.larksuite.com/approval/admin/previewAttachment?key=PMgxCgIxFATQK83kT_7PeBkbl8ViVwQxYJGzCxa2LweRozPSkNkMrupksqfVeowshFdbrDKK6VzbuV_fnzHP5_E46tCk1rzf9u3F7moNFVIMALz8PUqSncLP8Q0AAP__", "2 attachment(s)")</f>
        <v>2 attachment(s)</v>
      </c>
      <c r="Y95" t="inlineStr">
        <is>
          <t>Bank Transfer</t>
        </is>
      </c>
      <c r="Z95" t="inlineStr">
        <is>
          <t>Kenneth Singian</t>
        </is>
      </c>
      <c r="AA95" t="inlineStr">
        <is>
          <t>09176559151</t>
        </is>
      </c>
      <c r="AB95" t="inlineStr">
        <is>
          <t>GCash</t>
        </is>
      </c>
      <c r="AC95" t="inlineStr">
        <is>
          <t>84 Montreal St. Cubao Quezon City</t>
        </is>
      </c>
      <c r="AD95" s="4">
        <v>45815</v>
      </c>
      <c r="AE95" t="inlineStr">
        <is>
          <t>100% Full Payment - June 20, 2025</t>
        </is>
      </c>
      <c r="AF95" s="2"/>
      <c r="AG95" t="inlineStr">
        <is>
          <t>NzQyNTk5MTgyNzQ4MTg3MDM0MTpCNTBGQzc2Ny0wRUIyLTQ5OTYtQUMxQS00NTlBQkRBMjkzNDYtMToyMWMxZWVlNzVjNzVjMmIwYjdkMWRhN2RkNjM0OGU1MDox</t>
        </is>
      </c>
      <c r="AH95"/>
      <c r="AI95"/>
      <c r="AJ95"/>
      <c r="AK95"/>
    </row>
    <row r="96" ht="25.5" customHeight="1">
      <c r="A96" s="2" t="str">
        <f>=HYPERLINK("https://applink.larksuite.com/client/mini_program/open?appId=cli_9c7cc8a9a9edd105&amp;mode=appCenter&amp;path_pc=pc/pages/requested/index?instanceId=7511644390448726054&amp;source=bitable&amp;path=pages/detail/index?instanceId=7511644390448726054&amp;source=bitable", "202506030099")</f>
        <v>202506030099</v>
      </c>
      <c r="B96" t="inlineStr">
        <is>
          <t>Approved</t>
        </is>
      </c>
      <c r="C96" t="inlineStr">
        <is>
          <t>Procurement Order</t>
        </is>
      </c>
      <c r="D96" s="3">
        <v>45811.70599537037</v>
      </c>
      <c r="E96" s="3">
        <v>45813.806226851855</v>
      </c>
      <c r="F96" t="inlineStr">
        <is>
          <t>Fatima Kathleen M. FLores</t>
        </is>
      </c>
      <c r="G96" t="inlineStr">
        <is>
          <t>Procurement</t>
        </is>
      </c>
      <c r="H96"/>
      <c r="I96"/>
      <c r="J96" t="inlineStr">
        <is>
          <t>Project</t>
        </is>
      </c>
      <c r="K96" t="inlineStr">
        <is>
          <t>PDEI - Game Marketing</t>
        </is>
      </c>
      <c r="L96" t="inlineStr">
        <is>
          <t>SM Cyberzone Game Fest</t>
        </is>
      </c>
      <c r="M96" t="inlineStr">
        <is>
          <t>2025TEG-P0082</t>
        </is>
      </c>
      <c r="N96" t="inlineStr">
        <is>
          <t>Anteaus Villena</t>
        </is>
      </c>
      <c r="O96" t="inlineStr">
        <is>
          <t>202504020020-Anteaus Villena-费用报销 - 副本 - 副本 - 副本-2025-04-02 04:13:43</t>
        </is>
      </c>
      <c r="P96" t="inlineStr">
        <is>
          <t>YES</t>
        </is>
      </c>
      <c r="Q96"/>
      <c r="R96" t="inlineStr">
        <is>
          <t>NO</t>
        </is>
      </c>
      <c r="S96" t="inlineStr">
        <is>
          <t>Outsourced Manpower (SM Lanang Davao)</t>
        </is>
      </c>
      <c r="T96">
        <v>1</v>
      </c>
      <c r="U96">
        <v>31200</v>
      </c>
      <c r="V96" t="inlineStr">
        <is>
          <t>PHP</t>
        </is>
      </c>
      <c r="W96">
        <v>31200</v>
      </c>
      <c r="X96" s="2" t="str">
        <f>=HYPERLINK("https://www.larksuite.com/approval/admin/previewAttachment?key=PMgxCkJBDATQK81sJsnGy9i4LIJYCeovcnbB4rcvJhHTaVFQcRTY6WRIVpBmjoCrRzOzkIyKXs99dZ_rcWAfX_8Ys9_3214veuUYSJNsAuDldEtJVSH8Hb8AAAD__w", "2 attachment(s)")</f>
        <v>2 attachment(s)</v>
      </c>
      <c r="Y96" t="inlineStr">
        <is>
          <t>Bank Transfer</t>
        </is>
      </c>
      <c r="Z96" t="inlineStr">
        <is>
          <t>Krizzy Joyce Daugdaug</t>
        </is>
      </c>
      <c r="AA96" t="inlineStr">
        <is>
          <t>1094 2193 1275</t>
        </is>
      </c>
      <c r="AB96" t="inlineStr">
        <is>
          <t>Unionbank</t>
        </is>
      </c>
      <c r="AC96" t="inlineStr">
        <is>
          <t>Purok 3 Aqualand San Vicente Panabo City</t>
        </is>
      </c>
      <c r="AD96" s="4">
        <v>45801</v>
      </c>
      <c r="AE96" t="inlineStr">
        <is>
          <t>100% Full Payment - June 6, 2025</t>
        </is>
      </c>
      <c r="AF96" s="2"/>
      <c r="AG96" t="inlineStr">
        <is>
          <t>NzQyNTk5MTgyNzQ4MTg3MDM0MTo0OUMwNkUyOS05N0Y5LTRCNjAtOTdENy0yNDZDNURCMzkwNjYtMTowOTdhODU1NWYwOGQ3ZTE4OWJhZjE4ZmZjMThmN2E4MTox</t>
        </is>
      </c>
      <c r="AH96"/>
      <c r="AI96"/>
      <c r="AJ96"/>
      <c r="AK96"/>
    </row>
    <row r="97" ht="25.5" customHeight="1">
      <c r="A97" s="2" t="str">
        <f>=HYPERLINK("https://applink.larksuite.com/client/mini_program/open?appId=cli_9c7cc8a9a9edd105&amp;mode=appCenter&amp;path_pc=pc/pages/requested/index?instanceId=7511648387226157094&amp;source=bitable&amp;path=pages/detail/index?instanceId=7511648387226157094&amp;source=bitable", "202506030102")</f>
        <v>202506030102</v>
      </c>
      <c r="B97" t="inlineStr">
        <is>
          <t>Approved</t>
        </is>
      </c>
      <c r="C97" t="inlineStr">
        <is>
          <t>Procurement Order</t>
        </is>
      </c>
      <c r="D97" s="3">
        <v>45811.716770833336</v>
      </c>
      <c r="E97" s="3">
        <v>45817.61189814815</v>
      </c>
      <c r="F97" t="inlineStr">
        <is>
          <t>Fatima Kathleen M. FLores</t>
        </is>
      </c>
      <c r="G97" t="inlineStr">
        <is>
          <t>Procurement</t>
        </is>
      </c>
      <c r="H97"/>
      <c r="I97"/>
      <c r="J97" t="inlineStr">
        <is>
          <t>Project</t>
        </is>
      </c>
      <c r="K97" t="inlineStr">
        <is>
          <t>PDEI - Game Marketing</t>
        </is>
      </c>
      <c r="L97" t="inlineStr">
        <is>
          <t>SM Cyberzone Game Fest</t>
        </is>
      </c>
      <c r="M97" t="inlineStr">
        <is>
          <t>2025TEG-P0082</t>
        </is>
      </c>
      <c r="N97" t="inlineStr">
        <is>
          <t>Anteaus Villena</t>
        </is>
      </c>
      <c r="O97" t="inlineStr">
        <is>
          <t>202504020020-Anteaus Villena-费用报销 - 副本 - 副本 - 副本-2025-04-02 04:13:43</t>
        </is>
      </c>
      <c r="P97" t="inlineStr">
        <is>
          <t>YES</t>
        </is>
      </c>
      <c r="Q97"/>
      <c r="R97" t="inlineStr">
        <is>
          <t>YES</t>
        </is>
      </c>
      <c r="S97" t="inlineStr">
        <is>
          <t>Outsourced IT Manpower (SM Cebu)</t>
        </is>
      </c>
      <c r="T97">
        <v>1</v>
      </c>
      <c r="U97">
        <v>8000</v>
      </c>
      <c r="V97" t="inlineStr">
        <is>
          <t>PHP</t>
        </is>
      </c>
      <c r="W97">
        <v>8000</v>
      </c>
      <c r="X97" s="2" t="str">
        <f>=HYPERLINK("https://www.larksuite.com/approval/admin/previewAttachment?key=PMgxqsMwEATQK83sjna0_zK_sTAh4CrgVDp7IEXaV5OoOZjVUDMa3B5kaeZ0RHEYrR2bdsOsrr2u8_-tjPHMQ-a6bu37cZzrxdGOgFPKCYB_P09L6i7h6_gEAAD__w", "2 attachment(s)")</f>
        <v>2 attachment(s)</v>
      </c>
      <c r="Y97" t="inlineStr">
        <is>
          <t>Bank Transfer</t>
        </is>
      </c>
      <c r="Z97" t="inlineStr">
        <is>
          <t>Arnel Salimbagat</t>
        </is>
      </c>
      <c r="AA97" t="inlineStr">
        <is>
          <t>1199650137</t>
        </is>
      </c>
      <c r="AB97" t="inlineStr">
        <is>
          <t>BPI</t>
        </is>
      </c>
      <c r="AC97" t="inlineStr">
        <is>
          <t>Block 2 Lot 12 Deca Homes Subd Brgy Dumlog, Talisay City, Cebu</t>
        </is>
      </c>
      <c r="AD97" s="4">
        <v>45764</v>
      </c>
      <c r="AE97" t="inlineStr">
        <is>
          <t>100% Full Payment - June 6, 2025</t>
        </is>
      </c>
      <c r="AF97" s="2"/>
      <c r="AG97" t="inlineStr">
        <is>
          <t>NzQyNTk5MTgyNzQ4MTg3MDM0MToyOURBOTZGMS03RkY0LTQyRjItQThENC1DMTRDQjRFMjZEMTYtMToxOTZmYWI1ZGIxZGJkNjY3ZjdlZWU5NTIwMDJjOTJkNDox</t>
        </is>
      </c>
      <c r="AH97"/>
      <c r="AI97"/>
      <c r="AJ97"/>
      <c r="AK97"/>
    </row>
    <row r="98" ht="25.5" customHeight="1">
      <c r="A98" s="2" t="str">
        <f>=HYPERLINK("https://applink.larksuite.com/client/mini_program/open?appId=cli_9c7cc8a9a9edd105&amp;mode=appCenter&amp;path_pc=pc/pages/requested/index?instanceId=7511938540997984287&amp;source=bitable&amp;path=pages/detail/index?instanceId=7511938540997984287&amp;source=bitable", "202506040024")</f>
        <v>202506040024</v>
      </c>
      <c r="B98" t="inlineStr">
        <is>
          <t>Approved</t>
        </is>
      </c>
      <c r="C98" t="inlineStr">
        <is>
          <t>Procurement Order</t>
        </is>
      </c>
      <c r="D98" s="3">
        <v>45812.49866898148</v>
      </c>
      <c r="E98" s="3">
        <v>45819.50716435185</v>
      </c>
      <c r="F98" t="inlineStr">
        <is>
          <t>Fatima Kathleen M. FLores</t>
        </is>
      </c>
      <c r="G98" t="inlineStr">
        <is>
          <t>Procurement</t>
        </is>
      </c>
      <c r="H98"/>
      <c r="I98"/>
      <c r="J98" t="inlineStr">
        <is>
          <t>Project</t>
        </is>
      </c>
      <c r="K98" t="inlineStr">
        <is>
          <t>PDEI - Game Marketing</t>
        </is>
      </c>
      <c r="L98" t="inlineStr">
        <is>
          <t>realme Cup</t>
        </is>
      </c>
      <c r="M98" t="inlineStr">
        <is>
          <t>2025TEG-P0094</t>
        </is>
      </c>
      <c r="N98" t="inlineStr">
        <is>
          <t>Anteaus Villena</t>
        </is>
      </c>
      <c r="O98" t="inlineStr">
        <is>
          <t>202505180013-Anteaus Villena-费用报销 - 副本 - 副本 - 副本-2025-05-18 10:59:00</t>
        </is>
      </c>
      <c r="P98" t="inlineStr">
        <is>
          <t>NO</t>
        </is>
      </c>
      <c r="Q98"/>
      <c r="R98" t="inlineStr">
        <is>
          <t>YES</t>
        </is>
      </c>
      <c r="S98" t="inlineStr">
        <is>
          <t>RMC Mock Check 2ft x 3.5ft Sticker on Sintra</t>
        </is>
      </c>
      <c r="T98">
        <v>3</v>
      </c>
      <c r="U98">
        <v>1400</v>
      </c>
      <c r="V98" t="inlineStr">
        <is>
          <t>PHP</t>
        </is>
      </c>
      <c r="W98">
        <v>4200</v>
      </c>
      <c r="X98" s="2" t="str">
        <f>=HYPERLINK("https://www.larksuite.com/approval/admin/previewAttachment?key=PMgxqgJBEATQK1X1dE91_cv8xGXRlQVB0GjOLhiYvtnE7OKYRpphcKlIj66ELXdGa8WiZIjTWtu5__voOvPN-62jHsd6XS_79mRZEdDIHA2Afz8fykx7Jr6OTwAAAP__", "2 attachment(s)")</f>
        <v>2 attachment(s)</v>
      </c>
      <c r="Y98" t="inlineStr">
        <is>
          <t>Bank Transfer</t>
        </is>
      </c>
      <c r="Z98" t="inlineStr">
        <is>
          <t>MaxPrecision Corporation</t>
        </is>
      </c>
      <c r="AA98" t="inlineStr">
        <is>
          <t>4440117166</t>
        </is>
      </c>
      <c r="AB98" t="inlineStr">
        <is>
          <t>BDO</t>
        </is>
      </c>
      <c r="AC98" t="inlineStr">
        <is>
          <t>No. 5 Lt. Artiaga Street, Brgy Corazon De Jesus San Juan</t>
        </is>
      </c>
      <c r="AD98" s="4">
        <v>45813</v>
      </c>
      <c r="AE98" t="inlineStr">
        <is>
          <t>100% Full Payment - 30 days</t>
        </is>
      </c>
      <c r="AF98" s="2"/>
      <c r="AG98" t="inlineStr">
        <is>
          <t>NzQyNTk5MTgyNzQ4MTg3MDM0MTozNjM3QjQ0NS1COTRDLTRFMTYtOTRGMS00NjRDRURGOTVBNDItMTpjNjc4MGE2OTQ1NmQ0YzIxNjUyZjc4MWNkN2ZmOWIzMDox</t>
        </is>
      </c>
      <c r="AH98"/>
      <c r="AI98"/>
      <c r="AJ98"/>
      <c r="AK98"/>
    </row>
    <row r="99" ht="25.5" customHeight="1">
      <c r="A99" s="2" t="str">
        <f>=HYPERLINK("https://applink.larksuite.com/client/mini_program/open?appId=cli_9c7cc8a9a9edd105&amp;mode=appCenter&amp;path_pc=pc/pages/requested/index?instanceId=7512000143076425759&amp;source=bitable&amp;path=pages/detail/index?instanceId=7512000143076425759&amp;source=bitable", "202506040074")</f>
        <v>202506040074</v>
      </c>
      <c r="B99" t="inlineStr">
        <is>
          <t>Approved</t>
        </is>
      </c>
      <c r="C99" t="inlineStr">
        <is>
          <t>Procurement Order</t>
        </is>
      </c>
      <c r="D99" s="3">
        <v>45812.664675925924</v>
      </c>
      <c r="E99" s="3">
        <v>45812.782743055555</v>
      </c>
      <c r="F99" t="inlineStr">
        <is>
          <t>Fatima Kathleen M. FLores</t>
        </is>
      </c>
      <c r="G99" t="inlineStr">
        <is>
          <t>Procurement</t>
        </is>
      </c>
      <c r="H99"/>
      <c r="I99"/>
      <c r="J99" t="inlineStr">
        <is>
          <t>Project</t>
        </is>
      </c>
      <c r="K99" t="inlineStr">
        <is>
          <t>PDEI - Event Service</t>
        </is>
      </c>
      <c r="L99" t="inlineStr">
        <is>
          <t>MPL PH S15 Addendum</t>
        </is>
      </c>
      <c r="M99" t="inlineStr">
        <is>
          <t>2025TEG-P0071</t>
        </is>
      </c>
      <c r="N99" t="inlineStr">
        <is>
          <t>Anteaus Villena</t>
        </is>
      </c>
      <c r="O99" t="inlineStr">
        <is>
          <t>202506040053-Anteaus Villena-费用报销 - 副本 - 副本 - 副本-2025-06-04 06:25:20</t>
        </is>
      </c>
      <c r="P99" t="inlineStr">
        <is>
          <t>YES</t>
        </is>
      </c>
      <c r="Q99"/>
      <c r="R99" t="inlineStr">
        <is>
          <t>YES</t>
        </is>
      </c>
      <c r="S99" t="inlineStr">
        <is>
          <t>Outsourced Phone Tester (AP Bren)</t>
        </is>
      </c>
      <c r="T99">
        <v>1</v>
      </c>
      <c r="U99">
        <v>11111.11</v>
      </c>
      <c r="V99" t="inlineStr">
        <is>
          <t>PHP</t>
        </is>
      </c>
      <c r="W99">
        <v>11111.11</v>
      </c>
      <c r="X99" s="2" t="str">
        <f>=HYPERLINK("https://www.larksuite.com/approval/admin/previewAttachment?key=PMw5DsJADAXQK317vH0uQ8MoYq0QUVL47AiKtK94UYIolxGEUZSQThcFIDaQYerpbG3JJFKC0fO1nD97rbfH3O-1PefmvV4vy3yLM1WRw2zU7zgdPtLMyDD8Hd8AAAD__w", "2 attachment(s)")</f>
        <v>2 attachment(s)</v>
      </c>
      <c r="Y99" t="inlineStr">
        <is>
          <t>Bank Transfer</t>
        </is>
      </c>
      <c r="Z99" t="inlineStr">
        <is>
          <t>Angelo Kyle Olaes</t>
        </is>
      </c>
      <c r="AA99" t="inlineStr">
        <is>
          <t>09289707200</t>
        </is>
      </c>
      <c r="AB99" t="inlineStr">
        <is>
          <t>GCash</t>
        </is>
      </c>
      <c r="AC99" t="inlineStr">
        <is>
          <t>Blk 20 Lot 11 Gabriela Silang St. New Capitol Estates 1 Brgy. Batasan Hills Quezon City</t>
        </is>
      </c>
      <c r="AD99" s="4">
        <v>45800</v>
      </c>
      <c r="AE99" t="inlineStr">
        <is>
          <t>100% Full Payment - June 4, 2025</t>
        </is>
      </c>
      <c r="AF99" s="2"/>
      <c r="AG99" t="inlineStr">
        <is>
          <t>NzQyNTk5MTgyNzQ4MTg3MDM0MTpCNUQ5QUU2RS00N0IzLTQ5NDgtOEJDRi1FMTIxNzIyOTY1RTEtMTpmZmRhOTdiMDk3YjcyNmFhNWFkM2RjMGIzN2JlZjA0NDox</t>
        </is>
      </c>
      <c r="AH99"/>
      <c r="AI99"/>
      <c r="AJ99"/>
      <c r="AK99"/>
    </row>
    <row r="100" ht="25.5" customHeight="1">
      <c r="A100" s="2" t="str">
        <f>=HYPERLINK("https://applink.larksuite.com/client/mini_program/open?appId=cli_9c7cc8a9a9edd105&amp;mode=appCenter&amp;path_pc=pc/pages/requested/index?instanceId=7512001306949599271&amp;source=bitable&amp;path=pages/detail/index?instanceId=7512001306949599271&amp;source=bitable", "202506040075")</f>
        <v>202506040075</v>
      </c>
      <c r="B100" t="inlineStr">
        <is>
          <t>Approved</t>
        </is>
      </c>
      <c r="C100" t="inlineStr">
        <is>
          <t>Procurement Order</t>
        </is>
      </c>
      <c r="D100" s="3">
        <v>45812.6678125</v>
      </c>
      <c r="E100" s="3">
        <v>45812.78325231482</v>
      </c>
      <c r="F100" t="inlineStr">
        <is>
          <t>Fatima Kathleen M. FLores</t>
        </is>
      </c>
      <c r="G100" t="inlineStr">
        <is>
          <t>Procurement</t>
        </is>
      </c>
      <c r="H100"/>
      <c r="I100"/>
      <c r="J100" t="inlineStr">
        <is>
          <t>Project</t>
        </is>
      </c>
      <c r="K100" t="inlineStr">
        <is>
          <t>PDEI - Event Service</t>
        </is>
      </c>
      <c r="L100" t="inlineStr">
        <is>
          <t>MPL PH S15 Addendum</t>
        </is>
      </c>
      <c r="M100" t="inlineStr">
        <is>
          <t>2025TEG-P0071</t>
        </is>
      </c>
      <c r="N100" t="inlineStr">
        <is>
          <t>Anteaus Villena</t>
        </is>
      </c>
      <c r="O100" t="inlineStr">
        <is>
          <t>202506040053-Anteaus Villena-费用报销 - 副本 - 副本 - 副本-2025-06-04 06:25:20</t>
        </is>
      </c>
      <c r="P100" t="inlineStr">
        <is>
          <t>YES</t>
        </is>
      </c>
      <c r="Q100"/>
      <c r="R100" t="inlineStr">
        <is>
          <t>YES</t>
        </is>
      </c>
      <c r="S100" t="inlineStr">
        <is>
          <t>Outsourced Phone Tester (Omega)</t>
        </is>
      </c>
      <c r="T100">
        <v>1</v>
      </c>
      <c r="U100">
        <v>11111.11</v>
      </c>
      <c r="V100" t="inlineStr">
        <is>
          <t>PHP</t>
        </is>
      </c>
      <c r="W100">
        <v>11111.11</v>
      </c>
      <c r="X100" s="2" t="str">
        <f>=HYPERLINK("https://www.larksuite.com/approval/admin/previewAttachment?key=PMgxCsJAFATQK838nf1_x8vYGIIQA4KoafbsgkXal4PI0dnSkBkGZ3UGwIa03O0ozpisMorpnMu-Xrd463F8a5ee2-H5ud_W5cXuikA1qQ0AvJzeSpKdwt_xCwAA__8", "2 attachment(s)")</f>
        <v>2 attachment(s)</v>
      </c>
      <c r="Y100" t="inlineStr">
        <is>
          <t>Bank Transfer</t>
        </is>
      </c>
      <c r="Z100" t="inlineStr">
        <is>
          <t>Rianne Dominique Magsino</t>
        </is>
      </c>
      <c r="AA100" t="inlineStr">
        <is>
          <t>0116-9007-0577</t>
        </is>
      </c>
      <c r="AB100" t="inlineStr">
        <is>
          <t>BDO</t>
        </is>
      </c>
      <c r="AC100" t="inlineStr">
        <is>
          <t>13 Major Dizon St. Brgy. IVC, Marikina City</t>
        </is>
      </c>
      <c r="AD100" s="4">
        <v>45800</v>
      </c>
      <c r="AE100" t="inlineStr">
        <is>
          <t>100% Full Payment - June 4, 2025</t>
        </is>
      </c>
      <c r="AF100" s="2"/>
      <c r="AG100" t="inlineStr">
        <is>
          <t>NzQyNTk5MTgyNzQ4MTg3MDM0MTpDQjZDQkRGRC05RERBLTRBNzctOERCMi01RTNDNjg3RjA3OUEtMTphYjIyYmE1OTc0NGUyMTljNjg1ODg2NjM5NmNkMWIwNzox</t>
        </is>
      </c>
      <c r="AH100"/>
      <c r="AI100"/>
      <c r="AJ100"/>
      <c r="AK100"/>
    </row>
    <row r="101" ht="25.5" customHeight="1">
      <c r="A101" s="2" t="str">
        <f>=HYPERLINK("https://applink.larksuite.com/client/mini_program/open?appId=cli_9c7cc8a9a9edd105&amp;mode=appCenter&amp;path_pc=pc/pages/requested/index?instanceId=7512329824069959711&amp;source=bitable&amp;path=pages/detail/index?instanceId=7512329824069959711&amp;source=bitable", "202506050028")</f>
        <v>202506050028</v>
      </c>
      <c r="B101" t="inlineStr">
        <is>
          <t>Approved</t>
        </is>
      </c>
      <c r="C101" t="inlineStr">
        <is>
          <t>Procurement Order</t>
        </is>
      </c>
      <c r="D101" s="3">
        <v>45813.55310185185</v>
      </c>
      <c r="E101" s="3">
        <v>45813.63386574074</v>
      </c>
      <c r="F101" t="inlineStr">
        <is>
          <t>Fatima Kathleen M. FLores</t>
        </is>
      </c>
      <c r="G101" t="inlineStr">
        <is>
          <t>Procurement</t>
        </is>
      </c>
      <c r="H101"/>
      <c r="I101"/>
      <c r="J101" t="inlineStr">
        <is>
          <t>Project</t>
        </is>
      </c>
      <c r="K101" t="inlineStr">
        <is>
          <t>PDEI - Game Marketing</t>
        </is>
      </c>
      <c r="L101" t="inlineStr">
        <is>
          <t>realme Cup</t>
        </is>
      </c>
      <c r="M101" t="inlineStr">
        <is>
          <t>2025TEG-P0094</t>
        </is>
      </c>
      <c r="N101" t="inlineStr">
        <is>
          <t>Anteaus Villena</t>
        </is>
      </c>
      <c r="O101" t="inlineStr">
        <is>
          <t>202506050002-Anteaus Villena-费用报销 - 副本 - 副本 - 副本-2025-06-05 00:48:44</t>
        </is>
      </c>
      <c r="P101" t="inlineStr">
        <is>
          <t>NO</t>
        </is>
      </c>
      <c r="Q101"/>
      <c r="R101" t="inlineStr">
        <is>
          <t>NO</t>
        </is>
      </c>
      <c r="S101" t="inlineStr">
        <is>
          <t>Venue Rental - SM North EDSA, Annex Atrium (June 7, 2025)</t>
        </is>
      </c>
      <c r="T101">
        <v>1</v>
      </c>
      <c r="U101">
        <v>250000</v>
      </c>
      <c r="V101" t="inlineStr">
        <is>
          <t>PHP</t>
        </is>
      </c>
      <c r="W101">
        <v>250000</v>
      </c>
      <c r="X101" s="2" t="str">
        <f>=HYPERLINK("https://www.larksuite.com/approval/admin/previewAttachment?key=PMg9CkIxEATgK81s9ifjZWwMD3kYG0Fs9uyChe2Xk8gZHCm4aAK7gjZM0xwphYpsa1YJxVT22sf13KLx8-CJFevZ7_vtWC-Gygw13McEwMvfR7m7lI6f4xsAAP__", "2 attachment(s)")</f>
        <v>2 attachment(s)</v>
      </c>
      <c r="Y101" t="inlineStr">
        <is>
          <t>Check</t>
        </is>
      </c>
      <c r="Z101" t="inlineStr">
        <is>
          <t>SM Prime Holdings Inc.</t>
        </is>
      </c>
      <c r="AA101" t="inlineStr">
        <is>
          <t>NA</t>
        </is>
      </c>
      <c r="AB101" t="inlineStr">
        <is>
          <t>NA</t>
        </is>
      </c>
      <c r="AC101" t="inlineStr">
        <is>
          <t>Quezon City</t>
        </is>
      </c>
      <c r="AD101" s="4">
        <v>45815</v>
      </c>
      <c r="AE101" t="inlineStr">
        <is>
          <t>100% Full Payment 
COA Ref. # SMNE-2025-019</t>
        </is>
      </c>
      <c r="AF101" s="2"/>
      <c r="AG101" t="inlineStr">
        <is>
          <t>NzQyNTk5MTgyNzQ4MTg3MDM0MTo5RDA0QzZFQS1EMDc5LTQ3OTEtOUMxQy0zQzJERjcyMEUyRUUtMTozMjFjNjEzMjQ2MzdlMzlhYzg1M2I5NjQ4ZmZlZTE5Yjox</t>
        </is>
      </c>
      <c r="AH101"/>
      <c r="AI101"/>
      <c r="AJ101"/>
      <c r="AK101"/>
    </row>
    <row r="102" ht="25.5" customHeight="1">
      <c r="A102" s="2" t="str">
        <f>=HYPERLINK("https://applink.larksuite.com/client/mini_program/open?appId=cli_9c7cc8a9a9edd105&amp;mode=appCenter&amp;path_pc=pc/pages/requested/index?instanceId=7512336110547189791&amp;source=bitable&amp;path=pages/detail/index?instanceId=7512336110547189791&amp;source=bitable", "202506050031")</f>
        <v>202506050031</v>
      </c>
      <c r="B102" t="inlineStr">
        <is>
          <t>Approved</t>
        </is>
      </c>
      <c r="C102" t="inlineStr">
        <is>
          <t>Procurement Order</t>
        </is>
      </c>
      <c r="D102" s="3">
        <v>45813.5700462963</v>
      </c>
      <c r="E102" s="3">
        <v>45813.63884259259</v>
      </c>
      <c r="F102" t="inlineStr">
        <is>
          <t>Fatima Kathleen M. FLores</t>
        </is>
      </c>
      <c r="G102" t="inlineStr">
        <is>
          <t>Procurement</t>
        </is>
      </c>
      <c r="H102"/>
      <c r="I102"/>
      <c r="J102" t="inlineStr">
        <is>
          <t>Project</t>
        </is>
      </c>
      <c r="K102" t="inlineStr">
        <is>
          <t>PDEI - Game Marketing</t>
        </is>
      </c>
      <c r="L102" t="inlineStr">
        <is>
          <t>realme Cup</t>
        </is>
      </c>
      <c r="M102" t="inlineStr">
        <is>
          <t>2025TEG-P0094</t>
        </is>
      </c>
      <c r="N102" t="inlineStr">
        <is>
          <t>Anteaus Villena</t>
        </is>
      </c>
      <c r="O102" t="inlineStr">
        <is>
          <t>202505180008-Anteaus Villena-费用报销 - 副本 - 副本 - 副本-2025-05-18 08:58:28</t>
        </is>
      </c>
      <c r="P102" t="inlineStr">
        <is>
          <t>NO</t>
        </is>
      </c>
      <c r="Q102"/>
      <c r="R102" t="inlineStr">
        <is>
          <t>NO</t>
        </is>
      </c>
      <c r="S102" t="inlineStr">
        <is>
          <t>Outsourced Bouncers / Event Security (1 day)</t>
        </is>
      </c>
      <c r="T102">
        <v>10</v>
      </c>
      <c r="U102">
        <v>1500</v>
      </c>
      <c r="V102" t="inlineStr">
        <is>
          <t>PHP</t>
        </is>
      </c>
      <c r="W102">
        <v>15000</v>
      </c>
      <c r="X102" s="2"/>
      <c r="Y102" t="inlineStr">
        <is>
          <t>Bank Transfer</t>
        </is>
      </c>
      <c r="Z102" t="inlineStr">
        <is>
          <t>Juanito T. Acedo Jr.</t>
        </is>
      </c>
      <c r="AA102" t="inlineStr">
        <is>
          <t>010670126934</t>
        </is>
      </c>
      <c r="AB102" t="inlineStr">
        <is>
          <t>BDO</t>
        </is>
      </c>
      <c r="AC102" t="inlineStr">
        <is>
          <t>127-68 Bronze Street Tugatog, Malabon</t>
        </is>
      </c>
      <c r="AD102" s="4">
        <v>45781</v>
      </c>
      <c r="AE102" t="inlineStr">
        <is>
          <t>100% Full Payment - June 13, 2025</t>
        </is>
      </c>
      <c r="AF102" s="2"/>
      <c r="AG102" t="inlineStr">
        <is>
          <t>NzQyNTk5MTgyNzQ4MTg3MDM0MTpFNzZEQ0ZCMC01NjNDLTQ1MTEtQjBFMS0xQ0QxNDcyN0JGNTAtMTo3NTI2YWJkMGVjYjc4MWU3YmE4Y2RhMTZjMmVmODZkYTox</t>
        </is>
      </c>
      <c r="AH102"/>
      <c r="AI102"/>
      <c r="AJ102"/>
      <c r="AK102"/>
    </row>
    <row r="103" ht="25.5" customHeight="1">
      <c r="A103" s="2" t="str">
        <f>=HYPERLINK("https://applink.larksuite.com/client/mini_program/open?appId=cli_9c7cc8a9a9edd105&amp;mode=appCenter&amp;path_pc=pc/pages/requested/index?instanceId=7512336110547189791&amp;source=bitable&amp;path=pages/detail/index?instanceId=7512336110547189791&amp;source=bitable", "202506050031")</f>
        <v>202506050031</v>
      </c>
      <c r="B103" t="inlineStr">
        <is>
          <t>Approved</t>
        </is>
      </c>
      <c r="C103" t="inlineStr">
        <is>
          <t>Procurement Order</t>
        </is>
      </c>
      <c r="D103" s="3">
        <v>45813.5700462963</v>
      </c>
      <c r="E103" s="3">
        <v>45813.63884259259</v>
      </c>
      <c r="F103" t="inlineStr">
        <is>
          <t>Fatima Kathleen M. FLores</t>
        </is>
      </c>
      <c r="G103" t="inlineStr">
        <is>
          <t>Procurement</t>
        </is>
      </c>
      <c r="H103"/>
      <c r="I103"/>
      <c r="J103" t="inlineStr">
        <is>
          <t>Project</t>
        </is>
      </c>
      <c r="K103" t="inlineStr">
        <is>
          <t>PDEI - Game Marketing</t>
        </is>
      </c>
      <c r="L103" t="inlineStr">
        <is>
          <t>realme Cup</t>
        </is>
      </c>
      <c r="M103" t="inlineStr">
        <is>
          <t>2025TEG-P0094</t>
        </is>
      </c>
      <c r="N103" t="inlineStr">
        <is>
          <t>Anteaus Villena</t>
        </is>
      </c>
      <c r="O103" t="inlineStr">
        <is>
          <t>202505180008-Anteaus Villena-费用报销 - 副本 - 副本 - 副本-2025-05-18 08:58:28</t>
        </is>
      </c>
      <c r="P103" t="inlineStr">
        <is>
          <t>NO</t>
        </is>
      </c>
      <c r="Q103"/>
      <c r="R103" t="inlineStr">
        <is>
          <t>NO</t>
        </is>
      </c>
      <c r="S103" t="inlineStr">
        <is>
          <t>Outsourced Safety Officer (2 Shifts)</t>
        </is>
      </c>
      <c r="T103">
        <v>2</v>
      </c>
      <c r="U103">
        <v>2500</v>
      </c>
      <c r="V103" t="inlineStr">
        <is>
          <t>PHP</t>
        </is>
      </c>
      <c r="W103">
        <v>5000</v>
      </c>
      <c r="X103" s="2"/>
      <c r="Y103"/>
      <c r="Z103"/>
      <c r="AA103"/>
      <c r="AB103"/>
      <c r="AC103"/>
      <c r="AD103" s="4"/>
      <c r="AE103"/>
      <c r="AF103" s="2"/>
      <c r="AG103" t="inlineStr">
        <is>
          <t>NzQyNTk5MTgyNzQ4MTg3MDM0MTpFNzZEQ0ZCMC01NjNDLTQ1MTEtQjBFMS0xQ0QxNDcyN0JGNTAtMjo5YzQxNjc3YzRhZTdlM2NhYzhiYjE2NDJkNGZlODVkODox</t>
        </is>
      </c>
      <c r="AH103"/>
      <c r="AI103"/>
      <c r="AJ103"/>
      <c r="AK103"/>
    </row>
    <row r="104" ht="25.5" customHeight="1">
      <c r="A104" s="2" t="str">
        <f>=HYPERLINK("https://applink.larksuite.com/client/mini_program/open?appId=cli_9c7cc8a9a9edd105&amp;mode=appCenter&amp;path_pc=pc/pages/requested/index?instanceId=7512336110547189791&amp;source=bitable&amp;path=pages/detail/index?instanceId=7512336110547189791&amp;source=bitable", "202506050031")</f>
        <v>202506050031</v>
      </c>
      <c r="B104" t="inlineStr">
        <is>
          <t>Approved</t>
        </is>
      </c>
      <c r="C104" t="inlineStr">
        <is>
          <t>Procurement Order</t>
        </is>
      </c>
      <c r="D104" s="3">
        <v>45813.5700462963</v>
      </c>
      <c r="E104" s="3">
        <v>45813.63884259259</v>
      </c>
      <c r="F104" t="inlineStr">
        <is>
          <t>Fatima Kathleen M. FLores</t>
        </is>
      </c>
      <c r="G104" t="inlineStr">
        <is>
          <t>Procurement</t>
        </is>
      </c>
      <c r="H104"/>
      <c r="I104"/>
      <c r="J104" t="inlineStr">
        <is>
          <t>Project</t>
        </is>
      </c>
      <c r="K104" t="inlineStr">
        <is>
          <t>PDEI - Game Marketing</t>
        </is>
      </c>
      <c r="L104" t="inlineStr">
        <is>
          <t>realme Cup</t>
        </is>
      </c>
      <c r="M104" t="inlineStr">
        <is>
          <t>2025TEG-P0094</t>
        </is>
      </c>
      <c r="N104" t="inlineStr">
        <is>
          <t>Anteaus Villena</t>
        </is>
      </c>
      <c r="O104" t="inlineStr">
        <is>
          <t>202505180008-Anteaus Villena-费用报销 - 副本 - 副本 - 副本-2025-05-18 08:58:28</t>
        </is>
      </c>
      <c r="P104" t="inlineStr">
        <is>
          <t>NO</t>
        </is>
      </c>
      <c r="Q104"/>
      <c r="R104" t="inlineStr">
        <is>
          <t>NO</t>
        </is>
      </c>
      <c r="S104" t="inlineStr">
        <is>
          <t>Outsourced Medic (1 day)</t>
        </is>
      </c>
      <c r="T104">
        <v>1</v>
      </c>
      <c r="U104">
        <v>2000</v>
      </c>
      <c r="V104" t="inlineStr">
        <is>
          <t>PHP</t>
        </is>
      </c>
      <c r="W104">
        <v>2000</v>
      </c>
      <c r="X104" s="2" t="str">
        <f>=HYPERLINK("https://www.larksuite.com/approval/admin/previewAttachment?key=PMgxCkIxEATQK83sbnYzXsbmh6DIt5GITc4uWNi-7ET2Rk8hRBO4q9Hck0SLYleJ2zarhGIq9zjn9VhnjXn_rIewnrbft2OOF5vKDOUR3gHw8neviJAy8HP7BgAA__8", "2 attachment(s)")</f>
        <v>2 attachment(s)</v>
      </c>
      <c r="Y104"/>
      <c r="Z104"/>
      <c r="AA104"/>
      <c r="AB104"/>
      <c r="AC104"/>
      <c r="AD104" s="4"/>
      <c r="AE104"/>
      <c r="AF104" s="2"/>
      <c r="AG104" t="inlineStr">
        <is>
          <t>NzQyNTk5MTgyNzQ4MTg3MDM0MTpFNzZEQ0ZCMC01NjNDLTQ1MTEtQjBFMS0xQ0QxNDcyN0JGNTAtMzpiNGI4YzEzMjMzNmVjMzViMjZhM2ZlNzcwZjNiNjU3NTox</t>
        </is>
      </c>
      <c r="AH104"/>
      <c r="AI104"/>
      <c r="AJ104"/>
      <c r="AK104"/>
    </row>
    <row r="105" ht="25.5" customHeight="1">
      <c r="A105" s="2" t="str">
        <f>=HYPERLINK("https://applink.larksuite.com/client/mini_program/open?appId=cli_9c7cc8a9a9edd105&amp;mode=appCenter&amp;path_pc=pc/pages/requested/index?instanceId=7512345083065253919&amp;source=bitable&amp;path=pages/detail/index?instanceId=7512345083065253919&amp;source=bitable", "202506050036")</f>
        <v>202506050036</v>
      </c>
      <c r="B105" t="inlineStr">
        <is>
          <t>Approved</t>
        </is>
      </c>
      <c r="C105" t="inlineStr">
        <is>
          <t>Procurement Order</t>
        </is>
      </c>
      <c r="D105" s="3">
        <v>45813.59422453704</v>
      </c>
      <c r="E105" s="3">
        <v>45813.6375462963</v>
      </c>
      <c r="F105" t="inlineStr">
        <is>
          <t>Fatima Kathleen M. FLores</t>
        </is>
      </c>
      <c r="G105" t="inlineStr">
        <is>
          <t>Procurement</t>
        </is>
      </c>
      <c r="H105"/>
      <c r="I105"/>
      <c r="J105" t="inlineStr">
        <is>
          <t>Project</t>
        </is>
      </c>
      <c r="K105" t="inlineStr">
        <is>
          <t>PDEI - Game Marketing</t>
        </is>
      </c>
      <c r="L105" t="inlineStr">
        <is>
          <t>realme Cup</t>
        </is>
      </c>
      <c r="M105" t="inlineStr">
        <is>
          <t>2025TEG-P0094</t>
        </is>
      </c>
      <c r="N105" t="inlineStr">
        <is>
          <t>Anteaus Villena</t>
        </is>
      </c>
      <c r="O105" t="inlineStr">
        <is>
          <t>202505180015-Anteaus Villena-费用报销 - 副本 - 副本 - 副本-2025-05-18 11:22:28</t>
        </is>
      </c>
      <c r="P105" t="inlineStr">
        <is>
          <t>NO</t>
        </is>
      </c>
      <c r="Q105"/>
      <c r="R105" t="inlineStr">
        <is>
          <t>NO</t>
        </is>
      </c>
      <c r="S105" t="inlineStr">
        <is>
          <t>Confetti Blizzard (50lbs / Loose Metallic Gold)</t>
        </is>
      </c>
      <c r="T105">
        <v>1</v>
      </c>
      <c r="U105">
        <v>13000</v>
      </c>
      <c r="V105" t="inlineStr">
        <is>
          <t>PHP</t>
        </is>
      </c>
      <c r="W105">
        <v>13000</v>
      </c>
      <c r="X105" s="2"/>
      <c r="Y105" t="inlineStr">
        <is>
          <t>Bank Transfer</t>
        </is>
      </c>
      <c r="Z105" t="inlineStr">
        <is>
          <t>Confetti Effects, Inc.</t>
        </is>
      </c>
      <c r="AA105" t="inlineStr">
        <is>
          <t>3221-0180-78</t>
        </is>
      </c>
      <c r="AB105" t="inlineStr">
        <is>
          <t>BPI</t>
        </is>
      </c>
      <c r="AC105" t="inlineStr">
        <is>
          <t>2550 New Panaderos St., Brgy. 885 Zone 097, Sta. Ana, Manila</t>
        </is>
      </c>
      <c r="AD105" s="4">
        <v>45815</v>
      </c>
      <c r="AE105" t="inlineStr">
        <is>
          <t>100% Full Payment upon completion of services</t>
        </is>
      </c>
      <c r="AF105" s="2"/>
      <c r="AG105" t="inlineStr">
        <is>
          <t>NzQyNTk5MTgyNzQ4MTg3MDM0MTpGRUE5NDdGQi1EN0IzLTQ1NkYtOUUxRS02ODlFQkY1MjZFMTctMTo3NjZhMzU5N2QzNDA4NTI1N2JiYmE5MmI5ZGRkMWY2Zjox</t>
        </is>
      </c>
      <c r="AH105"/>
      <c r="AI105"/>
      <c r="AJ105"/>
      <c r="AK105"/>
    </row>
    <row r="106" ht="25.5" customHeight="1">
      <c r="A106" s="2" t="str">
        <f>=HYPERLINK("https://applink.larksuite.com/client/mini_program/open?appId=cli_9c7cc8a9a9edd105&amp;mode=appCenter&amp;path_pc=pc/pages/requested/index?instanceId=7512345083065253919&amp;source=bitable&amp;path=pages/detail/index?instanceId=7512345083065253919&amp;source=bitable", "202506050036")</f>
        <v>202506050036</v>
      </c>
      <c r="B106" t="inlineStr">
        <is>
          <t>Approved</t>
        </is>
      </c>
      <c r="C106" t="inlineStr">
        <is>
          <t>Procurement Order</t>
        </is>
      </c>
      <c r="D106" s="3">
        <v>45813.59422453704</v>
      </c>
      <c r="E106" s="3">
        <v>45813.6375462963</v>
      </c>
      <c r="F106" t="inlineStr">
        <is>
          <t>Fatima Kathleen M. FLores</t>
        </is>
      </c>
      <c r="G106" t="inlineStr">
        <is>
          <t>Procurement</t>
        </is>
      </c>
      <c r="H106"/>
      <c r="I106"/>
      <c r="J106" t="inlineStr">
        <is>
          <t>Project</t>
        </is>
      </c>
      <c r="K106" t="inlineStr">
        <is>
          <t>PDEI - Game Marketing</t>
        </is>
      </c>
      <c r="L106" t="inlineStr">
        <is>
          <t>realme Cup</t>
        </is>
      </c>
      <c r="M106" t="inlineStr">
        <is>
          <t>2025TEG-P0094</t>
        </is>
      </c>
      <c r="N106" t="inlineStr">
        <is>
          <t>Anteaus Villena</t>
        </is>
      </c>
      <c r="O106" t="inlineStr">
        <is>
          <t>202505180015-Anteaus Villena-费用报销 - 副本 - 副本 - 副本-2025-05-18 11:22:28</t>
        </is>
      </c>
      <c r="P106" t="inlineStr">
        <is>
          <t>NO</t>
        </is>
      </c>
      <c r="Q106"/>
      <c r="R106" t="inlineStr">
        <is>
          <t>NO</t>
        </is>
      </c>
      <c r="S106" t="inlineStr">
        <is>
          <t>Cryo Jets Floor Mount</t>
        </is>
      </c>
      <c r="T106">
        <v>4</v>
      </c>
      <c r="U106">
        <v>4800</v>
      </c>
      <c r="V106" t="inlineStr">
        <is>
          <t>PHP</t>
        </is>
      </c>
      <c r="W106">
        <v>19200</v>
      </c>
      <c r="X106" s="2"/>
      <c r="Y106"/>
      <c r="Z106"/>
      <c r="AA106"/>
      <c r="AB106"/>
      <c r="AC106"/>
      <c r="AD106" s="4"/>
      <c r="AE106"/>
      <c r="AF106" s="2"/>
      <c r="AG106" t="inlineStr">
        <is>
          <t>NzQyNTk5MTgyNzQ4MTg3MDM0MTpGRUE5NDdGQi1EN0IzLTQ1NkYtOUUxRS02ODlFQkY1MjZFMTctMjpkMWZmNDY4NDBmNzU2NjFhYWVjYTBmZDVjM2Q0MGUyMTox</t>
        </is>
      </c>
      <c r="AH106"/>
      <c r="AI106"/>
      <c r="AJ106"/>
      <c r="AK106"/>
    </row>
    <row r="107" ht="25.5" customHeight="1">
      <c r="A107" s="2" t="str">
        <f>=HYPERLINK("https://applink.larksuite.com/client/mini_program/open?appId=cli_9c7cc8a9a9edd105&amp;mode=appCenter&amp;path_pc=pc/pages/requested/index?instanceId=7512345083065253919&amp;source=bitable&amp;path=pages/detail/index?instanceId=7512345083065253919&amp;source=bitable", "202506050036")</f>
        <v>202506050036</v>
      </c>
      <c r="B107" t="inlineStr">
        <is>
          <t>Approved</t>
        </is>
      </c>
      <c r="C107" t="inlineStr">
        <is>
          <t>Procurement Order</t>
        </is>
      </c>
      <c r="D107" s="3">
        <v>45813.59422453704</v>
      </c>
      <c r="E107" s="3">
        <v>45813.6375462963</v>
      </c>
      <c r="F107" t="inlineStr">
        <is>
          <t>Fatima Kathleen M. FLores</t>
        </is>
      </c>
      <c r="G107" t="inlineStr">
        <is>
          <t>Procurement</t>
        </is>
      </c>
      <c r="H107"/>
      <c r="I107"/>
      <c r="J107" t="inlineStr">
        <is>
          <t>Project</t>
        </is>
      </c>
      <c r="K107" t="inlineStr">
        <is>
          <t>PDEI - Game Marketing</t>
        </is>
      </c>
      <c r="L107" t="inlineStr">
        <is>
          <t>realme Cup</t>
        </is>
      </c>
      <c r="M107" t="inlineStr">
        <is>
          <t>2025TEG-P0094</t>
        </is>
      </c>
      <c r="N107" t="inlineStr">
        <is>
          <t>Anteaus Villena</t>
        </is>
      </c>
      <c r="O107" t="inlineStr">
        <is>
          <t>202505180015-Anteaus Villena-费用报销 - 副本 - 副本 - 副本-2025-05-18 11:22:28</t>
        </is>
      </c>
      <c r="P107" t="inlineStr">
        <is>
          <t>NO</t>
        </is>
      </c>
      <c r="Q107"/>
      <c r="R107" t="inlineStr">
        <is>
          <t>NO</t>
        </is>
      </c>
      <c r="S107" t="inlineStr">
        <is>
          <t>Sparkular - Regular</t>
        </is>
      </c>
      <c r="T107">
        <v>4</v>
      </c>
      <c r="U107">
        <v>5500</v>
      </c>
      <c r="V107" t="inlineStr">
        <is>
          <t>PHP</t>
        </is>
      </c>
      <c r="W107">
        <v>22000</v>
      </c>
      <c r="X107" s="2"/>
      <c r="Y107"/>
      <c r="Z107"/>
      <c r="AA107"/>
      <c r="AB107"/>
      <c r="AC107"/>
      <c r="AD107" s="4"/>
      <c r="AE107"/>
      <c r="AF107" s="2"/>
      <c r="AG107" t="inlineStr">
        <is>
          <t>NzQyNTk5MTgyNzQ4MTg3MDM0MTpGRUE5NDdGQi1EN0IzLTQ1NkYtOUUxRS02ODlFQkY1MjZFMTctMzowZjUxNjc5NzEzMWRmYTQ2OWYzN2QzNDg2Mjg5M2EzMjox</t>
        </is>
      </c>
      <c r="AH107"/>
      <c r="AI107"/>
      <c r="AJ107"/>
      <c r="AK107"/>
    </row>
    <row r="108" ht="25.5" customHeight="1">
      <c r="A108" s="2" t="str">
        <f>=HYPERLINK("https://applink.larksuite.com/client/mini_program/open?appId=cli_9c7cc8a9a9edd105&amp;mode=appCenter&amp;path_pc=pc/pages/requested/index?instanceId=7512345083065253919&amp;source=bitable&amp;path=pages/detail/index?instanceId=7512345083065253919&amp;source=bitable", "202506050036")</f>
        <v>202506050036</v>
      </c>
      <c r="B108" t="inlineStr">
        <is>
          <t>Approved</t>
        </is>
      </c>
      <c r="C108" t="inlineStr">
        <is>
          <t>Procurement Order</t>
        </is>
      </c>
      <c r="D108" s="3">
        <v>45813.59422453704</v>
      </c>
      <c r="E108" s="3">
        <v>45813.6375462963</v>
      </c>
      <c r="F108" t="inlineStr">
        <is>
          <t>Fatima Kathleen M. FLores</t>
        </is>
      </c>
      <c r="G108" t="inlineStr">
        <is>
          <t>Procurement</t>
        </is>
      </c>
      <c r="H108"/>
      <c r="I108"/>
      <c r="J108" t="inlineStr">
        <is>
          <t>Project</t>
        </is>
      </c>
      <c r="K108" t="inlineStr">
        <is>
          <t>PDEI - Game Marketing</t>
        </is>
      </c>
      <c r="L108" t="inlineStr">
        <is>
          <t>realme Cup</t>
        </is>
      </c>
      <c r="M108" t="inlineStr">
        <is>
          <t>2025TEG-P0094</t>
        </is>
      </c>
      <c r="N108" t="inlineStr">
        <is>
          <t>Anteaus Villena</t>
        </is>
      </c>
      <c r="O108" t="inlineStr">
        <is>
          <t>202505180015-Anteaus Villena-费用报销 - 副本 - 副本 - 副本-2025-05-18 11:22:28</t>
        </is>
      </c>
      <c r="P108" t="inlineStr">
        <is>
          <t>NO</t>
        </is>
      </c>
      <c r="Q108"/>
      <c r="R108" t="inlineStr">
        <is>
          <t>NO</t>
        </is>
      </c>
      <c r="S108" t="inlineStr">
        <is>
          <t>Additional Confetti (Loose Metallic Gold)</t>
        </is>
      </c>
      <c r="T108">
        <v>6</v>
      </c>
      <c r="U108">
        <v>1176.6666</v>
      </c>
      <c r="V108" t="inlineStr">
        <is>
          <t>PHP</t>
        </is>
      </c>
      <c r="W108">
        <v>7060</v>
      </c>
      <c r="X108" s="2"/>
      <c r="Y108"/>
      <c r="Z108"/>
      <c r="AA108"/>
      <c r="AB108"/>
      <c r="AC108"/>
      <c r="AD108" s="4"/>
      <c r="AE108"/>
      <c r="AF108" s="2"/>
      <c r="AG108" t="inlineStr">
        <is>
          <t>NzQyNTk5MTgyNzQ4MTg3MDM0MTpGRUE5NDdGQi1EN0IzLTQ1NkYtOUUxRS02ODlFQkY1MjZFMTctNDoyMTMzYTYwZTgzZmQ1MDMwYzdmNzViNTI5NTliOTMwYTox</t>
        </is>
      </c>
      <c r="AH108"/>
      <c r="AI108"/>
      <c r="AJ108"/>
      <c r="AK108"/>
    </row>
    <row r="109" ht="25.5" customHeight="1">
      <c r="A109" s="2" t="str">
        <f>=HYPERLINK("https://applink.larksuite.com/client/mini_program/open?appId=cli_9c7cc8a9a9edd105&amp;mode=appCenter&amp;path_pc=pc/pages/requested/index?instanceId=7512345083065253919&amp;source=bitable&amp;path=pages/detail/index?instanceId=7512345083065253919&amp;source=bitable", "202506050036")</f>
        <v>202506050036</v>
      </c>
      <c r="B109" t="inlineStr">
        <is>
          <t>Approved</t>
        </is>
      </c>
      <c r="C109" t="inlineStr">
        <is>
          <t>Procurement Order</t>
        </is>
      </c>
      <c r="D109" s="3">
        <v>45813.59422453704</v>
      </c>
      <c r="E109" s="3">
        <v>45813.6375462963</v>
      </c>
      <c r="F109" t="inlineStr">
        <is>
          <t>Fatima Kathleen M. FLores</t>
        </is>
      </c>
      <c r="G109" t="inlineStr">
        <is>
          <t>Procurement</t>
        </is>
      </c>
      <c r="H109"/>
      <c r="I109"/>
      <c r="J109" t="inlineStr">
        <is>
          <t>Project</t>
        </is>
      </c>
      <c r="K109" t="inlineStr">
        <is>
          <t>PDEI - Game Marketing</t>
        </is>
      </c>
      <c r="L109" t="inlineStr">
        <is>
          <t>realme Cup</t>
        </is>
      </c>
      <c r="M109" t="inlineStr">
        <is>
          <t>2025TEG-P0094</t>
        </is>
      </c>
      <c r="N109" t="inlineStr">
        <is>
          <t>Anteaus Villena</t>
        </is>
      </c>
      <c r="O109" t="inlineStr">
        <is>
          <t>202505180015-Anteaus Villena-费用报销 - 副本 - 副本 - 副本-2025-05-18 11:22:28</t>
        </is>
      </c>
      <c r="P109" t="inlineStr">
        <is>
          <t>NO</t>
        </is>
      </c>
      <c r="Q109"/>
      <c r="R109" t="inlineStr">
        <is>
          <t>NO</t>
        </is>
      </c>
      <c r="S109" t="inlineStr">
        <is>
          <t>Delivery and Installation (FREE)</t>
        </is>
      </c>
      <c r="T109">
        <v>1</v>
      </c>
      <c r="U109">
        <v>0</v>
      </c>
      <c r="V109" t="inlineStr">
        <is>
          <t>PHP</t>
        </is>
      </c>
      <c r="W109">
        <v>0</v>
      </c>
      <c r="X109" s="2" t="str">
        <f>=HYPERLINK("https://www.larksuite.com/approval/admin/previewAttachment?key=PMg7CsJAGATgK838zx0vY5MQNBgbQbHYswsWab8aRI2klxCiCZydNI_EcFRauqhpk91Cs1RzPbbrfoj2WZz71--P53zflm19MdVmaI_wAYCX070jQqrA3-MXAAD__w", "2 attachment(s)")</f>
        <v>2 attachment(s)</v>
      </c>
      <c r="Y109"/>
      <c r="Z109"/>
      <c r="AA109"/>
      <c r="AB109"/>
      <c r="AC109"/>
      <c r="AD109" s="4"/>
      <c r="AE109"/>
      <c r="AF109" s="2"/>
      <c r="AG109" t="inlineStr">
        <is>
          <t>NzQyNTk5MTgyNzQ4MTg3MDM0MTpGRUE5NDdGQi1EN0IzLTQ1NkYtOUUxRS02ODlFQkY1MjZFMTctNTozMTFiNmQ2N2I3YjYzYjEwN2UzMGM0ZWRlN2JhN2Y2MDox</t>
        </is>
      </c>
      <c r="AH109"/>
      <c r="AI109"/>
      <c r="AJ109"/>
      <c r="AK109"/>
    </row>
    <row r="110" ht="25.5" customHeight="1">
      <c r="A110" s="2" t="str">
        <f>=HYPERLINK("https://applink.larksuite.com/client/mini_program/open?appId=cli_9c7cc8a9a9edd105&amp;mode=appCenter&amp;path_pc=pc/pages/requested/index?instanceId=7512408153074434080&amp;source=bitable&amp;path=pages/detail/index?instanceId=7512408153074434080&amp;source=bitable", "202506050095")</f>
        <v>202506050095</v>
      </c>
      <c r="B110" t="inlineStr">
        <is>
          <t>Approved</t>
        </is>
      </c>
      <c r="C110" t="inlineStr">
        <is>
          <t>Procurement Order</t>
        </is>
      </c>
      <c r="D110" s="3">
        <v>45813.76417824074</v>
      </c>
      <c r="E110" s="3">
        <v>45813.78802083333</v>
      </c>
      <c r="F110" t="inlineStr">
        <is>
          <t>Fatima Kathleen M. FLores</t>
        </is>
      </c>
      <c r="G110" t="inlineStr">
        <is>
          <t>Procurement</t>
        </is>
      </c>
      <c r="H110"/>
      <c r="I110"/>
      <c r="J110" t="inlineStr">
        <is>
          <t>Project</t>
        </is>
      </c>
      <c r="K110" t="inlineStr">
        <is>
          <t>PDEI - Event Service</t>
        </is>
      </c>
      <c r="L110" t="inlineStr">
        <is>
          <t>GTCC Summer Showdown</t>
        </is>
      </c>
      <c r="M110" t="inlineStr">
        <is>
          <t>2025TEG-P0040</t>
        </is>
      </c>
      <c r="N110" t="inlineStr">
        <is>
          <t>Frances Angelita Arreglado</t>
        </is>
      </c>
      <c r="O110" t="inlineStr">
        <is>
          <t>202506030100-Frances Angelita Arreglado-费用报销 - 副本 - 副本 - 副本-2025-06-03 08:58:03</t>
        </is>
      </c>
      <c r="P110" t="inlineStr">
        <is>
          <t>NO</t>
        </is>
      </c>
      <c r="Q110"/>
      <c r="R110" t="inlineStr">
        <is>
          <t>NO</t>
        </is>
      </c>
      <c r="S110" t="inlineStr">
        <is>
          <t>Single Seater Sofa</t>
        </is>
      </c>
      <c r="T110">
        <v>10</v>
      </c>
      <c r="U110">
        <v>4500</v>
      </c>
      <c r="V110" t="inlineStr">
        <is>
          <t>PHP</t>
        </is>
      </c>
      <c r="W110">
        <v>45000</v>
      </c>
      <c r="X110" s="2"/>
      <c r="Y110" t="inlineStr">
        <is>
          <t>Bank Transfer</t>
        </is>
      </c>
      <c r="Z110" t="inlineStr">
        <is>
          <t>Ezequiel A. Natividad</t>
        </is>
      </c>
      <c r="AA110" t="inlineStr">
        <is>
          <t>09052644558</t>
        </is>
      </c>
      <c r="AB110" t="inlineStr">
        <is>
          <t>GCash</t>
        </is>
      </c>
      <c r="AC110" t="inlineStr">
        <is>
          <t>Lot 3 #309 A. Mabini St., Brgy. 23, District 2, Caloocan City</t>
        </is>
      </c>
      <c r="AD110" s="4">
        <v>45813</v>
      </c>
      <c r="AE110" t="inlineStr">
        <is>
          <t>50% Down payment upon confirmation
50% Final payment before delivery</t>
        </is>
      </c>
      <c r="AF110" s="2" t="str">
        <f>=HYPERLINK("https://www.larksuite.com/approval/admin/previewAttachment?key=TMg7ioJBEATgK1VN1_RjL7OJw6CIfyIqBn12wcj08yQ8J80LKo4COyaHkJyGkExI9GhGFIJe3uu2_6_joUu8jjj2ei_183za605Pc6imxALAvx8nUWluX8cnAAD__w", "3 attachment(s)")</f>
        <v>3 attachment(s)</v>
      </c>
      <c r="AG110" t="inlineStr">
        <is>
          <t>NzQyNTk5MTgyNzQ4MTg3MDM0MTpCNEU0MjRBMi1CREY2LTQxQzUtOERDOS01NjJGNTYyNjVBNUEtMToyMDk3ODBjN2E3NzVkN2FiNjBjYTVhMGY3MGJkODMxNDox</t>
        </is>
      </c>
      <c r="AH110"/>
      <c r="AI110"/>
      <c r="AJ110"/>
      <c r="AK110"/>
    </row>
    <row r="111" ht="25.5" customHeight="1">
      <c r="A111" s="2" t="str">
        <f>=HYPERLINK("https://applink.larksuite.com/client/mini_program/open?appId=cli_9c7cc8a9a9edd105&amp;mode=appCenter&amp;path_pc=pc/pages/requested/index?instanceId=7512408153074434080&amp;source=bitable&amp;path=pages/detail/index?instanceId=7512408153074434080&amp;source=bitable", "202506050095")</f>
        <v>202506050095</v>
      </c>
      <c r="B111" t="inlineStr">
        <is>
          <t>Approved</t>
        </is>
      </c>
      <c r="C111" t="inlineStr">
        <is>
          <t>Procurement Order</t>
        </is>
      </c>
      <c r="D111" s="3">
        <v>45813.76417824074</v>
      </c>
      <c r="E111" s="3">
        <v>45813.78802083333</v>
      </c>
      <c r="F111" t="inlineStr">
        <is>
          <t>Fatima Kathleen M. FLores</t>
        </is>
      </c>
      <c r="G111" t="inlineStr">
        <is>
          <t>Procurement</t>
        </is>
      </c>
      <c r="H111"/>
      <c r="I111"/>
      <c r="J111" t="inlineStr">
        <is>
          <t>Project</t>
        </is>
      </c>
      <c r="K111" t="inlineStr">
        <is>
          <t>PDEI - Event Service</t>
        </is>
      </c>
      <c r="L111" t="inlineStr">
        <is>
          <t>GTCC Summer Showdown</t>
        </is>
      </c>
      <c r="M111" t="inlineStr">
        <is>
          <t>2025TEG-P0040</t>
        </is>
      </c>
      <c r="N111" t="inlineStr">
        <is>
          <t>Frances Angelita Arreglado</t>
        </is>
      </c>
      <c r="O111" t="inlineStr">
        <is>
          <t>202506030100-Frances Angelita Arreglado-费用报销 - 副本 - 副本 - 副本-2025-06-03 08:58:03</t>
        </is>
      </c>
      <c r="P111" t="inlineStr">
        <is>
          <t>NO</t>
        </is>
      </c>
      <c r="Q111"/>
      <c r="R111" t="inlineStr">
        <is>
          <t>NO</t>
        </is>
      </c>
      <c r="S111" t="inlineStr">
        <is>
          <t>Delivery Charge</t>
        </is>
      </c>
      <c r="T111">
        <v>1</v>
      </c>
      <c r="U111">
        <v>1000</v>
      </c>
      <c r="V111" t="inlineStr">
        <is>
          <t>PHP</t>
        </is>
      </c>
      <c r="W111">
        <v>1000</v>
      </c>
      <c r="X111" s="2" t="str">
        <f>=HYPERLINK("https://www.larksuite.com/approval/admin/previewAttachment?key=PMgxqoJBDATgK80ks8nmXeY1Losi_o2oWOTsgoXtF5OIOehRUNEK7Bw0YXI4UnJhoq2ZWUhGRa_b_r_aQ5d8HXns9V7q5_m0152j0gzpkk8A_Pu5p6SqEL7OTwAAAP__", "2 attachment(s)")</f>
        <v>2 attachment(s)</v>
      </c>
      <c r="Y111"/>
      <c r="Z111"/>
      <c r="AA111"/>
      <c r="AB111"/>
      <c r="AC111"/>
      <c r="AD111" s="4"/>
      <c r="AE111"/>
      <c r="AF111" s="2"/>
      <c r="AG111" t="inlineStr">
        <is>
          <t>NzQyNTk5MTgyNzQ4MTg3MDM0MTpCNEU0MjRBMi1CREY2LTQxQzUtOERDOS01NjJGNTYyNjVBNUEtMjo4NzJkYWE2NjdlMDg0ZGIyZjQyMzJiYTNlNzljYjY0Nzox</t>
        </is>
      </c>
      <c r="AH111"/>
      <c r="AI111"/>
      <c r="AJ111"/>
      <c r="AK111"/>
    </row>
    <row r="112" ht="25.5" customHeight="1">
      <c r="A112" s="2" t="str">
        <f>=HYPERLINK("https://applink.larksuite.com/client/mini_program/open?appId=cli_9c7cc8a9a9edd105&amp;mode=appCenter&amp;path_pc=pc/pages/requested/index?instanceId=7512420088348196903&amp;source=bitable&amp;path=pages/detail/index?instanceId=7512420088348196903&amp;source=bitable", "202506050102")</f>
        <v>202506050102</v>
      </c>
      <c r="B112" t="inlineStr">
        <is>
          <t>Approved</t>
        </is>
      </c>
      <c r="C112" t="inlineStr">
        <is>
          <t>Procurement Order</t>
        </is>
      </c>
      <c r="D112" s="3">
        <v>45813.79634259259</v>
      </c>
      <c r="E112" s="3">
        <v>45818.70108796296</v>
      </c>
      <c r="F112" t="inlineStr">
        <is>
          <t>Fatima Kathleen M. FLores</t>
        </is>
      </c>
      <c r="G112" t="inlineStr">
        <is>
          <t>Procurement</t>
        </is>
      </c>
      <c r="H112"/>
      <c r="I112"/>
      <c r="J112" t="inlineStr">
        <is>
          <t>Project</t>
        </is>
      </c>
      <c r="K112" t="inlineStr">
        <is>
          <t>PDEI - Event Service</t>
        </is>
      </c>
      <c r="L112" t="inlineStr">
        <is>
          <t>MDL PH S5 - Playoffs</t>
        </is>
      </c>
      <c r="M112" t="inlineStr">
        <is>
          <t>2025TEG-P0004</t>
        </is>
      </c>
      <c r="N112" t="inlineStr">
        <is>
          <t>Kervin</t>
        </is>
      </c>
      <c r="O112" t="inlineStr">
        <is>
          <t>202505050098-Kervin-费用报销 - 副本 - 副本 - 副本-2025-05-05 12:00:48</t>
        </is>
      </c>
      <c r="P112" t="inlineStr">
        <is>
          <t>NO</t>
        </is>
      </c>
      <c r="Q112"/>
      <c r="R112" t="inlineStr">
        <is>
          <t>NO</t>
        </is>
      </c>
      <c r="S112" t="inlineStr">
        <is>
          <t>Crew Meals (Ingress, Event Days, Egress)</t>
        </is>
      </c>
      <c r="T112">
        <v>1208</v>
      </c>
      <c r="U112">
        <v>115</v>
      </c>
      <c r="V112" t="inlineStr">
        <is>
          <t>PHP</t>
        </is>
      </c>
      <c r="W112">
        <v>138920</v>
      </c>
      <c r="X112" s="2"/>
      <c r="Y112" t="inlineStr">
        <is>
          <t>Bank Transfer</t>
        </is>
      </c>
      <c r="Z112" t="inlineStr">
        <is>
          <t>Michelle Francine G. Manuntag</t>
        </is>
      </c>
      <c r="AA112" t="inlineStr">
        <is>
          <t>000170292002</t>
        </is>
      </c>
      <c r="AB112" t="inlineStr">
        <is>
          <t>BDO</t>
        </is>
      </c>
      <c r="AC112" t="inlineStr">
        <is>
          <t>Makati City</t>
        </is>
      </c>
      <c r="AD112" s="4">
        <v>45791</v>
      </c>
      <c r="AE112" t="inlineStr">
        <is>
          <t>100% Full Payment upon completion of services</t>
        </is>
      </c>
      <c r="AF112" s="2"/>
      <c r="AG112" t="inlineStr">
        <is>
          <t>NzQyNTk5MTgyNzQ4MTg3MDM0MToxQ0ZCMjFFMy04NzJBLTQ4QjgtOUM2NS1DRTdDNkUyRkUzNTgtMToxZjUwMTBjZGQ1NzNiNmQ5ZGUwYWYwZTVhNWNjNzZiZTox</t>
        </is>
      </c>
      <c r="AH112"/>
      <c r="AI112"/>
      <c r="AJ112"/>
      <c r="AK112"/>
    </row>
    <row r="113" ht="25.5" customHeight="1">
      <c r="A113" s="2" t="str">
        <f>=HYPERLINK("https://applink.larksuite.com/client/mini_program/open?appId=cli_9c7cc8a9a9edd105&amp;mode=appCenter&amp;path_pc=pc/pages/requested/index?instanceId=7512420088348196903&amp;source=bitable&amp;path=pages/detail/index?instanceId=7512420088348196903&amp;source=bitable", "202506050102")</f>
        <v>202506050102</v>
      </c>
      <c r="B113" t="inlineStr">
        <is>
          <t>Approved</t>
        </is>
      </c>
      <c r="C113" t="inlineStr">
        <is>
          <t>Procurement Order</t>
        </is>
      </c>
      <c r="D113" s="3">
        <v>45813.79634259259</v>
      </c>
      <c r="E113" s="3">
        <v>45818.70108796296</v>
      </c>
      <c r="F113" t="inlineStr">
        <is>
          <t>Fatima Kathleen M. FLores</t>
        </is>
      </c>
      <c r="G113" t="inlineStr">
        <is>
          <t>Procurement</t>
        </is>
      </c>
      <c r="H113"/>
      <c r="I113"/>
      <c r="J113" t="inlineStr">
        <is>
          <t>Project</t>
        </is>
      </c>
      <c r="K113" t="inlineStr">
        <is>
          <t>PDEI - Event Service</t>
        </is>
      </c>
      <c r="L113" t="inlineStr">
        <is>
          <t>MDL PH S5 - Playoffs</t>
        </is>
      </c>
      <c r="M113" t="inlineStr">
        <is>
          <t>2025TEG-P0004</t>
        </is>
      </c>
      <c r="N113" t="inlineStr">
        <is>
          <t>Kervin</t>
        </is>
      </c>
      <c r="O113" t="inlineStr">
        <is>
          <t>202505050098-Kervin-费用报销 - 副本 - 副本 - 副本-2025-05-05 12:00:48</t>
        </is>
      </c>
      <c r="P113" t="inlineStr">
        <is>
          <t>NO</t>
        </is>
      </c>
      <c r="Q113"/>
      <c r="R113" t="inlineStr">
        <is>
          <t>NO</t>
        </is>
      </c>
      <c r="S113" t="inlineStr">
        <is>
          <t>Premium Meals  (Teams &amp; Talents)</t>
        </is>
      </c>
      <c r="T113">
        <v>230</v>
      </c>
      <c r="U113">
        <v>170</v>
      </c>
      <c r="V113" t="inlineStr">
        <is>
          <t>PHP</t>
        </is>
      </c>
      <c r="W113">
        <v>39100</v>
      </c>
      <c r="X113" s="2"/>
      <c r="Y113"/>
      <c r="Z113"/>
      <c r="AA113"/>
      <c r="AB113"/>
      <c r="AC113"/>
      <c r="AD113" s="4"/>
      <c r="AE113"/>
      <c r="AF113" s="2"/>
      <c r="AG113" t="inlineStr">
        <is>
          <t>NzQyNTk5MTgyNzQ4MTg3MDM0MToxQ0ZCMjFFMy04NzJBLTQ4QjgtOUM2NS1DRTdDNkUyRkUzNTgtMjozYzMyZmIwYjU0NjQ0MDlkYTgzNDNjMGZjOGE0N2I1Mzox</t>
        </is>
      </c>
      <c r="AH113"/>
      <c r="AI113"/>
      <c r="AJ113"/>
      <c r="AK113"/>
    </row>
    <row r="114" ht="25.5" customHeight="1">
      <c r="A114" s="2" t="str">
        <f>=HYPERLINK("https://applink.larksuite.com/client/mini_program/open?appId=cli_9c7cc8a9a9edd105&amp;mode=appCenter&amp;path_pc=pc/pages/requested/index?instanceId=7512420088348196903&amp;source=bitable&amp;path=pages/detail/index?instanceId=7512420088348196903&amp;source=bitable", "202506050102")</f>
        <v>202506050102</v>
      </c>
      <c r="B114" t="inlineStr">
        <is>
          <t>Approved</t>
        </is>
      </c>
      <c r="C114" t="inlineStr">
        <is>
          <t>Procurement Order</t>
        </is>
      </c>
      <c r="D114" s="3">
        <v>45813.79634259259</v>
      </c>
      <c r="E114" s="3">
        <v>45818.70108796296</v>
      </c>
      <c r="F114" t="inlineStr">
        <is>
          <t>Fatima Kathleen M. FLores</t>
        </is>
      </c>
      <c r="G114" t="inlineStr">
        <is>
          <t>Procurement</t>
        </is>
      </c>
      <c r="H114"/>
      <c r="I114"/>
      <c r="J114" t="inlineStr">
        <is>
          <t>Project</t>
        </is>
      </c>
      <c r="K114" t="inlineStr">
        <is>
          <t>PDEI - Event Service</t>
        </is>
      </c>
      <c r="L114" t="inlineStr">
        <is>
          <t>MDL PH S5 - Playoffs</t>
        </is>
      </c>
      <c r="M114" t="inlineStr">
        <is>
          <t>2025TEG-P0004</t>
        </is>
      </c>
      <c r="N114" t="inlineStr">
        <is>
          <t>Kervin</t>
        </is>
      </c>
      <c r="O114" t="inlineStr">
        <is>
          <t>202505050098-Kervin-费用报销 - 副本 - 副本 - 副本-2025-05-05 12:00:48</t>
        </is>
      </c>
      <c r="P114" t="inlineStr">
        <is>
          <t>NO</t>
        </is>
      </c>
      <c r="Q114"/>
      <c r="R114" t="inlineStr">
        <is>
          <t>NO</t>
        </is>
      </c>
      <c r="S114" t="inlineStr">
        <is>
          <t>Delivery Fees</t>
        </is>
      </c>
      <c r="T114">
        <v>1</v>
      </c>
      <c r="U114">
        <v>4068</v>
      </c>
      <c r="V114" t="inlineStr">
        <is>
          <t>PHP</t>
        </is>
      </c>
      <c r="W114">
        <v>4068</v>
      </c>
      <c r="X114" s="2" t="str">
        <f>=HYPERLINK("https://www.larksuite.com/approval/admin/previewAttachment?key=PMg7DsJADATQK83YXtvDZWhYRQgpaRCfZs-ORJH2ZRPZg55CiCZw1aCFAd0eTaXgyxarhGIq19y362MXP02UHd_XPNb7ftvmk0NlhvIIbwC8nO4VEVIG_m6_AAAA__8", "2 attachment(s)")</f>
        <v>2 attachment(s)</v>
      </c>
      <c r="Y114"/>
      <c r="Z114"/>
      <c r="AA114"/>
      <c r="AB114"/>
      <c r="AC114"/>
      <c r="AD114" s="4"/>
      <c r="AE114"/>
      <c r="AF114" s="2"/>
      <c r="AG114" t="inlineStr">
        <is>
          <t>NzQyNTk5MTgyNzQ4MTg3MDM0MToxQ0ZCMjFFMy04NzJBLTQ4QjgtOUM2NS1DRTdDNkUyRkUzNTgtMzo0ZDIwYTExN2ZhODdkM2U3YTIzMGEzMjZlYzYzNDhkMzox</t>
        </is>
      </c>
      <c r="AH114"/>
      <c r="AI114"/>
      <c r="AJ114"/>
      <c r="AK114"/>
    </row>
    <row r="115" ht="25.5" customHeight="1">
      <c r="A115" s="2" t="str">
        <f>=HYPERLINK("https://applink.larksuite.com/client/mini_program/open?appId=cli_9c7cc8a9a9edd105&amp;mode=appCenter&amp;path_pc=pc/pages/requested/index?instanceId=7513779557707579430&amp;source=bitable&amp;path=pages/detail/index?instanceId=7513779557707579430&amp;source=bitable", "202506090011")</f>
        <v>202506090011</v>
      </c>
      <c r="B115" t="inlineStr">
        <is>
          <t>Approved</t>
        </is>
      </c>
      <c r="C115" t="inlineStr">
        <is>
          <t>Procurement Order</t>
        </is>
      </c>
      <c r="D115" s="3">
        <v>45817.45983796296</v>
      </c>
      <c r="E115" s="3">
        <v>45818.702673611115</v>
      </c>
      <c r="F115" t="inlineStr">
        <is>
          <t>Fatima Kathleen M. FLores</t>
        </is>
      </c>
      <c r="G115" t="inlineStr">
        <is>
          <t>Procurement</t>
        </is>
      </c>
      <c r="H115"/>
      <c r="I115"/>
      <c r="J115" t="inlineStr">
        <is>
          <t>Project</t>
        </is>
      </c>
      <c r="K115" t="inlineStr">
        <is>
          <t>PDEI - Event Service</t>
        </is>
      </c>
      <c r="L115" t="inlineStr">
        <is>
          <t>UAAP Esports S87</t>
        </is>
      </c>
      <c r="M115" t="inlineStr">
        <is>
          <t>2025TEG-P0068</t>
        </is>
      </c>
      <c r="N115" t="inlineStr">
        <is>
          <t>Frances Angelita Arreglado</t>
        </is>
      </c>
      <c r="O115" t="inlineStr">
        <is>
          <t>202505060115-Frances Angelita Arreglado-费用报销 - 副本 - 副本 - 副本-2025-05-06 16:17:16</t>
        </is>
      </c>
      <c r="P115" t="inlineStr">
        <is>
          <t>NO</t>
        </is>
      </c>
      <c r="Q115"/>
      <c r="R115" t="inlineStr">
        <is>
          <t>NO</t>
        </is>
      </c>
      <c r="S115" t="inlineStr">
        <is>
          <t>ROLL UP BANNERS W/ MECHANISM (33in x 78in)</t>
        </is>
      </c>
      <c r="T115">
        <v>4</v>
      </c>
      <c r="U115">
        <v>1904</v>
      </c>
      <c r="V115" t="inlineStr">
        <is>
          <t>PHP</t>
        </is>
      </c>
      <c r="W115">
        <v>7616</v>
      </c>
      <c r="X115" s="2"/>
      <c r="Y115" t="inlineStr">
        <is>
          <t>Bank Transfer</t>
        </is>
      </c>
      <c r="Z115" t="inlineStr">
        <is>
          <t>Bescost Digital Marketing Services Inc.</t>
        </is>
      </c>
      <c r="AA115" t="inlineStr">
        <is>
          <t>00000-5674-8951</t>
        </is>
      </c>
      <c r="AB115" t="inlineStr">
        <is>
          <t>Security Bank</t>
        </is>
      </c>
      <c r="AC115" t="inlineStr">
        <is>
          <t>5105-A Sulok St., Brgy. Ugong, Valenzuela City</t>
        </is>
      </c>
      <c r="AD115" s="4">
        <v>45784</v>
      </c>
      <c r="AE115" t="inlineStr">
        <is>
          <t>100% Full Payment - 15 days upon complete delivery</t>
        </is>
      </c>
      <c r="AF115" s="2"/>
      <c r="AG115" t="inlineStr">
        <is>
          <t>NzQyNTk5MTgyNzQ4MTg3MDM0MTo2RkJCNDM0Ri0yMTRELTRFODAtQUM1Ni05NUE5NzExNEQwNkYtMTpmNmZkN2QzNmNhYWQwMTFjNDczNTJkYjU3OWRhYWVkMzox</t>
        </is>
      </c>
      <c r="AH115"/>
      <c r="AI115"/>
      <c r="AJ115"/>
      <c r="AK115"/>
    </row>
    <row r="116" ht="25.5" customHeight="1">
      <c r="A116" s="2" t="str">
        <f>=HYPERLINK("https://applink.larksuite.com/client/mini_program/open?appId=cli_9c7cc8a9a9edd105&amp;mode=appCenter&amp;path_pc=pc/pages/requested/index?instanceId=7513779557707579430&amp;source=bitable&amp;path=pages/detail/index?instanceId=7513779557707579430&amp;source=bitable", "202506090011")</f>
        <v>202506090011</v>
      </c>
      <c r="B116" t="inlineStr">
        <is>
          <t>Approved</t>
        </is>
      </c>
      <c r="C116" t="inlineStr">
        <is>
          <t>Procurement Order</t>
        </is>
      </c>
      <c r="D116" s="3">
        <v>45817.45983796296</v>
      </c>
      <c r="E116" s="3">
        <v>45818.702673611115</v>
      </c>
      <c r="F116" t="inlineStr">
        <is>
          <t>Fatima Kathleen M. FLores</t>
        </is>
      </c>
      <c r="G116" t="inlineStr">
        <is>
          <t>Procurement</t>
        </is>
      </c>
      <c r="H116"/>
      <c r="I116"/>
      <c r="J116" t="inlineStr">
        <is>
          <t>Project</t>
        </is>
      </c>
      <c r="K116" t="inlineStr">
        <is>
          <t>PDEI - Event Service</t>
        </is>
      </c>
      <c r="L116" t="inlineStr">
        <is>
          <t>UAAP Esports S87</t>
        </is>
      </c>
      <c r="M116" t="inlineStr">
        <is>
          <t>2025TEG-P0068</t>
        </is>
      </c>
      <c r="N116" t="inlineStr">
        <is>
          <t>Frances Angelita Arreglado</t>
        </is>
      </c>
      <c r="O116" t="inlineStr">
        <is>
          <t>202505060115-Frances Angelita Arreglado-费用报销 - 副本 - 副本 - 副本-2025-05-06 16:17:16</t>
        </is>
      </c>
      <c r="P116" t="inlineStr">
        <is>
          <t>NO</t>
        </is>
      </c>
      <c r="Q116"/>
      <c r="R116" t="inlineStr">
        <is>
          <t>NO</t>
        </is>
      </c>
      <c r="S116" t="inlineStr">
        <is>
          <t>AREA SIGANGE (C2S200 / Size: A4)</t>
        </is>
      </c>
      <c r="T116">
        <v>13</v>
      </c>
      <c r="U116">
        <v>218.4</v>
      </c>
      <c r="V116" t="inlineStr">
        <is>
          <t>PHP</t>
        </is>
      </c>
      <c r="W116">
        <v>2839.2</v>
      </c>
      <c r="X116" s="2"/>
      <c r="Y116"/>
      <c r="Z116"/>
      <c r="AA116"/>
      <c r="AB116"/>
      <c r="AC116"/>
      <c r="AD116" s="4"/>
      <c r="AE116"/>
      <c r="AF116" s="2"/>
      <c r="AG116" t="inlineStr">
        <is>
          <t>NzQyNTk5MTgyNzQ4MTg3MDM0MTo2RkJCNDM0Ri0yMTRELTRFODAtQUM1Ni05NUE5NzExNEQwNkYtMjo5MWQyNzY1OWViMzM0ZDVkNjlmNzc5YWY1M2EzMGQ3NDox</t>
        </is>
      </c>
      <c r="AH116"/>
      <c r="AI116"/>
      <c r="AJ116"/>
      <c r="AK116"/>
    </row>
    <row r="117" ht="25.5" customHeight="1">
      <c r="A117" s="2" t="str">
        <f>=HYPERLINK("https://applink.larksuite.com/client/mini_program/open?appId=cli_9c7cc8a9a9edd105&amp;mode=appCenter&amp;path_pc=pc/pages/requested/index?instanceId=7513779557707579430&amp;source=bitable&amp;path=pages/detail/index?instanceId=7513779557707579430&amp;source=bitable", "202506090011")</f>
        <v>202506090011</v>
      </c>
      <c r="B117" t="inlineStr">
        <is>
          <t>Approved</t>
        </is>
      </c>
      <c r="C117" t="inlineStr">
        <is>
          <t>Procurement Order</t>
        </is>
      </c>
      <c r="D117" s="3">
        <v>45817.45983796296</v>
      </c>
      <c r="E117" s="3">
        <v>45818.702673611115</v>
      </c>
      <c r="F117" t="inlineStr">
        <is>
          <t>Fatima Kathleen M. FLores</t>
        </is>
      </c>
      <c r="G117" t="inlineStr">
        <is>
          <t>Procurement</t>
        </is>
      </c>
      <c r="H117"/>
      <c r="I117"/>
      <c r="J117" t="inlineStr">
        <is>
          <t>Project</t>
        </is>
      </c>
      <c r="K117" t="inlineStr">
        <is>
          <t>PDEI - Event Service</t>
        </is>
      </c>
      <c r="L117" t="inlineStr">
        <is>
          <t>UAAP Esports S87</t>
        </is>
      </c>
      <c r="M117" t="inlineStr">
        <is>
          <t>2025TEG-P0068</t>
        </is>
      </c>
      <c r="N117" t="inlineStr">
        <is>
          <t>Frances Angelita Arreglado</t>
        </is>
      </c>
      <c r="O117" t="inlineStr">
        <is>
          <t>202505060115-Frances Angelita Arreglado-费用报销 - 副本 - 副本 - 副本-2025-05-06 16:17:16</t>
        </is>
      </c>
      <c r="P117" t="inlineStr">
        <is>
          <t>NO</t>
        </is>
      </c>
      <c r="Q117"/>
      <c r="R117" t="inlineStr">
        <is>
          <t>NO</t>
        </is>
      </c>
      <c r="S117" t="inlineStr">
        <is>
          <t>CUE CARDS (Sticker on Sintra / Size: A5)</t>
        </is>
      </c>
      <c r="T117">
        <v>10</v>
      </c>
      <c r="U117">
        <v>61.6</v>
      </c>
      <c r="V117" t="inlineStr">
        <is>
          <t>PHP</t>
        </is>
      </c>
      <c r="W117">
        <v>616</v>
      </c>
      <c r="X117" s="2"/>
      <c r="Y117"/>
      <c r="Z117"/>
      <c r="AA117"/>
      <c r="AB117"/>
      <c r="AC117"/>
      <c r="AD117" s="4"/>
      <c r="AE117"/>
      <c r="AF117" s="2"/>
      <c r="AG117" t="inlineStr">
        <is>
          <t>NzQyNTk5MTgyNzQ4MTg3MDM0MTo2RkJCNDM0Ri0yMTRELTRFODAtQUM1Ni05NUE5NzExNEQwNkYtMzoyNmRlYWExNmY5NjY4YmIwNGVhMDA3NjlhMmJiZjg2Yjox</t>
        </is>
      </c>
      <c r="AH117"/>
      <c r="AI117"/>
      <c r="AJ117"/>
      <c r="AK117"/>
    </row>
    <row r="118" ht="25.5" customHeight="1">
      <c r="A118" s="2" t="str">
        <f>=HYPERLINK("https://applink.larksuite.com/client/mini_program/open?appId=cli_9c7cc8a9a9edd105&amp;mode=appCenter&amp;path_pc=pc/pages/requested/index?instanceId=7513779557707579430&amp;source=bitable&amp;path=pages/detail/index?instanceId=7513779557707579430&amp;source=bitable", "202506090011")</f>
        <v>202506090011</v>
      </c>
      <c r="B118" t="inlineStr">
        <is>
          <t>Approved</t>
        </is>
      </c>
      <c r="C118" t="inlineStr">
        <is>
          <t>Procurement Order</t>
        </is>
      </c>
      <c r="D118" s="3">
        <v>45817.45983796296</v>
      </c>
      <c r="E118" s="3">
        <v>45818.702673611115</v>
      </c>
      <c r="F118" t="inlineStr">
        <is>
          <t>Fatima Kathleen M. FLores</t>
        </is>
      </c>
      <c r="G118" t="inlineStr">
        <is>
          <t>Procurement</t>
        </is>
      </c>
      <c r="H118"/>
      <c r="I118"/>
      <c r="J118" t="inlineStr">
        <is>
          <t>Project</t>
        </is>
      </c>
      <c r="K118" t="inlineStr">
        <is>
          <t>PDEI - Event Service</t>
        </is>
      </c>
      <c r="L118" t="inlineStr">
        <is>
          <t>UAAP Esports S87</t>
        </is>
      </c>
      <c r="M118" t="inlineStr">
        <is>
          <t>2025TEG-P0068</t>
        </is>
      </c>
      <c r="N118" t="inlineStr">
        <is>
          <t>Frances Angelita Arreglado</t>
        </is>
      </c>
      <c r="O118" t="inlineStr">
        <is>
          <t>202505060115-Frances Angelita Arreglado-费用报销 - 副本 - 副本 - 副本-2025-05-06 16:17:16</t>
        </is>
      </c>
      <c r="P118" t="inlineStr">
        <is>
          <t>NO</t>
        </is>
      </c>
      <c r="Q118"/>
      <c r="R118" t="inlineStr">
        <is>
          <t>NO</t>
        </is>
      </c>
      <c r="S118" t="inlineStr">
        <is>
          <t>Rush Fee</t>
        </is>
      </c>
      <c r="T118">
        <v>1</v>
      </c>
      <c r="U118">
        <v>1107.12</v>
      </c>
      <c r="V118" t="inlineStr">
        <is>
          <t>PHP</t>
        </is>
      </c>
      <c r="W118">
        <v>1107.12</v>
      </c>
      <c r="X118" s="2" t="str">
        <f>=HYPERLINK("https://www.larksuite.com/approval/admin/previewAttachment?key=PMg7CgJBEATQK1VNf2ray5g4LC4iLAirSZ9dMDB9OYmcQcuCF0eBraBJFSFBoXJDj6ZUELOy13O7jnOufR6f3fh-8OjzftvWi1EaAzJ3mwB4-bvJ3avS8XP7BgAA__8", "2 attachment(s)")</f>
        <v>2 attachment(s)</v>
      </c>
      <c r="Y118"/>
      <c r="Z118"/>
      <c r="AA118"/>
      <c r="AB118"/>
      <c r="AC118"/>
      <c r="AD118" s="4"/>
      <c r="AE118"/>
      <c r="AF118" s="2"/>
      <c r="AG118" t="inlineStr">
        <is>
          <t>NzQyNTk5MTgyNzQ4MTg3MDM0MTo2RkJCNDM0Ri0yMTRELTRFODAtQUM1Ni05NUE5NzExNEQwNkYtNDpmYTEwODg0NDExNzFkMTk1MDllMzBlNDUwMWE0MjY4Njox</t>
        </is>
      </c>
      <c r="AH118"/>
      <c r="AI118"/>
      <c r="AJ118"/>
      <c r="AK118"/>
    </row>
    <row r="119" ht="25.5" customHeight="1">
      <c r="A119" s="2" t="str">
        <f>=HYPERLINK("https://applink.larksuite.com/client/mini_program/open?appId=cli_9c7cc8a9a9edd105&amp;mode=appCenter&amp;path_pc=pc/pages/requested/index?instanceId=7513805090440921126&amp;source=bitable&amp;path=pages/detail/index?instanceId=7513805090440921126&amp;source=bitable", "202506090028")</f>
        <v>202506090028</v>
      </c>
      <c r="B119" t="inlineStr">
        <is>
          <t>Approved</t>
        </is>
      </c>
      <c r="C119" t="inlineStr">
        <is>
          <t>Procurement Order</t>
        </is>
      </c>
      <c r="D119" s="3">
        <v>45817.528645833336</v>
      </c>
      <c r="E119" s="3">
        <v>45817.98278935185</v>
      </c>
      <c r="F119" t="inlineStr">
        <is>
          <t>Fatima Kathleen M. FLores</t>
        </is>
      </c>
      <c r="G119" t="inlineStr">
        <is>
          <t>Procurement</t>
        </is>
      </c>
      <c r="H119"/>
      <c r="I119"/>
      <c r="J119" t="inlineStr">
        <is>
          <t>Project</t>
        </is>
      </c>
      <c r="K119" t="inlineStr">
        <is>
          <t>PDEI - Game Marketing</t>
        </is>
      </c>
      <c r="L119" t="inlineStr">
        <is>
          <t>BuzzOne - C-Vitt Brand Activation</t>
        </is>
      </c>
      <c r="M119" t="inlineStr">
        <is>
          <t>2025TEG-P0135</t>
        </is>
      </c>
      <c r="N119" t="inlineStr">
        <is>
          <t>Carla Andrea Calma Crespo</t>
        </is>
      </c>
      <c r="O119" t="inlineStr">
        <is>
          <t>202506040022-Carla Andrea Calma Crespo-费用报销 - 副本 - 副本 - 副本-2025-06-04 03:41:15</t>
        </is>
      </c>
      <c r="P119" t="inlineStr">
        <is>
          <t>NO</t>
        </is>
      </c>
      <c r="Q119"/>
      <c r="R119" t="inlineStr">
        <is>
          <t>NO</t>
        </is>
      </c>
      <c r="S119" t="inlineStr">
        <is>
          <t>Venue Rental (2 days / Robinsons Magnolia)</t>
        </is>
      </c>
      <c r="T119">
        <v>1</v>
      </c>
      <c r="U119">
        <v>181438</v>
      </c>
      <c r="V119" t="inlineStr">
        <is>
          <t>PHP</t>
        </is>
      </c>
      <c r="W119">
        <v>181438</v>
      </c>
      <c r="X119" s="2" t="str">
        <f>=HYPERLINK("https://www.larksuite.com/approval/admin/previewAttachment?key=PMgxCgJBDAXQK_2fZJL5XsZml0V0tBEFi5xdsLB9OYmcg55CiCawa9AnBoQIyEjLtmaVUExl7_fjrOvkay2a6_bZHv2-bMf-5FCZoTzCJwCe_u4VEVIGfo5vAAAA__8", "3 attachment(s)")</f>
        <v>3 attachment(s)</v>
      </c>
      <c r="Y119" t="inlineStr">
        <is>
          <t>Check</t>
        </is>
      </c>
      <c r="Z119" t="inlineStr">
        <is>
          <t>Robinsons Land Corporation</t>
        </is>
      </c>
      <c r="AA119" t="inlineStr">
        <is>
          <t>NA</t>
        </is>
      </c>
      <c r="AB119" t="inlineStr">
        <is>
          <t>NA</t>
        </is>
      </c>
      <c r="AC119" t="inlineStr">
        <is>
          <t>Level 2, Galleria Corporate Center, Robinsons Galleria, Edsa Corner, Ortigas Ave., Quezon City</t>
        </is>
      </c>
      <c r="AD119" s="4">
        <v>45822</v>
      </c>
      <c r="AE119" t="inlineStr">
        <is>
          <t>100% Full Payment before ingress</t>
        </is>
      </c>
      <c r="AF119" s="2"/>
      <c r="AG119" t="inlineStr">
        <is>
          <t>NzQyNTk5MTgyNzQ4MTg3MDM0MTo2NkM0MTZFMC03MDI2LTQ2NzQtQUE2NC01QjRFMjgzNTVCNTMtMTo5MGFiYWU2Y2ZlY2U3NmM5MTEwZGI0Y2I5YjI5NzJlODox</t>
        </is>
      </c>
      <c r="AH119"/>
      <c r="AI119"/>
      <c r="AJ119"/>
      <c r="AK119"/>
    </row>
    <row r="120" ht="25.5" customHeight="1">
      <c r="A120" s="2" t="str">
        <f>=HYPERLINK("https://applink.larksuite.com/client/mini_program/open?appId=cli_9c7cc8a9a9edd105&amp;mode=appCenter&amp;path_pc=pc/pages/requested/index?instanceId=7513808667452456992&amp;source=bitable&amp;path=pages/detail/index?instanceId=7513808667452456992&amp;source=bitable", "202506090030")</f>
        <v>202506090030</v>
      </c>
      <c r="B120" t="inlineStr">
        <is>
          <t>Approved</t>
        </is>
      </c>
      <c r="C120" t="inlineStr">
        <is>
          <t>Procurement Order</t>
        </is>
      </c>
      <c r="D120" s="3">
        <v>45817.53828703704</v>
      </c>
      <c r="E120" s="3">
        <v>45818.62636574074</v>
      </c>
      <c r="F120" t="inlineStr">
        <is>
          <t>Fatima Kathleen M. FLores</t>
        </is>
      </c>
      <c r="G120" t="inlineStr">
        <is>
          <t>Procurement</t>
        </is>
      </c>
      <c r="H120"/>
      <c r="I120"/>
      <c r="J120" t="inlineStr">
        <is>
          <t>Project</t>
        </is>
      </c>
      <c r="K120" t="inlineStr">
        <is>
          <t>PDEI - Event Service</t>
        </is>
      </c>
      <c r="L120" t="inlineStr">
        <is>
          <t>GTCC Summer Showdown</t>
        </is>
      </c>
      <c r="M120" t="inlineStr">
        <is>
          <t>2025TEG-P0040</t>
        </is>
      </c>
      <c r="N120" t="inlineStr">
        <is>
          <t>Frances Angelita Arreglado</t>
        </is>
      </c>
      <c r="O120" t="inlineStr">
        <is>
          <t>202506030050-Frances Angelita Arreglado-费用报销 - 副本 - 副本 - 副本-2025-06-03 06:48:15</t>
        </is>
      </c>
      <c r="P120" t="inlineStr">
        <is>
          <t>NO</t>
        </is>
      </c>
      <c r="Q120"/>
      <c r="R120" t="inlineStr">
        <is>
          <t>NO</t>
        </is>
      </c>
      <c r="S120" t="inlineStr">
        <is>
          <t>Main Stage Fabrication + Refurbishment Caster and Player tables</t>
        </is>
      </c>
      <c r="T120">
        <v>1</v>
      </c>
      <c r="U120">
        <v>890000</v>
      </c>
      <c r="V120" t="inlineStr">
        <is>
          <t>PHP</t>
        </is>
      </c>
      <c r="W120">
        <v>890000</v>
      </c>
      <c r="X120" s="2" t="str">
        <f>=HYPERLINK("https://www.larksuite.com/approval/admin/previewAttachment?key=PMgxCgJBDAXQK_0kf5J8L2OzwyLI2ghjNWcXLGxftiF7WKRAmQu2a1g0OrM4nCMl376tSihL5Z7Xef8w1nxaH_N4XYt7PY5zvm2o3FFBRgOw29-jSEpJ_BzfAAAA__8", "2 attachment(s)")</f>
        <v>2 attachment(s)</v>
      </c>
      <c r="Y120" t="inlineStr">
        <is>
          <t>Bank Transfer</t>
        </is>
      </c>
      <c r="Z120" t="inlineStr">
        <is>
          <t>STAGE ONE EVENT SERVICES CORP.</t>
        </is>
      </c>
      <c r="AA120" t="inlineStr">
        <is>
          <t>0124 0800 3549</t>
        </is>
      </c>
      <c r="AB120" t="inlineStr">
        <is>
          <t>BDO</t>
        </is>
      </c>
      <c r="AC120" t="inlineStr">
        <is>
          <t>Kamagong St. cor. Ipil St. Hillcrest Village, Brgy. 173 Camarin, Caloocan</t>
        </is>
      </c>
      <c r="AD120" s="4">
        <v>45817</v>
      </c>
      <c r="AE120" t="inlineStr">
        <is>
          <t>50% Down Payment upon confirmation
50% Full Payment - 30 days after event</t>
        </is>
      </c>
      <c r="AF120" s="2"/>
      <c r="AG120" t="inlineStr">
        <is>
          <t>NzQyNTk5MTgyNzQ4MTg3MDM0MTo1RDc3N0Y0MC1DQzJFLTQ5NTAtODAzRi1CM0RCNDJCMzM2NTEtMTo4OTE3NjRlMzBjODdmMDE0ZGQ2YjgwNDM3MmI4Y2NhYjox</t>
        </is>
      </c>
      <c r="AH120"/>
      <c r="AI120"/>
      <c r="AJ120"/>
      <c r="AK120"/>
    </row>
    <row r="121" ht="25.5" customHeight="1">
      <c r="A121" s="2" t="str">
        <f>=HYPERLINK("https://applink.larksuite.com/client/mini_program/open?appId=cli_9c7cc8a9a9edd105&amp;mode=appCenter&amp;path_pc=pc/pages/requested/index?instanceId=7513821952553893919&amp;source=bitable&amp;path=pages/detail/index?instanceId=7513821952553893919&amp;source=bitable", "202506090038")</f>
        <v>202506090038</v>
      </c>
      <c r="B121" t="inlineStr">
        <is>
          <t>Approved</t>
        </is>
      </c>
      <c r="C121" t="inlineStr">
        <is>
          <t>Procurement Order</t>
        </is>
      </c>
      <c r="D121" s="3">
        <v>45817.57408564815</v>
      </c>
      <c r="E121" s="3">
        <v>45818.62898148148</v>
      </c>
      <c r="F121" t="inlineStr">
        <is>
          <t>Fatima Kathleen M. FLores</t>
        </is>
      </c>
      <c r="G121" t="inlineStr">
        <is>
          <t>Procurement</t>
        </is>
      </c>
      <c r="H121"/>
      <c r="I121"/>
      <c r="J121" t="inlineStr">
        <is>
          <t>Project</t>
        </is>
      </c>
      <c r="K121" t="inlineStr">
        <is>
          <t>PDEI - Event Service</t>
        </is>
      </c>
      <c r="L121" t="inlineStr">
        <is>
          <t>GTCC Summer Showdown</t>
        </is>
      </c>
      <c r="M121" t="inlineStr">
        <is>
          <t>2025TEG-P0040</t>
        </is>
      </c>
      <c r="N121" t="inlineStr">
        <is>
          <t>Frances Angelita Arreglado</t>
        </is>
      </c>
      <c r="O121" t="inlineStr">
        <is>
          <t>202506030058-Frances Angelita Arreglado-费用报销 - 副本 - 副本 - 副本-2025-06-03 07:05:14</t>
        </is>
      </c>
      <c r="P121" t="inlineStr">
        <is>
          <t>NO</t>
        </is>
      </c>
      <c r="Q121"/>
      <c r="R121" t="inlineStr">
        <is>
          <t>NO</t>
        </is>
      </c>
      <c r="S121" t="inlineStr">
        <is>
          <t>On Ground Fabrications</t>
        </is>
      </c>
      <c r="T121">
        <v>1</v>
      </c>
      <c r="U121">
        <v>283360</v>
      </c>
      <c r="V121" t="inlineStr">
        <is>
          <t>PHP</t>
        </is>
      </c>
      <c r="W121">
        <v>283360</v>
      </c>
      <c r="X121" s="2" t="str">
        <f>=HYPERLINK("https://www.larksuite.com/approval/admin/previewAttachment?key=PMg7CgJBEATQK3X1v7yMicsiyMCAoBj02QUD05cNyQ5YUpxQCqYC1gqGRljTCI4OqiiFZM6xzqutfnvsz17YDz_mdb-dxxPBUpUyd2sRweXvVu5OpsvP5RsAAP__", "2 attachment(s)")</f>
        <v>2 attachment(s)</v>
      </c>
      <c r="Y121" t="inlineStr">
        <is>
          <t>Bank Transfer</t>
        </is>
      </c>
      <c r="Z121" t="inlineStr">
        <is>
          <t>Printportal &amp; Advertising OPC</t>
        </is>
      </c>
      <c r="AA121" t="inlineStr">
        <is>
          <t>200058110735</t>
        </is>
      </c>
      <c r="AB121" t="inlineStr">
        <is>
          <t>Eastwest Bank</t>
        </is>
      </c>
      <c r="AC121" t="inlineStr">
        <is>
          <t>25 Isidro Francisco, Malinta, Valenzuela City</t>
        </is>
      </c>
      <c r="AD121" s="4">
        <v>45817</v>
      </c>
      <c r="AE121" t="inlineStr">
        <is>
          <t>50% Down payment upon confirmation
50% Final Payment upon completion of services</t>
        </is>
      </c>
      <c r="AF121" s="2" t="str">
        <f>=HYPERLINK("https://www.larksuite.com/approval/admin/previewAttachment?key=TMg9CkIxEATgK81kf7LjZWx8PAQJBATFYs8uWNl-WURW0FJwcQjsGbQaVIwIK5moHs05hclU9rHOq616e-zPXtwPP_p1v53Hk1mWcIU7BYCXPyehsrSf4xsAAP__", "4 attachment(s)")</f>
        <v>4 attachment(s)</v>
      </c>
      <c r="AG121" t="inlineStr">
        <is>
          <t>NzQyNTk5MTgyNzQ4MTg3MDM0MTo3NEI2QUY2Ri02MDM0LTRDRkEtQjEwNS01ODIwNDY4RDNFRDktMTpiOTQ5ZmE0ODJhNDFlNjg4MzMyZjM2ZGI2NGY2YTU5OTox</t>
        </is>
      </c>
      <c r="AH121"/>
      <c r="AI121"/>
      <c r="AJ121"/>
      <c r="AK121"/>
    </row>
    <row r="122" ht="25.5" customHeight="1">
      <c r="A122" s="2" t="str">
        <f>=HYPERLINK("https://applink.larksuite.com/client/mini_program/open?appId=cli_9c7cc8a9a9edd105&amp;mode=appCenter&amp;path_pc=pc/pages/requested/index?instanceId=7513837795903815719&amp;source=bitable&amp;path=pages/detail/index?instanceId=7513837795903815719&amp;source=bitable", "202506090044")</f>
        <v>202506090044</v>
      </c>
      <c r="B122" t="inlineStr">
        <is>
          <t>Approved</t>
        </is>
      </c>
      <c r="C122" t="inlineStr">
        <is>
          <t>Procurement Order</t>
        </is>
      </c>
      <c r="D122" s="3">
        <v>45817.61678240741</v>
      </c>
      <c r="E122" s="3">
        <v>45818.64148148148</v>
      </c>
      <c r="F122" t="inlineStr">
        <is>
          <t>Fatima Kathleen M. FLores</t>
        </is>
      </c>
      <c r="G122" t="inlineStr">
        <is>
          <t>Procurement</t>
        </is>
      </c>
      <c r="H122"/>
      <c r="I122"/>
      <c r="J122" t="inlineStr">
        <is>
          <t>Project</t>
        </is>
      </c>
      <c r="K122" t="inlineStr">
        <is>
          <t>PDEI - Event Service</t>
        </is>
      </c>
      <c r="L122" t="inlineStr">
        <is>
          <t>GTCC Summer Showdown</t>
        </is>
      </c>
      <c r="M122" t="inlineStr">
        <is>
          <t>2025TEG-P0040</t>
        </is>
      </c>
      <c r="N122" t="inlineStr">
        <is>
          <t>Frances Angelita Arreglado</t>
        </is>
      </c>
      <c r="O122" t="inlineStr">
        <is>
          <t>202506050109-Frances Angelita Arreglado-费用报销 - 副本 - 副本 - 副本-2025-06-05 12:00:25</t>
        </is>
      </c>
      <c r="P122" t="inlineStr">
        <is>
          <t>NO</t>
        </is>
      </c>
      <c r="Q122"/>
      <c r="R122" t="inlineStr">
        <is>
          <t>YES</t>
        </is>
      </c>
      <c r="S122" t="inlineStr">
        <is>
          <t>Outsourced Photography &amp; Videography Team (Media and Event Days)</t>
        </is>
      </c>
      <c r="T122">
        <v>1</v>
      </c>
      <c r="U122">
        <v>627200</v>
      </c>
      <c r="V122" t="inlineStr">
        <is>
          <t>PHP</t>
        </is>
      </c>
      <c r="W122">
        <v>627200</v>
      </c>
      <c r="X122" s="2" t="str">
        <f>=HYPERLINK("https://www.larksuite.com/approval/admin/previewAttachment?key=PMgxCgJBDAXQK_0_yST5XsbGYbFwF0FULHJ2wcL2RRFRkxaCi0Ng56SVZWoKVpxJ9WhmCslQ9Nq3s-31dt79uK2njk-_rpdtPTiVYyDN3QoAT3-3dHcpHD_HNwAA__8", "2 attachment(s)")</f>
        <v>2 attachment(s)</v>
      </c>
      <c r="Y122" t="inlineStr">
        <is>
          <t>Bank Transfer</t>
        </is>
      </c>
      <c r="Z122" t="inlineStr">
        <is>
          <t>Ryan Matias</t>
        </is>
      </c>
      <c r="AA122" t="inlineStr">
        <is>
          <t>1996 2285 79</t>
        </is>
      </c>
      <c r="AB122" t="inlineStr">
        <is>
          <t>BPI</t>
        </is>
      </c>
      <c r="AC122" t="inlineStr">
        <is>
          <t>Kingsville, Antipolo</t>
        </is>
      </c>
      <c r="AD122" s="4">
        <v>45817</v>
      </c>
      <c r="AE122" t="inlineStr">
        <is>
          <t>50% Down Payment upon confirmation
50% Full Payment - 7 days upon completion of services</t>
        </is>
      </c>
      <c r="AF122" s="2"/>
      <c r="AG122" t="inlineStr">
        <is>
          <t>NzQyNTk5MTgyNzQ4MTg3MDM0MTo2QjlGMjM0Ni0wRTA0LTQ2NUMtQUY4MC0yMTc0Q0IzQTJBNDctMTo2MjYzZjg2ZDgyZDI4ZTBkOGZiOWNhMjg3YTg2ZjE0Mzox</t>
        </is>
      </c>
      <c r="AH122"/>
      <c r="AI122"/>
      <c r="AJ122"/>
      <c r="AK122"/>
    </row>
    <row r="123" ht="25.5" customHeight="1">
      <c r="A123" s="2" t="str">
        <f>=HYPERLINK("https://applink.larksuite.com/client/mini_program/open?appId=cli_9c7cc8a9a9edd105&amp;mode=appCenter&amp;path_pc=pc/pages/requested/index?instanceId=7513847743081644063&amp;source=bitable&amp;path=pages/detail/index?instanceId=7513847743081644063&amp;source=bitable", "202506090048")</f>
        <v>202506090048</v>
      </c>
      <c r="B123" t="inlineStr">
        <is>
          <t>Approved</t>
        </is>
      </c>
      <c r="C123" t="inlineStr">
        <is>
          <t>Procurement Order</t>
        </is>
      </c>
      <c r="D123" s="3">
        <v>45817.643587962964</v>
      </c>
      <c r="E123" s="3">
        <v>45818.64519675926</v>
      </c>
      <c r="F123" t="inlineStr">
        <is>
          <t>Fatima Kathleen M. FLores</t>
        </is>
      </c>
      <c r="G123" t="inlineStr">
        <is>
          <t>Procurement</t>
        </is>
      </c>
      <c r="H123"/>
      <c r="I123"/>
      <c r="J123" t="inlineStr">
        <is>
          <t>Project</t>
        </is>
      </c>
      <c r="K123" t="inlineStr">
        <is>
          <t>PDEI - Event Service</t>
        </is>
      </c>
      <c r="L123" t="inlineStr">
        <is>
          <t>GTCC Summer Showdown</t>
        </is>
      </c>
      <c r="M123" t="inlineStr">
        <is>
          <t>2025TEG-P0040</t>
        </is>
      </c>
      <c r="N123" t="inlineStr">
        <is>
          <t>Frances Angelita Arreglado</t>
        </is>
      </c>
      <c r="O123" t="inlineStr">
        <is>
          <t>202506030061-Frances Angelita Arreglado-费用报销 - 副本 - 副本 - 副本-2025-06-03 07:16:04</t>
        </is>
      </c>
      <c r="P123" t="inlineStr">
        <is>
          <t>NO</t>
        </is>
      </c>
      <c r="Q123"/>
      <c r="R123" t="inlineStr">
        <is>
          <t>NO</t>
        </is>
      </c>
      <c r="S123" t="inlineStr">
        <is>
          <t>ROLL UP BANNER (Tarp only / 33in x 78in)</t>
        </is>
      </c>
      <c r="T123">
        <v>6</v>
      </c>
      <c r="U123">
        <v>784</v>
      </c>
      <c r="V123" t="inlineStr">
        <is>
          <t>PHP</t>
        </is>
      </c>
      <c r="W123">
        <v>4704</v>
      </c>
      <c r="X123" s="2"/>
      <c r="Y123" t="inlineStr">
        <is>
          <t>Bank Transfer</t>
        </is>
      </c>
      <c r="Z123" t="inlineStr">
        <is>
          <t>Bescost Digital Marketing Services Inc.</t>
        </is>
      </c>
      <c r="AA123" t="inlineStr">
        <is>
          <t>00000-5674-8951</t>
        </is>
      </c>
      <c r="AB123" t="inlineStr">
        <is>
          <t>Security Bank</t>
        </is>
      </c>
      <c r="AC123" t="inlineStr">
        <is>
          <t>5105-A Sulok St., Brgy. Ugong, Valenzuela City</t>
        </is>
      </c>
      <c r="AD123" s="4">
        <v>45820</v>
      </c>
      <c r="AE123" t="inlineStr">
        <is>
          <t>100% Full Payment - 15 days upon complete delivery</t>
        </is>
      </c>
      <c r="AF123" s="2"/>
      <c r="AG123" t="inlineStr">
        <is>
          <t>NzQyNTk5MTgyNzQ4MTg3MDM0MToyQ0ZCREFEMi02MURFLTQ0QTMtQTI0NC1CM0VGNEEwRUM2Q0EtMTo4MDlhMTIyZjFjYjdlZTMyNzc5OTU2ZTg4ZTU1ZDhjYTox</t>
        </is>
      </c>
      <c r="AH123"/>
      <c r="AI123"/>
      <c r="AJ123"/>
      <c r="AK123"/>
    </row>
    <row r="124" ht="25.5" customHeight="1">
      <c r="A124" s="2" t="str">
        <f>=HYPERLINK("https://applink.larksuite.com/client/mini_program/open?appId=cli_9c7cc8a9a9edd105&amp;mode=appCenter&amp;path_pc=pc/pages/requested/index?instanceId=7513847743081644063&amp;source=bitable&amp;path=pages/detail/index?instanceId=7513847743081644063&amp;source=bitable", "202506090048")</f>
        <v>202506090048</v>
      </c>
      <c r="B124" t="inlineStr">
        <is>
          <t>Approved</t>
        </is>
      </c>
      <c r="C124" t="inlineStr">
        <is>
          <t>Procurement Order</t>
        </is>
      </c>
      <c r="D124" s="3">
        <v>45817.643587962964</v>
      </c>
      <c r="E124" s="3">
        <v>45818.64519675926</v>
      </c>
      <c r="F124" t="inlineStr">
        <is>
          <t>Fatima Kathleen M. FLores</t>
        </is>
      </c>
      <c r="G124" t="inlineStr">
        <is>
          <t>Procurement</t>
        </is>
      </c>
      <c r="H124"/>
      <c r="I124"/>
      <c r="J124" t="inlineStr">
        <is>
          <t>Project</t>
        </is>
      </c>
      <c r="K124" t="inlineStr">
        <is>
          <t>PDEI - Event Service</t>
        </is>
      </c>
      <c r="L124" t="inlineStr">
        <is>
          <t>GTCC Summer Showdown</t>
        </is>
      </c>
      <c r="M124" t="inlineStr">
        <is>
          <t>2025TEG-P0040</t>
        </is>
      </c>
      <c r="N124" t="inlineStr">
        <is>
          <t>Frances Angelita Arreglado</t>
        </is>
      </c>
      <c r="O124" t="inlineStr">
        <is>
          <t>202506030061-Frances Angelita Arreglado-费用报销 - 副本 - 副本 - 副本-2025-06-03 07:16:04</t>
        </is>
      </c>
      <c r="P124" t="inlineStr">
        <is>
          <t>NO</t>
        </is>
      </c>
      <c r="Q124"/>
      <c r="R124" t="inlineStr">
        <is>
          <t>NO</t>
        </is>
      </c>
      <c r="S124" t="inlineStr">
        <is>
          <t>MOCK CHECKS (3mm Sticker on Sintra / 4ft x 2ft)</t>
        </is>
      </c>
      <c r="T124">
        <v>3</v>
      </c>
      <c r="U124">
        <v>1677.312</v>
      </c>
      <c r="V124" t="inlineStr">
        <is>
          <t>PHP</t>
        </is>
      </c>
      <c r="W124">
        <v>5031.936</v>
      </c>
      <c r="X124" s="2"/>
      <c r="Y124"/>
      <c r="Z124"/>
      <c r="AA124"/>
      <c r="AB124"/>
      <c r="AC124"/>
      <c r="AD124" s="4"/>
      <c r="AE124"/>
      <c r="AF124" s="2"/>
      <c r="AG124" t="inlineStr">
        <is>
          <t>NzQyNTk5MTgyNzQ4MTg3MDM0MToyQ0ZCREFEMi02MURFLTQ0QTMtQTI0NC1CM0VGNEEwRUM2Q0EtMjpjNTQ4ZjY3MTEwYTljMDE3NzhkMDI0M2IxZmYxYmE1OTox</t>
        </is>
      </c>
      <c r="AH124"/>
      <c r="AI124"/>
      <c r="AJ124"/>
      <c r="AK124"/>
    </row>
    <row r="125" ht="25.5" customHeight="1">
      <c r="A125" s="2" t="str">
        <f>=HYPERLINK("https://applink.larksuite.com/client/mini_program/open?appId=cli_9c7cc8a9a9edd105&amp;mode=appCenter&amp;path_pc=pc/pages/requested/index?instanceId=7513847743081644063&amp;source=bitable&amp;path=pages/detail/index?instanceId=7513847743081644063&amp;source=bitable", "202506090048")</f>
        <v>202506090048</v>
      </c>
      <c r="B125" t="inlineStr">
        <is>
          <t>Approved</t>
        </is>
      </c>
      <c r="C125" t="inlineStr">
        <is>
          <t>Procurement Order</t>
        </is>
      </c>
      <c r="D125" s="3">
        <v>45817.643587962964</v>
      </c>
      <c r="E125" s="3">
        <v>45818.64519675926</v>
      </c>
      <c r="F125" t="inlineStr">
        <is>
          <t>Fatima Kathleen M. FLores</t>
        </is>
      </c>
      <c r="G125" t="inlineStr">
        <is>
          <t>Procurement</t>
        </is>
      </c>
      <c r="H125"/>
      <c r="I125"/>
      <c r="J125" t="inlineStr">
        <is>
          <t>Project</t>
        </is>
      </c>
      <c r="K125" t="inlineStr">
        <is>
          <t>PDEI - Event Service</t>
        </is>
      </c>
      <c r="L125" t="inlineStr">
        <is>
          <t>GTCC Summer Showdown</t>
        </is>
      </c>
      <c r="M125" t="inlineStr">
        <is>
          <t>2025TEG-P0040</t>
        </is>
      </c>
      <c r="N125" t="inlineStr">
        <is>
          <t>Frances Angelita Arreglado</t>
        </is>
      </c>
      <c r="O125" t="inlineStr">
        <is>
          <t>202506030061-Frances Angelita Arreglado-费用报销 - 副本 - 副本 - 副本-2025-06-03 07:16:04</t>
        </is>
      </c>
      <c r="P125" t="inlineStr">
        <is>
          <t>NO</t>
        </is>
      </c>
      <c r="Q125"/>
      <c r="R125" t="inlineStr">
        <is>
          <t>NO</t>
        </is>
      </c>
      <c r="S125" t="inlineStr">
        <is>
          <t>CUE CARDS (3mm Sticker on Sintra / A5)</t>
        </is>
      </c>
      <c r="T125">
        <v>10</v>
      </c>
      <c r="U125">
        <v>80.8752</v>
      </c>
      <c r="V125" t="inlineStr">
        <is>
          <t>PHP</t>
        </is>
      </c>
      <c r="W125">
        <v>808.752</v>
      </c>
      <c r="X125" s="2"/>
      <c r="Y125"/>
      <c r="Z125"/>
      <c r="AA125"/>
      <c r="AB125"/>
      <c r="AC125"/>
      <c r="AD125" s="4"/>
      <c r="AE125"/>
      <c r="AF125" s="2"/>
      <c r="AG125" t="inlineStr">
        <is>
          <t>NzQyNTk5MTgyNzQ4MTg3MDM0MToyQ0ZCREFEMi02MURFLTQ0QTMtQTI0NC1CM0VGNEEwRUM2Q0EtMzpiNzUyYTJmMjgwZDU2ZDA2YmJlMTI1ZTlhMzNlZWQ5MDox</t>
        </is>
      </c>
      <c r="AH125"/>
      <c r="AI125"/>
      <c r="AJ125"/>
      <c r="AK125"/>
    </row>
    <row r="126" ht="25.5" customHeight="1">
      <c r="A126" s="2" t="str">
        <f>=HYPERLINK("https://applink.larksuite.com/client/mini_program/open?appId=cli_9c7cc8a9a9edd105&amp;mode=appCenter&amp;path_pc=pc/pages/requested/index?instanceId=7513847743081644063&amp;source=bitable&amp;path=pages/detail/index?instanceId=7513847743081644063&amp;source=bitable", "202506090048")</f>
        <v>202506090048</v>
      </c>
      <c r="B126" t="inlineStr">
        <is>
          <t>Approved</t>
        </is>
      </c>
      <c r="C126" t="inlineStr">
        <is>
          <t>Procurement Order</t>
        </is>
      </c>
      <c r="D126" s="3">
        <v>45817.643587962964</v>
      </c>
      <c r="E126" s="3">
        <v>45818.64519675926</v>
      </c>
      <c r="F126" t="inlineStr">
        <is>
          <t>Fatima Kathleen M. FLores</t>
        </is>
      </c>
      <c r="G126" t="inlineStr">
        <is>
          <t>Procurement</t>
        </is>
      </c>
      <c r="H126"/>
      <c r="I126"/>
      <c r="J126" t="inlineStr">
        <is>
          <t>Project</t>
        </is>
      </c>
      <c r="K126" t="inlineStr">
        <is>
          <t>PDEI - Event Service</t>
        </is>
      </c>
      <c r="L126" t="inlineStr">
        <is>
          <t>GTCC Summer Showdown</t>
        </is>
      </c>
      <c r="M126" t="inlineStr">
        <is>
          <t>2025TEG-P0040</t>
        </is>
      </c>
      <c r="N126" t="inlineStr">
        <is>
          <t>Frances Angelita Arreglado</t>
        </is>
      </c>
      <c r="O126" t="inlineStr">
        <is>
          <t>202506030061-Frances Angelita Arreglado-费用报销 - 副本 - 副本 - 副本-2025-06-03 07:16:04</t>
        </is>
      </c>
      <c r="P126" t="inlineStr">
        <is>
          <t>NO</t>
        </is>
      </c>
      <c r="Q126"/>
      <c r="R126" t="inlineStr">
        <is>
          <t>NO</t>
        </is>
      </c>
      <c r="S126" t="inlineStr">
        <is>
          <t>STANDARD POSTERS (C2S200 / A3)</t>
        </is>
      </c>
      <c r="T126">
        <v>10</v>
      </c>
      <c r="U126">
        <v>224</v>
      </c>
      <c r="V126" t="inlineStr">
        <is>
          <t>PHP</t>
        </is>
      </c>
      <c r="W126">
        <v>2240</v>
      </c>
      <c r="X126" s="2"/>
      <c r="Y126"/>
      <c r="Z126"/>
      <c r="AA126"/>
      <c r="AB126"/>
      <c r="AC126"/>
      <c r="AD126" s="4"/>
      <c r="AE126"/>
      <c r="AF126" s="2"/>
      <c r="AG126" t="inlineStr">
        <is>
          <t>NzQyNTk5MTgyNzQ4MTg3MDM0MToyQ0ZCREFEMi02MURFLTQ0QTMtQTI0NC1CM0VGNEEwRUM2Q0EtNDo3ZTAwNzZhZjJlNzU1YjhiYWVhY2Y2MTg0ZDIzZmQ1YTox</t>
        </is>
      </c>
      <c r="AH126"/>
      <c r="AI126"/>
      <c r="AJ126"/>
      <c r="AK126"/>
    </row>
    <row r="127" ht="25.5" customHeight="1">
      <c r="A127" s="2" t="str">
        <f>=HYPERLINK("https://applink.larksuite.com/client/mini_program/open?appId=cli_9c7cc8a9a9edd105&amp;mode=appCenter&amp;path_pc=pc/pages/requested/index?instanceId=7513847743081644063&amp;source=bitable&amp;path=pages/detail/index?instanceId=7513847743081644063&amp;source=bitable", "202506090048")</f>
        <v>202506090048</v>
      </c>
      <c r="B127" t="inlineStr">
        <is>
          <t>Approved</t>
        </is>
      </c>
      <c r="C127" t="inlineStr">
        <is>
          <t>Procurement Order</t>
        </is>
      </c>
      <c r="D127" s="3">
        <v>45817.643587962964</v>
      </c>
      <c r="E127" s="3">
        <v>45818.64519675926</v>
      </c>
      <c r="F127" t="inlineStr">
        <is>
          <t>Fatima Kathleen M. FLores</t>
        </is>
      </c>
      <c r="G127" t="inlineStr">
        <is>
          <t>Procurement</t>
        </is>
      </c>
      <c r="H127"/>
      <c r="I127"/>
      <c r="J127" t="inlineStr">
        <is>
          <t>Project</t>
        </is>
      </c>
      <c r="K127" t="inlineStr">
        <is>
          <t>PDEI - Event Service</t>
        </is>
      </c>
      <c r="L127" t="inlineStr">
        <is>
          <t>GTCC Summer Showdown</t>
        </is>
      </c>
      <c r="M127" t="inlineStr">
        <is>
          <t>2025TEG-P0040</t>
        </is>
      </c>
      <c r="N127" t="inlineStr">
        <is>
          <t>Frances Angelita Arreglado</t>
        </is>
      </c>
      <c r="O127" t="inlineStr">
        <is>
          <t>202506030061-Frances Angelita Arreglado-费用报销 - 副本 - 副本 - 副本-2025-06-03 07:16:04</t>
        </is>
      </c>
      <c r="P127" t="inlineStr">
        <is>
          <t>NO</t>
        </is>
      </c>
      <c r="Q127"/>
      <c r="R127" t="inlineStr">
        <is>
          <t>NO</t>
        </is>
      </c>
      <c r="S127" t="inlineStr">
        <is>
          <t>EVENT/ TOURNAMENT HANDBOOK (C2S120 / A4 - Trifold)</t>
        </is>
      </c>
      <c r="T127">
        <v>175</v>
      </c>
      <c r="U127">
        <v>50.96</v>
      </c>
      <c r="V127" t="inlineStr">
        <is>
          <t>PHP</t>
        </is>
      </c>
      <c r="W127">
        <v>8918</v>
      </c>
      <c r="X127" s="2"/>
      <c r="Y127"/>
      <c r="Z127"/>
      <c r="AA127"/>
      <c r="AB127"/>
      <c r="AC127"/>
      <c r="AD127" s="4"/>
      <c r="AE127"/>
      <c r="AF127" s="2"/>
      <c r="AG127" t="inlineStr">
        <is>
          <t>NzQyNTk5MTgyNzQ4MTg3MDM0MToyQ0ZCREFEMi02MURFLTQ0QTMtQTI0NC1CM0VGNEEwRUM2Q0EtNTozNmRhNmVkOTIyMDI0YjczZGNlN2NhMTNmYWI4YmI4Mzox</t>
        </is>
      </c>
      <c r="AH127"/>
      <c r="AI127"/>
      <c r="AJ127"/>
      <c r="AK127"/>
    </row>
    <row r="128" ht="25.5" customHeight="1">
      <c r="A128" s="2" t="str">
        <f>=HYPERLINK("https://applink.larksuite.com/client/mini_program/open?appId=cli_9c7cc8a9a9edd105&amp;mode=appCenter&amp;path_pc=pc/pages/requested/index?instanceId=7513847743081644063&amp;source=bitable&amp;path=pages/detail/index?instanceId=7513847743081644063&amp;source=bitable", "202506090048")</f>
        <v>202506090048</v>
      </c>
      <c r="B128" t="inlineStr">
        <is>
          <t>Approved</t>
        </is>
      </c>
      <c r="C128" t="inlineStr">
        <is>
          <t>Procurement Order</t>
        </is>
      </c>
      <c r="D128" s="3">
        <v>45817.643587962964</v>
      </c>
      <c r="E128" s="3">
        <v>45818.64519675926</v>
      </c>
      <c r="F128" t="inlineStr">
        <is>
          <t>Fatima Kathleen M. FLores</t>
        </is>
      </c>
      <c r="G128" t="inlineStr">
        <is>
          <t>Procurement</t>
        </is>
      </c>
      <c r="H128"/>
      <c r="I128"/>
      <c r="J128" t="inlineStr">
        <is>
          <t>Project</t>
        </is>
      </c>
      <c r="K128" t="inlineStr">
        <is>
          <t>PDEI - Event Service</t>
        </is>
      </c>
      <c r="L128" t="inlineStr">
        <is>
          <t>GTCC Summer Showdown</t>
        </is>
      </c>
      <c r="M128" t="inlineStr">
        <is>
          <t>2025TEG-P0040</t>
        </is>
      </c>
      <c r="N128" t="inlineStr">
        <is>
          <t>Frances Angelita Arreglado</t>
        </is>
      </c>
      <c r="O128" t="inlineStr">
        <is>
          <t>202506030061-Frances Angelita Arreglado-费用报销 - 副本 - 副本 - 副本-2025-06-03 07:16:04</t>
        </is>
      </c>
      <c r="P128" t="inlineStr">
        <is>
          <t>NO</t>
        </is>
      </c>
      <c r="Q128"/>
      <c r="R128" t="inlineStr">
        <is>
          <t>NO</t>
        </is>
      </c>
      <c r="S128" t="inlineStr">
        <is>
          <t>MIC FLAG (1.5mm Sticker on Sintra / 7in x 5.1in)</t>
        </is>
      </c>
      <c r="T128">
        <v>5</v>
      </c>
      <c r="U128">
        <v>51.9792</v>
      </c>
      <c r="V128" t="inlineStr">
        <is>
          <t>PHP</t>
        </is>
      </c>
      <c r="W128">
        <v>259.896</v>
      </c>
      <c r="X128" s="2"/>
      <c r="Y128"/>
      <c r="Z128"/>
      <c r="AA128"/>
      <c r="AB128"/>
      <c r="AC128"/>
      <c r="AD128" s="4"/>
      <c r="AE128"/>
      <c r="AF128" s="2"/>
      <c r="AG128" t="inlineStr">
        <is>
          <t>NzQyNTk5MTgyNzQ4MTg3MDM0MToyQ0ZCREFEMi02MURFLTQ0QTMtQTI0NC1CM0VGNEEwRUM2Q0EtNjpkMzdhMmY5Y2VmMDVkM2IyMWJkOTYwNzhiMDJlOTg1Mzox</t>
        </is>
      </c>
      <c r="AH128"/>
      <c r="AI128"/>
      <c r="AJ128"/>
      <c r="AK128"/>
    </row>
    <row r="129" ht="25.5" customHeight="1">
      <c r="A129" s="2" t="str">
        <f>=HYPERLINK("https://applink.larksuite.com/client/mini_program/open?appId=cli_9c7cc8a9a9edd105&amp;mode=appCenter&amp;path_pc=pc/pages/requested/index?instanceId=7513876540841607206&amp;source=bitable&amp;path=pages/detail/index?instanceId=7513876540841607206&amp;source=bitable", "202506090061")</f>
        <v>202506090061</v>
      </c>
      <c r="B129" t="inlineStr">
        <is>
          <t>Approved</t>
        </is>
      </c>
      <c r="C129" t="inlineStr">
        <is>
          <t>Procurement Order</t>
        </is>
      </c>
      <c r="D129" s="3">
        <v>45817.72119212963</v>
      </c>
      <c r="E129" s="3">
        <v>45818.674097222225</v>
      </c>
      <c r="F129" t="inlineStr">
        <is>
          <t>Fatima Kathleen M. FLores</t>
        </is>
      </c>
      <c r="G129" t="inlineStr">
        <is>
          <t>Procurement</t>
        </is>
      </c>
      <c r="H129"/>
      <c r="I129"/>
      <c r="J129" t="inlineStr">
        <is>
          <t>Project</t>
        </is>
      </c>
      <c r="K129" t="inlineStr">
        <is>
          <t>PDEI - Game Marketing</t>
        </is>
      </c>
      <c r="L129" t="inlineStr">
        <is>
          <t>realme Cup</t>
        </is>
      </c>
      <c r="M129" t="inlineStr">
        <is>
          <t>2025TEG-P0094</t>
        </is>
      </c>
      <c r="N129" t="inlineStr">
        <is>
          <t>Anteaus Villena</t>
        </is>
      </c>
      <c r="O129" t="inlineStr">
        <is>
          <t>202505180015-Anteaus Villena-费用报销 - 副本 - 副本 - 副本-2025-05-18 11:22:28</t>
        </is>
      </c>
      <c r="P129" t="inlineStr">
        <is>
          <t>NO</t>
        </is>
      </c>
      <c r="Q129"/>
      <c r="R129" t="inlineStr">
        <is>
          <t>NO</t>
        </is>
      </c>
      <c r="S129" t="inlineStr">
        <is>
          <t>Outsourced Technical Services</t>
        </is>
      </c>
      <c r="T129">
        <v>1</v>
      </c>
      <c r="U129">
        <v>414400</v>
      </c>
      <c r="V129" t="inlineStr">
        <is>
          <t>PHP</t>
        </is>
      </c>
      <c r="W129">
        <v>414400</v>
      </c>
      <c r="X129" s="2" t="str">
        <f>=HYPERLINK("https://www.larksuite.com/approval/admin/previewAttachment?key=PMg9CkJBDATgK80k2czGy9j4eCj-IIiyTc4uWNh-OYmcg56FKFqBrUGfyhGYwYQM2daUCmKWervvx6u9eXk-ht-W1qr-nE_79uIomUEe4RMAD393RURVBn6ObwAAAP__", "2 attachment(s)")</f>
        <v>2 attachment(s)</v>
      </c>
      <c r="Y129" t="inlineStr">
        <is>
          <t>Bank Transfer</t>
        </is>
      </c>
      <c r="Z129" t="inlineStr">
        <is>
          <t>XSTATIC EVENT SYSTEM INC.</t>
        </is>
      </c>
      <c r="AA129" t="inlineStr">
        <is>
          <t>011728001773</t>
        </is>
      </c>
      <c r="AB129" t="inlineStr">
        <is>
          <t>BDO</t>
        </is>
      </c>
      <c r="AC129" t="inlineStr">
        <is>
          <t>Blk. 15 Lot 26 BF Martinville Las Piñas City</t>
        </is>
      </c>
      <c r="AD129" s="4">
        <v>45815</v>
      </c>
      <c r="AE129" t="inlineStr">
        <is>
          <t>100% Full Payment upon confirmation</t>
        </is>
      </c>
      <c r="AF129" s="2"/>
      <c r="AG129" t="inlineStr">
        <is>
          <t>NzQyNTk5MTgyNzQ4MTg3MDM0MTpENDJDRTc0Ny1COUZELTRBN0MtQjdEQi1GQjZGNUJGQTJDRjMtMTo5NmM5NTdhNmE5YzZjMWY3NDkwYjA1ODE2NDgwYzk5NDox</t>
        </is>
      </c>
      <c r="AH129"/>
      <c r="AI129"/>
      <c r="AJ129"/>
      <c r="AK129"/>
    </row>
    <row r="130" ht="25.5" customHeight="1">
      <c r="A130" s="2" t="str">
        <f>=HYPERLINK("https://applink.larksuite.com/client/mini_program/open?appId=cli_9c7cc8a9a9edd105&amp;mode=appCenter&amp;path_pc=pc/pages/requested/index?instanceId=7513879124314734623&amp;source=bitable&amp;path=pages/detail/index?instanceId=7513879124314734623&amp;source=bitable", "202506090062")</f>
        <v>202506090062</v>
      </c>
      <c r="B130" t="inlineStr">
        <is>
          <t>Approved</t>
        </is>
      </c>
      <c r="C130" t="inlineStr">
        <is>
          <t>Procurement Order</t>
        </is>
      </c>
      <c r="D130" s="3">
        <v>45817.72814814815</v>
      </c>
      <c r="E130" s="3">
        <v>45818.67260416667</v>
      </c>
      <c r="F130" t="inlineStr">
        <is>
          <t>Fatima Kathleen M. FLores</t>
        </is>
      </c>
      <c r="G130" t="inlineStr">
        <is>
          <t>Procurement</t>
        </is>
      </c>
      <c r="H130"/>
      <c r="I130"/>
      <c r="J130" t="inlineStr">
        <is>
          <t>Project</t>
        </is>
      </c>
      <c r="K130" t="inlineStr">
        <is>
          <t>PDEI - Game Marketing</t>
        </is>
      </c>
      <c r="L130" t="inlineStr">
        <is>
          <t>realme Cup</t>
        </is>
      </c>
      <c r="M130" t="inlineStr">
        <is>
          <t>2025TEG-P0094</t>
        </is>
      </c>
      <c r="N130" t="inlineStr">
        <is>
          <t>Anteaus Villena</t>
        </is>
      </c>
      <c r="O130" t="inlineStr">
        <is>
          <t>202505180008-Anteaus Villena-费用报销 - 副本 - 副本 - 副本-2025-05-18 08:58:28</t>
        </is>
      </c>
      <c r="P130" t="inlineStr">
        <is>
          <t>YES</t>
        </is>
      </c>
      <c r="Q130"/>
      <c r="R130" t="inlineStr">
        <is>
          <t>NO</t>
        </is>
      </c>
      <c r="S130" t="inlineStr">
        <is>
          <t>Outsourced Liaison Officer</t>
        </is>
      </c>
      <c r="T130">
        <v>1</v>
      </c>
      <c r="U130">
        <v>1650</v>
      </c>
      <c r="V130" t="inlineStr">
        <is>
          <t>PHP</t>
        </is>
      </c>
      <c r="W130">
        <v>1650</v>
      </c>
      <c r="X130" s="2" t="str">
        <f>=HYPERLINK("https://www.larksuite.com/approval/admin/previewAttachment?key=PMgxCgJBDAXQK_2f_EkmXsbGYRF1K1G0yNkFi21fTCLmoEdBRSuwc9BnFk1OpSvM25qZhWRU9tq3M3x-7q_vEvdb6dHv62VbT45KM6RLPgHwdLinpKoQ_o5fAAAA__8", "2 attachment(s)")</f>
        <v>2 attachment(s)</v>
      </c>
      <c r="Y130" t="inlineStr">
        <is>
          <t>Bank Transfer</t>
        </is>
      </c>
      <c r="Z130" t="inlineStr">
        <is>
          <t>Fredison Diate</t>
        </is>
      </c>
      <c r="AA130" t="inlineStr">
        <is>
          <t>0196 7441 5139</t>
        </is>
      </c>
      <c r="AB130" t="inlineStr">
        <is>
          <t>Unionbank</t>
        </is>
      </c>
      <c r="AC130" t="inlineStr">
        <is>
          <t>Lot 19 Block 9 Phase 3 Siruna Village, Mambugan, Antipolo City, Rizal</t>
        </is>
      </c>
      <c r="AD130" s="4">
        <v>45815</v>
      </c>
      <c r="AE130" t="inlineStr">
        <is>
          <t>100% Full Payment - June 20, 2025</t>
        </is>
      </c>
      <c r="AF130" s="2"/>
      <c r="AG130" t="inlineStr">
        <is>
          <t>NzQyNTk5MTgyNzQ4MTg3MDM0MTpCNDE2N0JGRC02MTY0LTRERkQtOUUzNS0xODJGQkM0QzcxNzItMToxNGQ5NTRkMzU4YmI3N2UyMjI4MDViNmVjZmUwOGFiMzox</t>
        </is>
      </c>
      <c r="AH130"/>
      <c r="AI130"/>
      <c r="AJ130"/>
      <c r="AK130"/>
    </row>
    <row r="131" ht="25.5" customHeight="1">
      <c r="A131" s="2" t="str">
        <f>=HYPERLINK("https://applink.larksuite.com/client/mini_program/open?appId=cli_9c7cc8a9a9edd105&amp;mode=appCenter&amp;path_pc=pc/pages/requested/index?instanceId=7513881648035823648&amp;source=bitable&amp;path=pages/detail/index?instanceId=7513881648035823648&amp;source=bitable", "202506090063")</f>
        <v>202506090063</v>
      </c>
      <c r="B131" t="inlineStr">
        <is>
          <t>Approved</t>
        </is>
      </c>
      <c r="C131" t="inlineStr">
        <is>
          <t>Procurement Order</t>
        </is>
      </c>
      <c r="D131" s="3">
        <v>45817.7349537037</v>
      </c>
      <c r="E131" s="3">
        <v>45818.671481481484</v>
      </c>
      <c r="F131" t="inlineStr">
        <is>
          <t>Fatima Kathleen M. FLores</t>
        </is>
      </c>
      <c r="G131" t="inlineStr">
        <is>
          <t>Procurement</t>
        </is>
      </c>
      <c r="H131"/>
      <c r="I131"/>
      <c r="J131" t="inlineStr">
        <is>
          <t>Project</t>
        </is>
      </c>
      <c r="K131" t="inlineStr">
        <is>
          <t>PDEI - Game Marketing</t>
        </is>
      </c>
      <c r="L131" t="inlineStr">
        <is>
          <t>realme Cup</t>
        </is>
      </c>
      <c r="M131" t="inlineStr">
        <is>
          <t>2025TEG-P0094</t>
        </is>
      </c>
      <c r="N131" t="inlineStr">
        <is>
          <t>Anteaus Villena</t>
        </is>
      </c>
      <c r="O131" t="inlineStr">
        <is>
          <t>202505180008-Anteaus Villena-费用报销 - 副本 - 副本 - 副本-2025-05-18 08:58:28</t>
        </is>
      </c>
      <c r="P131" t="inlineStr">
        <is>
          <t>YES</t>
        </is>
      </c>
      <c r="Q131"/>
      <c r="R131" t="inlineStr">
        <is>
          <t>NO</t>
        </is>
      </c>
      <c r="S131" t="inlineStr">
        <is>
          <t>Outsourced Liaison Officer</t>
        </is>
      </c>
      <c r="T131">
        <v>1</v>
      </c>
      <c r="U131">
        <v>1650</v>
      </c>
      <c r="V131" t="inlineStr">
        <is>
          <t>PHP</t>
        </is>
      </c>
      <c r="W131">
        <v>1650</v>
      </c>
      <c r="X131" s="2" t="str">
        <f>=HYPERLINK("https://www.larksuite.com/approval/admin/previewAttachment?key=PMg7DoIAEATQK83sf72MDYSoBBuDVnt2EwvbF0VEOTUa1pQGJ51axbCCeomG1cgws5GMzlmP7bqch94fz97P03X_zPu2bOuL3imCVDMtALz8XdPMusPwc3wDAAD__w", "2 attachment(s)")</f>
        <v>2 attachment(s)</v>
      </c>
      <c r="Y131" t="inlineStr">
        <is>
          <t>Bank Transfer</t>
        </is>
      </c>
      <c r="Z131" t="inlineStr">
        <is>
          <t>Jimmy Montero Zapata Jr.</t>
        </is>
      </c>
      <c r="AA131" t="inlineStr">
        <is>
          <t>8419297101</t>
        </is>
      </c>
      <c r="AB131" t="inlineStr">
        <is>
          <t>BPI</t>
        </is>
      </c>
      <c r="AC131" t="inlineStr">
        <is>
          <t>278E Sta,Teresita St, Sampaloc Manila</t>
        </is>
      </c>
      <c r="AD131" s="4">
        <v>45815</v>
      </c>
      <c r="AE131" t="inlineStr">
        <is>
          <t>100% Full Payment - June 20, 2025</t>
        </is>
      </c>
      <c r="AF131" s="2"/>
      <c r="AG131" t="inlineStr">
        <is>
          <t>NzQyNTk5MTgyNzQ4MTg3MDM0MTo3ODkzQjNDQi00QzNFLTRGMkMtOEZGRi03QjQ3RjY2OEE3OEMtMTphOTk5M2MzOTVkMDY3Njk5ZGI1ZmZjMDFkNzIyOTVhYzox</t>
        </is>
      </c>
      <c r="AH131"/>
      <c r="AI131"/>
      <c r="AJ131"/>
      <c r="AK131"/>
    </row>
    <row r="132" ht="25.5" customHeight="1">
      <c r="A132" s="2" t="str">
        <f>=HYPERLINK("https://applink.larksuite.com/client/mini_program/open?appId=cli_9c7cc8a9a9edd105&amp;mode=appCenter&amp;path_pc=pc/pages/requested/index?instanceId=7513885475719872551&amp;source=bitable&amp;path=pages/detail/index?instanceId=7513885475719872551&amp;source=bitable", "202506090066")</f>
        <v>202506090066</v>
      </c>
      <c r="B132" t="inlineStr">
        <is>
          <t>Approved</t>
        </is>
      </c>
      <c r="C132" t="inlineStr">
        <is>
          <t>Procurement Order</t>
        </is>
      </c>
      <c r="D132" s="3">
        <v>45817.7452662037</v>
      </c>
      <c r="E132" s="3">
        <v>45825.566296296296</v>
      </c>
      <c r="F132" t="inlineStr">
        <is>
          <t>Fatima Kathleen M. FLores</t>
        </is>
      </c>
      <c r="G132" t="inlineStr">
        <is>
          <t>Procurement</t>
        </is>
      </c>
      <c r="H132"/>
      <c r="I132"/>
      <c r="J132" t="inlineStr">
        <is>
          <t>Project</t>
        </is>
      </c>
      <c r="K132" t="inlineStr">
        <is>
          <t>PDEI - Game Marketing</t>
        </is>
      </c>
      <c r="L132" t="inlineStr">
        <is>
          <t>realme Cup</t>
        </is>
      </c>
      <c r="M132" t="inlineStr">
        <is>
          <t>2025TEG-P0094</t>
        </is>
      </c>
      <c r="N132" t="inlineStr">
        <is>
          <t>Anteaus Villena</t>
        </is>
      </c>
      <c r="O132" t="inlineStr">
        <is>
          <t>202505180008-Anteaus Villena-费用报销 - 副本 - 副本 - 副本-2025-05-18 08:58:28</t>
        </is>
      </c>
      <c r="P132" t="inlineStr">
        <is>
          <t>YES</t>
        </is>
      </c>
      <c r="Q132"/>
      <c r="R132" t="inlineStr">
        <is>
          <t>YES</t>
        </is>
      </c>
      <c r="S132" t="inlineStr">
        <is>
          <t>Outsourced Logistics Associates (Egress)</t>
        </is>
      </c>
      <c r="T132">
        <v>1</v>
      </c>
      <c r="U132">
        <v>9000</v>
      </c>
      <c r="V132" t="inlineStr">
        <is>
          <t>PHP</t>
        </is>
      </c>
      <c r="W132">
        <v>9000</v>
      </c>
      <c r="X132" s="2" t="str">
        <f>=HYPERLINK("https://www.larksuite.com/approval/admin/previewAttachment?key=PMgxCgJBDAXQK_0_k-QnXsbGZRGWrWQWLXJ2wcL2RRKRzhkFK44CW86Z6SYXKzXc2aMpFcSo7O3c7-55ft7HOrBy2dXX87FvL3ppDGiazQTA29-nzKwqDD_HNwAA__8", "2 attachment(s)")</f>
        <v>2 attachment(s)</v>
      </c>
      <c r="Y132" t="inlineStr">
        <is>
          <t>Bank Transfer</t>
        </is>
      </c>
      <c r="Z132" t="inlineStr">
        <is>
          <t>Nordan Burabo</t>
        </is>
      </c>
      <c r="AA132" t="inlineStr">
        <is>
          <t>09636201512</t>
        </is>
      </c>
      <c r="AB132" t="inlineStr">
        <is>
          <t>GCash</t>
        </is>
      </c>
      <c r="AC132" t="inlineStr">
        <is>
          <t>Blk 1 Lot 23 Agoncillo St. Sta Lucia Novaliches, QC</t>
        </is>
      </c>
      <c r="AD132" s="4">
        <v>45815</v>
      </c>
      <c r="AE132" t="inlineStr">
        <is>
          <t>100% Full Payment - June 20, 2025</t>
        </is>
      </c>
      <c r="AF132" s="2"/>
      <c r="AG132" t="inlineStr">
        <is>
          <t>NzQyNTk5MTgyNzQ4MTg3MDM0MTpFMDdFRUFEQS04NDBCLTREMzMtQjFERC1BRERCOUY4REM4QTctMTpkZjZmNjZlMTY5YTA0NjVmMDhkMjllODdjZmZmODViMTox</t>
        </is>
      </c>
      <c r="AH132"/>
      <c r="AI132"/>
      <c r="AJ132"/>
      <c r="AK132"/>
    </row>
    <row r="133" ht="25.5" customHeight="1">
      <c r="A133" s="2" t="str">
        <f>=HYPERLINK("https://applink.larksuite.com/client/mini_program/open?appId=cli_9c7cc8a9a9edd105&amp;mode=appCenter&amp;path_pc=pc/pages/requested/index?instanceId=7513886813702946855&amp;source=bitable&amp;path=pages/detail/index?instanceId=7513886813702946855&amp;source=bitable", "202506090069")</f>
        <v>202506090069</v>
      </c>
      <c r="B133" t="inlineStr">
        <is>
          <t>Approved</t>
        </is>
      </c>
      <c r="C133" t="inlineStr">
        <is>
          <t>Procurement Order</t>
        </is>
      </c>
      <c r="D133" s="3">
        <v>45817.748877314814</v>
      </c>
      <c r="E133" s="3">
        <v>45818.67530092593</v>
      </c>
      <c r="F133" t="inlineStr">
        <is>
          <t>Fatima Kathleen M. FLores</t>
        </is>
      </c>
      <c r="G133" t="inlineStr">
        <is>
          <t>Procurement</t>
        </is>
      </c>
      <c r="H133"/>
      <c r="I133"/>
      <c r="J133" t="inlineStr">
        <is>
          <t>Project</t>
        </is>
      </c>
      <c r="K133" t="inlineStr">
        <is>
          <t>PDEI - Game Marketing</t>
        </is>
      </c>
      <c r="L133" t="inlineStr">
        <is>
          <t>realme Cup</t>
        </is>
      </c>
      <c r="M133" t="inlineStr">
        <is>
          <t>2025TEG-P0094</t>
        </is>
      </c>
      <c r="N133" t="inlineStr">
        <is>
          <t>Anteaus Villena</t>
        </is>
      </c>
      <c r="O133" t="inlineStr">
        <is>
          <t>202505180008-Anteaus Villena-费用报销 - 副本 - 副本 - 副本-2025-05-18 08:58:28</t>
        </is>
      </c>
      <c r="P133" t="inlineStr">
        <is>
          <t>YES</t>
        </is>
      </c>
      <c r="Q133"/>
      <c r="R133" t="inlineStr">
        <is>
          <t>NO</t>
        </is>
      </c>
      <c r="S133" t="inlineStr">
        <is>
          <t>Outsourced Logistics Associates (Ingress - Event Day)</t>
        </is>
      </c>
      <c r="T133">
        <v>1</v>
      </c>
      <c r="U133">
        <v>9000</v>
      </c>
      <c r="V133" t="inlineStr">
        <is>
          <t>PHP</t>
        </is>
      </c>
      <c r="W133">
        <v>9000</v>
      </c>
      <c r="X133" s="2" t="str">
        <f>=HYPERLINK("https://www.larksuite.com/approval/admin/previewAttachment?key=PMg7CsJAGATgK83s_xwvY7NLkEgqId2eXbCw_bKJ7KCl4OIQuCto3dm0wpBnR-yxWSUUU7XXdTx1NvXWnLrPa8W-X_NYH4ZqDJS5WwPg4-9W7i6l4-f4BgAA__8", "2 attachment(s)")</f>
        <v>2 attachment(s)</v>
      </c>
      <c r="Y133" t="inlineStr">
        <is>
          <t>Bank Transfer</t>
        </is>
      </c>
      <c r="Z133" t="inlineStr">
        <is>
          <t>Adrian Joseph Bernal</t>
        </is>
      </c>
      <c r="AA133" t="inlineStr">
        <is>
          <t>120902024374</t>
        </is>
      </c>
      <c r="AB133" t="inlineStr">
        <is>
          <t>Chinabank</t>
        </is>
      </c>
      <c r="AC133" t="inlineStr">
        <is>
          <t>Unit 6, Pagrai Hills, Antipolo City</t>
        </is>
      </c>
      <c r="AD133" s="4">
        <v>45815</v>
      </c>
      <c r="AE133" t="inlineStr">
        <is>
          <t>100% Full Payment - June 20, 2025</t>
        </is>
      </c>
      <c r="AF133" s="2"/>
      <c r="AG133" t="inlineStr">
        <is>
          <t>NzQyNTk5MTgyNzQ4MTg3MDM0MTpCRTY5NkJBQi03NUMzLTQ2QzktOUM0Mi03OUU4RjE2Njc4M0EtMToyNGM2ODNlMGI1ZTkzMDRkZGNjNWIxYTJkZTM4ODVjYTox</t>
        </is>
      </c>
      <c r="AH133"/>
      <c r="AI133"/>
      <c r="AJ133"/>
      <c r="AK133"/>
    </row>
    <row r="134" ht="25.5" customHeight="1">
      <c r="A134" s="2" t="str">
        <f>=HYPERLINK("https://applink.larksuite.com/client/mini_program/open?appId=cli_9c7cc8a9a9edd105&amp;mode=appCenter&amp;path_pc=pc/pages/requested/index?instanceId=7513888342044442662&amp;source=bitable&amp;path=pages/detail/index?instanceId=7513888342044442662&amp;source=bitable", "202506090072")</f>
        <v>202506090072</v>
      </c>
      <c r="B134" t="inlineStr">
        <is>
          <t>Approved</t>
        </is>
      </c>
      <c r="C134" t="inlineStr">
        <is>
          <t>Procurement Order</t>
        </is>
      </c>
      <c r="D134" s="3">
        <v>45817.75299768519</v>
      </c>
      <c r="E134" s="3">
        <v>45825.56511574074</v>
      </c>
      <c r="F134" t="inlineStr">
        <is>
          <t>Fatima Kathleen M. FLores</t>
        </is>
      </c>
      <c r="G134" t="inlineStr">
        <is>
          <t>Procurement</t>
        </is>
      </c>
      <c r="H134"/>
      <c r="I134"/>
      <c r="J134" t="inlineStr">
        <is>
          <t>Project</t>
        </is>
      </c>
      <c r="K134" t="inlineStr">
        <is>
          <t>PDEI - Game Marketing</t>
        </is>
      </c>
      <c r="L134" t="inlineStr">
        <is>
          <t>realme Cup</t>
        </is>
      </c>
      <c r="M134" t="inlineStr">
        <is>
          <t>2025TEG-P0094</t>
        </is>
      </c>
      <c r="N134" t="inlineStr">
        <is>
          <t>Anteaus Villena</t>
        </is>
      </c>
      <c r="O134" t="inlineStr">
        <is>
          <t>202505180008-Anteaus Villena-费用报销 - 副本 - 副本 - 副本-2025-05-18 08:58:28</t>
        </is>
      </c>
      <c r="P134" t="inlineStr">
        <is>
          <t>YES</t>
        </is>
      </c>
      <c r="Q134"/>
      <c r="R134" t="inlineStr">
        <is>
          <t>YES</t>
        </is>
      </c>
      <c r="S134" t="inlineStr">
        <is>
          <t>Outsourced Floor Manager</t>
        </is>
      </c>
      <c r="T134">
        <v>1</v>
      </c>
      <c r="U134">
        <v>2700</v>
      </c>
      <c r="V134" t="inlineStr">
        <is>
          <t>PHP</t>
        </is>
      </c>
      <c r="W134">
        <v>2700</v>
      </c>
      <c r="X134" s="2" t="str">
        <f>=HYPERLINK("https://www.larksuite.com/approval/admin/previewAttachment?key=PMgxqgJhDATgK02S-ZPMu8xrXBZB3EZcbXJ2wcL2yzZkL4sUKHPBppZFdwcdJOmZPj5WJZSlerb7_v9inHq-i4cXjtuc18u-PWyp3FFBRgOwv59HkZSS-Do-AQAA__8", "2 attachment(s)")</f>
        <v>2 attachment(s)</v>
      </c>
      <c r="Y134" t="inlineStr">
        <is>
          <t>Bank Transfer</t>
        </is>
      </c>
      <c r="Z134" t="inlineStr">
        <is>
          <t>Ralph Renzo V. Desamparado</t>
        </is>
      </c>
      <c r="AA134" t="inlineStr">
        <is>
          <t>09682222986</t>
        </is>
      </c>
      <c r="AB134" t="inlineStr">
        <is>
          <t>GCash</t>
        </is>
      </c>
      <c r="AC134" t="inlineStr">
        <is>
          <t>Blk 8 lot 9 Valencia St. Phase 1 Avida Santa Catalina Barangay Salawag City of Dasmariñas Cavite</t>
        </is>
      </c>
      <c r="AD134" s="4">
        <v>45815</v>
      </c>
      <c r="AE134" t="inlineStr">
        <is>
          <t>100% Full Payment - June 20, 2025</t>
        </is>
      </c>
      <c r="AF134" s="2"/>
      <c r="AG134" t="inlineStr">
        <is>
          <t>NzQyNTk5MTgyNzQ4MTg3MDM0MToxRDQ3RUI2Ny1GRUE4LTQ5MjQtOTQ1Ny1GN0FFQkJENjczMjYtMToxMzFhMWVjMzkwNGYwN2MxZDYzYTkwMTdiMTljYTUzNTox</t>
        </is>
      </c>
      <c r="AH134"/>
      <c r="AI134"/>
      <c r="AJ134"/>
      <c r="AK134"/>
    </row>
    <row r="135" ht="25.5" customHeight="1">
      <c r="A135" s="2" t="str">
        <f>=HYPERLINK("https://applink.larksuite.com/client/mini_program/open?appId=cli_9c7cc8a9a9edd105&amp;mode=appCenter&amp;path_pc=pc/pages/requested/index?instanceId=7513889586251186215&amp;source=bitable&amp;path=pages/detail/index?instanceId=7513889586251186215&amp;source=bitable", "202506090073")</f>
        <v>202506090073</v>
      </c>
      <c r="B135" t="inlineStr">
        <is>
          <t>Approved</t>
        </is>
      </c>
      <c r="C135" t="inlineStr">
        <is>
          <t>Procurement Order</t>
        </is>
      </c>
      <c r="D135" s="3">
        <v>45817.75634259259</v>
      </c>
      <c r="E135" s="3">
        <v>45825.565729166665</v>
      </c>
      <c r="F135" t="inlineStr">
        <is>
          <t>Fatima Kathleen M. FLores</t>
        </is>
      </c>
      <c r="G135" t="inlineStr">
        <is>
          <t>Procurement</t>
        </is>
      </c>
      <c r="H135"/>
      <c r="I135"/>
      <c r="J135" t="inlineStr">
        <is>
          <t>Project</t>
        </is>
      </c>
      <c r="K135" t="inlineStr">
        <is>
          <t>PDEI - Game Marketing</t>
        </is>
      </c>
      <c r="L135" t="inlineStr">
        <is>
          <t>realme Cup</t>
        </is>
      </c>
      <c r="M135" t="inlineStr">
        <is>
          <t>2025TEG-P0094</t>
        </is>
      </c>
      <c r="N135" t="inlineStr">
        <is>
          <t>Anteaus Villena</t>
        </is>
      </c>
      <c r="O135" t="inlineStr">
        <is>
          <t>202505180008-Anteaus Villena-费用报销 - 副本 - 副本 - 副本-2025-05-18 08:58:28</t>
        </is>
      </c>
      <c r="P135" t="inlineStr">
        <is>
          <t>YES</t>
        </is>
      </c>
      <c r="Q135"/>
      <c r="R135" t="inlineStr">
        <is>
          <t>YES</t>
        </is>
      </c>
      <c r="S135" t="inlineStr">
        <is>
          <t>Outsourced Stage Hand</t>
        </is>
      </c>
      <c r="T135">
        <v>1</v>
      </c>
      <c r="U135">
        <v>2000</v>
      </c>
      <c r="V135" t="inlineStr">
        <is>
          <t>PHP</t>
        </is>
      </c>
      <c r="W135">
        <v>2000</v>
      </c>
      <c r="X135" s="2" t="str">
        <f>=HYPERLINK("https://www.larksuite.com/approval/admin/previewAttachment?key=PMg9CsJAFATgK828fX_jZWwSFhOMjWC3ZxcsbL9sIjs4UnDRBK4Kjm5FpwXZaYxli1VCMVVrv-ZdZ1P787zqmMf2Wp_HNvc3Q2WGGu6jAfD291HuLqXj5_gGAAD__w", "2 attachment(s)")</f>
        <v>2 attachment(s)</v>
      </c>
      <c r="Y135" t="inlineStr">
        <is>
          <t>Bank Transfer</t>
        </is>
      </c>
      <c r="Z135" t="inlineStr">
        <is>
          <t>Jant Lloyd Quinto</t>
        </is>
      </c>
      <c r="AA135" t="inlineStr">
        <is>
          <t>09288619950</t>
        </is>
      </c>
      <c r="AB135" t="inlineStr">
        <is>
          <t>GCash</t>
        </is>
      </c>
      <c r="AC135" t="inlineStr">
        <is>
          <t>5 Col. Ozamis Street, Santa Cruz San Francisco Del Monte Quezon city</t>
        </is>
      </c>
      <c r="AD135" s="4">
        <v>45815</v>
      </c>
      <c r="AE135" t="inlineStr">
        <is>
          <t>100% Full Payment - June 20, 2025</t>
        </is>
      </c>
      <c r="AF135" s="2"/>
      <c r="AG135" t="inlineStr">
        <is>
          <t>NzQyNTk5MTgyNzQ4MTg3MDM0MTo2QTE0QUYxNi1EMUU4LTQxRTMtQTExNS01QjNCMDQ2QTUxRjUtMTo1YzdmNDMxNDhkYWVjMWE1MWEwMDBmOGVjNzI1ZmE1ODox</t>
        </is>
      </c>
      <c r="AH135"/>
      <c r="AI135"/>
      <c r="AJ135"/>
      <c r="AK135"/>
    </row>
    <row r="136" ht="25.5" customHeight="1">
      <c r="A136" s="2" t="str">
        <f>=HYPERLINK("https://applink.larksuite.com/client/mini_program/open?appId=cli_9c7cc8a9a9edd105&amp;mode=appCenter&amp;path_pc=pc/pages/requested/index?instanceId=7513892008763621407&amp;source=bitable&amp;path=pages/detail/index?instanceId=7513892008763621407&amp;source=bitable", "202506090074")</f>
        <v>202506090074</v>
      </c>
      <c r="B136" t="inlineStr">
        <is>
          <t>Approved</t>
        </is>
      </c>
      <c r="C136" t="inlineStr">
        <is>
          <t>Procurement Order</t>
        </is>
      </c>
      <c r="D136" s="3">
        <v>45817.762870370374</v>
      </c>
      <c r="E136" s="3">
        <v>45818.677719907406</v>
      </c>
      <c r="F136" t="inlineStr">
        <is>
          <t>Fatima Kathleen M. FLores</t>
        </is>
      </c>
      <c r="G136" t="inlineStr">
        <is>
          <t>Procurement</t>
        </is>
      </c>
      <c r="H136"/>
      <c r="I136"/>
      <c r="J136" t="inlineStr">
        <is>
          <t>Project</t>
        </is>
      </c>
      <c r="K136" t="inlineStr">
        <is>
          <t>PDEI - Game Marketing</t>
        </is>
      </c>
      <c r="L136" t="inlineStr">
        <is>
          <t>realme Cup</t>
        </is>
      </c>
      <c r="M136" t="inlineStr">
        <is>
          <t>2025TEG-P0094</t>
        </is>
      </c>
      <c r="N136" t="inlineStr">
        <is>
          <t>Anteaus Villena</t>
        </is>
      </c>
      <c r="O136" t="inlineStr">
        <is>
          <t>202505180008-Anteaus Villena-费用报销 - 副本 - 副本 - 副本-2025-05-18 08:58:28</t>
        </is>
      </c>
      <c r="P136" t="inlineStr">
        <is>
          <t>YES</t>
        </is>
      </c>
      <c r="Q136"/>
      <c r="R136" t="inlineStr">
        <is>
          <t>NO</t>
        </is>
      </c>
      <c r="S136" t="inlineStr">
        <is>
          <t>Outsourced Technical Director</t>
        </is>
      </c>
      <c r="T136">
        <v>1</v>
      </c>
      <c r="U136">
        <v>15000</v>
      </c>
      <c r="V136" t="inlineStr">
        <is>
          <t>PHP</t>
        </is>
      </c>
      <c r="W136">
        <v>15000</v>
      </c>
      <c r="X136" s="2" t="str">
        <f>=HYPERLINK("https://www.larksuite.com/approval/admin/previewAttachment?key=PMgrDsJgEATgK83sa3a5DIamAVFFgFT8ZydBYL9qojrpNYihDbiU9B4DWuVlDGjZojQQa7S2Y79m9nFq8nO-eDx8ve-3fXsyR2aQR3gD4OXvroiYqcDP8Q0AAP__", "2 attachment(s)")</f>
        <v>2 attachment(s)</v>
      </c>
      <c r="Y136" t="inlineStr">
        <is>
          <t>Bank Transfer</t>
        </is>
      </c>
      <c r="Z136" t="inlineStr">
        <is>
          <t>John Martin Señorosa</t>
        </is>
      </c>
      <c r="AA136" t="inlineStr">
        <is>
          <t>09458006005</t>
        </is>
      </c>
      <c r="AB136" t="inlineStr">
        <is>
          <t>GCash</t>
        </is>
      </c>
      <c r="AC136" t="inlineStr">
        <is>
          <t>45 calia II st. Bayan Bayanan Malabon City</t>
        </is>
      </c>
      <c r="AD136" s="4">
        <v>45815</v>
      </c>
      <c r="AE136" t="inlineStr">
        <is>
          <t>100% Full Payment - June 20, 2025</t>
        </is>
      </c>
      <c r="AF136" s="2"/>
      <c r="AG136" t="inlineStr">
        <is>
          <t>NzQyNTk5MTgyNzQ4MTg3MDM0MTo3QUIxN0ZCQi03NDEwLTRFNUQtOEZBRC0yODQ3MzAwQzYwMTYtMTo1MDY3YTkxYTAzYTg0M2NlZTM2OTkwNDY0NGM5NWMyYjox</t>
        </is>
      </c>
      <c r="AH136"/>
      <c r="AI136"/>
      <c r="AJ136"/>
      <c r="AK136"/>
    </row>
    <row r="137" ht="25.5" customHeight="1">
      <c r="A137" s="2" t="str">
        <f>=HYPERLINK("https://applink.larksuite.com/client/mini_program/open?appId=cli_9c7cc8a9a9edd105&amp;mode=appCenter&amp;path_pc=pc/pages/requested/index?instanceId=7513893740222627878&amp;source=bitable&amp;path=pages/detail/index?instanceId=7513893740222627878&amp;source=bitable", "202506090077")</f>
        <v>202506090077</v>
      </c>
      <c r="B137" t="inlineStr">
        <is>
          <t>Approved</t>
        </is>
      </c>
      <c r="C137" t="inlineStr">
        <is>
          <t>Procurement Order</t>
        </is>
      </c>
      <c r="D137" s="3">
        <v>45817.767546296294</v>
      </c>
      <c r="E137" s="3">
        <v>45818.68902777778</v>
      </c>
      <c r="F137" t="inlineStr">
        <is>
          <t>Fatima Kathleen M. FLores</t>
        </is>
      </c>
      <c r="G137" t="inlineStr">
        <is>
          <t>Procurement</t>
        </is>
      </c>
      <c r="H137"/>
      <c r="I137"/>
      <c r="J137" t="inlineStr">
        <is>
          <t>Project</t>
        </is>
      </c>
      <c r="K137" t="inlineStr">
        <is>
          <t>PDEI - Game Marketing</t>
        </is>
      </c>
      <c r="L137" t="inlineStr">
        <is>
          <t>realme Cup</t>
        </is>
      </c>
      <c r="M137" t="inlineStr">
        <is>
          <t>2025TEG-P0094</t>
        </is>
      </c>
      <c r="N137" t="inlineStr">
        <is>
          <t>Anteaus Villena</t>
        </is>
      </c>
      <c r="O137" t="inlineStr">
        <is>
          <t>202505180008-Anteaus Villena-费用报销 - 副本 - 副本 - 副本-2025-05-18 08:58:28</t>
        </is>
      </c>
      <c r="P137" t="inlineStr">
        <is>
          <t>YES</t>
        </is>
      </c>
      <c r="Q137"/>
      <c r="R137" t="inlineStr">
        <is>
          <t>NO</t>
        </is>
      </c>
      <c r="S137" t="inlineStr">
        <is>
          <t>Outsourced Usher</t>
        </is>
      </c>
      <c r="T137">
        <v>1</v>
      </c>
      <c r="U137">
        <v>1200</v>
      </c>
      <c r="V137" t="inlineStr">
        <is>
          <t>PHP</t>
        </is>
      </c>
      <c r="W137">
        <v>1200</v>
      </c>
      <c r="X137" s="2" t="str">
        <f>=HYPERLINK("https://www.larksuite.com/approval/admin/previewAttachment?key=PMhBigJRDATQK1Ul9VPJXGY20zSDIAii4OKfXXDh9lUT1YtZAw1jwO3F7EkLEVHhdu_YtAdmjfdxPX9b_bqINzNbj7Wf_3_ncecaR8ApZQPgz9fTkmZK-DjeAQAA__8", "2 attachment(s)")</f>
        <v>2 attachment(s)</v>
      </c>
      <c r="Y137" t="inlineStr">
        <is>
          <t>Bank Transfer</t>
        </is>
      </c>
      <c r="Z137" t="inlineStr">
        <is>
          <t>Danica E. Reyes</t>
        </is>
      </c>
      <c r="AA137" t="inlineStr">
        <is>
          <t>002370726713</t>
        </is>
      </c>
      <c r="AB137" t="inlineStr">
        <is>
          <t>BDO</t>
        </is>
      </c>
      <c r="AC137" t="inlineStr">
        <is>
          <t>Purok 3 Zone 6 Peñafrancia Brgy. Cupang Antipolo City</t>
        </is>
      </c>
      <c r="AD137" s="4">
        <v>45815</v>
      </c>
      <c r="AE137" t="inlineStr">
        <is>
          <t>100% Full Payment - June 20, 2025</t>
        </is>
      </c>
      <c r="AF137" s="2"/>
      <c r="AG137" t="inlineStr">
        <is>
          <t>NzQyNTk5MTgyNzQ4MTg3MDM0MTo0NTYzNzFBRC01Mjk1LTRCREItOUY0Ri0yNEQyQTc2N0U3NUYtMTo1YjQwNDU4ZjljM2I1MWVkMTBlNWM4M2Y3MGNlNmVlNDox</t>
        </is>
      </c>
      <c r="AH137"/>
      <c r="AI137"/>
      <c r="AJ137"/>
      <c r="AK137"/>
    </row>
    <row r="138" ht="25.5" customHeight="1">
      <c r="A138" s="2" t="str">
        <f>=HYPERLINK("https://applink.larksuite.com/client/mini_program/open?appId=cli_9c7cc8a9a9edd105&amp;mode=appCenter&amp;path_pc=pc/pages/requested/index?instanceId=7513897042750521382&amp;source=bitable&amp;path=pages/detail/index?instanceId=7513897042750521382&amp;source=bitable", "202506090084")</f>
        <v>202506090084</v>
      </c>
      <c r="B138" t="inlineStr">
        <is>
          <t>Approved</t>
        </is>
      </c>
      <c r="C138" t="inlineStr">
        <is>
          <t>Procurement Order</t>
        </is>
      </c>
      <c r="D138" s="3">
        <v>45817.77643518519</v>
      </c>
      <c r="E138" s="3">
        <v>45818.68864583333</v>
      </c>
      <c r="F138" t="inlineStr">
        <is>
          <t>Fatima Kathleen M. FLores</t>
        </is>
      </c>
      <c r="G138" t="inlineStr">
        <is>
          <t>Procurement</t>
        </is>
      </c>
      <c r="H138"/>
      <c r="I138"/>
      <c r="J138" t="inlineStr">
        <is>
          <t>Project</t>
        </is>
      </c>
      <c r="K138" t="inlineStr">
        <is>
          <t>PDEI - Game Marketing</t>
        </is>
      </c>
      <c r="L138" t="inlineStr">
        <is>
          <t>realme Cup</t>
        </is>
      </c>
      <c r="M138" t="inlineStr">
        <is>
          <t>2025TEG-P0094</t>
        </is>
      </c>
      <c r="N138" t="inlineStr">
        <is>
          <t>Anteaus Villena</t>
        </is>
      </c>
      <c r="O138" t="inlineStr">
        <is>
          <t>202505180008-Anteaus Villena-费用报销 - 副本 - 副本 - 副本-2025-05-18 08:58:28</t>
        </is>
      </c>
      <c r="P138" t="inlineStr">
        <is>
          <t>YES</t>
        </is>
      </c>
      <c r="Q138"/>
      <c r="R138" t="inlineStr">
        <is>
          <t>NO</t>
        </is>
      </c>
      <c r="S138" t="inlineStr">
        <is>
          <t>Outsourced Usher</t>
        </is>
      </c>
      <c r="T138">
        <v>1</v>
      </c>
      <c r="U138">
        <v>1200</v>
      </c>
      <c r="V138" t="inlineStr">
        <is>
          <t>PHP</t>
        </is>
      </c>
      <c r="W138">
        <v>1200</v>
      </c>
      <c r="X138" s="2" t="str">
        <f>=HYPERLINK("https://www.larksuite.com/approval/admin/previewAttachment?key=PMg9CgIxFATgK828n0yel7FxCe6yiiDEKmcXLGy_1onWk94KUbQCl5LeSwhTIo3ebdmiVBBbaW2Pcd3nkfs5PhNPO87Xmvfb2N7MkhnkEd4B8PJ3V0RUtcDP8Q0AAP__", "2 attachment(s)")</f>
        <v>2 attachment(s)</v>
      </c>
      <c r="Y138" t="inlineStr">
        <is>
          <t>Bank Transfer</t>
        </is>
      </c>
      <c r="Z138" t="inlineStr">
        <is>
          <t>Jacinto Garado</t>
        </is>
      </c>
      <c r="AA138" t="inlineStr">
        <is>
          <t>09541707188</t>
        </is>
      </c>
      <c r="AB138" t="inlineStr">
        <is>
          <t>GCash</t>
        </is>
      </c>
      <c r="AC138" t="inlineStr">
        <is>
          <t>142-2 WEST BANK RD MAYBUNGA PASIG CITY</t>
        </is>
      </c>
      <c r="AD138" s="4">
        <v>45815</v>
      </c>
      <c r="AE138" t="inlineStr">
        <is>
          <t>100% Full Payment - June 20, 2025</t>
        </is>
      </c>
      <c r="AF138" s="2"/>
      <c r="AG138" t="inlineStr">
        <is>
          <t>NzQyNTk5MTgyNzQ4MTg3MDM0MTpEOTREMUUwRC1FQjk5LTRFQ0YtQjE2Ni1FMTIxMzUzRDUxNjEtMTphMzAzYTE3NWZkZDEzMDg5MDVmMTVmNDlmMzlhZjU5Zjox</t>
        </is>
      </c>
      <c r="AH138"/>
      <c r="AI138"/>
      <c r="AJ138"/>
      <c r="AK138"/>
    </row>
    <row r="139" ht="25.5" customHeight="1">
      <c r="A139" s="2" t="str">
        <f>=HYPERLINK("https://applink.larksuite.com/client/mini_program/open?appId=cli_9c7cc8a9a9edd105&amp;mode=appCenter&amp;path_pc=pc/pages/requested/index?instanceId=7513898342145884199&amp;source=bitable&amp;path=pages/detail/index?instanceId=7513898342145884199&amp;source=bitable", "202506090088")</f>
        <v>202506090088</v>
      </c>
      <c r="B139" t="inlineStr">
        <is>
          <t>Approved</t>
        </is>
      </c>
      <c r="C139" t="inlineStr">
        <is>
          <t>Procurement Order</t>
        </is>
      </c>
      <c r="D139" s="3">
        <v>45817.77994212963</v>
      </c>
      <c r="E139" s="3">
        <v>45818.688252314816</v>
      </c>
      <c r="F139" t="inlineStr">
        <is>
          <t>Fatima Kathleen M. FLores</t>
        </is>
      </c>
      <c r="G139" t="inlineStr">
        <is>
          <t>Procurement</t>
        </is>
      </c>
      <c r="H139"/>
      <c r="I139"/>
      <c r="J139" t="inlineStr">
        <is>
          <t>Project</t>
        </is>
      </c>
      <c r="K139" t="inlineStr">
        <is>
          <t>PDEI - Game Marketing</t>
        </is>
      </c>
      <c r="L139" t="inlineStr">
        <is>
          <t>realme Cup</t>
        </is>
      </c>
      <c r="M139" t="inlineStr">
        <is>
          <t>2025TEG-P0094</t>
        </is>
      </c>
      <c r="N139" t="inlineStr">
        <is>
          <t>Anteaus Villena</t>
        </is>
      </c>
      <c r="O139" t="inlineStr">
        <is>
          <t>202505180008-Anteaus Villena-费用报销 - 副本 - 副本 - 副本-2025-05-18 08:58:28</t>
        </is>
      </c>
      <c r="P139" t="inlineStr">
        <is>
          <t>YES</t>
        </is>
      </c>
      <c r="Q139"/>
      <c r="R139" t="inlineStr">
        <is>
          <t>NO</t>
        </is>
      </c>
      <c r="S139" t="inlineStr">
        <is>
          <t>Outsourced Usher</t>
        </is>
      </c>
      <c r="T139">
        <v>1</v>
      </c>
      <c r="U139">
        <v>1200</v>
      </c>
      <c r="V139" t="inlineStr">
        <is>
          <t>PHP</t>
        </is>
      </c>
      <c r="W139">
        <v>1200</v>
      </c>
      <c r="X139" s="2" t="str">
        <f>=HYPERLINK("https://www.larksuite.com/approval/admin/previewAttachment?key=PMgxDoJAFATQK83sn93_x8vYQIgU2BhJKPbsJha0bxQxqjOGIbMZnNkZ5Qo1qleJ9myTmUZyOOd6bM_le8QO7-3dr-vUPF_Ltn7Yna0hQ4oCwMftkZLsIfwdvwAAAP__", "2 attachment(s)")</f>
        <v>2 attachment(s)</v>
      </c>
      <c r="Y139" t="inlineStr">
        <is>
          <t>Bank Transfer</t>
        </is>
      </c>
      <c r="Z139" t="inlineStr">
        <is>
          <t>Karen Mendoza</t>
        </is>
      </c>
      <c r="AA139" t="inlineStr">
        <is>
          <t>0649336926</t>
        </is>
      </c>
      <c r="AB139" t="inlineStr">
        <is>
          <t>BPI</t>
        </is>
      </c>
      <c r="AC139" t="inlineStr">
        <is>
          <t>#52 C Sta. Maria St. Bagumbayan, QC</t>
        </is>
      </c>
      <c r="AD139" s="4">
        <v>45815</v>
      </c>
      <c r="AE139" t="inlineStr">
        <is>
          <t>100% Full Payment - June 20, 2025</t>
        </is>
      </c>
      <c r="AF139" s="2"/>
      <c r="AG139" t="inlineStr">
        <is>
          <t>NzQyNTk5MTgyNzQ4MTg3MDM0MTowNzQ2REI5NC02ODdDLTQyRjgtQUFCQy04Mzg4ODM0NTc3MjQtMToxMzE3ZThkZjhmNTU5MmIzYTZkNDdkYWJlNTU5ZWI3Njox</t>
        </is>
      </c>
      <c r="AH139"/>
      <c r="AI139"/>
      <c r="AJ139"/>
      <c r="AK139"/>
    </row>
    <row r="140" ht="25.5" customHeight="1">
      <c r="A140" s="2" t="str">
        <f>=HYPERLINK("https://applink.larksuite.com/client/mini_program/open?appId=cli_9c7cc8a9a9edd105&amp;mode=appCenter&amp;path_pc=pc/pages/requested/index?instanceId=7513899998946328614&amp;source=bitable&amp;path=pages/detail/index?instanceId=7513899998946328614&amp;source=bitable", "202506090089")</f>
        <v>202506090089</v>
      </c>
      <c r="B140" t="inlineStr">
        <is>
          <t>Approved</t>
        </is>
      </c>
      <c r="C140" t="inlineStr">
        <is>
          <t>Procurement Order</t>
        </is>
      </c>
      <c r="D140" s="3">
        <v>45817.78440972222</v>
      </c>
      <c r="E140" s="3">
        <v>45818.687685185185</v>
      </c>
      <c r="F140" t="inlineStr">
        <is>
          <t>Fatima Kathleen M. FLores</t>
        </is>
      </c>
      <c r="G140" t="inlineStr">
        <is>
          <t>Procurement</t>
        </is>
      </c>
      <c r="H140"/>
      <c r="I140"/>
      <c r="J140" t="inlineStr">
        <is>
          <t>Project</t>
        </is>
      </c>
      <c r="K140" t="inlineStr">
        <is>
          <t>PDEI - Game Marketing</t>
        </is>
      </c>
      <c r="L140" t="inlineStr">
        <is>
          <t>realme Cup</t>
        </is>
      </c>
      <c r="M140" t="inlineStr">
        <is>
          <t>2025TEG-P0094</t>
        </is>
      </c>
      <c r="N140" t="inlineStr">
        <is>
          <t>Anteaus Villena</t>
        </is>
      </c>
      <c r="O140" t="inlineStr">
        <is>
          <t>202505180008-Anteaus Villena-费用报销 - 副本 - 副本 - 副本-2025-05-18 08:58:28</t>
        </is>
      </c>
      <c r="P140" t="inlineStr">
        <is>
          <t>YES</t>
        </is>
      </c>
      <c r="Q140"/>
      <c r="R140" t="inlineStr">
        <is>
          <t>NO</t>
        </is>
      </c>
      <c r="S140" t="inlineStr">
        <is>
          <t>Outsourced Usher</t>
        </is>
      </c>
      <c r="T140">
        <v>1</v>
      </c>
      <c r="U140">
        <v>1200</v>
      </c>
      <c r="V140" t="inlineStr">
        <is>
          <t>PHP</t>
        </is>
      </c>
      <c r="W140">
        <v>1200</v>
      </c>
      <c r="X140" s="2" t="str">
        <f>=HYPERLINK("https://www.larksuite.com/approval/admin/previewAttachment?key=PMgxDsJADATAL63Pe7aXz9DkFJEiNIh0fjsSRdqJMkRN8xAoG4J1TvOSpBLDR4WxR1umkBbKXuf-3L6nH1jvoxbyYl-vbV8fm8oxkE56AbDH7Z4kpSD-jl8AAAD__w", "2 attachment(s)")</f>
        <v>2 attachment(s)</v>
      </c>
      <c r="Y140" t="inlineStr">
        <is>
          <t>Bank Transfer</t>
        </is>
      </c>
      <c r="Z140" t="inlineStr">
        <is>
          <t>Tricia Flores</t>
        </is>
      </c>
      <c r="AA140" t="inlineStr">
        <is>
          <t>09369153240</t>
        </is>
      </c>
      <c r="AB140" t="inlineStr">
        <is>
          <t>GCash</t>
        </is>
      </c>
      <c r="AC140" t="inlineStr">
        <is>
          <t>4 sitaw st. Libis bulelak, malanday, marikina city</t>
        </is>
      </c>
      <c r="AD140" s="4">
        <v>45815</v>
      </c>
      <c r="AE140" t="inlineStr">
        <is>
          <t>100% Full Payment - June 20, 2025</t>
        </is>
      </c>
      <c r="AF140" s="2"/>
      <c r="AG140" t="inlineStr">
        <is>
          <t>NzQyNTk5MTgyNzQ4MTg3MDM0MTo2OTRFQjQyOS1CRDM3LTQxNjktOUZFQS04RUJGODk4M0VEMUUtMTowMjllZDljMTY4NDU5YjU4OWUyYTYyOTE2MmRjYjNlMzox</t>
        </is>
      </c>
      <c r="AH140"/>
      <c r="AI140"/>
      <c r="AJ140"/>
      <c r="AK140"/>
    </row>
    <row r="141" ht="25.5" customHeight="1">
      <c r="A141" s="2" t="str">
        <f>=HYPERLINK("https://applink.larksuite.com/client/mini_program/open?appId=cli_9c7cc8a9a9edd105&amp;mode=appCenter&amp;path_pc=pc/pages/requested/index?instanceId=7513900674939699239&amp;source=bitable&amp;path=pages/detail/index?instanceId=7513900674939699239&amp;source=bitable", "202506090090")</f>
        <v>202506090090</v>
      </c>
      <c r="B141" t="inlineStr">
        <is>
          <t>Approved</t>
        </is>
      </c>
      <c r="C141" t="inlineStr">
        <is>
          <t>Procurement Order</t>
        </is>
      </c>
      <c r="D141" s="3">
        <v>45817.78622685185</v>
      </c>
      <c r="E141" s="3">
        <v>45818.68103009259</v>
      </c>
      <c r="F141" t="inlineStr">
        <is>
          <t>Fatima Kathleen M. FLores</t>
        </is>
      </c>
      <c r="G141" t="inlineStr">
        <is>
          <t>Procurement</t>
        </is>
      </c>
      <c r="H141"/>
      <c r="I141"/>
      <c r="J141" t="inlineStr">
        <is>
          <t>Project</t>
        </is>
      </c>
      <c r="K141" t="inlineStr">
        <is>
          <t>PDEI - Game Marketing</t>
        </is>
      </c>
      <c r="L141" t="inlineStr">
        <is>
          <t>realme Cup</t>
        </is>
      </c>
      <c r="M141" t="inlineStr">
        <is>
          <t>2025TEG-P0094</t>
        </is>
      </c>
      <c r="N141" t="inlineStr">
        <is>
          <t>Anteaus Villena</t>
        </is>
      </c>
      <c r="O141" t="inlineStr">
        <is>
          <t>202505180008-Anteaus Villena-费用报销 - 副本 - 副本 - 副本-2025-05-18 08:58:28</t>
        </is>
      </c>
      <c r="P141" t="inlineStr">
        <is>
          <t>YES</t>
        </is>
      </c>
      <c r="Q141"/>
      <c r="R141" t="inlineStr">
        <is>
          <t>NO</t>
        </is>
      </c>
      <c r="S141" t="inlineStr">
        <is>
          <t>Outsourced Usher</t>
        </is>
      </c>
      <c r="T141">
        <v>1</v>
      </c>
      <c r="U141">
        <v>1200</v>
      </c>
      <c r="V141" t="inlineStr">
        <is>
          <t>PHP</t>
        </is>
      </c>
      <c r="W141">
        <v>1200</v>
      </c>
      <c r="X141" s="2" t="str">
        <f>=HYPERLINK("https://www.larksuite.com/approval/admin/previewAttachment?key=PMg9CsJAFATgK83s-9vxMjYJwQhCQEyqd3bBwvbLSeQMWgouDoFdQROQ5TKlNEw9mlVCMVW9vrb7fj5j_8xrsYNXHH0-lm19M1RjoMzdJgDe_m7l7lI6fo5vAAAA__8", "2 attachment(s)")</f>
        <v>2 attachment(s)</v>
      </c>
      <c r="Y141" t="inlineStr">
        <is>
          <t>Bank Transfer</t>
        </is>
      </c>
      <c r="Z141" t="inlineStr">
        <is>
          <t>Raffie Pinullar</t>
        </is>
      </c>
      <c r="AA141" t="inlineStr">
        <is>
          <t>0930-892-9965</t>
        </is>
      </c>
      <c r="AB141" t="inlineStr">
        <is>
          <t>GCash</t>
        </is>
      </c>
      <c r="AC141" t="inlineStr">
        <is>
          <t>4 sitaw st. Libis bulelak, malanday, marikina city</t>
        </is>
      </c>
      <c r="AD141" s="4">
        <v>45815</v>
      </c>
      <c r="AE141" t="inlineStr">
        <is>
          <t>100% Full Payment - June 20, 2025</t>
        </is>
      </c>
      <c r="AF141" s="2"/>
      <c r="AG141" t="inlineStr">
        <is>
          <t>NzQyNTk5MTgyNzQ4MTg3MDM0MTo1ODhFNDVFNS0xNTkzLTRFMkQtQUM2RC1DM0QyQTZEM0E4MkEtMToyNjgwZjQ3OTY1MDA0NjExMmZmNjA3YWQ4NTY3YWZkNjox</t>
        </is>
      </c>
      <c r="AH141"/>
      <c r="AI141"/>
      <c r="AJ141"/>
      <c r="AK141"/>
    </row>
    <row r="142" ht="25.5" customHeight="1">
      <c r="A142" s="2" t="str">
        <f>=HYPERLINK("https://applink.larksuite.com/client/mini_program/open?appId=cli_9c7cc8a9a9edd105&amp;mode=appCenter&amp;path_pc=pc/pages/requested/index?instanceId=7513902066507513888&amp;source=bitable&amp;path=pages/detail/index?instanceId=7513902066507513888&amp;source=bitable", "202506090093")</f>
        <v>202506090093</v>
      </c>
      <c r="B142" t="inlineStr">
        <is>
          <t>Approved</t>
        </is>
      </c>
      <c r="C142" t="inlineStr">
        <is>
          <t>Procurement Order</t>
        </is>
      </c>
      <c r="D142" s="3">
        <v>45817.789976851855</v>
      </c>
      <c r="E142" s="3">
        <v>45825.56791666667</v>
      </c>
      <c r="F142" t="inlineStr">
        <is>
          <t>Fatima Kathleen M. FLores</t>
        </is>
      </c>
      <c r="G142" t="inlineStr">
        <is>
          <t>Procurement</t>
        </is>
      </c>
      <c r="H142"/>
      <c r="I142"/>
      <c r="J142" t="inlineStr">
        <is>
          <t>Project</t>
        </is>
      </c>
      <c r="K142" t="inlineStr">
        <is>
          <t>PDEI - Game Marketing</t>
        </is>
      </c>
      <c r="L142" t="inlineStr">
        <is>
          <t>realme Cup</t>
        </is>
      </c>
      <c r="M142" t="inlineStr">
        <is>
          <t>2025TEG-P0094</t>
        </is>
      </c>
      <c r="N142" t="inlineStr">
        <is>
          <t>Anteaus Villena</t>
        </is>
      </c>
      <c r="O142" t="inlineStr">
        <is>
          <t>202505180008-Anteaus Villena-费用报销 - 副本 - 副本 - 副本-2025-05-18 08:58:28</t>
        </is>
      </c>
      <c r="P142" t="inlineStr">
        <is>
          <t>YES</t>
        </is>
      </c>
      <c r="Q142"/>
      <c r="R142" t="inlineStr">
        <is>
          <t>YES</t>
        </is>
      </c>
      <c r="S142" t="inlineStr">
        <is>
          <t>Outsourced Highlights/Replay Operator</t>
        </is>
      </c>
      <c r="T142">
        <v>1</v>
      </c>
      <c r="U142">
        <v>2000</v>
      </c>
      <c r="V142" t="inlineStr">
        <is>
          <t>PHP</t>
        </is>
      </c>
      <c r="W142">
        <v>2000</v>
      </c>
      <c r="X142" s="2" t="str">
        <f>=HYPERLINK("https://www.larksuite.com/approval/admin/previewAttachment?key=PMg9CsJgEATQK818--9lbAxBlK3EQIo9u2hh93iehKdRvKDFVeCEUQoL7oavM3PWMKIQ9IrZer-aZZ-Po5v9Pp_HHPfbvr1oFWshRFUSAC__l1DVKlf8Hp8AAAD__w", "2 attachment(s)")</f>
        <v>2 attachment(s)</v>
      </c>
      <c r="Y142" t="inlineStr">
        <is>
          <t>Bank Transfer</t>
        </is>
      </c>
      <c r="Z142" t="inlineStr">
        <is>
          <t>Rafhael Garcia</t>
        </is>
      </c>
      <c r="AA142" t="inlineStr">
        <is>
          <t>09982550669</t>
        </is>
      </c>
      <c r="AB142" t="inlineStr">
        <is>
          <t>GCash</t>
        </is>
      </c>
      <c r="AC142" t="inlineStr">
        <is>
          <t>2817 Beata St. Pandacan Manila</t>
        </is>
      </c>
      <c r="AD142" s="4">
        <v>45815</v>
      </c>
      <c r="AE142" t="inlineStr">
        <is>
          <t>100% Full Payment - June 20, 2025</t>
        </is>
      </c>
      <c r="AF142" s="2"/>
      <c r="AG142" t="inlineStr">
        <is>
          <t>NzQyNTk5MTgyNzQ4MTg3MDM0MTpBOTlFRTA2OC1FNDhGLTQ5QUEtOEE3MC0zMzA2MUUyQTM4NzEtMToyNWU4NDRjMTI4MDQ4Y2VlMGJhMzllNzJkMGRkM2RkMTox</t>
        </is>
      </c>
      <c r="AH142"/>
      <c r="AI142"/>
      <c r="AJ142"/>
      <c r="AK142"/>
    </row>
    <row r="143" ht="25.5" customHeight="1">
      <c r="A143" s="2" t="str">
        <f>=HYPERLINK("https://applink.larksuite.com/client/mini_program/open?appId=cli_9c7cc8a9a9edd105&amp;mode=appCenter&amp;path_pc=pc/pages/requested/index?instanceId=7513904074245357599&amp;source=bitable&amp;path=pages/detail/index?instanceId=7513904074245357599&amp;source=bitable", "202506090094")</f>
        <v>202506090094</v>
      </c>
      <c r="B143" t="inlineStr">
        <is>
          <t>Approved</t>
        </is>
      </c>
      <c r="C143" t="inlineStr">
        <is>
          <t>Procurement Order</t>
        </is>
      </c>
      <c r="D143" s="3">
        <v>45817.79539351852</v>
      </c>
      <c r="E143" s="3">
        <v>45818.68027777778</v>
      </c>
      <c r="F143" t="inlineStr">
        <is>
          <t>Fatima Kathleen M. FLores</t>
        </is>
      </c>
      <c r="G143" t="inlineStr">
        <is>
          <t>Procurement</t>
        </is>
      </c>
      <c r="H143"/>
      <c r="I143"/>
      <c r="J143" t="inlineStr">
        <is>
          <t>Project</t>
        </is>
      </c>
      <c r="K143" t="inlineStr">
        <is>
          <t>PDEI - Game Marketing</t>
        </is>
      </c>
      <c r="L143" t="inlineStr">
        <is>
          <t>realme Cup</t>
        </is>
      </c>
      <c r="M143" t="inlineStr">
        <is>
          <t>2025TEG-P0094</t>
        </is>
      </c>
      <c r="N143" t="inlineStr">
        <is>
          <t>Anteaus Villena</t>
        </is>
      </c>
      <c r="O143" t="inlineStr">
        <is>
          <t>202505180008-Anteaus Villena-费用报销 - 副本 - 副本 - 副本-2025-05-18 08:58:28</t>
        </is>
      </c>
      <c r="P143" t="inlineStr">
        <is>
          <t>YES</t>
        </is>
      </c>
      <c r="Q143"/>
      <c r="R143" t="inlineStr">
        <is>
          <t>NO</t>
        </is>
      </c>
      <c r="S143" t="inlineStr">
        <is>
          <t>Outsourced Lead Stream Engineer</t>
        </is>
      </c>
      <c r="T143">
        <v>1</v>
      </c>
      <c r="U143">
        <v>2200</v>
      </c>
      <c r="V143" t="inlineStr">
        <is>
          <t>PHP</t>
        </is>
      </c>
      <c r="W143">
        <v>2200</v>
      </c>
      <c r="X143" s="2" t="str">
        <f>=HYPERLINK("https://www.larksuite.com/approval/admin/previewAttachment?key=PMgxCsJQEATQK83uzv7542VsDEGUVELE4p9dsLB9YwbG7Khh0JFGLHWUQYjJrlbbK1dIhmJYazv2a_c8PvmsRxDv41zn_bZvr2grEyqyJoC4_L1E0h7Ez_ENAAD__w", "2 attachment(s)")</f>
        <v>2 attachment(s)</v>
      </c>
      <c r="Y143" t="inlineStr">
        <is>
          <t>Bank Transfer</t>
        </is>
      </c>
      <c r="Z143" t="inlineStr">
        <is>
          <t>Kyle Gloria Jimenez</t>
        </is>
      </c>
      <c r="AA143" t="inlineStr">
        <is>
          <t>4601-8600-5556-7392</t>
        </is>
      </c>
      <c r="AB143" t="inlineStr">
        <is>
          <t>GoTyme Bank</t>
        </is>
      </c>
      <c r="AC143" t="inlineStr">
        <is>
          <t>905-E Timog St, Brgy. Barangka Drive, Mandaluyong City</t>
        </is>
      </c>
      <c r="AD143" s="4">
        <v>45815</v>
      </c>
      <c r="AE143" t="inlineStr">
        <is>
          <t>100% Full Payment - June 20, 2025</t>
        </is>
      </c>
      <c r="AF143" s="2"/>
      <c r="AG143" t="inlineStr">
        <is>
          <t>NzQyNTk5MTgyNzQ4MTg3MDM0MTpBMUE0MThERC03QUE2LTRFNzgtQTJCQS1FMkFCMEEyNzJFNzUtMTphNDNhMzY1NjU2YWNiOTc3NjE5OTZiODc3Mjc4NDBmMjox</t>
        </is>
      </c>
      <c r="AH143"/>
      <c r="AI143"/>
      <c r="AJ143"/>
      <c r="AK143"/>
    </row>
    <row r="144" ht="25.5" customHeight="1">
      <c r="A144" s="2" t="str">
        <f>=HYPERLINK("https://applink.larksuite.com/client/mini_program/open?appId=cli_9c7cc8a9a9edd105&amp;mode=appCenter&amp;path_pc=pc/pages/requested/index?instanceId=7513905089078165536&amp;source=bitable&amp;path=pages/detail/index?instanceId=7513905089078165536&amp;source=bitable", "202506090098")</f>
        <v>202506090098</v>
      </c>
      <c r="B144" t="inlineStr">
        <is>
          <t>Approved</t>
        </is>
      </c>
      <c r="C144" t="inlineStr">
        <is>
          <t>Procurement Order</t>
        </is>
      </c>
      <c r="D144" s="3">
        <v>45817.798125</v>
      </c>
      <c r="E144" s="3">
        <v>45818.67980324074</v>
      </c>
      <c r="F144" t="inlineStr">
        <is>
          <t>Fatima Kathleen M. FLores</t>
        </is>
      </c>
      <c r="G144" t="inlineStr">
        <is>
          <t>Procurement</t>
        </is>
      </c>
      <c r="H144"/>
      <c r="I144"/>
      <c r="J144" t="inlineStr">
        <is>
          <t>Project</t>
        </is>
      </c>
      <c r="K144" t="inlineStr">
        <is>
          <t>PDEI - Game Marketing</t>
        </is>
      </c>
      <c r="L144" t="inlineStr">
        <is>
          <t>realme Cup</t>
        </is>
      </c>
      <c r="M144" t="inlineStr">
        <is>
          <t>2025TEG-P0094</t>
        </is>
      </c>
      <c r="N144" t="inlineStr">
        <is>
          <t>Anteaus Villena</t>
        </is>
      </c>
      <c r="O144" t="inlineStr">
        <is>
          <t>202505180008-Anteaus Villena-费用报销 - 副本 - 副本 - 副本-2025-05-18 08:58:28</t>
        </is>
      </c>
      <c r="P144" t="inlineStr">
        <is>
          <t>YES</t>
        </is>
      </c>
      <c r="Q144"/>
      <c r="R144" t="inlineStr">
        <is>
          <t>NO</t>
        </is>
      </c>
      <c r="S144" t="inlineStr">
        <is>
          <t>Outsourced Main CG Operator</t>
        </is>
      </c>
      <c r="T144">
        <v>1</v>
      </c>
      <c r="U144">
        <v>2750</v>
      </c>
      <c r="V144" t="inlineStr">
        <is>
          <t>PHP</t>
        </is>
      </c>
      <c r="W144">
        <v>2750</v>
      </c>
      <c r="X144" s="2" t="str">
        <f>=HYPERLINK("https://www.larksuite.com/approval/admin/previewAttachment?key=PMg5jsJAFATQK1X137rmMpPYstgcIZAd_LMjEZC-nETOoKXg4hDYFTQhMIWazAjLHs0qoZiqXvft_7brvB5xP1-PGMfS78uyrU-GagyUudsEwL-fW7m7lI6v4xMAAP__", "2 attachment(s)")</f>
        <v>2 attachment(s)</v>
      </c>
      <c r="Y144" t="inlineStr">
        <is>
          <t>Bank Transfer</t>
        </is>
      </c>
      <c r="Z144" t="inlineStr">
        <is>
          <t>Remar John Bayona</t>
        </is>
      </c>
      <c r="AA144" t="inlineStr">
        <is>
          <t>09458591894</t>
        </is>
      </c>
      <c r="AB144" t="inlineStr">
        <is>
          <t>GCash</t>
        </is>
      </c>
      <c r="AC144" t="inlineStr">
        <is>
          <t>Puntales Road,Concepcion,Iloilo</t>
        </is>
      </c>
      <c r="AD144" s="4">
        <v>45815</v>
      </c>
      <c r="AE144" t="inlineStr">
        <is>
          <t>100% Full Payment - June 20, 2025</t>
        </is>
      </c>
      <c r="AF144" s="2"/>
      <c r="AG144" t="inlineStr">
        <is>
          <t>NzQyNTk5MTgyNzQ4MTg3MDM0MToyQzRGNTYwOC1ERkY2LTRFMzEtOUE5Ri1DQTk2MDg0OEY1MUMtMToxZDgyZjU2ODVkYTViYjkyMmNjN2Q4ZGQxMzhlMjM4Zjox</t>
        </is>
      </c>
      <c r="AH144"/>
      <c r="AI144"/>
      <c r="AJ144"/>
      <c r="AK144"/>
    </row>
    <row r="145" ht="25.5" customHeight="1">
      <c r="A145" s="2" t="str">
        <f>=HYPERLINK("https://applink.larksuite.com/client/mini_program/open?appId=cli_9c7cc8a9a9edd105&amp;mode=appCenter&amp;path_pc=pc/pages/requested/index?instanceId=7513906074471186470&amp;source=bitable&amp;path=pages/detail/index?instanceId=7513906074471186470&amp;source=bitable", "202506090100")</f>
        <v>202506090100</v>
      </c>
      <c r="B145" t="inlineStr">
        <is>
          <t>Approved</t>
        </is>
      </c>
      <c r="C145" t="inlineStr">
        <is>
          <t>Procurement Order</t>
        </is>
      </c>
      <c r="D145" s="3">
        <v>45817.800775462965</v>
      </c>
      <c r="E145" s="3">
        <v>45818.67859953704</v>
      </c>
      <c r="F145" t="inlineStr">
        <is>
          <t>Fatima Kathleen M. FLores</t>
        </is>
      </c>
      <c r="G145" t="inlineStr">
        <is>
          <t>Procurement</t>
        </is>
      </c>
      <c r="H145"/>
      <c r="I145"/>
      <c r="J145" t="inlineStr">
        <is>
          <t>Project</t>
        </is>
      </c>
      <c r="K145" t="inlineStr">
        <is>
          <t>PDEI - Game Marketing</t>
        </is>
      </c>
      <c r="L145" t="inlineStr">
        <is>
          <t>realme Cup</t>
        </is>
      </c>
      <c r="M145" t="inlineStr">
        <is>
          <t>2025TEG-P0094</t>
        </is>
      </c>
      <c r="N145" t="inlineStr">
        <is>
          <t>Anteaus Villena</t>
        </is>
      </c>
      <c r="O145" t="inlineStr">
        <is>
          <t>202505180008-Anteaus Villena-费用报销 - 副本 - 副本 - 副本-2025-05-18 08:58:28</t>
        </is>
      </c>
      <c r="P145" t="inlineStr">
        <is>
          <t>YES</t>
        </is>
      </c>
      <c r="Q145"/>
      <c r="R145" t="inlineStr">
        <is>
          <t>NO</t>
        </is>
      </c>
      <c r="S145" t="inlineStr">
        <is>
          <t>Outsourced IT Support</t>
        </is>
      </c>
      <c r="T145">
        <v>1</v>
      </c>
      <c r="U145">
        <v>1670</v>
      </c>
      <c r="V145" t="inlineStr">
        <is>
          <t>PHP</t>
        </is>
      </c>
      <c r="W145">
        <v>1670</v>
      </c>
      <c r="X145" s="2" t="str">
        <f>=HYPERLINK("https://www.larksuite.com/approval/admin/previewAttachment?key=PMgxqgJBEATQK1XN1HR1_8v8xGVRdEEQFgz67IKB6YskIhdnFFQcBbYXZyFgyWSGjB5Nu2BGubdj_18rj3fykU_d8n72eb3s24urPAY8pZkA-PfzaUlVIXwdnwAAAP__", "2 attachment(s)")</f>
        <v>2 attachment(s)</v>
      </c>
      <c r="Y145" t="inlineStr">
        <is>
          <t>Bank Transfer</t>
        </is>
      </c>
      <c r="Z145" t="inlineStr">
        <is>
          <t>Elton John Lee</t>
        </is>
      </c>
      <c r="AA145" t="inlineStr">
        <is>
          <t>1993906533791</t>
        </is>
      </c>
      <c r="AB145" t="inlineStr">
        <is>
          <t>Metrobank</t>
        </is>
      </c>
      <c r="AC145" t="inlineStr">
        <is>
          <t>22 St. Joseph St. Dela Costa Homes 1, Barangka, Marikina City</t>
        </is>
      </c>
      <c r="AD145" s="4">
        <v>45815</v>
      </c>
      <c r="AE145" t="inlineStr">
        <is>
          <t>100% Full Payment - June 20, 2025</t>
        </is>
      </c>
      <c r="AF145" s="2"/>
      <c r="AG145" t="inlineStr">
        <is>
          <t>NzQyNTk5MTgyNzQ4MTg3MDM0MTpFQjYzQzE5Qy00Q0RELTQ3MEItQUE5OC0xNDZEMzg1QURDQkMtMTpiMjdmNzI2NTliNjYwM2U1YzBhOGQ5NmY4NjEzN2YwYjox</t>
        </is>
      </c>
      <c r="AH145"/>
      <c r="AI145"/>
      <c r="AJ145"/>
      <c r="AK145"/>
    </row>
    <row r="146" ht="25.5" customHeight="1">
      <c r="A146" s="2" t="str">
        <f>=HYPERLINK("https://applink.larksuite.com/client/mini_program/open?appId=cli_9c7cc8a9a9edd105&amp;mode=appCenter&amp;path_pc=pc/pages/requested/index?instanceId=7513910138508443687&amp;source=bitable&amp;path=pages/detail/index?instanceId=7513910138508443687&amp;source=bitable", "202506090104")</f>
        <v>202506090104</v>
      </c>
      <c r="B146" t="inlineStr">
        <is>
          <t>Approved</t>
        </is>
      </c>
      <c r="C146" t="inlineStr">
        <is>
          <t>Procurement Order</t>
        </is>
      </c>
      <c r="D146" s="3">
        <v>45817.811736111114</v>
      </c>
      <c r="E146" s="3">
        <v>45825.57309027778</v>
      </c>
      <c r="F146" t="inlineStr">
        <is>
          <t>Fatima Kathleen M. FLores</t>
        </is>
      </c>
      <c r="G146" t="inlineStr">
        <is>
          <t>Procurement</t>
        </is>
      </c>
      <c r="H146"/>
      <c r="I146"/>
      <c r="J146" t="inlineStr">
        <is>
          <t>Project</t>
        </is>
      </c>
      <c r="K146" t="inlineStr">
        <is>
          <t>PDEI - Event Service</t>
        </is>
      </c>
      <c r="L146" t="inlineStr">
        <is>
          <t>MPL PH S15 Addendum</t>
        </is>
      </c>
      <c r="M146" t="inlineStr">
        <is>
          <t>2025TEG-P0071</t>
        </is>
      </c>
      <c r="N146" t="inlineStr">
        <is>
          <t>Tiny</t>
        </is>
      </c>
      <c r="O146" t="inlineStr">
        <is>
          <t>202504280062-Tiny-费用报销 - 副本 - 副本 - 副本-2025-04-28 09:22:14</t>
        </is>
      </c>
      <c r="P146" t="inlineStr">
        <is>
          <t>YES</t>
        </is>
      </c>
      <c r="Q146"/>
      <c r="R146" t="inlineStr">
        <is>
          <t>YES</t>
        </is>
      </c>
      <c r="S146" t="inlineStr">
        <is>
          <t>Outsourced Motion Graphics Artist (May 21 to June 1)</t>
        </is>
      </c>
      <c r="T146">
        <v>1</v>
      </c>
      <c r="U146">
        <v>40000</v>
      </c>
      <c r="V146" t="inlineStr">
        <is>
          <t>PHP</t>
        </is>
      </c>
      <c r="W146">
        <v>40000</v>
      </c>
      <c r="X146" s="2" t="str">
        <f>=HYPERLINK("https://www.larksuite.com/approval/admin/previewAttachment?key=PMixDUIxDATQle5ix_axDE2iiAYa9CNRZHYkCtoXRUR1WgguNoEnO00ErTrK3aLytMNMIRnKM5_rfn1qXmuOvTVes5_9GGu-2ZWtIc3dCgBvf7d0dykcP8c3AAD__w", "2 attachment(s)")</f>
        <v>2 attachment(s)</v>
      </c>
      <c r="Y146" t="inlineStr">
        <is>
          <t>Bank Transfer</t>
        </is>
      </c>
      <c r="Z146" t="inlineStr">
        <is>
          <t>Mc Kenneth R. Esteban</t>
        </is>
      </c>
      <c r="AA146" t="inlineStr">
        <is>
          <t>9619212212</t>
        </is>
      </c>
      <c r="AB146" t="inlineStr">
        <is>
          <t>BPI</t>
        </is>
      </c>
      <c r="AC146" t="inlineStr">
        <is>
          <t>10 Kasoy St. Pasong Tamo Quezon City</t>
        </is>
      </c>
      <c r="AD146" s="4">
        <v>45798</v>
      </c>
      <c r="AE146" t="inlineStr">
        <is>
          <t>1st Payment - June 13, 2025
Final Payment - June 27, 2025</t>
        </is>
      </c>
      <c r="AF146" s="2"/>
      <c r="AG146" t="inlineStr">
        <is>
          <t>NzQyNTk5MTgyNzQ4MTg3MDM0MTpCMTFEM0FEQi1EMzhBLTQxRjgtQjgxMC0yQzU1MDlDOEU4RTQtMTo3NDAwNzViYjg2MTQ0MzUzN2FhNGI3OGY0NmM2YTQwNTox</t>
        </is>
      </c>
      <c r="AH146"/>
      <c r="AI146"/>
      <c r="AJ146"/>
      <c r="AK146"/>
    </row>
    <row r="147" ht="25.5" customHeight="1">
      <c r="A147" s="2" t="str">
        <f>=HYPERLINK("https://applink.larksuite.com/client/mini_program/open?appId=cli_9c7cc8a9a9edd105&amp;mode=appCenter&amp;path_pc=pc/pages/requested/index?instanceId=7514154831247032351&amp;source=bitable&amp;path=pages/detail/index?instanceId=7514154831247032351&amp;source=bitable", "202506100034")</f>
        <v>202506100034</v>
      </c>
      <c r="B147" t="inlineStr">
        <is>
          <t>Approved</t>
        </is>
      </c>
      <c r="C147" t="inlineStr">
        <is>
          <t>Procurement Order</t>
        </is>
      </c>
      <c r="D147" s="3">
        <v>45818.471134259256</v>
      </c>
      <c r="E147" s="3">
        <v>45819.504594907405</v>
      </c>
      <c r="F147" t="inlineStr">
        <is>
          <t>Fatima Kathleen M. FLores</t>
        </is>
      </c>
      <c r="G147" t="inlineStr">
        <is>
          <t>Procurement</t>
        </is>
      </c>
      <c r="H147"/>
      <c r="I147"/>
      <c r="J147" t="inlineStr">
        <is>
          <t>Project</t>
        </is>
      </c>
      <c r="K147" t="inlineStr">
        <is>
          <t>PDEI - Game Marketing</t>
        </is>
      </c>
      <c r="L147" t="inlineStr">
        <is>
          <t>realme Cup</t>
        </is>
      </c>
      <c r="M147" t="inlineStr">
        <is>
          <t>2025TEG-P0094</t>
        </is>
      </c>
      <c r="N147" t="inlineStr">
        <is>
          <t>Anteaus Villena</t>
        </is>
      </c>
      <c r="O147" t="inlineStr">
        <is>
          <t>202506010002-Anteaus Villena-费用报销 - 副本 - 副本 - 副本-2025-06-01 05:41:17</t>
        </is>
      </c>
      <c r="P147" t="inlineStr">
        <is>
          <t>YES</t>
        </is>
      </c>
      <c r="Q147"/>
      <c r="R147" t="inlineStr">
        <is>
          <t>YES</t>
        </is>
      </c>
      <c r="S147" t="inlineStr">
        <is>
          <t>Outsourced Video Editor</t>
        </is>
      </c>
      <c r="T147">
        <v>1</v>
      </c>
      <c r="U147">
        <v>16666.67</v>
      </c>
      <c r="V147" t="inlineStr">
        <is>
          <t>PHP</t>
        </is>
      </c>
      <c r="W147">
        <v>16666.67</v>
      </c>
      <c r="X147" s="2" t="str">
        <f>=HYPERLINK("https://www.larksuite.com/approval/admin/previewAttachment?key=PMgxCkIxEATQK83szmazXsYmnyCINuKXFDm7YGH7WidaD3orqGgF7gyKoe40Jdw8uG0zs5Bslft4zOt79ee4L5xjftaIfd7GPF6MSjOkS94B8PJ3T0lVTfg5vgEAAP__", "2 attachment(s)")</f>
        <v>2 attachment(s)</v>
      </c>
      <c r="Y147" t="inlineStr">
        <is>
          <t>Bank Transfer</t>
        </is>
      </c>
      <c r="Z147" t="inlineStr">
        <is>
          <t>Jeric Angelo C. Asinas</t>
        </is>
      </c>
      <c r="AA147" t="inlineStr">
        <is>
          <t>4519301747</t>
        </is>
      </c>
      <c r="AB147" t="inlineStr">
        <is>
          <t>BPI</t>
        </is>
      </c>
      <c r="AC147" t="inlineStr">
        <is>
          <t>1723 Lirio St. Camarin, Brgy 174 Caloocan City</t>
        </is>
      </c>
      <c r="AD147" s="4">
        <v>45809</v>
      </c>
      <c r="AE147" t="inlineStr">
        <is>
          <t>100% Full Payment - June 13, 2025</t>
        </is>
      </c>
      <c r="AF147" s="2"/>
      <c r="AG147" t="inlineStr">
        <is>
          <t>NzQyNTk5MTgyNzQ4MTg3MDM0MTo3NEFBRDk2OC05RTEyLTRENEUtQTUzRC0wQTFEMzI5QTc3MzAtMTo4YWU2MTEzYmZiYmU3N2RjZmUzOWQ0NzlkMzQ5YmI1ZTox</t>
        </is>
      </c>
      <c r="AH147"/>
      <c r="AI147"/>
      <c r="AJ147"/>
      <c r="AK147"/>
    </row>
    <row r="148" ht="25.5" customHeight="1">
      <c r="A148" s="2" t="str">
        <f>=HYPERLINK("https://applink.larksuite.com/client/mini_program/open?appId=cli_9c7cc8a9a9edd105&amp;mode=appCenter&amp;path_pc=pc/pages/requested/index?instanceId=7514161046689447974&amp;source=bitable&amp;path=pages/detail/index?instanceId=7514161046689447974&amp;source=bitable", "202506100037")</f>
        <v>202506100037</v>
      </c>
      <c r="B148" t="inlineStr">
        <is>
          <t>Approved</t>
        </is>
      </c>
      <c r="C148" t="inlineStr">
        <is>
          <t>Procurement Order</t>
        </is>
      </c>
      <c r="D148" s="3">
        <v>45818.48788194444</v>
      </c>
      <c r="E148" s="3">
        <v>45825.57114583333</v>
      </c>
      <c r="F148" t="inlineStr">
        <is>
          <t>Fatima Kathleen M. FLores</t>
        </is>
      </c>
      <c r="G148" t="inlineStr">
        <is>
          <t>Procurement</t>
        </is>
      </c>
      <c r="H148"/>
      <c r="I148"/>
      <c r="J148" t="inlineStr">
        <is>
          <t>Project</t>
        </is>
      </c>
      <c r="K148" t="inlineStr">
        <is>
          <t>PDEI - Game Marketing</t>
        </is>
      </c>
      <c r="L148" t="inlineStr">
        <is>
          <t>realme Cup</t>
        </is>
      </c>
      <c r="M148" t="inlineStr">
        <is>
          <t>2025TEG-P0094</t>
        </is>
      </c>
      <c r="N148" t="inlineStr">
        <is>
          <t>Anteaus Villena</t>
        </is>
      </c>
      <c r="O148" t="inlineStr">
        <is>
          <t>202505280040-Anteaus Villena-费用报销 - 副本 - 副本 - 副本-2025-05-28 04:58:10</t>
        </is>
      </c>
      <c r="P148" t="inlineStr">
        <is>
          <t>YES</t>
        </is>
      </c>
      <c r="Q148"/>
      <c r="R148" t="inlineStr">
        <is>
          <t>YES</t>
        </is>
      </c>
      <c r="S148" t="inlineStr">
        <is>
          <t>Outsourced Vision Mixer</t>
        </is>
      </c>
      <c r="T148">
        <v>1</v>
      </c>
      <c r="U148">
        <v>2500</v>
      </c>
      <c r="V148" t="inlineStr">
        <is>
          <t>PHP</t>
        </is>
      </c>
      <c r="W148">
        <v>2500</v>
      </c>
      <c r="X148" s="2" t="str">
        <f>=HYPERLINK("https://www.larksuite.com/approval/admin/previewAttachment?key=PMgxDsJQDAPQKzmJf_zNZVhaVTAwIVGWf3Ykhq6vZ6DniGqDjjRiaQSjA-yeJmVx5QrJULS19tdxP1mbKr8nnunB9Xlsx_6OYWVCRdYEELfLSyTtJv6OXwAAAP__", "2 attachment(s)")</f>
        <v>2 attachment(s)</v>
      </c>
      <c r="Y148" t="inlineStr">
        <is>
          <t>Bank Transfer</t>
        </is>
      </c>
      <c r="Z148" t="inlineStr">
        <is>
          <t>Karl Kristian C. Durante</t>
        </is>
      </c>
      <c r="AA148" t="inlineStr">
        <is>
          <t>0003 3054 9030</t>
        </is>
      </c>
      <c r="AB148" t="inlineStr">
        <is>
          <t>BDO</t>
        </is>
      </c>
      <c r="AC148" t="inlineStr">
        <is>
          <t>21/23 Emerald Street, Marikit Subdivision, Concepcion Uno, Marikina City</t>
        </is>
      </c>
      <c r="AD148" s="4">
        <v>45815</v>
      </c>
      <c r="AE148" t="inlineStr">
        <is>
          <t>100% Full Payment - June 20, 2025</t>
        </is>
      </c>
      <c r="AF148" s="2"/>
      <c r="AG148" t="inlineStr">
        <is>
          <t>NzQyNTk5MTgyNzQ4MTg3MDM0MTo3QzU1QTcyOC1FOTE5LTQyQ0EtQjQyMy0yNzQwMkRDQTAyMUQtMTpmYmEzMmE2MWEzZjNjZjE1Zjg0ZDg4ZmViYTIwMTc3YTox</t>
        </is>
      </c>
      <c r="AH148"/>
      <c r="AI148"/>
      <c r="AJ148"/>
      <c r="AK148"/>
    </row>
    <row r="149" ht="25.5" customHeight="1">
      <c r="A149" s="2" t="str">
        <f>=HYPERLINK("https://applink.larksuite.com/client/mini_program/open?appId=cli_9c7cc8a9a9edd105&amp;mode=appCenter&amp;path_pc=pc/pages/requested/index?instanceId=7514164678629589031&amp;source=bitable&amp;path=pages/detail/index?instanceId=7514164678629589031&amp;source=bitable", "202506100039")</f>
        <v>202506100039</v>
      </c>
      <c r="B149" t="inlineStr">
        <is>
          <t>Approved</t>
        </is>
      </c>
      <c r="C149" t="inlineStr">
        <is>
          <t>Procurement Order</t>
        </is>
      </c>
      <c r="D149" s="3">
        <v>45818.497662037036</v>
      </c>
      <c r="E149" s="3">
        <v>45819.50320601852</v>
      </c>
      <c r="F149" t="inlineStr">
        <is>
          <t>Fatima Kathleen M. FLores</t>
        </is>
      </c>
      <c r="G149" t="inlineStr">
        <is>
          <t>Procurement</t>
        </is>
      </c>
      <c r="H149"/>
      <c r="I149"/>
      <c r="J149" t="inlineStr">
        <is>
          <t>Project</t>
        </is>
      </c>
      <c r="K149" t="inlineStr">
        <is>
          <t>PDEI - Game Marketing</t>
        </is>
      </c>
      <c r="L149" t="inlineStr">
        <is>
          <t>realme Cup</t>
        </is>
      </c>
      <c r="M149" t="inlineStr">
        <is>
          <t>2025TEG-P0094</t>
        </is>
      </c>
      <c r="N149" t="inlineStr">
        <is>
          <t>Anteaus Villena</t>
        </is>
      </c>
      <c r="O149" t="inlineStr">
        <is>
          <t>202506040043-Anteaus Villena-费用报销 - 副本 - 副本 - 副本-2025-06-04 05:47:00</t>
        </is>
      </c>
      <c r="P149" t="inlineStr">
        <is>
          <t>YES</t>
        </is>
      </c>
      <c r="Q149"/>
      <c r="R149" t="inlineStr">
        <is>
          <t>YES</t>
        </is>
      </c>
      <c r="S149" t="inlineStr">
        <is>
          <t>Outsourced Motion Graphic Artist</t>
        </is>
      </c>
      <c r="T149">
        <v>1</v>
      </c>
      <c r="U149">
        <v>55600</v>
      </c>
      <c r="V149" t="inlineStr">
        <is>
          <t>PHP</t>
        </is>
      </c>
      <c r="W149">
        <v>55600</v>
      </c>
      <c r="X149" s="2" t="str">
        <f>=HYPERLINK("https://www.larksuite.com/approval/admin/previewAttachment?key=PMgrDoIxEATgK-3sazpcBkPTYKgh_K5nJ0Fgvx6wHoVoWQouw2Eh0dkc7aohCxw_IGVEi2e-1n2Gr1374keLu871fKz5RonuxsiMYWa4_T2YmVKn_dy-AQAA__8", "2 attachment(s)")</f>
        <v>2 attachment(s)</v>
      </c>
      <c r="Y149" t="inlineStr">
        <is>
          <t>Bank Transfer</t>
        </is>
      </c>
      <c r="Z149" t="inlineStr">
        <is>
          <t>Jeric Angelo C. Asinas</t>
        </is>
      </c>
      <c r="AA149" t="inlineStr">
        <is>
          <t>4519301747</t>
        </is>
      </c>
      <c r="AB149" t="inlineStr">
        <is>
          <t>BPI</t>
        </is>
      </c>
      <c r="AC149" t="inlineStr">
        <is>
          <t>1723 Lirio St. Camarin, Brgy 174 Caloocan City</t>
        </is>
      </c>
      <c r="AD149" s="4">
        <v>45809</v>
      </c>
      <c r="AE149" t="inlineStr">
        <is>
          <t>1st Payment - June 13, 2025
Final Payment - June 20, 2025</t>
        </is>
      </c>
      <c r="AF149" s="2"/>
      <c r="AG149" t="inlineStr">
        <is>
          <t>NzQyNTk5MTgyNzQ4MTg3MDM0MTo0QTdGQjg1MC1CMDM4LTRBQTMtOUJDQy00NTFBNTdEMjk4MzYtMTo4YzBkMjM1OGY2Mjc2YzNiMTc3ODIyMDQ4NTBjMmRkZjox</t>
        </is>
      </c>
      <c r="AH149"/>
      <c r="AI149"/>
      <c r="AJ149"/>
      <c r="AK149"/>
    </row>
    <row r="150" ht="25.5" customHeight="1">
      <c r="A150" s="2" t="str">
        <f>=HYPERLINK("https://applink.larksuite.com/client/mini_program/open?appId=cli_9c7cc8a9a9edd105&amp;mode=appCenter&amp;path_pc=pc/pages/requested/index?instanceId=7514171288269652007&amp;source=bitable&amp;path=pages/detail/index?instanceId=7514171288269652007&amp;source=bitable", "202506100041")</f>
        <v>202506100041</v>
      </c>
      <c r="B150" t="inlineStr">
        <is>
          <t>Approved</t>
        </is>
      </c>
      <c r="C150" t="inlineStr">
        <is>
          <t>Procurement Order</t>
        </is>
      </c>
      <c r="D150" s="3">
        <v>45818.51547453704</v>
      </c>
      <c r="E150" s="3">
        <v>45818.64978009259</v>
      </c>
      <c r="F150" t="inlineStr">
        <is>
          <t>Fatima Kathleen M. FLores</t>
        </is>
      </c>
      <c r="G150" t="inlineStr">
        <is>
          <t>Procurement</t>
        </is>
      </c>
      <c r="H150"/>
      <c r="I150"/>
      <c r="J150" t="inlineStr">
        <is>
          <t>Project</t>
        </is>
      </c>
      <c r="K150" t="inlineStr">
        <is>
          <t>PDEI - Game Marketing</t>
        </is>
      </c>
      <c r="L150" t="inlineStr">
        <is>
          <t>HOK Invitational S3</t>
        </is>
      </c>
      <c r="M150" t="inlineStr">
        <is>
          <t>2025TEG-P0027</t>
        </is>
      </c>
      <c r="N150" t="inlineStr">
        <is>
          <t>Anteaus Villena</t>
        </is>
      </c>
      <c r="O150" t="inlineStr">
        <is>
          <t>202506030043-Anteaus Villena-费用报销 - 副本 - 副本 - 副本-2025-06-03 06:28:26</t>
        </is>
      </c>
      <c r="P150" t="inlineStr">
        <is>
          <t>NO</t>
        </is>
      </c>
      <c r="Q150"/>
      <c r="R150" t="inlineStr">
        <is>
          <t>NO</t>
        </is>
      </c>
      <c r="S150" t="inlineStr">
        <is>
          <t>Trophy Fabrication</t>
        </is>
      </c>
      <c r="T150">
        <v>1</v>
      </c>
      <c r="U150">
        <v>5291.96</v>
      </c>
      <c r="V150" t="inlineStr">
        <is>
          <t>USD</t>
        </is>
      </c>
      <c r="W150">
        <v>5291.96</v>
      </c>
      <c r="X150" s="2" t="str">
        <f>=HYPERLINK("https://www.larksuite.com/approval/admin/previewAttachment?key=PMgxCsJQEATQK83s37-z42VsDEECQkBM988uWNi-aqJ6cpSRZhhcmkyK0R3lmgFoxaJkiGWt7bXffXSc7PxccQaPdT0f-_bmtCKgkTkaAG9_H8pMuxI_xzcAAP__", "4 attachment(s)")</f>
        <v>4 attachment(s)</v>
      </c>
      <c r="Y150" t="inlineStr">
        <is>
          <t>Bank Transfer</t>
        </is>
      </c>
      <c r="Z150" t="inlineStr">
        <is>
          <t>Beijing Fu lu shou xi lai yi shu she ji limited</t>
        </is>
      </c>
      <c r="AA150" t="inlineStr">
        <is>
          <t>0200012709066193016 / Swift Code: ICBKCNBJBJM</t>
        </is>
      </c>
      <c r="AB150" t="inlineStr">
        <is>
          <t>Industrial and Commercial Bank of China</t>
        </is>
      </c>
      <c r="AC150" t="inlineStr">
        <is>
          <t>R208, Building A1, Jiukeshu Jiacheng Cultural &amp; Creative Industry Park, No.436, Jiukeshu East Road, Tongzhou District, Beijing</t>
        </is>
      </c>
      <c r="AD150" s="4">
        <v>45758</v>
      </c>
      <c r="AE150" t="inlineStr">
        <is>
          <t>100% Full Payment</t>
        </is>
      </c>
      <c r="AF150" s="2"/>
      <c r="AG150" t="inlineStr">
        <is>
          <t>NzQyNTk5MTgyNzQ4MTg3MDM0MTpBOTNEMDI3RC1ENjRFLTRFRTgtOEFBQi1BMkRBNDQ5MDY3QjYtMTowNDZhMWZjZjZkYTAzNWE1MWRjYzJmMTE3NWM3ZmZjNDox</t>
        </is>
      </c>
      <c r="AH150"/>
      <c r="AI150"/>
      <c r="AJ150"/>
      <c r="AK150"/>
    </row>
    <row r="151" ht="25.5" customHeight="1">
      <c r="A151" s="2" t="str">
        <f>=HYPERLINK("https://applink.larksuite.com/client/mini_program/open?appId=cli_9c7cc8a9a9edd105&amp;mode=appCenter&amp;path_pc=pc/pages/requested/index?instanceId=7514175951903784991&amp;source=bitable&amp;path=pages/detail/index?instanceId=7514175951903784991&amp;source=bitable", "202506100042")</f>
        <v>202506100042</v>
      </c>
      <c r="B151" t="inlineStr">
        <is>
          <t>Approved</t>
        </is>
      </c>
      <c r="C151" t="inlineStr">
        <is>
          <t>Procurement Order</t>
        </is>
      </c>
      <c r="D151" s="3">
        <v>45818.52804398148</v>
      </c>
      <c r="E151" s="3">
        <v>45818.64575231481</v>
      </c>
      <c r="F151" t="inlineStr">
        <is>
          <t>Fatima Kathleen M. FLores</t>
        </is>
      </c>
      <c r="G151" t="inlineStr">
        <is>
          <t>Procurement</t>
        </is>
      </c>
      <c r="H151"/>
      <c r="I151"/>
      <c r="J151" t="inlineStr">
        <is>
          <t>Project</t>
        </is>
      </c>
      <c r="K151" t="inlineStr">
        <is>
          <t>PDEI - Event Service</t>
        </is>
      </c>
      <c r="L151" t="inlineStr">
        <is>
          <t>GTCC Summer Showdown</t>
        </is>
      </c>
      <c r="M151" t="inlineStr">
        <is>
          <t>2025TEG-P0040</t>
        </is>
      </c>
      <c r="N151" t="inlineStr">
        <is>
          <t>Frances Angelita Arreglado</t>
        </is>
      </c>
      <c r="O151" t="inlineStr">
        <is>
          <t>202506030100-Frances Angelita Arreglado-费用报销 - 副本 - 副本 - 副本-2025-06-03 08:58:03</t>
        </is>
      </c>
      <c r="P151" t="inlineStr">
        <is>
          <t>NO</t>
        </is>
      </c>
      <c r="Q151"/>
      <c r="R151" t="inlineStr">
        <is>
          <t>NO</t>
        </is>
      </c>
      <c r="S151" t="inlineStr">
        <is>
          <t>Rental of Round Tables (4ft with black cover / 5 days)</t>
        </is>
      </c>
      <c r="T151">
        <v>12</v>
      </c>
      <c r="U151">
        <v>1000</v>
      </c>
      <c r="V151" t="inlineStr">
        <is>
          <t>PHP</t>
        </is>
      </c>
      <c r="W151">
        <v>12000</v>
      </c>
      <c r="X151" s="2"/>
      <c r="Y151" t="inlineStr">
        <is>
          <t>Bank Transfer</t>
        </is>
      </c>
      <c r="Z151" t="inlineStr">
        <is>
          <t>SPE Events Management And Services Party Needs Rental</t>
        </is>
      </c>
      <c r="AA151" t="inlineStr">
        <is>
          <t>141102017588</t>
        </is>
      </c>
      <c r="AB151" t="inlineStr">
        <is>
          <t>China Bank Corporation</t>
        </is>
      </c>
      <c r="AC151" t="inlineStr">
        <is>
          <t>Quezon City</t>
        </is>
      </c>
      <c r="AD151" s="4">
        <v>45819</v>
      </c>
      <c r="AE151" t="inlineStr">
        <is>
          <t>100% Full Payment upon completion of services</t>
        </is>
      </c>
      <c r="AF151" s="2"/>
      <c r="AG151" t="inlineStr">
        <is>
          <t>NzQyNTk5MTgyNzQ4MTg3MDM0MToxQTY1QjNEQy1CNjE0LTRBQ0EtQjZERC01RDBBQkY5MThFMzUtMTpjZTY0NzdiZTI5YjRiNzA2YmMxMTQ5YzFiNGU3MzU0Njox</t>
        </is>
      </c>
      <c r="AH151"/>
      <c r="AI151"/>
      <c r="AJ151"/>
      <c r="AK151"/>
    </row>
    <row r="152" ht="25.5" customHeight="1">
      <c r="A152" s="2" t="str">
        <f>=HYPERLINK("https://applink.larksuite.com/client/mini_program/open?appId=cli_9c7cc8a9a9edd105&amp;mode=appCenter&amp;path_pc=pc/pages/requested/index?instanceId=7514175951903784991&amp;source=bitable&amp;path=pages/detail/index?instanceId=7514175951903784991&amp;source=bitable", "202506100042")</f>
        <v>202506100042</v>
      </c>
      <c r="B152" t="inlineStr">
        <is>
          <t>Approved</t>
        </is>
      </c>
      <c r="C152" t="inlineStr">
        <is>
          <t>Procurement Order</t>
        </is>
      </c>
      <c r="D152" s="3">
        <v>45818.52804398148</v>
      </c>
      <c r="E152" s="3">
        <v>45818.64575231481</v>
      </c>
      <c r="F152" t="inlineStr">
        <is>
          <t>Fatima Kathleen M. FLores</t>
        </is>
      </c>
      <c r="G152" t="inlineStr">
        <is>
          <t>Procurement</t>
        </is>
      </c>
      <c r="H152"/>
      <c r="I152"/>
      <c r="J152" t="inlineStr">
        <is>
          <t>Project</t>
        </is>
      </c>
      <c r="K152" t="inlineStr">
        <is>
          <t>PDEI - Event Service</t>
        </is>
      </c>
      <c r="L152" t="inlineStr">
        <is>
          <t>GTCC Summer Showdown</t>
        </is>
      </c>
      <c r="M152" t="inlineStr">
        <is>
          <t>2025TEG-P0040</t>
        </is>
      </c>
      <c r="N152" t="inlineStr">
        <is>
          <t>Frances Angelita Arreglado</t>
        </is>
      </c>
      <c r="O152" t="inlineStr">
        <is>
          <t>202506030100-Frances Angelita Arreglado-费用报销 - 副本 - 副本 - 副本-2025-06-03 08:58:03</t>
        </is>
      </c>
      <c r="P152" t="inlineStr">
        <is>
          <t>NO</t>
        </is>
      </c>
      <c r="Q152"/>
      <c r="R152" t="inlineStr">
        <is>
          <t>NO</t>
        </is>
      </c>
      <c r="S152" t="inlineStr">
        <is>
          <t>Rental of Red Cloth Topper (5 days)</t>
        </is>
      </c>
      <c r="T152">
        <v>12</v>
      </c>
      <c r="U152">
        <v>500</v>
      </c>
      <c r="V152" t="inlineStr">
        <is>
          <t>PHP</t>
        </is>
      </c>
      <c r="W152">
        <v>6000</v>
      </c>
      <c r="X152" s="2"/>
      <c r="Y152"/>
      <c r="Z152"/>
      <c r="AA152"/>
      <c r="AB152"/>
      <c r="AC152"/>
      <c r="AD152" s="4"/>
      <c r="AE152"/>
      <c r="AF152" s="2"/>
      <c r="AG152" t="inlineStr">
        <is>
          <t>NzQyNTk5MTgyNzQ4MTg3MDM0MToxQTY1QjNEQy1CNjE0LTRBQ0EtQjZERC01RDBBQkY5MThFMzUtMjoyMGI2YmUzOWJkMmNhYzhmY2I0YWIxOWNlMDM3ODhjZjox</t>
        </is>
      </c>
      <c r="AH152"/>
      <c r="AI152"/>
      <c r="AJ152"/>
      <c r="AK152"/>
    </row>
    <row r="153" ht="25.5" customHeight="1">
      <c r="A153" s="2" t="str">
        <f>=HYPERLINK("https://applink.larksuite.com/client/mini_program/open?appId=cli_9c7cc8a9a9edd105&amp;mode=appCenter&amp;path_pc=pc/pages/requested/index?instanceId=7514175951903784991&amp;source=bitable&amp;path=pages/detail/index?instanceId=7514175951903784991&amp;source=bitable", "202506100042")</f>
        <v>202506100042</v>
      </c>
      <c r="B153" t="inlineStr">
        <is>
          <t>Approved</t>
        </is>
      </c>
      <c r="C153" t="inlineStr">
        <is>
          <t>Procurement Order</t>
        </is>
      </c>
      <c r="D153" s="3">
        <v>45818.52804398148</v>
      </c>
      <c r="E153" s="3">
        <v>45818.64575231481</v>
      </c>
      <c r="F153" t="inlineStr">
        <is>
          <t>Fatima Kathleen M. FLores</t>
        </is>
      </c>
      <c r="G153" t="inlineStr">
        <is>
          <t>Procurement</t>
        </is>
      </c>
      <c r="H153"/>
      <c r="I153"/>
      <c r="J153" t="inlineStr">
        <is>
          <t>Project</t>
        </is>
      </c>
      <c r="K153" t="inlineStr">
        <is>
          <t>PDEI - Event Service</t>
        </is>
      </c>
      <c r="L153" t="inlineStr">
        <is>
          <t>GTCC Summer Showdown</t>
        </is>
      </c>
      <c r="M153" t="inlineStr">
        <is>
          <t>2025TEG-P0040</t>
        </is>
      </c>
      <c r="N153" t="inlineStr">
        <is>
          <t>Frances Angelita Arreglado</t>
        </is>
      </c>
      <c r="O153" t="inlineStr">
        <is>
          <t>202506030100-Frances Angelita Arreglado-费用报销 - 副本 - 副本 - 副本-2025-06-03 08:58:03</t>
        </is>
      </c>
      <c r="P153" t="inlineStr">
        <is>
          <t>NO</t>
        </is>
      </c>
      <c r="Q153"/>
      <c r="R153" t="inlineStr">
        <is>
          <t>NO</t>
        </is>
      </c>
      <c r="S153" t="inlineStr">
        <is>
          <t>Delivery Fee</t>
        </is>
      </c>
      <c r="T153">
        <v>1</v>
      </c>
      <c r="U153">
        <v>2000</v>
      </c>
      <c r="V153" t="inlineStr">
        <is>
          <t>PHP</t>
        </is>
      </c>
      <c r="W153">
        <v>2000</v>
      </c>
      <c r="X153" s="2" t="str">
        <f>=HYPERLINK("https://www.larksuite.com/approval/admin/previewAttachment?key=PMgxrgIxEAPQK9mZmTj-l_kN0QqkLA1iu5wdiYL29UH0UYxupNkMbhWTKheN0Eibu21KhtitPc_jf9W6gs_HOybXOfd1vx3zxbJagyIzBgD-_TyUmXZPfL19AgAA__8", "2 attachment(s)")</f>
        <v>2 attachment(s)</v>
      </c>
      <c r="Y153"/>
      <c r="Z153"/>
      <c r="AA153"/>
      <c r="AB153"/>
      <c r="AC153"/>
      <c r="AD153" s="4"/>
      <c r="AE153"/>
      <c r="AF153" s="2"/>
      <c r="AG153" t="inlineStr">
        <is>
          <t>NzQyNTk5MTgyNzQ4MTg3MDM0MToxQTY1QjNEQy1CNjE0LTRBQ0EtQjZERC01RDBBQkY5MThFMzUtMzphMDFhMzc2Zjc1ZDYxODNlMjU1NTA4OTgzMGYyNWY2NDox</t>
        </is>
      </c>
      <c r="AH153"/>
      <c r="AI153"/>
      <c r="AJ153"/>
      <c r="AK153"/>
    </row>
    <row r="154" ht="25.5" customHeight="1">
      <c r="A154" s="2" t="str">
        <f>=HYPERLINK("https://applink.larksuite.com/client/mini_program/open?appId=cli_9c7cc8a9a9edd105&amp;mode=appCenter&amp;path_pc=pc/pages/requested/index?instanceId=7514204266945413151&amp;source=bitable&amp;path=pages/detail/index?instanceId=7514204266945413151&amp;source=bitable", "202506100068")</f>
        <v>202506100068</v>
      </c>
      <c r="B154" t="inlineStr">
        <is>
          <t>Approved</t>
        </is>
      </c>
      <c r="C154" t="inlineStr">
        <is>
          <t>Procurement Order</t>
        </is>
      </c>
      <c r="D154" s="3">
        <v>45818.60435185185</v>
      </c>
      <c r="E154" s="3">
        <v>45819.509351851855</v>
      </c>
      <c r="F154" t="inlineStr">
        <is>
          <t>Fatima Kathleen M. FLores</t>
        </is>
      </c>
      <c r="G154" t="inlineStr">
        <is>
          <t>Procurement</t>
        </is>
      </c>
      <c r="H154"/>
      <c r="I154"/>
      <c r="J154" t="inlineStr">
        <is>
          <t>Project</t>
        </is>
      </c>
      <c r="K154" t="inlineStr">
        <is>
          <t>PDEI - Event Service</t>
        </is>
      </c>
      <c r="L154" t="inlineStr">
        <is>
          <t>GTCC Summer Showdown</t>
        </is>
      </c>
      <c r="M154" t="inlineStr">
        <is>
          <t>2025TEG-P0040</t>
        </is>
      </c>
      <c r="N154" t="inlineStr">
        <is>
          <t>Frances Angelita Arreglado</t>
        </is>
      </c>
      <c r="O154" t="inlineStr">
        <is>
          <t>202506030098-Frances Angelita Arreglado-费用报销 - 副本 - 副本 - 副本-2025-06-03 08:53:42</t>
        </is>
      </c>
      <c r="P154" t="inlineStr">
        <is>
          <t>NO</t>
        </is>
      </c>
      <c r="Q154"/>
      <c r="R154" t="inlineStr">
        <is>
          <t>YES</t>
        </is>
      </c>
      <c r="S154" t="inlineStr">
        <is>
          <t>TTRacing Duo V3 Gaming Chair - Black</t>
        </is>
      </c>
      <c r="T154">
        <v>45</v>
      </c>
      <c r="U154">
        <v>4650.6831</v>
      </c>
      <c r="V154" t="inlineStr">
        <is>
          <t>PHP</t>
        </is>
      </c>
      <c r="W154">
        <v>209280.74</v>
      </c>
      <c r="X154" s="2" t="str">
        <f>=HYPERLINK("https://www.larksuite.com/approval/admin/previewAttachment?key=PMgxCgJRDATQK80kk-THy9i4LDaCIH5scnbBwvblInIFPRtqWoNTQRlkma0QncGxYVWjmF1zPM6r7fWpp9wA-jtm32_n8WJ0maFc8gWAl797SepO4ef4BgAA__8", "2 attachment(s)")</f>
        <v>2 attachment(s)</v>
      </c>
      <c r="Y154" t="inlineStr">
        <is>
          <t>Bank Transfer</t>
        </is>
      </c>
      <c r="Z154" t="inlineStr">
        <is>
          <t>CLICKGAMING DISTRIBUTION GROUP PHILIPPINES OPC</t>
        </is>
      </c>
      <c r="AA154" t="inlineStr">
        <is>
          <t>1413009576</t>
        </is>
      </c>
      <c r="AB154" t="inlineStr">
        <is>
          <t>BPI</t>
        </is>
      </c>
      <c r="AC154" t="inlineStr">
        <is>
          <t>5/F Phinma Plaza, 39 Plaza Drive Rockwell Center, Poblacion 1210 City of Makati</t>
        </is>
      </c>
      <c r="AD154" s="4">
        <v>45818</v>
      </c>
      <c r="AE154" t="inlineStr">
        <is>
          <t>- 50% DP for Stocks Reservation
- 50% Balance (1 Day before Scheduled Delivery)</t>
        </is>
      </c>
      <c r="AF154" s="2" t="str">
        <f>=HYPERLINK("https://www.larksuite.com/approval/admin/previewAttachment?key=TMg7CgJBEATQK1X1d8rLmLgsJoIgDiZ9dsHI9NUiaiW9hBBN4HQyDGFVigw6k2PDbqFZ6jke59X2-vQz3AD6O2ffb-fxYi0vhDKCAsDLn5PQ8vKf4xsAAP__", "2 attachment(s)")</f>
        <v>2 attachment(s)</v>
      </c>
      <c r="AG154" t="inlineStr">
        <is>
          <t>NzQyNTk5MTgyNzQ4MTg3MDM0MTozMEFDMjIyNC1FMjI1LTRGRjUtQjMyQS01NjU4N0JEQkM2MTgtMToyYzEwZDMyZDEyNWRmM2U3ZWY4Y2Y0NDE3YjI5MGEyODox</t>
        </is>
      </c>
      <c r="AH154"/>
      <c r="AI154"/>
      <c r="AJ154"/>
      <c r="AK154"/>
    </row>
    <row r="155" ht="25.5" customHeight="1">
      <c r="A155" s="2" t="str">
        <f>=HYPERLINK("https://applink.larksuite.com/client/mini_program/open?appId=cli_9c7cc8a9a9edd105&amp;mode=appCenter&amp;path_pc=pc/pages/requested/index?instanceId=7514544585935241247&amp;source=bitable&amp;path=pages/detail/index?instanceId=7514544585935241247&amp;source=bitable", "202506110031")</f>
        <v>202506110031</v>
      </c>
      <c r="B155" t="inlineStr">
        <is>
          <t>Recalled</t>
        </is>
      </c>
      <c r="C155" t="inlineStr">
        <is>
          <t>Procurement Order</t>
        </is>
      </c>
      <c r="D155" s="3">
        <v>45819.52143518518</v>
      </c>
      <c r="E155" s="3">
        <v>45828.44069444444</v>
      </c>
      <c r="F155" t="inlineStr">
        <is>
          <t>Fatima Kathleen M. FLores</t>
        </is>
      </c>
      <c r="G155" t="inlineStr">
        <is>
          <t>Procurement</t>
        </is>
      </c>
      <c r="H155"/>
      <c r="I155"/>
      <c r="J155" t="inlineStr">
        <is>
          <t>Project</t>
        </is>
      </c>
      <c r="K155" t="inlineStr">
        <is>
          <t>PDEI - Event Service</t>
        </is>
      </c>
      <c r="L155" t="inlineStr">
        <is>
          <t>GTCC Summer Showdown</t>
        </is>
      </c>
      <c r="M155" t="inlineStr">
        <is>
          <t>2025TEG-P0040</t>
        </is>
      </c>
      <c r="N155" t="inlineStr">
        <is>
          <t>Frances Angelita Arreglado</t>
        </is>
      </c>
      <c r="O155" t="inlineStr">
        <is>
          <t>202506030053-Frances Angelita Arreglado-费用报销 - 副本 - 副本 - 副本-2025-06-03 06:57:15</t>
        </is>
      </c>
      <c r="P155" t="inlineStr">
        <is>
          <t>NO</t>
        </is>
      </c>
      <c r="Q155"/>
      <c r="R155" t="inlineStr">
        <is>
          <t>YES</t>
        </is>
      </c>
      <c r="S155" t="inlineStr">
        <is>
          <t>Outsourced Technical Services</t>
        </is>
      </c>
      <c r="T155">
        <v>1</v>
      </c>
      <c r="U155">
        <v>4600000</v>
      </c>
      <c r="V155" t="inlineStr">
        <is>
          <t>PHP</t>
        </is>
      </c>
      <c r="W155">
        <v>4600000</v>
      </c>
      <c r="X155" s="2" t="str">
        <f>=HYPERLINK("https://www.larksuite.com/approval/admin/previewAttachment?key=PMgxCkIxEATQK83uzmQzXsbmh48WwgfBLmcXLGzfmIExFTUMOtKI3QqK1JRLyUj2zh3dRsdw7_U676h5LOqpy-vUtT-P41zvkDsTXWRNAHH7ezVJexA_xzcAAP__", "2 attachment(s)")</f>
        <v>2 attachment(s)</v>
      </c>
      <c r="Y155" t="inlineStr">
        <is>
          <t>Bank Transfer</t>
        </is>
      </c>
      <c r="Z155" t="inlineStr">
        <is>
          <t>XSTATIC EVENT SYSTEM INC.</t>
        </is>
      </c>
      <c r="AA155" t="inlineStr">
        <is>
          <t>011728001773</t>
        </is>
      </c>
      <c r="AB155" t="inlineStr">
        <is>
          <t>BDO</t>
        </is>
      </c>
      <c r="AC155" t="inlineStr">
        <is>
          <t>Blk. 15 Lot 26 BF Martinville Las Piñas City</t>
        </is>
      </c>
      <c r="AD155" s="4">
        <v>45817</v>
      </c>
      <c r="AE155" t="inlineStr">
        <is>
          <t>100% Full Payment upon confirmation</t>
        </is>
      </c>
      <c r="AF155" s="2"/>
      <c r="AG155" t="inlineStr">
        <is>
          <t>NzQyNTk5MTgyNzQ4MTg3MDM0MTo1Q0I2RjI5NC1DN0NELTQyRjQtOUMwNS01RTgyMTYwRDBCQzktMTpiNTc0YWRkYjFkMGEyYzY3YmRjMzI1NTA2YzFlZGU1Yjox</t>
        </is>
      </c>
      <c r="AH155"/>
      <c r="AI155"/>
      <c r="AJ155"/>
      <c r="AK155"/>
    </row>
    <row r="156" ht="25.5" customHeight="1">
      <c r="A156" s="2" t="str">
        <f>=HYPERLINK("https://applink.larksuite.com/client/mini_program/open?appId=cli_9c7cc8a9a9edd105&amp;mode=appCenter&amp;path_pc=pc/pages/requested/index?instanceId=7514581264058384422&amp;source=bitable&amp;path=pages/detail/index?instanceId=7514581264058384422&amp;source=bitable", "202506110045")</f>
        <v>202506110045</v>
      </c>
      <c r="B156" t="inlineStr">
        <is>
          <t>Approved</t>
        </is>
      </c>
      <c r="C156" t="inlineStr">
        <is>
          <t>Procurement Order</t>
        </is>
      </c>
      <c r="D156" s="3">
        <v>45819.62027777778</v>
      </c>
      <c r="E156" s="3">
        <v>45825.57530092593</v>
      </c>
      <c r="F156" t="inlineStr">
        <is>
          <t>Fatima Kathleen M. FLores</t>
        </is>
      </c>
      <c r="G156" t="inlineStr">
        <is>
          <t>Procurement</t>
        </is>
      </c>
      <c r="H156"/>
      <c r="I156"/>
      <c r="J156" t="inlineStr">
        <is>
          <t>Project</t>
        </is>
      </c>
      <c r="K156" t="inlineStr">
        <is>
          <t>PDEI - Event Service</t>
        </is>
      </c>
      <c r="L156" t="inlineStr">
        <is>
          <t>MDL PH S5 - Playoffs</t>
        </is>
      </c>
      <c r="M156" t="inlineStr">
        <is>
          <t>2025TEG-P0004</t>
        </is>
      </c>
      <c r="N156" t="inlineStr">
        <is>
          <t>Kervin</t>
        </is>
      </c>
      <c r="O156" t="inlineStr">
        <is>
          <t>202505160073-Kervin-费用报销 - 副本 - 副本 - 副本-2025-05-16 09:15:00</t>
        </is>
      </c>
      <c r="P156" t="inlineStr">
        <is>
          <t>YES</t>
        </is>
      </c>
      <c r="Q156"/>
      <c r="R156" t="inlineStr">
        <is>
          <t>YES</t>
        </is>
      </c>
      <c r="S156" t="inlineStr">
        <is>
          <t>Outsourced Talent / Host</t>
        </is>
      </c>
      <c r="T156">
        <v>1</v>
      </c>
      <c r="U156">
        <v>6000</v>
      </c>
      <c r="V156" t="inlineStr">
        <is>
          <t>PHP</t>
        </is>
      </c>
      <c r="W156">
        <v>6000</v>
      </c>
      <c r="X156" s="2" t="str">
        <f>=HYPERLINK("https://www.larksuite.com/approval/admin/previewAttachment?key=PMg7CgJBEATQK1V11_THy5jsMqjLRoJoMGcXDExfFBE16NFQ0xpcOahRtBBGeUlmyxYzG8noWvs5r4-z53lMv6M-x3tbr9s29ydHpxnSJS8AvPzdU1J3CD_HNwAA__8", "2 attachment(s)")</f>
        <v>2 attachment(s)</v>
      </c>
      <c r="Y156" t="inlineStr">
        <is>
          <t>Bank Transfer</t>
        </is>
      </c>
      <c r="Z156" t="inlineStr">
        <is>
          <t>Kurt Nathaniel M. Sumalinog</t>
        </is>
      </c>
      <c r="AA156" t="inlineStr">
        <is>
          <t>3919252684</t>
        </is>
      </c>
      <c r="AB156" t="inlineStr">
        <is>
          <t>BPI</t>
        </is>
      </c>
      <c r="AC156" t="inlineStr">
        <is>
          <t>402 One Libertad Place Domingo M Guevara St Brgy Mauway Mandaluyong City</t>
        </is>
      </c>
      <c r="AD156" s="4">
        <v>45795</v>
      </c>
      <c r="AE156" t="inlineStr">
        <is>
          <t>100% Full Payment - June 6, 2025</t>
        </is>
      </c>
      <c r="AF156" s="2"/>
      <c r="AG156" t="inlineStr">
        <is>
          <t>NzQyNTk5MTgyNzQ4MTg3MDM0MTpEN0E2MEZDMC0yNkVFLTQzN0QtQUYyNi04NzkxOTY2MEU1MDctMTo0YmY4MjMyYjg3YjFhM2RiMWM1YzUwMGYwMWM1MDc3ODox</t>
        </is>
      </c>
      <c r="AH156"/>
      <c r="AI156"/>
      <c r="AJ156"/>
      <c r="AK156"/>
    </row>
    <row r="157" ht="25.5" customHeight="1">
      <c r="A157" s="2" t="str">
        <f>=HYPERLINK("https://applink.larksuite.com/client/mini_program/open?appId=cli_9c7cc8a9a9edd105&amp;mode=appCenter&amp;path_pc=pc/pages/requested/index?instanceId=7514583396236967967&amp;source=bitable&amp;path=pages/detail/index?instanceId=7514583396236967967&amp;source=bitable", "202506110049")</f>
        <v>202506110049</v>
      </c>
      <c r="B157" t="inlineStr">
        <is>
          <t>Approved</t>
        </is>
      </c>
      <c r="C157" t="inlineStr">
        <is>
          <t>Procurement Order</t>
        </is>
      </c>
      <c r="D157" s="3">
        <v>45819.62603009259</v>
      </c>
      <c r="E157" s="3">
        <v>45819.651296296295</v>
      </c>
      <c r="F157" t="inlineStr">
        <is>
          <t>Fatima Kathleen M. FLores</t>
        </is>
      </c>
      <c r="G157" t="inlineStr">
        <is>
          <t>Procurement</t>
        </is>
      </c>
      <c r="H157"/>
      <c r="I157"/>
      <c r="J157" t="inlineStr">
        <is>
          <t>Project</t>
        </is>
      </c>
      <c r="K157" t="inlineStr">
        <is>
          <t>PDEI - Game Marketing</t>
        </is>
      </c>
      <c r="L157" t="inlineStr">
        <is>
          <t>GTCC Summer Showdown | KOL Campaign</t>
        </is>
      </c>
      <c r="M157" t="inlineStr">
        <is>
          <t>2025TEG-P0110</t>
        </is>
      </c>
      <c r="N157" t="inlineStr">
        <is>
          <t>Diana Lou Perocho Gosamo</t>
        </is>
      </c>
      <c r="O157" t="inlineStr">
        <is>
          <t>202505260119-Diana Lou Perocho Gosamo-费用报销 - 副本 - 副本 - 副本-2025-05-26 08:41:24</t>
        </is>
      </c>
      <c r="P157" t="inlineStr">
        <is>
          <t>YES</t>
        </is>
      </c>
      <c r="Q157"/>
      <c r="R157" t="inlineStr">
        <is>
          <t>NO</t>
        </is>
      </c>
      <c r="S157" t="inlineStr">
        <is>
          <t>Outsourced Talent / Performer</t>
        </is>
      </c>
      <c r="T157">
        <v>1</v>
      </c>
      <c r="U157">
        <v>77777.78</v>
      </c>
      <c r="V157" t="inlineStr">
        <is>
          <t>PHP</t>
        </is>
      </c>
      <c r="W157">
        <v>77777.78</v>
      </c>
      <c r="X157" s="2" t="str">
        <f>=HYPERLINK("https://www.larksuite.com/approval/admin/previewAttachment?key=PMgxCkJBDATQKyU7SSbjZWz8fIR1bQTBYs8uWNi-arfqdJQs5EPmm-mRDagGSkUV99hOyugl7mOdV6zGyp54zE_O537fb-fx8hTHMCICbWZ--TsYEVKF_dy-AQAA__8", "2 attachment(s)")</f>
        <v>2 attachment(s)</v>
      </c>
      <c r="Y157" t="inlineStr">
        <is>
          <t>Bank Transfer</t>
        </is>
      </c>
      <c r="Z157" t="inlineStr">
        <is>
          <t>Vicente Miguel N. Rivera</t>
        </is>
      </c>
      <c r="AA157" t="inlineStr">
        <is>
          <t>3329079057</t>
        </is>
      </c>
      <c r="AB157" t="inlineStr">
        <is>
          <t>BPI</t>
        </is>
      </c>
      <c r="AC157" t="inlineStr">
        <is>
          <t>207 Bogor Bldg. Bali Oasis 1, Marcos Highway, Pasig City</t>
        </is>
      </c>
      <c r="AD157" s="4">
        <v>45823</v>
      </c>
      <c r="AE157" t="inlineStr">
        <is>
          <t>100% Full Payment - June 20, 2025</t>
        </is>
      </c>
      <c r="AF157" s="2"/>
      <c r="AG157" t="inlineStr">
        <is>
          <t>NzQyNTk5MTgyNzQ4MTg3MDM0MToxQjFCNzIxOS1BREY4LTRBQzItOUI2Qi1DMzdGQzRCNzVCOTYtMTo3Y2E2MmY1Zjk3N2FkZGUzMTFhOWMxMDY4YjJlZGMzMjox</t>
        </is>
      </c>
      <c r="AH157"/>
      <c r="AI157"/>
      <c r="AJ157"/>
      <c r="AK157"/>
    </row>
    <row r="158" ht="25.5" customHeight="1">
      <c r="A158" s="2" t="str">
        <f>=HYPERLINK("https://applink.larksuite.com/client/mini_program/open?appId=cli_9c7cc8a9a9edd105&amp;mode=appCenter&amp;path_pc=pc/pages/requested/index?instanceId=7514589083638169632&amp;source=bitable&amp;path=pages/detail/index?instanceId=7514589083638169632&amp;source=bitable", "202506110054")</f>
        <v>202506110054</v>
      </c>
      <c r="B158" t="inlineStr">
        <is>
          <t>Approved</t>
        </is>
      </c>
      <c r="C158" t="inlineStr">
        <is>
          <t>Procurement Order</t>
        </is>
      </c>
      <c r="D158" s="3">
        <v>45819.64135416667</v>
      </c>
      <c r="E158" s="3">
        <v>45821.61704861111</v>
      </c>
      <c r="F158" t="inlineStr">
        <is>
          <t>Fatima Kathleen M. FLores</t>
        </is>
      </c>
      <c r="G158" t="inlineStr">
        <is>
          <t>Procurement</t>
        </is>
      </c>
      <c r="H158"/>
      <c r="I158"/>
      <c r="J158" t="inlineStr">
        <is>
          <t>Project</t>
        </is>
      </c>
      <c r="K158" t="inlineStr">
        <is>
          <t>PDEI - Event Service</t>
        </is>
      </c>
      <c r="L158" t="inlineStr">
        <is>
          <t>UAAP Esports S87 2025 - Player Peripherals</t>
        </is>
      </c>
      <c r="M158" t="inlineStr">
        <is>
          <t>2025TEG-P0068</t>
        </is>
      </c>
      <c r="N158" t="inlineStr">
        <is>
          <t>Frances Angelita Arreglado</t>
        </is>
      </c>
      <c r="O158" t="inlineStr">
        <is>
          <t>202506030103-Frances Angelita Arreglado-费用报销 - 副本 - 副本 - 副本-2025-06-03 09:19:03</t>
        </is>
      </c>
      <c r="P158" t="inlineStr">
        <is>
          <t>YES</t>
        </is>
      </c>
      <c r="Q158"/>
      <c r="R158" t="inlineStr">
        <is>
          <t>NO</t>
        </is>
      </c>
      <c r="S158" t="inlineStr">
        <is>
          <t>Outsourced LOps Tech Officer</t>
        </is>
      </c>
      <c r="T158">
        <v>1</v>
      </c>
      <c r="U158">
        <v>6800</v>
      </c>
      <c r="V158" t="inlineStr">
        <is>
          <t>PHP</t>
        </is>
      </c>
      <c r="W158">
        <v>6800</v>
      </c>
      <c r="X158" s="2" t="str">
        <f>=HYPERLINK("https://www.larksuite.com/approval/admin/previewAttachment?key=PMg7igJhEATgK1U__q6uvcwmMwyiTCQqBn12wcD0qzZUL4sSUuaCDZflaqGjoq1U4eNjpEArcfbz-O_sM_l-3Db69cV5XrZjv9sS3cHIjAZgfz8PZqZUia_jEwAA__8", "2 attachment(s)")</f>
        <v>2 attachment(s)</v>
      </c>
      <c r="Y158" t="inlineStr">
        <is>
          <t>Bank Transfer</t>
        </is>
      </c>
      <c r="Z158" t="inlineStr">
        <is>
          <t>Jimmy Montero Zapata Jr.</t>
        </is>
      </c>
      <c r="AA158" t="inlineStr">
        <is>
          <t>8419297101</t>
        </is>
      </c>
      <c r="AB158" t="inlineStr">
        <is>
          <t>BPI</t>
        </is>
      </c>
      <c r="AC158" t="inlineStr">
        <is>
          <t>278E Sta,Teresita St, Sampaloc Manila</t>
        </is>
      </c>
      <c r="AD158" s="4">
        <v>45790</v>
      </c>
      <c r="AE158" t="inlineStr">
        <is>
          <t>100% Full Payment - June 20, 2025</t>
        </is>
      </c>
      <c r="AF158" s="2"/>
      <c r="AG158" t="inlineStr">
        <is>
          <t>NzQyNTk5MTgyNzQ4MTg3MDM0MTozRUZENzEzOS02NEFFLTQwMEUtQjdDRi0zNzczODY1MzMwNUYtMToxZDg3NGYyNzlkMTI3NjJlNjM2YzBmNzhmNDdiODRhMDox</t>
        </is>
      </c>
      <c r="AH158"/>
      <c r="AI158"/>
      <c r="AJ158"/>
      <c r="AK158"/>
    </row>
    <row r="159" ht="25.5" customHeight="1">
      <c r="A159" s="2" t="str">
        <f>=HYPERLINK("https://applink.larksuite.com/client/mini_program/open?appId=cli_9c7cc8a9a9edd105&amp;mode=appCenter&amp;path_pc=pc/pages/requested/index?instanceId=7514593225521283110&amp;source=bitable&amp;path=pages/detail/index?instanceId=7514593225521283110&amp;source=bitable", "202506110059")</f>
        <v>202506110059</v>
      </c>
      <c r="B159" t="inlineStr">
        <is>
          <t>Approved</t>
        </is>
      </c>
      <c r="C159" t="inlineStr">
        <is>
          <t>Procurement Order</t>
        </is>
      </c>
      <c r="D159" s="3">
        <v>45819.65251157407</v>
      </c>
      <c r="E159" s="3">
        <v>45821.616435185184</v>
      </c>
      <c r="F159" t="inlineStr">
        <is>
          <t>Fatima Kathleen M. FLores</t>
        </is>
      </c>
      <c r="G159" t="inlineStr">
        <is>
          <t>Procurement</t>
        </is>
      </c>
      <c r="H159"/>
      <c r="I159"/>
      <c r="J159" t="inlineStr">
        <is>
          <t>Project</t>
        </is>
      </c>
      <c r="K159" t="inlineStr">
        <is>
          <t>PDEI - Event Service</t>
        </is>
      </c>
      <c r="L159" t="inlineStr">
        <is>
          <t>UAAP Esports S87 - Player Peripherals</t>
        </is>
      </c>
      <c r="M159" t="inlineStr">
        <is>
          <t>2025TEG-P0068</t>
        </is>
      </c>
      <c r="N159" t="inlineStr">
        <is>
          <t>Frances Angelita Arreglado</t>
        </is>
      </c>
      <c r="O159" t="inlineStr">
        <is>
          <t>202506030105-Frances Angelita Arreglado-费用报销 - 副本 - 副本 - 副本-2025-06-03 09:30:18</t>
        </is>
      </c>
      <c r="P159" t="inlineStr">
        <is>
          <t>NO</t>
        </is>
      </c>
      <c r="Q159"/>
      <c r="R159" t="inlineStr">
        <is>
          <t>YES</t>
        </is>
      </c>
      <c r="S159" t="inlineStr">
        <is>
          <t>Rental of Additional Communication Sets and Generator Set</t>
        </is>
      </c>
      <c r="T159">
        <v>1</v>
      </c>
      <c r="U159">
        <v>81760</v>
      </c>
      <c r="V159" t="inlineStr">
        <is>
          <t>PHP</t>
        </is>
      </c>
      <c r="W159">
        <v>81760</v>
      </c>
      <c r="X159" s="2" t="str">
        <f>=HYPERLINK("https://www.larksuite.com/approval/admin/previewAttachment?key=PMi7DQIxEATQlmb24_HSDAnWicQk6E44cO1IBKSvdaL1pLdCFK3ArWRkuVmm0bqT2LYpFcRW2mMe93P115q6PkPrnLmv5-MYb2bJDPII7wB4-7srIqpa4Of4BgAA__8", "2 attachment(s)")</f>
        <v>2 attachment(s)</v>
      </c>
      <c r="Y159" t="inlineStr">
        <is>
          <t>Bank Transfer</t>
        </is>
      </c>
      <c r="Z159" t="inlineStr">
        <is>
          <t>EL KAPITAN PRO SOUNDS &amp; LIGHTS SYSTEM INC.</t>
        </is>
      </c>
      <c r="AA159" t="inlineStr">
        <is>
          <t>350-7-35080571-7</t>
        </is>
      </c>
      <c r="AB159" t="inlineStr">
        <is>
          <t>METROPOLITAN BANK &amp; TRUST COMPANY</t>
        </is>
      </c>
      <c r="AC159" t="inlineStr">
        <is>
          <t>Naga Rd., Cor. Country Homes Drive, Pulang Lupa II, Las Piñas City</t>
        </is>
      </c>
      <c r="AD159" s="4">
        <v>45784</v>
      </c>
      <c r="AE159" t="inlineStr">
        <is>
          <t>100% Full Payment upon completion of services</t>
        </is>
      </c>
      <c r="AF159" s="2" t="str">
        <f>=HYPERLINK("https://www.larksuite.com/approval/admin/previewAttachment?key=TMg7DgIxDATQK83Y8Y_L0BCtaEKDdkUKnx2JivZ5Ep5G9cIoSoEdxmGlImZCSSXR0owoBL2i5zru587XXnF9ZuxzWV_PxzHf9FTHKBuDBYC3PydRqa4_xzcAAP__", "2 attachment(s)")</f>
        <v>2 attachment(s)</v>
      </c>
      <c r="AG159" t="inlineStr">
        <is>
          <t>NzQyNTk5MTgyNzQ4MTg3MDM0MTozRkFDRUQwRS1FQzNBLTQ4QUEtOURFOC0xMTc5MDA3RjIxM0YtMTo1ODVkOWEyNDhhMjM3NzMyY2VjMmJmOWJmY2NlZGJmMjox</t>
        </is>
      </c>
      <c r="AH159"/>
      <c r="AI159"/>
      <c r="AJ159"/>
      <c r="AK159"/>
    </row>
    <row r="160" ht="25.5" customHeight="1">
      <c r="A160" s="2" t="str">
        <f>=HYPERLINK("https://applink.larksuite.com/client/mini_program/open?appId=cli_9c7cc8a9a9edd105&amp;mode=appCenter&amp;path_pc=pc/pages/requested/index?instanceId=7514625814965518374&amp;source=bitable&amp;path=pages/detail/index?instanceId=7514625814965518374&amp;source=bitable", "202506110086")</f>
        <v>202506110086</v>
      </c>
      <c r="B160" t="inlineStr">
        <is>
          <t>Approved</t>
        </is>
      </c>
      <c r="C160" t="inlineStr">
        <is>
          <t>Procurement Order</t>
        </is>
      </c>
      <c r="D160" s="3">
        <v>45819.740335648145</v>
      </c>
      <c r="E160" s="3">
        <v>45821.63185185185</v>
      </c>
      <c r="F160" t="inlineStr">
        <is>
          <t>Fatima Kathleen M. FLores</t>
        </is>
      </c>
      <c r="G160" t="inlineStr">
        <is>
          <t>Procurement</t>
        </is>
      </c>
      <c r="H160"/>
      <c r="I160"/>
      <c r="J160" t="inlineStr">
        <is>
          <t>Project</t>
        </is>
      </c>
      <c r="K160" t="inlineStr">
        <is>
          <t>PDEI - Event Service</t>
        </is>
      </c>
      <c r="L160" t="inlineStr">
        <is>
          <t>GTCC Summer Showdown</t>
        </is>
      </c>
      <c r="M160" t="inlineStr">
        <is>
          <t>2025TEG-P0040</t>
        </is>
      </c>
      <c r="N160" t="inlineStr">
        <is>
          <t>Frances Angelita Arreglado</t>
        </is>
      </c>
      <c r="O160" t="inlineStr">
        <is>
          <t>202506030071-Frances Angelita Arreglado-费用报销 - 副本 - 副本 - 副本-2025-06-03 07:34:40</t>
        </is>
      </c>
      <c r="P160" t="inlineStr">
        <is>
          <t>NO</t>
        </is>
      </c>
      <c r="Q160"/>
      <c r="R160" t="inlineStr">
        <is>
          <t>NO</t>
        </is>
      </c>
      <c r="S160" t="inlineStr">
        <is>
          <t>Confetti Blizzard (10lbs / Loose Metallic Gold &amp; Purple)</t>
        </is>
      </c>
      <c r="T160">
        <v>2</v>
      </c>
      <c r="U160">
        <v>8000</v>
      </c>
      <c r="V160" t="inlineStr">
        <is>
          <t>PHP</t>
        </is>
      </c>
      <c r="W160">
        <v>16000</v>
      </c>
      <c r="X160" s="2"/>
      <c r="Y160" t="inlineStr">
        <is>
          <t>Bank Transfer</t>
        </is>
      </c>
      <c r="Z160" t="inlineStr">
        <is>
          <t>Confetti Effects, Inc.</t>
        </is>
      </c>
      <c r="AA160" t="inlineStr">
        <is>
          <t>3221-0180-78</t>
        </is>
      </c>
      <c r="AB160" t="inlineStr">
        <is>
          <t>BPI</t>
        </is>
      </c>
      <c r="AC160" t="inlineStr">
        <is>
          <t>2550 New Panaderos St., Brgy. 885 Zone 097, Sta. Ana, Manila</t>
        </is>
      </c>
      <c r="AD160" s="4">
        <v>45823</v>
      </c>
      <c r="AE160" t="inlineStr">
        <is>
          <t>100% Full Payment upon completion of services</t>
        </is>
      </c>
      <c r="AF160" s="2"/>
      <c r="AG160" t="inlineStr">
        <is>
          <t>NzQyNTk5MTgyNzQ4MTg3MDM0MTpGOTcyNDJFNi0xOUEwLTRFMzUtOTM1Qy1CQzAyQ0QyODQxNkEtMTpjMDlhZGFkZmVjY2NkZmExMmE4MDAxMWZlMTU1ZjBlMzox</t>
        </is>
      </c>
      <c r="AH160"/>
      <c r="AI160"/>
      <c r="AJ160"/>
      <c r="AK160"/>
    </row>
    <row r="161" ht="25.5" customHeight="1">
      <c r="A161" s="2" t="str">
        <f>=HYPERLINK("https://applink.larksuite.com/client/mini_program/open?appId=cli_9c7cc8a9a9edd105&amp;mode=appCenter&amp;path_pc=pc/pages/requested/index?instanceId=7514625814965518374&amp;source=bitable&amp;path=pages/detail/index?instanceId=7514625814965518374&amp;source=bitable", "202506110086")</f>
        <v>202506110086</v>
      </c>
      <c r="B161" t="inlineStr">
        <is>
          <t>Approved</t>
        </is>
      </c>
      <c r="C161" t="inlineStr">
        <is>
          <t>Procurement Order</t>
        </is>
      </c>
      <c r="D161" s="3">
        <v>45819.740335648145</v>
      </c>
      <c r="E161" s="3">
        <v>45821.63185185185</v>
      </c>
      <c r="F161" t="inlineStr">
        <is>
          <t>Fatima Kathleen M. FLores</t>
        </is>
      </c>
      <c r="G161" t="inlineStr">
        <is>
          <t>Procurement</t>
        </is>
      </c>
      <c r="H161"/>
      <c r="I161"/>
      <c r="J161" t="inlineStr">
        <is>
          <t>Project</t>
        </is>
      </c>
      <c r="K161" t="inlineStr">
        <is>
          <t>PDEI - Event Service</t>
        </is>
      </c>
      <c r="L161" t="inlineStr">
        <is>
          <t>GTCC Summer Showdown</t>
        </is>
      </c>
      <c r="M161" t="inlineStr">
        <is>
          <t>2025TEG-P0040</t>
        </is>
      </c>
      <c r="N161" t="inlineStr">
        <is>
          <t>Frances Angelita Arreglado</t>
        </is>
      </c>
      <c r="O161" t="inlineStr">
        <is>
          <t>202506030071-Frances Angelita Arreglado-费用报销 - 副本 - 副本 - 副本-2025-06-03 07:34:40</t>
        </is>
      </c>
      <c r="P161" t="inlineStr">
        <is>
          <t>NO</t>
        </is>
      </c>
      <c r="Q161"/>
      <c r="R161" t="inlineStr">
        <is>
          <t>NO</t>
        </is>
      </c>
      <c r="S161" t="inlineStr">
        <is>
          <t>Cryo Jets Floor Mount</t>
        </is>
      </c>
      <c r="T161">
        <v>6</v>
      </c>
      <c r="U161">
        <v>4800</v>
      </c>
      <c r="V161" t="inlineStr">
        <is>
          <t>PHP</t>
        </is>
      </c>
      <c r="W161">
        <v>28800</v>
      </c>
      <c r="X161" s="2"/>
      <c r="Y161"/>
      <c r="Z161"/>
      <c r="AA161"/>
      <c r="AB161"/>
      <c r="AC161"/>
      <c r="AD161" s="4"/>
      <c r="AE161"/>
      <c r="AF161" s="2"/>
      <c r="AG161" t="inlineStr">
        <is>
          <t>NzQyNTk5MTgyNzQ4MTg3MDM0MTpGOTcyNDJFNi0xOUEwLTRFMzUtOTM1Qy1CQzAyQ0QyODQxNkEtMjo2OWQzYTZlMjI4NWM1MDYyMjZlNjVkZGI0ZDhiYjYyNTox</t>
        </is>
      </c>
      <c r="AH161"/>
      <c r="AI161"/>
      <c r="AJ161"/>
      <c r="AK161"/>
    </row>
    <row r="162" ht="25.5" customHeight="1">
      <c r="A162" s="2" t="str">
        <f>=HYPERLINK("https://applink.larksuite.com/client/mini_program/open?appId=cli_9c7cc8a9a9edd105&amp;mode=appCenter&amp;path_pc=pc/pages/requested/index?instanceId=7514625814965518374&amp;source=bitable&amp;path=pages/detail/index?instanceId=7514625814965518374&amp;source=bitable", "202506110086")</f>
        <v>202506110086</v>
      </c>
      <c r="B162" t="inlineStr">
        <is>
          <t>Approved</t>
        </is>
      </c>
      <c r="C162" t="inlineStr">
        <is>
          <t>Procurement Order</t>
        </is>
      </c>
      <c r="D162" s="3">
        <v>45819.740335648145</v>
      </c>
      <c r="E162" s="3">
        <v>45821.63185185185</v>
      </c>
      <c r="F162" t="inlineStr">
        <is>
          <t>Fatima Kathleen M. FLores</t>
        </is>
      </c>
      <c r="G162" t="inlineStr">
        <is>
          <t>Procurement</t>
        </is>
      </c>
      <c r="H162"/>
      <c r="I162"/>
      <c r="J162" t="inlineStr">
        <is>
          <t>Project</t>
        </is>
      </c>
      <c r="K162" t="inlineStr">
        <is>
          <t>PDEI - Event Service</t>
        </is>
      </c>
      <c r="L162" t="inlineStr">
        <is>
          <t>GTCC Summer Showdown</t>
        </is>
      </c>
      <c r="M162" t="inlineStr">
        <is>
          <t>2025TEG-P0040</t>
        </is>
      </c>
      <c r="N162" t="inlineStr">
        <is>
          <t>Frances Angelita Arreglado</t>
        </is>
      </c>
      <c r="O162" t="inlineStr">
        <is>
          <t>202506030071-Frances Angelita Arreglado-费用报销 - 副本 - 副本 - 副本-2025-06-03 07:34:40</t>
        </is>
      </c>
      <c r="P162" t="inlineStr">
        <is>
          <t>NO</t>
        </is>
      </c>
      <c r="Q162"/>
      <c r="R162" t="inlineStr">
        <is>
          <t>NO</t>
        </is>
      </c>
      <c r="S162" t="inlineStr">
        <is>
          <t>Delivery and Installation</t>
        </is>
      </c>
      <c r="T162">
        <v>1</v>
      </c>
      <c r="U162">
        <v>1520</v>
      </c>
      <c r="V162" t="inlineStr">
        <is>
          <t>PHP</t>
        </is>
      </c>
      <c r="W162">
        <v>1520</v>
      </c>
      <c r="X162" s="2" t="str">
        <f>=HYPERLINK("https://www.larksuite.com/approval/admin/previewAttachment?key=PMhBqgJBDATQK6XSlVTyL_M3MwxC40qwddFnF1y4fVmwrMDINja8DVsBpkeBnRGoIW7fkNqEbO3zfv1H1Ir3seaafE3t5-24zgei5W4a5Cgzw9_Ph0h2J-3r_gkAAP__", "2 attachment(s)")</f>
        <v>2 attachment(s)</v>
      </c>
      <c r="Y162"/>
      <c r="Z162"/>
      <c r="AA162"/>
      <c r="AB162"/>
      <c r="AC162"/>
      <c r="AD162" s="4"/>
      <c r="AE162"/>
      <c r="AF162" s="2"/>
      <c r="AG162" t="inlineStr">
        <is>
          <t>NzQyNTk5MTgyNzQ4MTg3MDM0MTpGOTcyNDJFNi0xOUEwLTRFMzUtOTM1Qy1CQzAyQ0QyODQxNkEtMzpiM2QxZDVlMGRmZTYyY2ZlZGZmOTliNjExNTA2ZWVkMzox</t>
        </is>
      </c>
      <c r="AH162"/>
      <c r="AI162"/>
      <c r="AJ162"/>
      <c r="AK162"/>
    </row>
    <row r="163" ht="25.5" customHeight="1">
      <c r="A163" s="2" t="str">
        <f>=HYPERLINK("https://applink.larksuite.com/client/mini_program/open?appId=cli_9c7cc8a9a9edd105&amp;mode=appCenter&amp;path_pc=pc/pages/requested/index?instanceId=7514634547967852575&amp;source=bitable&amp;path=pages/detail/index?instanceId=7514634547967852575&amp;source=bitable", "202506110092")</f>
        <v>202506110092</v>
      </c>
      <c r="B163" t="inlineStr">
        <is>
          <t>Approved</t>
        </is>
      </c>
      <c r="C163" t="inlineStr">
        <is>
          <t>Procurement Order</t>
        </is>
      </c>
      <c r="D163" s="3">
        <v>45819.763865740744</v>
      </c>
      <c r="E163" s="3">
        <v>45821.65189814815</v>
      </c>
      <c r="F163" t="inlineStr">
        <is>
          <t>Fatima Kathleen M. FLores</t>
        </is>
      </c>
      <c r="G163" t="inlineStr">
        <is>
          <t>Procurement</t>
        </is>
      </c>
      <c r="H163"/>
      <c r="I163"/>
      <c r="J163" t="inlineStr">
        <is>
          <t>Project</t>
        </is>
      </c>
      <c r="K163" t="inlineStr">
        <is>
          <t>PDEI - Event Service</t>
        </is>
      </c>
      <c r="L163" t="inlineStr">
        <is>
          <t>TTRacing Booth Fabrication</t>
        </is>
      </c>
      <c r="M163" t="inlineStr">
        <is>
          <t>2025TEG-P0149</t>
        </is>
      </c>
      <c r="N163" t="inlineStr">
        <is>
          <t>Diana Lou Perocho Gosamo</t>
        </is>
      </c>
      <c r="O163" t="inlineStr">
        <is>
          <t>202505230045-Diana Lou Perocho Gosamo-费用报销 - 副本 - 副本 - 副本-2025-05-23 09:57:26</t>
        </is>
      </c>
      <c r="P163" t="inlineStr">
        <is>
          <t>NO</t>
        </is>
      </c>
      <c r="Q163"/>
      <c r="R163" t="inlineStr">
        <is>
          <t>NO</t>
        </is>
      </c>
      <c r="S163" t="inlineStr">
        <is>
          <t>Booth Fabrication</t>
        </is>
      </c>
      <c r="T163">
        <v>1</v>
      </c>
      <c r="U163">
        <v>50000</v>
      </c>
      <c r="V163" t="inlineStr">
        <is>
          <t>PHP</t>
        </is>
      </c>
      <c r="W163">
        <v>50000</v>
      </c>
      <c r="X163" s="2" t="str">
        <f>=HYPERLINK("https://www.larksuite.com/approval/admin/previewAttachment?key=PMg7DsJADATQK9m7Y88Ol6FJtIIiUSTEJ4XPjkRB-3K45QjvKYO8ybwYjuwIUMkRLRjVykkZPcVat3ldnttczv34HLqf-7tet2WuDw-xNWMH-jAzv_y9E4CUsJ_bNwAA__8", "2 attachment(s)")</f>
        <v>2 attachment(s)</v>
      </c>
      <c r="Y163" t="inlineStr">
        <is>
          <t>Bank Transfer</t>
        </is>
      </c>
      <c r="Z163" t="inlineStr">
        <is>
          <t>STAGE ONE EVENT SERVICES CORP.</t>
        </is>
      </c>
      <c r="AA163" t="inlineStr">
        <is>
          <t>0124 0800 3549</t>
        </is>
      </c>
      <c r="AB163" t="inlineStr">
        <is>
          <t>BDO</t>
        </is>
      </c>
      <c r="AC163" t="inlineStr">
        <is>
          <t>Kamagong St. cor. Ipil St. Hillcrest Village, Brgy. 173 Camarin, Caloocan</t>
        </is>
      </c>
      <c r="AD163" s="4">
        <v>45803</v>
      </c>
      <c r="AE163" t="inlineStr">
        <is>
          <t>100% Full Payment</t>
        </is>
      </c>
      <c r="AF163" s="2"/>
      <c r="AG163" t="inlineStr">
        <is>
          <t>NzQyNTk5MTgyNzQ4MTg3MDM0MTo0OTFDRUUzOS02OEQyLTRFOTgtOUQ1Qy03OEI1QUQ3RDM0MTAtMTo4NzM0MGMyOTZhYzZlM2Q0ZGY0ODRjN2UwN2IxNmJkZTox</t>
        </is>
      </c>
      <c r="AH163"/>
      <c r="AI163"/>
      <c r="AJ163"/>
      <c r="AK163"/>
    </row>
    <row r="164" ht="25.5" customHeight="1">
      <c r="A164" s="2" t="str">
        <f>=HYPERLINK("https://applink.larksuite.com/client/mini_program/open?appId=cli_9c7cc8a9a9edd105&amp;mode=appCenter&amp;path_pc=pc/pages/requested/index?instanceId=7514642780380004383&amp;source=bitable&amp;path=pages/detail/index?instanceId=7514642780380004383&amp;source=bitable", "202506110097")</f>
        <v>202506110097</v>
      </c>
      <c r="B164" t="inlineStr">
        <is>
          <t>Approved</t>
        </is>
      </c>
      <c r="C164" t="inlineStr">
        <is>
          <t>Procurement Order</t>
        </is>
      </c>
      <c r="D164" s="3">
        <v>45819.78605324074</v>
      </c>
      <c r="E164" s="3">
        <v>45833.7190162037</v>
      </c>
      <c r="F164" t="inlineStr">
        <is>
          <t>Fatima Kathleen M. FLores</t>
        </is>
      </c>
      <c r="G164" t="inlineStr">
        <is>
          <t>Procurement</t>
        </is>
      </c>
      <c r="H164"/>
      <c r="I164"/>
      <c r="J164" t="inlineStr">
        <is>
          <t>Project</t>
        </is>
      </c>
      <c r="K164" t="inlineStr">
        <is>
          <t>PDEI - Event Service</t>
        </is>
      </c>
      <c r="L164" t="inlineStr">
        <is>
          <t>MPL PH S15 Addendum</t>
        </is>
      </c>
      <c r="M164" t="inlineStr">
        <is>
          <t>2025TEG-P0071</t>
        </is>
      </c>
      <c r="N164" t="inlineStr">
        <is>
          <t>Tiny</t>
        </is>
      </c>
      <c r="O164" t="inlineStr">
        <is>
          <t>202505210149-Tiny-费用报销 - 副本 - 副本 - 副本-2025-05-21 10:53:29</t>
        </is>
      </c>
      <c r="P164" t="inlineStr">
        <is>
          <t>NO</t>
        </is>
      </c>
      <c r="Q164"/>
      <c r="R164" t="inlineStr">
        <is>
          <t>YES</t>
        </is>
      </c>
      <c r="S164" t="inlineStr">
        <is>
          <t>PASSPORT (Material: C2S200 (300gsm)/ Size: 5in x 7in / NO LAM)</t>
        </is>
      </c>
      <c r="T164">
        <v>5500</v>
      </c>
      <c r="U164">
        <v>11.536</v>
      </c>
      <c r="V164" t="inlineStr">
        <is>
          <t>PHP</t>
        </is>
      </c>
      <c r="W164">
        <v>63448</v>
      </c>
      <c r="X164" s="2"/>
      <c r="Y164" t="inlineStr">
        <is>
          <t>Bank Transfer</t>
        </is>
      </c>
      <c r="Z164" t="inlineStr">
        <is>
          <t>Bescost Digital Marketing Services Inc.</t>
        </is>
      </c>
      <c r="AA164" t="inlineStr">
        <is>
          <t>00000-5674-8951</t>
        </is>
      </c>
      <c r="AB164" t="inlineStr">
        <is>
          <t>Security Bank</t>
        </is>
      </c>
      <c r="AC164" t="inlineStr">
        <is>
          <t>5105-A Sulok St., Brgy. Ugong, Valenzuela City</t>
        </is>
      </c>
      <c r="AD164" s="4">
        <v>45774</v>
      </c>
      <c r="AE164" t="inlineStr">
        <is>
          <t>100% Full Payment - 15 days upon complete delivery</t>
        </is>
      </c>
      <c r="AF164" s="2"/>
      <c r="AG164" t="inlineStr">
        <is>
          <t>NzQyNTk5MTgyNzQ4MTg3MDM0MTozNDNGREYzNS0zQkZFLTQ4RUItQTUyNi01QjIyOEUxM0Q2QTgtMTo4NjJhY2RjNTg3ZTJmMWIxY2E3NTQ4MWFjNjJkZGE5MTox</t>
        </is>
      </c>
      <c r="AH164"/>
      <c r="AI164"/>
      <c r="AJ164"/>
      <c r="AK164"/>
    </row>
    <row r="165" ht="25.5" customHeight="1">
      <c r="A165" s="2" t="str">
        <f>=HYPERLINK("https://applink.larksuite.com/client/mini_program/open?appId=cli_9c7cc8a9a9edd105&amp;mode=appCenter&amp;path_pc=pc/pages/requested/index?instanceId=7514642780380004383&amp;source=bitable&amp;path=pages/detail/index?instanceId=7514642780380004383&amp;source=bitable", "202506110097")</f>
        <v>202506110097</v>
      </c>
      <c r="B165" t="inlineStr">
        <is>
          <t>Approved</t>
        </is>
      </c>
      <c r="C165" t="inlineStr">
        <is>
          <t>Procurement Order</t>
        </is>
      </c>
      <c r="D165" s="3">
        <v>45819.78605324074</v>
      </c>
      <c r="E165" s="3">
        <v>45833.7190162037</v>
      </c>
      <c r="F165" t="inlineStr">
        <is>
          <t>Fatima Kathleen M. FLores</t>
        </is>
      </c>
      <c r="G165" t="inlineStr">
        <is>
          <t>Procurement</t>
        </is>
      </c>
      <c r="H165"/>
      <c r="I165"/>
      <c r="J165" t="inlineStr">
        <is>
          <t>Project</t>
        </is>
      </c>
      <c r="K165" t="inlineStr">
        <is>
          <t>PDEI - Event Service</t>
        </is>
      </c>
      <c r="L165" t="inlineStr">
        <is>
          <t>MPL PH S15 Addendum</t>
        </is>
      </c>
      <c r="M165" t="inlineStr">
        <is>
          <t>2025TEG-P0071</t>
        </is>
      </c>
      <c r="N165" t="inlineStr">
        <is>
          <t>Tiny</t>
        </is>
      </c>
      <c r="O165" t="inlineStr">
        <is>
          <t>202505210149-Tiny-费用报销 - 副本 - 副本 - 副本-2025-05-21 10:53:29</t>
        </is>
      </c>
      <c r="P165" t="inlineStr">
        <is>
          <t>NO</t>
        </is>
      </c>
      <c r="Q165"/>
      <c r="R165" t="inlineStr">
        <is>
          <t>YES</t>
        </is>
      </c>
      <c r="S165" t="inlineStr">
        <is>
          <t>MOCK CHECKS (3mm Sticker on Sintra / 4ft x 2ft)</t>
        </is>
      </c>
      <c r="T165">
        <v>1</v>
      </c>
      <c r="U165">
        <v>1548.288</v>
      </c>
      <c r="V165" t="inlineStr">
        <is>
          <t>PHP</t>
        </is>
      </c>
      <c r="W165">
        <v>1548.288</v>
      </c>
      <c r="X165" s="2"/>
      <c r="Y165"/>
      <c r="Z165"/>
      <c r="AA165"/>
      <c r="AB165"/>
      <c r="AC165"/>
      <c r="AD165" s="4"/>
      <c r="AE165"/>
      <c r="AF165" s="2"/>
      <c r="AG165" t="inlineStr">
        <is>
          <t>NzQyNTk5MTgyNzQ4MTg3MDM0MTozNDNGREYzNS0zQkZFLTQ4RUItQTUyNi01QjIyOEUxM0Q2QTgtMjoxMzM0ZmNiYWE0ZjY1ZjcyZjk2NGNmNDg5MzlmY2Q1ZDox</t>
        </is>
      </c>
      <c r="AH165"/>
      <c r="AI165"/>
      <c r="AJ165"/>
      <c r="AK165"/>
    </row>
    <row r="166" ht="25.5" customHeight="1">
      <c r="A166" s="2" t="str">
        <f>=HYPERLINK("https://applink.larksuite.com/client/mini_program/open?appId=cli_9c7cc8a9a9edd105&amp;mode=appCenter&amp;path_pc=pc/pages/requested/index?instanceId=7514642780380004383&amp;source=bitable&amp;path=pages/detail/index?instanceId=7514642780380004383&amp;source=bitable", "202506110097")</f>
        <v>202506110097</v>
      </c>
      <c r="B166" t="inlineStr">
        <is>
          <t>Approved</t>
        </is>
      </c>
      <c r="C166" t="inlineStr">
        <is>
          <t>Procurement Order</t>
        </is>
      </c>
      <c r="D166" s="3">
        <v>45819.78605324074</v>
      </c>
      <c r="E166" s="3">
        <v>45833.7190162037</v>
      </c>
      <c r="F166" t="inlineStr">
        <is>
          <t>Fatima Kathleen M. FLores</t>
        </is>
      </c>
      <c r="G166" t="inlineStr">
        <is>
          <t>Procurement</t>
        </is>
      </c>
      <c r="H166"/>
      <c r="I166"/>
      <c r="J166" t="inlineStr">
        <is>
          <t>Project</t>
        </is>
      </c>
      <c r="K166" t="inlineStr">
        <is>
          <t>PDEI - Event Service</t>
        </is>
      </c>
      <c r="L166" t="inlineStr">
        <is>
          <t>MPL PH S15 Addendum</t>
        </is>
      </c>
      <c r="M166" t="inlineStr">
        <is>
          <t>2025TEG-P0071</t>
        </is>
      </c>
      <c r="N166" t="inlineStr">
        <is>
          <t>Tiny</t>
        </is>
      </c>
      <c r="O166" t="inlineStr">
        <is>
          <t>202505210149-Tiny-费用报销 - 副本 - 副本 - 副本-2025-05-21 10:53:29</t>
        </is>
      </c>
      <c r="P166" t="inlineStr">
        <is>
          <t>NO</t>
        </is>
      </c>
      <c r="Q166"/>
      <c r="R166" t="inlineStr">
        <is>
          <t>YES</t>
        </is>
      </c>
      <c r="S166" t="inlineStr">
        <is>
          <t>GRAND CHAMP (Material: 3mm sintra board, Matte vinyl sticker / Size: 4ft x 2ft)</t>
        </is>
      </c>
      <c r="T166">
        <v>1</v>
      </c>
      <c r="U166">
        <v>1548.288</v>
      </c>
      <c r="V166" t="inlineStr">
        <is>
          <t>PHP</t>
        </is>
      </c>
      <c r="W166">
        <v>1548.288</v>
      </c>
      <c r="X166" s="2"/>
      <c r="Y166"/>
      <c r="Z166"/>
      <c r="AA166"/>
      <c r="AB166"/>
      <c r="AC166"/>
      <c r="AD166" s="4"/>
      <c r="AE166"/>
      <c r="AF166" s="2"/>
      <c r="AG166" t="inlineStr">
        <is>
          <t>NzQyNTk5MTgyNzQ4MTg3MDM0MTozNDNGREYzNS0zQkZFLTQ4RUItQTUyNi01QjIyOEUxM0Q2QTgtMzowMGYwNjAyYzJhYmM2YzUzY2M0ZTMxZjljYjRlZDZiYTox</t>
        </is>
      </c>
      <c r="AH166"/>
      <c r="AI166"/>
      <c r="AJ166"/>
      <c r="AK166"/>
    </row>
    <row r="167" ht="25.5" customHeight="1">
      <c r="A167" s="2" t="str">
        <f>=HYPERLINK("https://applink.larksuite.com/client/mini_program/open?appId=cli_9c7cc8a9a9edd105&amp;mode=appCenter&amp;path_pc=pc/pages/requested/index?instanceId=7514642780380004383&amp;source=bitable&amp;path=pages/detail/index?instanceId=7514642780380004383&amp;source=bitable", "202506110097")</f>
        <v>202506110097</v>
      </c>
      <c r="B167" t="inlineStr">
        <is>
          <t>Approved</t>
        </is>
      </c>
      <c r="C167" t="inlineStr">
        <is>
          <t>Procurement Order</t>
        </is>
      </c>
      <c r="D167" s="3">
        <v>45819.78605324074</v>
      </c>
      <c r="E167" s="3">
        <v>45833.7190162037</v>
      </c>
      <c r="F167" t="inlineStr">
        <is>
          <t>Fatima Kathleen M. FLores</t>
        </is>
      </c>
      <c r="G167" t="inlineStr">
        <is>
          <t>Procurement</t>
        </is>
      </c>
      <c r="H167"/>
      <c r="I167"/>
      <c r="J167" t="inlineStr">
        <is>
          <t>Project</t>
        </is>
      </c>
      <c r="K167" t="inlineStr">
        <is>
          <t>PDEI - Event Service</t>
        </is>
      </c>
      <c r="L167" t="inlineStr">
        <is>
          <t>MPL PH S15 Addendum</t>
        </is>
      </c>
      <c r="M167" t="inlineStr">
        <is>
          <t>2025TEG-P0071</t>
        </is>
      </c>
      <c r="N167" t="inlineStr">
        <is>
          <t>Tiny</t>
        </is>
      </c>
      <c r="O167" t="inlineStr">
        <is>
          <t>202505210149-Tiny-费用报销 - 副本 - 副本 - 副本-2025-05-21 10:53:29</t>
        </is>
      </c>
      <c r="P167" t="inlineStr">
        <is>
          <t>NO</t>
        </is>
      </c>
      <c r="Q167"/>
      <c r="R167" t="inlineStr">
        <is>
          <t>YES</t>
        </is>
      </c>
      <c r="S167" t="inlineStr">
        <is>
          <t>Rush Fee</t>
        </is>
      </c>
      <c r="T167">
        <v>1</v>
      </c>
      <c r="U167">
        <v>6654.4576</v>
      </c>
      <c r="V167" t="inlineStr">
        <is>
          <t>PHP</t>
        </is>
      </c>
      <c r="W167">
        <v>6654.458</v>
      </c>
      <c r="X167" s="2" t="str">
        <f>=HYPERLINK("https://www.larksuite.com/approval/admin/previewAttachment?key=PMtJCgJBDAXQK_0kvzJ4GTc2he0AgtDiImcXauH2wfMUeA4xL7BEC9IxhE6NhCUAWlprS0QhJIDenvO8H7f5uHNH1udrrz6ul7m9ZVSoIoxcV05_tyBZ5cRy-wUAAP__", "2 attachment(s)")</f>
        <v>2 attachment(s)</v>
      </c>
      <c r="Y167"/>
      <c r="Z167"/>
      <c r="AA167"/>
      <c r="AB167"/>
      <c r="AC167"/>
      <c r="AD167" s="4"/>
      <c r="AE167"/>
      <c r="AF167" s="2"/>
      <c r="AG167" t="inlineStr">
        <is>
          <t>NzQyNTk5MTgyNzQ4MTg3MDM0MTozNDNGREYzNS0zQkZFLTQ4RUItQTUyNi01QjIyOEUxM0Q2QTgtNDplMmEzNzQ3YzczN2NjYzYxNmY0MmVhYzBmMzBjOWExYTox</t>
        </is>
      </c>
      <c r="AH167"/>
      <c r="AI167"/>
      <c r="AJ167"/>
      <c r="AK167"/>
    </row>
    <row r="168" ht="25.5" customHeight="1">
      <c r="A168" s="2" t="str">
        <f>=HYPERLINK("https://applink.larksuite.com/client/mini_program/open?appId=cli_9c7cc8a9a9edd105&amp;mode=appCenter&amp;path_pc=pc/pages/requested/index?instanceId=7514646364697985062&amp;source=bitable&amp;path=pages/detail/index?instanceId=7514646364697985062&amp;source=bitable", "202506110098")</f>
        <v>202506110098</v>
      </c>
      <c r="B168" t="inlineStr">
        <is>
          <t>Approved</t>
        </is>
      </c>
      <c r="C168" t="inlineStr">
        <is>
          <t>Procurement Order</t>
        </is>
      </c>
      <c r="D168" s="3">
        <v>45819.79571759259</v>
      </c>
      <c r="E168" s="3">
        <v>45821.625069444446</v>
      </c>
      <c r="F168" t="inlineStr">
        <is>
          <t>Fatima Kathleen M. FLores</t>
        </is>
      </c>
      <c r="G168" t="inlineStr">
        <is>
          <t>Procurement</t>
        </is>
      </c>
      <c r="H168"/>
      <c r="I168"/>
      <c r="J168" t="inlineStr">
        <is>
          <t>Project</t>
        </is>
      </c>
      <c r="K168" t="inlineStr">
        <is>
          <t>PDEI - Event Service</t>
        </is>
      </c>
      <c r="L168" t="inlineStr">
        <is>
          <t>MPL PH S15 Addendum</t>
        </is>
      </c>
      <c r="M168" t="inlineStr">
        <is>
          <t>2025TEG-P0071</t>
        </is>
      </c>
      <c r="N168" t="inlineStr">
        <is>
          <t>Tiny</t>
        </is>
      </c>
      <c r="O168" t="inlineStr">
        <is>
          <t>202505230051-Yuki Berico-费用报销 - 副本 - 副本 - 副本-2025-05-23 10:48:23</t>
        </is>
      </c>
      <c r="P168" t="inlineStr">
        <is>
          <t>YES</t>
        </is>
      </c>
      <c r="Q168"/>
      <c r="R168" t="inlineStr">
        <is>
          <t>NO</t>
        </is>
      </c>
      <c r="S168" t="inlineStr">
        <is>
          <t>Outsourced Registration PIC</t>
        </is>
      </c>
      <c r="T168">
        <v>1</v>
      </c>
      <c r="U168">
        <v>20000</v>
      </c>
      <c r="V168" t="inlineStr">
        <is>
          <t>PHP</t>
        </is>
      </c>
      <c r="W168">
        <v>20000</v>
      </c>
      <c r="X168" s="2" t="str">
        <f>=HYPERLINK("https://www.larksuite.com/approval/admin/previewAttachment?key=PMgxCgJBDAXQK_1MfpL5XsZml0VktxJGLHJ2wcL25TTkDPMUKBuCdYUxmZ5MlWYgR4-2KqEsVb1fx_1N32LGda7n-Vns9diO_WWhGgPlpE8Advu7F0kpiZ_jGwAA__8", "2 attachment(s)")</f>
        <v>2 attachment(s)</v>
      </c>
      <c r="Y168" t="inlineStr">
        <is>
          <t>Bank Transfer</t>
        </is>
      </c>
      <c r="Z168" t="inlineStr">
        <is>
          <t>Mary Grace Zantua</t>
        </is>
      </c>
      <c r="AA168" t="inlineStr">
        <is>
          <t>109661483691</t>
        </is>
      </c>
      <c r="AB168" t="inlineStr">
        <is>
          <t>Unionbank</t>
        </is>
      </c>
      <c r="AC168" t="inlineStr">
        <is>
          <t>12299 Eusebio Avenue Nagpayong 2 Pinagbuhatan Pasig City</t>
        </is>
      </c>
      <c r="AD168" s="4">
        <v>45805</v>
      </c>
      <c r="AE168" t="inlineStr">
        <is>
          <t>100% Full Payment - June 20, 2025</t>
        </is>
      </c>
      <c r="AF168" s="2"/>
      <c r="AG168" t="inlineStr">
        <is>
          <t>NzQyNTk5MTgyNzQ4MTg3MDM0MTo4MzA5RkFDMS1DRUExLTQwRjEtODk3Qy1CNkEzM0M1QUM2RTctMTo1ZmY4YTU4NTE2Zjg2YTkwZDA5NjdiYTdmNjhmYjJiMjox</t>
        </is>
      </c>
      <c r="AH168"/>
      <c r="AI168"/>
      <c r="AJ168"/>
      <c r="AK168"/>
    </row>
    <row r="169" ht="25.5" customHeight="1">
      <c r="A169" s="2" t="str">
        <f>=HYPERLINK("https://applink.larksuite.com/client/mini_program/open?appId=cli_9c7cc8a9a9edd105&amp;mode=appCenter&amp;path_pc=pc/pages/requested/index?instanceId=7514647162064764959&amp;source=bitable&amp;path=pages/detail/index?instanceId=7514647162064764959&amp;source=bitable", "202506110099")</f>
        <v>202506110099</v>
      </c>
      <c r="B169" t="inlineStr">
        <is>
          <t>Approved</t>
        </is>
      </c>
      <c r="C169" t="inlineStr">
        <is>
          <t>Procurement Order</t>
        </is>
      </c>
      <c r="D169" s="3">
        <v>45819.79785879629</v>
      </c>
      <c r="E169" s="3">
        <v>45821.624456018515</v>
      </c>
      <c r="F169" t="inlineStr">
        <is>
          <t>Fatima Kathleen M. FLores</t>
        </is>
      </c>
      <c r="G169" t="inlineStr">
        <is>
          <t>Procurement</t>
        </is>
      </c>
      <c r="H169"/>
      <c r="I169"/>
      <c r="J169" t="inlineStr">
        <is>
          <t>Project</t>
        </is>
      </c>
      <c r="K169" t="inlineStr">
        <is>
          <t>PDEI - Event Service</t>
        </is>
      </c>
      <c r="L169" t="inlineStr">
        <is>
          <t>MPL PH S15 Addendum</t>
        </is>
      </c>
      <c r="M169" t="inlineStr">
        <is>
          <t>2025TEG-P0071</t>
        </is>
      </c>
      <c r="N169" t="inlineStr">
        <is>
          <t>Tiny</t>
        </is>
      </c>
      <c r="O169" t="inlineStr">
        <is>
          <t>202505230051-Yuki Berico-费用报销 - 副本 - 副本 - 副本-2025-05-23 10:48:23</t>
        </is>
      </c>
      <c r="P169" t="inlineStr">
        <is>
          <t>YES</t>
        </is>
      </c>
      <c r="Q169"/>
      <c r="R169" t="inlineStr">
        <is>
          <t>NO</t>
        </is>
      </c>
      <c r="S169" t="inlineStr">
        <is>
          <t>Outsourced On Ground Support (Slash)</t>
        </is>
      </c>
      <c r="T169">
        <v>1</v>
      </c>
      <c r="U169">
        <v>10000</v>
      </c>
      <c r="V169" t="inlineStr">
        <is>
          <t>PHP</t>
        </is>
      </c>
      <c r="W169">
        <v>10000</v>
      </c>
      <c r="X169" s="2" t="str">
        <f>=HYPERLINK("https://www.larksuite.com/approval/admin/previewAttachment?key=PMgxCsMwDAXQK_1vf0lWL9OlxhRKpoKTRWcvdMj6fBA-jN0TSrYEK4xyBb3BFa60rFaMSAQ9o-axnmbj_FxznvviOnbt92vNLy2jNUSX-gDAx-09JGW68Hf8AgAA__8", "2 attachment(s)")</f>
        <v>2 attachment(s)</v>
      </c>
      <c r="Y169" t="inlineStr">
        <is>
          <t>Bank Transfer</t>
        </is>
      </c>
      <c r="Z169" t="inlineStr">
        <is>
          <t>Macrhosdon Evia</t>
        </is>
      </c>
      <c r="AA169" t="inlineStr">
        <is>
          <t>3999496619</t>
        </is>
      </c>
      <c r="AB169" t="inlineStr">
        <is>
          <t>BPI</t>
        </is>
      </c>
      <c r="AC169" t="inlineStr">
        <is>
          <t>43 Alcantara st Brgy. Tandang Sora Quezon City</t>
        </is>
      </c>
      <c r="AD169" s="4">
        <v>45805</v>
      </c>
      <c r="AE169" t="inlineStr">
        <is>
          <t>100% Full Payment - June 20, 2025</t>
        </is>
      </c>
      <c r="AF169" s="2"/>
      <c r="AG169" t="inlineStr">
        <is>
          <t>NzQyNTk5MTgyNzQ4MTg3MDM0MTowNzlDNDQ3My05QzI0LTQyMzktOTkzOC01QTM4QjQxMEI3RkQtMTo4Nzc4ZDdjNmQ4Njc1N2Q1MDg4ZWQ5M2ZkZjBmYTZhMzox</t>
        </is>
      </c>
      <c r="AH169"/>
      <c r="AI169"/>
      <c r="AJ169"/>
      <c r="AK169"/>
    </row>
    <row r="170" ht="25.5" customHeight="1">
      <c r="A170" s="2" t="str">
        <f>=HYPERLINK("https://applink.larksuite.com/client/mini_program/open?appId=cli_9c7cc8a9a9edd105&amp;mode=appCenter&amp;path_pc=pc/pages/requested/index?instanceId=7514648269562085415&amp;source=bitable&amp;path=pages/detail/index?instanceId=7514648269562085415&amp;source=bitable", "202506110100")</f>
        <v>202506110100</v>
      </c>
      <c r="B170" t="inlineStr">
        <is>
          <t>Approved</t>
        </is>
      </c>
      <c r="C170" t="inlineStr">
        <is>
          <t>Procurement Order</t>
        </is>
      </c>
      <c r="D170" s="3">
        <v>45819.800844907404</v>
      </c>
      <c r="E170" s="3">
        <v>45821.6241087963</v>
      </c>
      <c r="F170" t="inlineStr">
        <is>
          <t>Fatima Kathleen M. FLores</t>
        </is>
      </c>
      <c r="G170" t="inlineStr">
        <is>
          <t>Procurement</t>
        </is>
      </c>
      <c r="H170"/>
      <c r="I170"/>
      <c r="J170" t="inlineStr">
        <is>
          <t>Project</t>
        </is>
      </c>
      <c r="K170" t="inlineStr">
        <is>
          <t>PDEI - Event Service</t>
        </is>
      </c>
      <c r="L170" t="inlineStr">
        <is>
          <t>MPL PH S15 Addendum</t>
        </is>
      </c>
      <c r="M170" t="inlineStr">
        <is>
          <t>2025TEG-P0071</t>
        </is>
      </c>
      <c r="N170" t="inlineStr">
        <is>
          <t>Tiny</t>
        </is>
      </c>
      <c r="O170" t="inlineStr">
        <is>
          <t>202505230051-Yuki Berico-费用报销 - 副本 - 副本 - 副本-2025-05-23 10:48:23</t>
        </is>
      </c>
      <c r="P170" t="inlineStr">
        <is>
          <t>YES</t>
        </is>
      </c>
      <c r="Q170"/>
      <c r="R170" t="inlineStr">
        <is>
          <t>NO</t>
        </is>
      </c>
      <c r="S170" t="inlineStr">
        <is>
          <t>Outsourced On Ground Support (Slash)</t>
        </is>
      </c>
      <c r="T170">
        <v>1</v>
      </c>
      <c r="U170">
        <v>10000</v>
      </c>
      <c r="V170" t="inlineStr">
        <is>
          <t>PHP</t>
        </is>
      </c>
      <c r="W170">
        <v>10000</v>
      </c>
      <c r="X170" s="2" t="str">
        <f>=HYPERLINK("https://www.larksuite.com/approval/admin/previewAttachment?key=PMgxqgJBEATQK1X11HR3_cv8xGURYTcRhQ3m7IKB6csmsidHGjLD4KpJpTrSMwM9xbliscoopmttx_7_uvo8ymfFwxe13vfbvj05XRGoIY0GwL-fj5Jkp_B1fAIAAP__", "2 attachment(s)")</f>
        <v>2 attachment(s)</v>
      </c>
      <c r="Y170" t="inlineStr">
        <is>
          <t>Bank Transfer</t>
        </is>
      </c>
      <c r="Z170" t="inlineStr">
        <is>
          <t>Michaella Acala</t>
        </is>
      </c>
      <c r="AA170" t="inlineStr">
        <is>
          <t>2799050585</t>
        </is>
      </c>
      <c r="AB170" t="inlineStr">
        <is>
          <t>BPI</t>
        </is>
      </c>
      <c r="AC170" t="inlineStr">
        <is>
          <t>Blk 3 lot 5 Sagana Homes Culiat Quezon city</t>
        </is>
      </c>
      <c r="AD170" s="4">
        <v>45805</v>
      </c>
      <c r="AE170" t="inlineStr">
        <is>
          <t>100% Full Payment - June 20, 2025</t>
        </is>
      </c>
      <c r="AF170" s="2"/>
      <c r="AG170" t="inlineStr">
        <is>
          <t>NzQyNTk5MTgyNzQ4MTg3MDM0MTo2NTgyQkRCRC04MEQ3LTQwNzEtOTk1RC1BNjFFRTlDQjA0RTAtMTpmYWFmOTVmZTVkZDA1OTQyYTc3NThmZDkwZmEzNjNhMjox</t>
        </is>
      </c>
      <c r="AH170"/>
      <c r="AI170"/>
      <c r="AJ170"/>
      <c r="AK170"/>
    </row>
    <row r="171" ht="25.5" customHeight="1">
      <c r="A171" s="2" t="str">
        <f>=HYPERLINK("https://applink.larksuite.com/client/mini_program/open?appId=cli_9c7cc8a9a9edd105&amp;mode=appCenter&amp;path_pc=pc/pages/requested/index?instanceId=7514649245501194279&amp;source=bitable&amp;path=pages/detail/index?instanceId=7514649245501194279&amp;source=bitable", "202506110101")</f>
        <v>202506110101</v>
      </c>
      <c r="B171" t="inlineStr">
        <is>
          <t>Approved</t>
        </is>
      </c>
      <c r="C171" t="inlineStr">
        <is>
          <t>Procurement Order</t>
        </is>
      </c>
      <c r="D171" s="3">
        <v>45819.80347222222</v>
      </c>
      <c r="E171" s="3">
        <v>45821.62378472222</v>
      </c>
      <c r="F171" t="inlineStr">
        <is>
          <t>Fatima Kathleen M. FLores</t>
        </is>
      </c>
      <c r="G171" t="inlineStr">
        <is>
          <t>Procurement</t>
        </is>
      </c>
      <c r="H171"/>
      <c r="I171"/>
      <c r="J171" t="inlineStr">
        <is>
          <t>Project</t>
        </is>
      </c>
      <c r="K171" t="inlineStr">
        <is>
          <t>PDEI - Event Service</t>
        </is>
      </c>
      <c r="L171" t="inlineStr">
        <is>
          <t>MPL PH S15 Addendum</t>
        </is>
      </c>
      <c r="M171" t="inlineStr">
        <is>
          <t>2025TEG-P0071</t>
        </is>
      </c>
      <c r="N171" t="inlineStr">
        <is>
          <t>Tiny</t>
        </is>
      </c>
      <c r="O171" t="inlineStr">
        <is>
          <t>202505230051-Yuki Berico-费用报销 - 副本 - 副本 - 副本-2025-05-23 10:48:23</t>
        </is>
      </c>
      <c r="P171" t="inlineStr">
        <is>
          <t>YES</t>
        </is>
      </c>
      <c r="Q171"/>
      <c r="R171" t="inlineStr">
        <is>
          <t>NO</t>
        </is>
      </c>
      <c r="S171" t="inlineStr">
        <is>
          <t>Outsourced On Ground Support (Slash)</t>
        </is>
      </c>
      <c r="T171">
        <v>1</v>
      </c>
      <c r="U171">
        <v>10000</v>
      </c>
      <c r="V171" t="inlineStr">
        <is>
          <t>PHP</t>
        </is>
      </c>
      <c r="W171">
        <v>10000</v>
      </c>
      <c r="X171" s="2" t="str">
        <f>=HYPERLINK("https://www.larksuite.com/approval/admin/previewAttachment?key=PMgxCgIxFATQK838TP7PeBmbXRaDrI0oWOTsgoXty0Hk6GxpyAyDqzqVcqh3kFaUVyxWGcV0rf08rq_PeJx1n1tMtmOu92079ie7KwLVpDYA8PL3VpLsFH6ObwAAAP__", "2 attachment(s)")</f>
        <v>2 attachment(s)</v>
      </c>
      <c r="Y171" t="inlineStr">
        <is>
          <t>Bank Transfer</t>
        </is>
      </c>
      <c r="Z171" t="inlineStr">
        <is>
          <t>Jennifer Baogbog</t>
        </is>
      </c>
      <c r="AA171" t="inlineStr">
        <is>
          <t>09563846549</t>
        </is>
      </c>
      <c r="AB171" t="inlineStr">
        <is>
          <t>GCash</t>
        </is>
      </c>
      <c r="AC171" t="inlineStr">
        <is>
          <t>14 Sitio San Gabriel Batasan Hills, Quezon City</t>
        </is>
      </c>
      <c r="AD171" s="4">
        <v>45805</v>
      </c>
      <c r="AE171" t="inlineStr">
        <is>
          <t>100% Full Payment - June 20, 2025</t>
        </is>
      </c>
      <c r="AF171" s="2"/>
      <c r="AG171" t="inlineStr">
        <is>
          <t>NzQyNTk5MTgyNzQ4MTg3MDM0MTpBMDU3NUYxNC1FQTU4LTREQTktOEI0Ny1BMEE2MDU0QzM3NTItMToyNDM0NzhkNDI3OGRjZGIxZjgwZTQ1MjVjOGUzZmY3Njox</t>
        </is>
      </c>
      <c r="AH171"/>
      <c r="AI171"/>
      <c r="AJ171"/>
      <c r="AK171"/>
    </row>
    <row r="172" ht="25.5" customHeight="1">
      <c r="A172" s="2" t="str">
        <f>=HYPERLINK("https://applink.larksuite.com/client/mini_program/open?appId=cli_9c7cc8a9a9edd105&amp;mode=appCenter&amp;path_pc=pc/pages/requested/index?instanceId=7514653464836702239&amp;source=bitable&amp;path=pages/detail/index?instanceId=7514653464836702239&amp;source=bitable", "202506110106")</f>
        <v>202506110106</v>
      </c>
      <c r="B172" t="inlineStr">
        <is>
          <t>Approved</t>
        </is>
      </c>
      <c r="C172" t="inlineStr">
        <is>
          <t>Procurement Order</t>
        </is>
      </c>
      <c r="D172" s="3">
        <v>45819.81484953704</v>
      </c>
      <c r="E172" s="3">
        <v>45821.63616898148</v>
      </c>
      <c r="F172" t="inlineStr">
        <is>
          <t>Fatima Kathleen M. FLores</t>
        </is>
      </c>
      <c r="G172" t="inlineStr">
        <is>
          <t>Procurement</t>
        </is>
      </c>
      <c r="H172"/>
      <c r="I172"/>
      <c r="J172" t="inlineStr">
        <is>
          <t>Project</t>
        </is>
      </c>
      <c r="K172" t="inlineStr">
        <is>
          <t>PDEI - Slash</t>
        </is>
      </c>
      <c r="L172" t="inlineStr">
        <is>
          <t>MPLS15 - Slash Ticketing</t>
        </is>
      </c>
      <c r="M172" t="inlineStr">
        <is>
          <t>2025TEG-P0039</t>
        </is>
      </c>
      <c r="N172" t="inlineStr">
        <is>
          <t>Yuki Berico</t>
        </is>
      </c>
      <c r="O172" t="inlineStr">
        <is>
          <t>202505260175-Yuki Berico-费用报销 - 副本 - 副本 - 副本-2025-05-26 16:55:43</t>
        </is>
      </c>
      <c r="P172" t="inlineStr">
        <is>
          <t>YES</t>
        </is>
      </c>
      <c r="Q172"/>
      <c r="R172" t="inlineStr">
        <is>
          <t>NO</t>
        </is>
      </c>
      <c r="S172" t="inlineStr">
        <is>
          <t>Outsourced Ticketing Assistant</t>
        </is>
      </c>
      <c r="T172">
        <v>1</v>
      </c>
      <c r="U172">
        <v>15000</v>
      </c>
      <c r="V172" t="inlineStr">
        <is>
          <t>PHP</t>
        </is>
      </c>
      <c r="W172">
        <v>15000</v>
      </c>
      <c r="X172" s="2" t="str">
        <f>=HYPERLINK("https://www.larksuite.com/approval/admin/previewAttachment?key=PMixDcJQDATQlc722f7HMjSJIoqkQopoPDsSBe2rZaiVFiVQ5oJNp7EyWFxRDffQ-Fi30Fbq2a_jeeZ5XxnbSgQ-PvdrO_a3pdodHWQsAPb4ezRJqYif4xsAAP__", "2 attachment(s)")</f>
        <v>2 attachment(s)</v>
      </c>
      <c r="Y172" t="inlineStr">
        <is>
          <t>Bank Transfer</t>
        </is>
      </c>
      <c r="Z172" t="inlineStr">
        <is>
          <t>Jhun Aldrin Manes</t>
        </is>
      </c>
      <c r="AA172" t="inlineStr">
        <is>
          <t>09668330217</t>
        </is>
      </c>
      <c r="AB172" t="inlineStr">
        <is>
          <t>GCash</t>
        </is>
      </c>
      <c r="AC172" t="inlineStr">
        <is>
          <t>2042 Candido St. Brgy. Mapulang Lupa. Valenzuela City</t>
        </is>
      </c>
      <c r="AD172" s="4">
        <v>45805</v>
      </c>
      <c r="AE172" t="inlineStr">
        <is>
          <t>100% Full Payment - June 20, 2025</t>
        </is>
      </c>
      <c r="AF172" s="2"/>
      <c r="AG172" t="inlineStr">
        <is>
          <t>NzQyNTk5MTgyNzQ4MTg3MDM0MTowNkI0NzZDMC1DRDNELTRDMUYtQTkwOC02Q0E5MTUwNTE0NkItMTo3NDNkNTU3MjQzNDI1NmFiY2ZiZDYyZjI2NmE3YWM5Yjox</t>
        </is>
      </c>
      <c r="AH172"/>
      <c r="AI172"/>
      <c r="AJ172"/>
      <c r="AK172"/>
    </row>
    <row r="173" ht="25.5" customHeight="1">
      <c r="A173" s="2" t="str">
        <f>=HYPERLINK("https://applink.larksuite.com/client/mini_program/open?appId=cli_9c7cc8a9a9edd105&amp;mode=appCenter&amp;path_pc=pc/pages/requested/index?instanceId=7516423676871409702&amp;source=bitable&amp;path=pages/detail/index?instanceId=7516423676871409702&amp;source=bitable", "202506160055")</f>
        <v>202506160055</v>
      </c>
      <c r="B173" t="inlineStr">
        <is>
          <t>Approved</t>
        </is>
      </c>
      <c r="C173" t="inlineStr">
        <is>
          <t>Procurement Order</t>
        </is>
      </c>
      <c r="D173" s="3">
        <v>45824.58520833333</v>
      </c>
      <c r="E173" s="3">
        <v>45825.5597337963</v>
      </c>
      <c r="F173" t="inlineStr">
        <is>
          <t>Fatima Kathleen M. FLores</t>
        </is>
      </c>
      <c r="G173" t="inlineStr">
        <is>
          <t>Procurement</t>
        </is>
      </c>
      <c r="H173"/>
      <c r="I173"/>
      <c r="J173" t="inlineStr">
        <is>
          <t>Project</t>
        </is>
      </c>
      <c r="K173" t="inlineStr">
        <is>
          <t>PDEI - Event Service</t>
        </is>
      </c>
      <c r="L173" t="inlineStr">
        <is>
          <t>GTCC Summer Showdown</t>
        </is>
      </c>
      <c r="M173" t="inlineStr">
        <is>
          <t>2025TEG-P0040</t>
        </is>
      </c>
      <c r="N173" t="inlineStr">
        <is>
          <t>Frances Angelita Arreglado</t>
        </is>
      </c>
      <c r="O173" t="inlineStr">
        <is>
          <t>202506030066-Frances Angelita Arreglado-费用报销 - 副本 - 副本 - 副本-2025-06-03 07:28:31</t>
        </is>
      </c>
      <c r="P173" t="inlineStr">
        <is>
          <t>NO</t>
        </is>
      </c>
      <c r="Q173"/>
      <c r="R173" t="inlineStr">
        <is>
          <t>NO</t>
        </is>
      </c>
      <c r="S173" t="inlineStr">
        <is>
          <t>Full Sublimated Top (Polo Shirt / Chronos Lite Fabric)</t>
        </is>
      </c>
      <c r="T173">
        <v>6</v>
      </c>
      <c r="U173">
        <v>550</v>
      </c>
      <c r="V173" t="inlineStr">
        <is>
          <t>PHP</t>
        </is>
      </c>
      <c r="W173">
        <v>3300</v>
      </c>
      <c r="X173" s="2"/>
      <c r="Y173" t="inlineStr">
        <is>
          <t>Bank Transfer</t>
        </is>
      </c>
      <c r="Z173" t="inlineStr">
        <is>
          <t>JLY Garment Trading</t>
        </is>
      </c>
      <c r="AA173" t="inlineStr">
        <is>
          <t>11138004282</t>
        </is>
      </c>
      <c r="AB173" t="inlineStr">
        <is>
          <t>BDO</t>
        </is>
      </c>
      <c r="AC173" t="inlineStr">
        <is>
          <t>504 Falcon Street, Manuyo Dos, Gatchalian Subd., Las Pinas</t>
        </is>
      </c>
      <c r="AD173" s="4">
        <v>45819</v>
      </c>
      <c r="AE173" t="inlineStr">
        <is>
          <t>100% Full Payment upon complete delivery.</t>
        </is>
      </c>
      <c r="AF173" s="2" t="str">
        <f>=HYPERLINK("https://www.larksuite.com/approval/admin/previewAttachment?key=TMhBqgJBDATQK1Ul6ST1L_M3No3MIAwIgos-u-DK7csmsgc9hRBN4K7BDPOs7GJABdu2WSUUU73nY_1Pt9OO9zp1eR_Xft1vaz6Z7YnQiKAA8O_HSag9_ev4BAAA__8", "3 attachment(s)")</f>
        <v>3 attachment(s)</v>
      </c>
      <c r="AG173" t="inlineStr">
        <is>
          <t>NzQyNTk5MTgyNzQ4MTg3MDM0MTpBQUNEMzE3QS1CODkyLTRCQzQtQjUyRi0xNEIwRTM2MzZCM0MtMTo5ZTJlNzJhYzljNWQ5MzlkODE3M2RiYjhkYTJmZTVkOTox</t>
        </is>
      </c>
      <c r="AH173"/>
      <c r="AI173"/>
      <c r="AJ173"/>
      <c r="AK173"/>
    </row>
    <row r="174" ht="25.5" customHeight="1">
      <c r="A174" s="2" t="str">
        <f>=HYPERLINK("https://applink.larksuite.com/client/mini_program/open?appId=cli_9c7cc8a9a9edd105&amp;mode=appCenter&amp;path_pc=pc/pages/requested/index?instanceId=7516423676871409702&amp;source=bitable&amp;path=pages/detail/index?instanceId=7516423676871409702&amp;source=bitable", "202506160055")</f>
        <v>202506160055</v>
      </c>
      <c r="B174" t="inlineStr">
        <is>
          <t>Approved</t>
        </is>
      </c>
      <c r="C174" t="inlineStr">
        <is>
          <t>Procurement Order</t>
        </is>
      </c>
      <c r="D174" s="3">
        <v>45824.58520833333</v>
      </c>
      <c r="E174" s="3">
        <v>45825.5597337963</v>
      </c>
      <c r="F174" t="inlineStr">
        <is>
          <t>Fatima Kathleen M. FLores</t>
        </is>
      </c>
      <c r="G174" t="inlineStr">
        <is>
          <t>Procurement</t>
        </is>
      </c>
      <c r="H174"/>
      <c r="I174"/>
      <c r="J174" t="inlineStr">
        <is>
          <t>Project</t>
        </is>
      </c>
      <c r="K174" t="inlineStr">
        <is>
          <t>PDEI - Event Service</t>
        </is>
      </c>
      <c r="L174" t="inlineStr">
        <is>
          <t>GTCC Summer Showdown</t>
        </is>
      </c>
      <c r="M174" t="inlineStr">
        <is>
          <t>2025TEG-P0040</t>
        </is>
      </c>
      <c r="N174" t="inlineStr">
        <is>
          <t>Frances Angelita Arreglado</t>
        </is>
      </c>
      <c r="O174" t="inlineStr">
        <is>
          <t>202506030066-Frances Angelita Arreglado-费用报销 - 副本 - 副本 - 副本-2025-06-03 07:28:31</t>
        </is>
      </c>
      <c r="P174" t="inlineStr">
        <is>
          <t>NO</t>
        </is>
      </c>
      <c r="Q174"/>
      <c r="R174" t="inlineStr">
        <is>
          <t>NO</t>
        </is>
      </c>
      <c r="S174" t="inlineStr">
        <is>
          <t>Full Sublimated Top (LONG SLEEVE WITH COLLAR / Chronos Lite Fabric)</t>
        </is>
      </c>
      <c r="T174">
        <v>18</v>
      </c>
      <c r="U174">
        <v>650</v>
      </c>
      <c r="V174" t="inlineStr">
        <is>
          <t>PHP</t>
        </is>
      </c>
      <c r="W174">
        <v>11700</v>
      </c>
      <c r="X174" s="2" t="str">
        <f>=HYPERLINK("https://www.larksuite.com/approval/admin/previewAttachment?key=PMhBqgJBDATQK1Ul6ST1L_M3No3MIAwIgos-u-DC7csmsgc9hRBN4K7BDPOs7GJABdu2WSUUU73nY_1Pt9OO9zp1eR_Xft1vaz45VGYoj_AGwL-fe0WElIGv8xMAAP__", "2 attachment(s)")</f>
        <v>2 attachment(s)</v>
      </c>
      <c r="Y174"/>
      <c r="Z174"/>
      <c r="AA174"/>
      <c r="AB174"/>
      <c r="AC174"/>
      <c r="AD174" s="4"/>
      <c r="AE174"/>
      <c r="AF174" s="2"/>
      <c r="AG174" t="inlineStr">
        <is>
          <t>NzQyNTk5MTgyNzQ4MTg3MDM0MTpBQUNEMzE3QS1CODkyLTRCQzQtQjUyRi0xNEIwRTM2MzZCM0MtMjpkNzNlNTNkNGMwN2ZlZmQ0MTJjYTg2MTQyOTlhNzI0Njox</t>
        </is>
      </c>
      <c r="AH174"/>
      <c r="AI174"/>
      <c r="AJ174"/>
      <c r="AK174"/>
    </row>
    <row r="175" ht="25.5" customHeight="1">
      <c r="A175" s="2" t="str">
        <f>=HYPERLINK("https://applink.larksuite.com/client/mini_program/open?appId=cli_9c7cc8a9a9edd105&amp;mode=appCenter&amp;path_pc=pc/pages/requested/index?instanceId=7516450579447644198&amp;source=bitable&amp;path=pages/detail/index?instanceId=7516450579447644198&amp;source=bitable", "202506160080")</f>
        <v>202506160080</v>
      </c>
      <c r="B175" t="inlineStr">
        <is>
          <t>Approved</t>
        </is>
      </c>
      <c r="C175" t="inlineStr">
        <is>
          <t>Procurement Order</t>
        </is>
      </c>
      <c r="D175" s="3">
        <v>45824.65770833333</v>
      </c>
      <c r="E175" s="3">
        <v>45825.568703703706</v>
      </c>
      <c r="F175" t="inlineStr">
        <is>
          <t>Fatima Kathleen M. FLores</t>
        </is>
      </c>
      <c r="G175" t="inlineStr">
        <is>
          <t>Procurement</t>
        </is>
      </c>
      <c r="H175"/>
      <c r="I175"/>
      <c r="J175" t="inlineStr">
        <is>
          <t>Project</t>
        </is>
      </c>
      <c r="K175" t="inlineStr">
        <is>
          <t>PDEI - Event Service</t>
        </is>
      </c>
      <c r="L175" t="inlineStr">
        <is>
          <t>GTCC Summer Showdown</t>
        </is>
      </c>
      <c r="M175" t="inlineStr">
        <is>
          <t>2025TEG-P0040</t>
        </is>
      </c>
      <c r="N175" t="inlineStr">
        <is>
          <t>Frances Angelita Arreglado</t>
        </is>
      </c>
      <c r="O175" t="inlineStr">
        <is>
          <t>202506050113-Frances Angelita Arreglado-费用报销 - 副本 - 副本 - 副本-2025-06-05 12:18:05</t>
        </is>
      </c>
      <c r="P175" t="inlineStr">
        <is>
          <t>YES</t>
        </is>
      </c>
      <c r="Q175"/>
      <c r="R175" t="inlineStr">
        <is>
          <t>NO</t>
        </is>
      </c>
      <c r="S175" t="inlineStr">
        <is>
          <t>Outsourced Logistics Associate (Ingress)</t>
        </is>
      </c>
      <c r="T175">
        <v>1</v>
      </c>
      <c r="U175">
        <v>15000</v>
      </c>
      <c r="V175" t="inlineStr">
        <is>
          <t>PHP</t>
        </is>
      </c>
      <c r="W175">
        <v>15000</v>
      </c>
      <c r="X175" s="2" t="str">
        <f>=HYPERLINK("https://www.larksuite.com/approval/admin/previewAttachment?key=PMg9CsJAEAXgK73ZefPzvIxNQlDZVIJgsWcXLNJ-2YbsME-BsiHYqrBkIEpkJWnqNZZVCWWpXvt53OH97OmvscV3nnN9Htuxvy1UY6Cc9AZgt8u9SEpJ_B2_AAAA__8", "2 attachment(s)")</f>
        <v>2 attachment(s)</v>
      </c>
      <c r="Y175" t="inlineStr">
        <is>
          <t>Bank Transfer</t>
        </is>
      </c>
      <c r="Z175" t="inlineStr">
        <is>
          <t>RIC JACA</t>
        </is>
      </c>
      <c r="AA175" t="inlineStr">
        <is>
          <t>09509516216</t>
        </is>
      </c>
      <c r="AB175" t="inlineStr">
        <is>
          <t>GCASH</t>
        </is>
      </c>
      <c r="AC175" t="inlineStr">
        <is>
          <t>321 Sitio Langhaya Brgy. Dela Paz Antipolo Rizal</t>
        </is>
      </c>
      <c r="AD175" s="4">
        <v>45817</v>
      </c>
      <c r="AE175" t="inlineStr">
        <is>
          <t>100% Full Payment - June 27, 2025</t>
        </is>
      </c>
      <c r="AF175" s="2"/>
      <c r="AG175" t="inlineStr">
        <is>
          <t>NzQyNTk5MTgyNzQ4MTg3MDM0MTo0NjlFMzgwMC0wQzY1LTQ4NzgtQkE2MS0xNDY3MDY0OEZBN0UtMTo3ZmVlN2FjYzBiZTQ3MDM3OThkYTUzM2UyMWI1MDM0ZTox</t>
        </is>
      </c>
      <c r="AH175"/>
      <c r="AI175"/>
      <c r="AJ175"/>
      <c r="AK175"/>
    </row>
    <row r="176" ht="25.5" customHeight="1">
      <c r="A176" s="2" t="str">
        <f>=HYPERLINK("https://applink.larksuite.com/client/mini_program/open?appId=cli_9c7cc8a9a9edd105&amp;mode=appCenter&amp;path_pc=pc/pages/requested/index?instanceId=7516451472733650976&amp;source=bitable&amp;path=pages/detail/index?instanceId=7516451472733650976&amp;source=bitable", "202506160082")</f>
        <v>202506160082</v>
      </c>
      <c r="B176" t="inlineStr">
        <is>
          <t>Approved</t>
        </is>
      </c>
      <c r="C176" t="inlineStr">
        <is>
          <t>Procurement Order</t>
        </is>
      </c>
      <c r="D176" s="3">
        <v>45824.66011574074</v>
      </c>
      <c r="E176" s="3">
        <v>45825.570069444446</v>
      </c>
      <c r="F176" t="inlineStr">
        <is>
          <t>Fatima Kathleen M. FLores</t>
        </is>
      </c>
      <c r="G176" t="inlineStr">
        <is>
          <t>Procurement</t>
        </is>
      </c>
      <c r="H176"/>
      <c r="I176"/>
      <c r="J176" t="inlineStr">
        <is>
          <t>Project</t>
        </is>
      </c>
      <c r="K176" t="inlineStr">
        <is>
          <t>PDEI - Event Service</t>
        </is>
      </c>
      <c r="L176" t="inlineStr">
        <is>
          <t>GTCC Summer Showdown</t>
        </is>
      </c>
      <c r="M176" t="inlineStr">
        <is>
          <t>2025TEG-P0040</t>
        </is>
      </c>
      <c r="N176" t="inlineStr">
        <is>
          <t>Frances Angelita Arreglado</t>
        </is>
      </c>
      <c r="O176" t="inlineStr">
        <is>
          <t>202506050113-Frances Angelita Arreglado-费用报销 - 副本 - 副本 - 副本-2025-06-05 12:18:05</t>
        </is>
      </c>
      <c r="P176" t="inlineStr">
        <is>
          <t>YES</t>
        </is>
      </c>
      <c r="Q176"/>
      <c r="R176" t="inlineStr">
        <is>
          <t>NO</t>
        </is>
      </c>
      <c r="S176" t="inlineStr">
        <is>
          <t>Outsourced Logistics Associate (Ingress)</t>
        </is>
      </c>
      <c r="T176">
        <v>1</v>
      </c>
      <c r="U176">
        <v>15000</v>
      </c>
      <c r="V176" t="inlineStr">
        <is>
          <t>PHP</t>
        </is>
      </c>
      <c r="W176">
        <v>15000</v>
      </c>
      <c r="X176" s="2" t="str">
        <f>=HYPERLINK("https://www.larksuite.com/approval/admin/previewAttachment?key=PMgxrsJADATQK82svR77X-Y3WUWAkgqBoPDZkShoXyQROWlR8OIosDUZPukaMouJUvRoSgUxKnud-z8sr3kc63Zu78fL-nnZ9nXnLI0BmbslAP793OTuVeH4Oj4BAAD__w", "2 attachment(s)")</f>
        <v>2 attachment(s)</v>
      </c>
      <c r="Y176" t="inlineStr">
        <is>
          <t>Bank Transfer</t>
        </is>
      </c>
      <c r="Z176" t="inlineStr">
        <is>
          <t>Nordan Burabo</t>
        </is>
      </c>
      <c r="AA176" t="inlineStr">
        <is>
          <t>09636201512</t>
        </is>
      </c>
      <c r="AB176" t="inlineStr">
        <is>
          <t>GCASH</t>
        </is>
      </c>
      <c r="AC176" t="inlineStr">
        <is>
          <t>Blk 1 Lot 23 Agoncillo St. Sta Lucia Novaliches, QC</t>
        </is>
      </c>
      <c r="AD176" s="4">
        <v>45817</v>
      </c>
      <c r="AE176" t="inlineStr">
        <is>
          <t>100% Full Payment - June 27, 2025</t>
        </is>
      </c>
      <c r="AF176" s="2"/>
      <c r="AG176" t="inlineStr">
        <is>
          <t>NzQyNTk5MTgyNzQ4MTg3MDM0MTo2MDRDMzc1My0yQTRELTQxOUYtOUE0RS04QzBGQjA0Q0Q3NEYtMTozOGQyOWJmOWY5MDg0MTVlZjhhZmU3OTE2MWMxMTc4MDox</t>
        </is>
      </c>
      <c r="AH176"/>
      <c r="AI176"/>
      <c r="AJ176"/>
      <c r="AK176"/>
    </row>
    <row r="177" ht="25.5" customHeight="1">
      <c r="A177" s="2" t="str">
        <f>=HYPERLINK("https://applink.larksuite.com/client/mini_program/open?appId=cli_9c7cc8a9a9edd105&amp;mode=appCenter&amp;path_pc=pc/pages/requested/index?instanceId=7516453038970634272&amp;source=bitable&amp;path=pages/detail/index?instanceId=7516453038970634272&amp;source=bitable", "202506160083")</f>
        <v>202506160083</v>
      </c>
      <c r="B177" t="inlineStr">
        <is>
          <t>Approved</t>
        </is>
      </c>
      <c r="C177" t="inlineStr">
        <is>
          <t>Procurement Order</t>
        </is>
      </c>
      <c r="D177" s="3">
        <v>45824.66434027778</v>
      </c>
      <c r="E177" s="3">
        <v>45825.56114583334</v>
      </c>
      <c r="F177" t="inlineStr">
        <is>
          <t>Fatima Kathleen M. FLores</t>
        </is>
      </c>
      <c r="G177" t="inlineStr">
        <is>
          <t>Procurement</t>
        </is>
      </c>
      <c r="H177"/>
      <c r="I177"/>
      <c r="J177" t="inlineStr">
        <is>
          <t>Project</t>
        </is>
      </c>
      <c r="K177" t="inlineStr">
        <is>
          <t>PDEI - Event Service</t>
        </is>
      </c>
      <c r="L177" t="inlineStr">
        <is>
          <t>GTCC Summer Showdown</t>
        </is>
      </c>
      <c r="M177" t="inlineStr">
        <is>
          <t>2025TEG-P0040</t>
        </is>
      </c>
      <c r="N177" t="inlineStr">
        <is>
          <t>Frances Angelita Arreglado</t>
        </is>
      </c>
      <c r="O177" t="inlineStr">
        <is>
          <t>202506050113-Frances Angelita Arreglado-费用报销 - 副本 - 副本 - 副本-2025-06-05 12:18:05</t>
        </is>
      </c>
      <c r="P177" t="inlineStr">
        <is>
          <t>YES</t>
        </is>
      </c>
      <c r="Q177"/>
      <c r="R177" t="inlineStr">
        <is>
          <t>NO</t>
        </is>
      </c>
      <c r="S177" t="inlineStr">
        <is>
          <t>Outsourced Logistics Associate (Event Days)</t>
        </is>
      </c>
      <c r="T177">
        <v>1</v>
      </c>
      <c r="U177">
        <v>18000</v>
      </c>
      <c r="V177" t="inlineStr">
        <is>
          <t>PHP</t>
        </is>
      </c>
      <c r="W177">
        <v>18000</v>
      </c>
      <c r="X177" s="2" t="str">
        <f>=HYPERLINK("https://www.larksuite.com/approval/admin/previewAttachment?key=PMg7CgJhDATgK00ef5LxMjYbFpVVBMEuZxcstv2iBFFLLAinKCGTS8KXwYqJMNfU0ZFMIiVY08_9-n7Yy47W7d482PO9bXt_ZDFVkeZuBUAup1u6OxmOv-MXAAD__w", "2 attachment(s)")</f>
        <v>2 attachment(s)</v>
      </c>
      <c r="Y177" t="inlineStr">
        <is>
          <t>Bank Transfer</t>
        </is>
      </c>
      <c r="Z177" t="inlineStr">
        <is>
          <t>Nordan Burabo</t>
        </is>
      </c>
      <c r="AA177" t="inlineStr">
        <is>
          <t>09636201512</t>
        </is>
      </c>
      <c r="AB177" t="inlineStr">
        <is>
          <t>GCASH</t>
        </is>
      </c>
      <c r="AC177" t="inlineStr">
        <is>
          <t>Blk 1 Lot 23 Agoncillo St. Sta Lucia Novaliches, QC</t>
        </is>
      </c>
      <c r="AD177" s="4">
        <v>45817</v>
      </c>
      <c r="AE177" t="inlineStr">
        <is>
          <t>1st Payment - June 20, 2025
Final Payment - July 11, 2025</t>
        </is>
      </c>
      <c r="AF177" s="2"/>
      <c r="AG177" t="inlineStr">
        <is>
          <t>NzQyNTk5MTgyNzQ4MTg3MDM0MTpDNDBFNEFCMi1CNjA2LTRENEUtOUM3MC01QTYzQzQ4NzUwQUMtMTo0MGRhMTU2MTc5NzIwY2NmM2QyODIxMzVlNzVmYjE3Yzox</t>
        </is>
      </c>
      <c r="AH177"/>
      <c r="AI177"/>
      <c r="AJ177"/>
      <c r="AK177"/>
    </row>
    <row r="178" ht="25.5" customHeight="1">
      <c r="A178" s="2" t="str">
        <f>=HYPERLINK("https://applink.larksuite.com/client/mini_program/open?appId=cli_9c7cc8a9a9edd105&amp;mode=appCenter&amp;path_pc=pc/pages/requested/index?instanceId=7516453956877352998&amp;source=bitable&amp;path=pages/detail/index?instanceId=7516453956877352998&amp;source=bitable", "202506160085")</f>
        <v>202506160085</v>
      </c>
      <c r="B178" t="inlineStr">
        <is>
          <t>Approved</t>
        </is>
      </c>
      <c r="C178" t="inlineStr">
        <is>
          <t>Procurement Order</t>
        </is>
      </c>
      <c r="D178" s="3">
        <v>45824.66680555556</v>
      </c>
      <c r="E178" s="3">
        <v>45825.56040509259</v>
      </c>
      <c r="F178" t="inlineStr">
        <is>
          <t>Fatima Kathleen M. FLores</t>
        </is>
      </c>
      <c r="G178" t="inlineStr">
        <is>
          <t>Procurement</t>
        </is>
      </c>
      <c r="H178"/>
      <c r="I178"/>
      <c r="J178" t="inlineStr">
        <is>
          <t>Project</t>
        </is>
      </c>
      <c r="K178" t="inlineStr">
        <is>
          <t>PDEI - Event Service</t>
        </is>
      </c>
      <c r="L178" t="inlineStr">
        <is>
          <t>GTCC Summer Showdown</t>
        </is>
      </c>
      <c r="M178" t="inlineStr">
        <is>
          <t>2025TEG-P0040</t>
        </is>
      </c>
      <c r="N178" t="inlineStr">
        <is>
          <t>Frances Angelita Arreglado</t>
        </is>
      </c>
      <c r="O178" t="inlineStr">
        <is>
          <t>202506050113-Frances Angelita Arreglado-费用报销 - 副本 - 副本 - 副本-2025-06-05 12:18:05</t>
        </is>
      </c>
      <c r="P178" t="inlineStr">
        <is>
          <t>YES</t>
        </is>
      </c>
      <c r="Q178"/>
      <c r="R178" t="inlineStr">
        <is>
          <t>NO</t>
        </is>
      </c>
      <c r="S178" t="inlineStr">
        <is>
          <t>Outsourced Logistics Associate (Event Days)</t>
        </is>
      </c>
      <c r="T178">
        <v>1</v>
      </c>
      <c r="U178">
        <v>27000</v>
      </c>
      <c r="V178" t="inlineStr">
        <is>
          <t>PHP</t>
        </is>
      </c>
      <c r="W178">
        <v>27000</v>
      </c>
      <c r="X178" s="2" t="str">
        <f>=HYPERLINK("https://www.larksuite.com/approval/admin/previewAttachment?key=PMg5CgJBEAXQK9XvWr-XMZlmELRNxC2oswsGk74oSJRDg2LEoKDTEeZKj8pUH2T1aGRSEsHqufbz9lzXpTXn947P7d2vy7bPB5w5hqSaaYkITodrmhkZJn-XXwAAAP__", "2 attachment(s)")</f>
        <v>2 attachment(s)</v>
      </c>
      <c r="Y178" t="inlineStr">
        <is>
          <t>Bank Transfer</t>
        </is>
      </c>
      <c r="Z178" t="inlineStr">
        <is>
          <t>RIC JACA</t>
        </is>
      </c>
      <c r="AA178" t="inlineStr">
        <is>
          <t>09509516216</t>
        </is>
      </c>
      <c r="AB178" t="inlineStr">
        <is>
          <t>GCASH</t>
        </is>
      </c>
      <c r="AC178" t="inlineStr">
        <is>
          <t>321 Sitio Langhaya Brgy. Dela Paz Antipolo Rizal</t>
        </is>
      </c>
      <c r="AD178" s="4">
        <v>45817</v>
      </c>
      <c r="AE178" t="inlineStr">
        <is>
          <t>1st Payment - June 20, 2025
Final Payment - July 11, 2025</t>
        </is>
      </c>
      <c r="AF178" s="2"/>
      <c r="AG178" t="inlineStr">
        <is>
          <t>NzQyNTk5MTgyNzQ4MTg3MDM0MTpDRjBGNEVCNS1BRjhDLTQxNkMtOEY1Ni02MDBBMTcxM0Y2NkYtMTo2NzZhZjQ5MzhiZGViMjA0NjQ5N2UyODE5MmQyMDNjMDox</t>
        </is>
      </c>
      <c r="AH178"/>
      <c r="AI178"/>
      <c r="AJ178"/>
      <c r="AK178"/>
    </row>
    <row r="179" ht="25.5" customHeight="1">
      <c r="A179" s="2" t="str">
        <f>=HYPERLINK("https://applink.larksuite.com/client/mini_program/open?appId=cli_9c7cc8a9a9edd105&amp;mode=appCenter&amp;path_pc=pc/pages/requested/index?instanceId=7516456996011294758&amp;source=bitable&amp;path=pages/detail/index?instanceId=7516456996011294758&amp;source=bitable", "202506160087")</f>
        <v>202506160087</v>
      </c>
      <c r="B179" t="inlineStr">
        <is>
          <t>Approved</t>
        </is>
      </c>
      <c r="C179" t="inlineStr">
        <is>
          <t>Procurement Order</t>
        </is>
      </c>
      <c r="D179" s="3">
        <v>45824.675</v>
      </c>
      <c r="E179" s="3">
        <v>45825.557662037034</v>
      </c>
      <c r="F179" t="inlineStr">
        <is>
          <t>Fatima Kathleen M. FLores</t>
        </is>
      </c>
      <c r="G179" t="inlineStr">
        <is>
          <t>Procurement</t>
        </is>
      </c>
      <c r="H179"/>
      <c r="I179"/>
      <c r="J179" t="inlineStr">
        <is>
          <t>Project</t>
        </is>
      </c>
      <c r="K179" t="inlineStr">
        <is>
          <t>PDEI - Event Service</t>
        </is>
      </c>
      <c r="L179" t="inlineStr">
        <is>
          <t>GTCC Summer Showdown</t>
        </is>
      </c>
      <c r="M179" t="inlineStr">
        <is>
          <t>2025TEG-P0040</t>
        </is>
      </c>
      <c r="N179" t="inlineStr">
        <is>
          <t>Frances Angelita Arreglado</t>
        </is>
      </c>
      <c r="O179" t="inlineStr">
        <is>
          <t>202506050117-Frances Angelita Arreglado-费用报销 - 副本 - 副本 - 副本-2025-06-05 12:45:25</t>
        </is>
      </c>
      <c r="P179" t="inlineStr">
        <is>
          <t>NO</t>
        </is>
      </c>
      <c r="Q179"/>
      <c r="R179" t="inlineStr">
        <is>
          <t>NO</t>
        </is>
      </c>
      <c r="S179" t="inlineStr">
        <is>
          <t>Logistics Services (Ingress)  (June 6, 2025)</t>
        </is>
      </c>
      <c r="T179">
        <v>1</v>
      </c>
      <c r="U179">
        <v>7280</v>
      </c>
      <c r="V179" t="inlineStr">
        <is>
          <t>PHP</t>
        </is>
      </c>
      <c r="W179">
        <v>7280</v>
      </c>
      <c r="X179" s="2" t="str">
        <f>=HYPERLINK("https://www.larksuite.com/approval/admin/previewAttachment?key=PMg7CgJBEATQK1XN9K-8jInLoouaCA4GfXbBwPRFEVHOGYKJQ2CnM8xDCpBDll49mplCMlS9Pfaze91qreO4f55Q9vt62bcXXTkGcprNAsDT32eamRSGn-MbAAD__w", "3 attachment(s)")</f>
        <v>3 attachment(s)</v>
      </c>
      <c r="Y179" t="inlineStr">
        <is>
          <t>Bank Transfer</t>
        </is>
      </c>
      <c r="Z179" t="inlineStr">
        <is>
          <t>Truckrentalph Transport Logistics Inc</t>
        </is>
      </c>
      <c r="AA179" t="inlineStr">
        <is>
          <t>121-700-001-557</t>
        </is>
      </c>
      <c r="AB179" t="inlineStr">
        <is>
          <t>Chinabank</t>
        </is>
      </c>
      <c r="AC179" t="inlineStr">
        <is>
          <t>3878 Daffodil St., Sun Valley Parañaque</t>
        </is>
      </c>
      <c r="AD179" s="4">
        <v>45814</v>
      </c>
      <c r="AE179" t="inlineStr">
        <is>
          <t>100% Full Payment upon completion of services</t>
        </is>
      </c>
      <c r="AF179" s="2"/>
      <c r="AG179" t="inlineStr">
        <is>
          <t>NzQyNTk5MTgyNzQ4MTg3MDM0MTowRTMwRDkzMS0yRjlELTQyOEYtOTEzRC0yNDE2RUZCRjJBMzEtMTowMmU5NThiYWUzYTc5Y2Y2ZjM0MTMyNzQxYTRkMWY0NDox</t>
        </is>
      </c>
      <c r="AH179"/>
      <c r="AI179"/>
      <c r="AJ179"/>
      <c r="AK179"/>
    </row>
    <row r="180" ht="25.5" customHeight="1">
      <c r="A180" s="2" t="str">
        <f>=HYPERLINK("https://applink.larksuite.com/client/mini_program/open?appId=cli_9c7cc8a9a9edd105&amp;mode=appCenter&amp;path_pc=pc/pages/requested/index?instanceId=7516795864841584671&amp;source=bitable&amp;path=pages/detail/index?instanceId=7516795864841584671&amp;source=bitable", "202506170048")</f>
        <v>202506170048</v>
      </c>
      <c r="B180" t="inlineStr">
        <is>
          <t>Approved</t>
        </is>
      </c>
      <c r="C180" t="inlineStr">
        <is>
          <t>Procurement Order</t>
        </is>
      </c>
      <c r="D180" s="3">
        <v>45825.58818287037</v>
      </c>
      <c r="E180" s="3">
        <v>45831.60275462963</v>
      </c>
      <c r="F180" t="inlineStr">
        <is>
          <t>Fatima Kathleen M. FLores</t>
        </is>
      </c>
      <c r="G180" t="inlineStr">
        <is>
          <t>Procurement</t>
        </is>
      </c>
      <c r="H180"/>
      <c r="I180"/>
      <c r="J180" t="inlineStr">
        <is>
          <t>Project</t>
        </is>
      </c>
      <c r="K180" t="inlineStr">
        <is>
          <t>PDEI - Event Service</t>
        </is>
      </c>
      <c r="L180" t="inlineStr">
        <is>
          <t>GTCC Summer Showdown</t>
        </is>
      </c>
      <c r="M180" t="inlineStr">
        <is>
          <t>2025TEG-P0040</t>
        </is>
      </c>
      <c r="N180" t="inlineStr">
        <is>
          <t>Frances Angelita Arreglado</t>
        </is>
      </c>
      <c r="O180" t="inlineStr">
        <is>
          <t>202506040110-Frances Angelita Arreglado-费用报销 - 副本 - 副本 - 副本-2025-06-04 10:13:09</t>
        </is>
      </c>
      <c r="P180" t="inlineStr">
        <is>
          <t>NO</t>
        </is>
      </c>
      <c r="Q180"/>
      <c r="R180" t="inlineStr">
        <is>
          <t>YES</t>
        </is>
      </c>
      <c r="S180" t="inlineStr">
        <is>
          <t>Outsourced Security and Safety Team</t>
        </is>
      </c>
      <c r="T180">
        <v>1</v>
      </c>
      <c r="U180">
        <v>138000</v>
      </c>
      <c r="V180" t="inlineStr">
        <is>
          <t>PHP</t>
        </is>
      </c>
      <c r="W180">
        <v>138000</v>
      </c>
      <c r="X180" s="2" t="str">
        <f>=HYPERLINK("https://www.larksuite.com/approval/admin/previewAttachment?key=PMhBCsJQDATQK8385GcSL-PGUiy2IAhCFzm74KLbF0lETloUvDgKbE2GamZ4Omd6iD2aUkEU0Mux3mG5bfU-X7BzP_b-Ph_r8uEsjQGZuyUA3i43uXtVOP6OXwAAAP__", "2 attachment(s)")</f>
        <v>2 attachment(s)</v>
      </c>
      <c r="Y180" t="inlineStr">
        <is>
          <t>Bank Transfer</t>
        </is>
      </c>
      <c r="Z180" t="inlineStr">
        <is>
          <t>JEROME T. CAPOQUIAN</t>
        </is>
      </c>
      <c r="AA180" t="inlineStr">
        <is>
          <t>9599094366</t>
        </is>
      </c>
      <c r="AB180" t="inlineStr">
        <is>
          <t>BPI</t>
        </is>
      </c>
      <c r="AC180" t="inlineStr">
        <is>
          <t>BLOCK 5 LOT 7 PHASE 2 SHINEVILL MAMBUGAN ANTIPOLO CITY</t>
        </is>
      </c>
      <c r="AD180" s="4">
        <v>45819</v>
      </c>
      <c r="AE180" t="inlineStr">
        <is>
          <t>50% Down Payment upon confirmation
50% Final Payment upon completion of services</t>
        </is>
      </c>
      <c r="AF180" s="2"/>
      <c r="AG180" t="inlineStr">
        <is>
          <t>NzQyNTk5MTgyNzQ4MTg3MDM0MTpCNkU5QUMxRi0wNDUwLTREQUMtOTRBNS05NTdDMDY2RjE1NkMtMTphYzY3MDIzOGRkYWIwNDMwNWZjMjRlYjEyMDk0YzE5OTox</t>
        </is>
      </c>
      <c r="AH180"/>
      <c r="AI180"/>
      <c r="AJ180"/>
      <c r="AK180"/>
    </row>
    <row r="181" ht="25.5" customHeight="1">
      <c r="A181" s="2" t="str">
        <f>=HYPERLINK("https://applink.larksuite.com/client/mini_program/open?appId=cli_9c7cc8a9a9edd105&amp;mode=appCenter&amp;path_pc=pc/pages/requested/index?instanceId=7516799170976563238&amp;source=bitable&amp;path=pages/detail/index?instanceId=7516799170976563238&amp;source=bitable", "202506170057")</f>
        <v>202506170057</v>
      </c>
      <c r="B181" t="inlineStr">
        <is>
          <t>Approved</t>
        </is>
      </c>
      <c r="C181" t="inlineStr">
        <is>
          <t>Procurement Order</t>
        </is>
      </c>
      <c r="D181" s="3">
        <v>45825.59709490741</v>
      </c>
      <c r="E181" s="3">
        <v>45826.42953703704</v>
      </c>
      <c r="F181" t="inlineStr">
        <is>
          <t>Fatima Kathleen M. FLores</t>
        </is>
      </c>
      <c r="G181" t="inlineStr">
        <is>
          <t>Procurement</t>
        </is>
      </c>
      <c r="H181"/>
      <c r="I181"/>
      <c r="J181" t="inlineStr">
        <is>
          <t>Project</t>
        </is>
      </c>
      <c r="K181" t="inlineStr">
        <is>
          <t>PDEI - Event Service</t>
        </is>
      </c>
      <c r="L181" t="inlineStr">
        <is>
          <t>GTCC Summer Showdown</t>
        </is>
      </c>
      <c r="M181" t="inlineStr">
        <is>
          <t>2025TEG-P0040</t>
        </is>
      </c>
      <c r="N181" t="inlineStr">
        <is>
          <t>Frances Angelita Arreglado</t>
        </is>
      </c>
      <c r="O181" t="inlineStr">
        <is>
          <t>202506050117-Frances Angelita Arreglado-费用报销 - 副本 - 副本 - 副本-2025-06-05 12:45:25</t>
        </is>
      </c>
      <c r="P181" t="inlineStr">
        <is>
          <t>NO</t>
        </is>
      </c>
      <c r="Q181"/>
      <c r="R181" t="inlineStr">
        <is>
          <t>NO</t>
        </is>
      </c>
      <c r="S181" t="inlineStr">
        <is>
          <t>Outsourced Logistics Services (16ft closed van / Ingress - June 9, 2025)</t>
        </is>
      </c>
      <c r="T181">
        <v>1</v>
      </c>
      <c r="U181">
        <v>4312</v>
      </c>
      <c r="V181" t="inlineStr">
        <is>
          <t>PHP</t>
        </is>
      </c>
      <c r="W181">
        <v>4312</v>
      </c>
      <c r="X181" s="2"/>
      <c r="Y181" t="inlineStr">
        <is>
          <t>Bank Transfer</t>
        </is>
      </c>
      <c r="Z181" t="inlineStr">
        <is>
          <t>ONE-MAX TRUCKING SERVICES</t>
        </is>
      </c>
      <c r="AA181" t="inlineStr">
        <is>
          <t>504-3-50448621-5</t>
        </is>
      </c>
      <c r="AB181" t="inlineStr">
        <is>
          <t>METROBANK</t>
        </is>
      </c>
      <c r="AC181" t="inlineStr">
        <is>
          <t>Eastdrive St., Marikina Heights, Marikina City</t>
        </is>
      </c>
      <c r="AD181" s="4">
        <v>45817</v>
      </c>
      <c r="AE181" t="inlineStr">
        <is>
          <t>100% Full Payment upon completion of services</t>
        </is>
      </c>
      <c r="AF181" s="2"/>
      <c r="AG181" t="inlineStr">
        <is>
          <t>NzQyNTk5MTgyNzQ4MTg3MDM0MTo2MTg1NEI2MS04NkE1LTQyQzEtOTM4MC1GMzRDMDg3OUUwNjctMTo5M2VhNzY1ODkxYjEwMTBiNzY4NDNkZDYzYjQ4MzY4Njox</t>
        </is>
      </c>
      <c r="AH181"/>
      <c r="AI181"/>
      <c r="AJ181"/>
      <c r="AK181"/>
    </row>
    <row r="182" ht="25.5" customHeight="1">
      <c r="A182" s="2" t="str">
        <f>=HYPERLINK("https://applink.larksuite.com/client/mini_program/open?appId=cli_9c7cc8a9a9edd105&amp;mode=appCenter&amp;path_pc=pc/pages/requested/index?instanceId=7516799170976563238&amp;source=bitable&amp;path=pages/detail/index?instanceId=7516799170976563238&amp;source=bitable", "202506170057")</f>
        <v>202506170057</v>
      </c>
      <c r="B182" t="inlineStr">
        <is>
          <t>Approved</t>
        </is>
      </c>
      <c r="C182" t="inlineStr">
        <is>
          <t>Procurement Order</t>
        </is>
      </c>
      <c r="D182" s="3">
        <v>45825.59709490741</v>
      </c>
      <c r="E182" s="3">
        <v>45826.42953703704</v>
      </c>
      <c r="F182" t="inlineStr">
        <is>
          <t>Fatima Kathleen M. FLores</t>
        </is>
      </c>
      <c r="G182" t="inlineStr">
        <is>
          <t>Procurement</t>
        </is>
      </c>
      <c r="H182"/>
      <c r="I182"/>
      <c r="J182" t="inlineStr">
        <is>
          <t>Project</t>
        </is>
      </c>
      <c r="K182" t="inlineStr">
        <is>
          <t>PDEI - Event Service</t>
        </is>
      </c>
      <c r="L182" t="inlineStr">
        <is>
          <t>GTCC Summer Showdown</t>
        </is>
      </c>
      <c r="M182" t="inlineStr">
        <is>
          <t>2025TEG-P0040</t>
        </is>
      </c>
      <c r="N182" t="inlineStr">
        <is>
          <t>Frances Angelita Arreglado</t>
        </is>
      </c>
      <c r="O182" t="inlineStr">
        <is>
          <t>202506050117-Frances Angelita Arreglado-费用报销 - 副本 - 副本 - 副本-2025-06-05 12:45:25</t>
        </is>
      </c>
      <c r="P182" t="inlineStr">
        <is>
          <t>NO</t>
        </is>
      </c>
      <c r="Q182"/>
      <c r="R182" t="inlineStr">
        <is>
          <t>NO</t>
        </is>
      </c>
      <c r="S182" t="inlineStr">
        <is>
          <t>Outsourced Logistics Services (16ft closed van / Ingress - June 9, 2025)</t>
        </is>
      </c>
      <c r="T182">
        <v>1</v>
      </c>
      <c r="U182">
        <v>4648</v>
      </c>
      <c r="V182" t="inlineStr">
        <is>
          <t>PHP</t>
        </is>
      </c>
      <c r="W182">
        <v>4648</v>
      </c>
      <c r="X182" s="2"/>
      <c r="Y182"/>
      <c r="Z182"/>
      <c r="AA182"/>
      <c r="AB182"/>
      <c r="AC182"/>
      <c r="AD182" s="4"/>
      <c r="AE182"/>
      <c r="AF182" s="2"/>
      <c r="AG182" t="inlineStr">
        <is>
          <t>NzQyNTk5MTgyNzQ4MTg3MDM0MTo2MTg1NEI2MS04NkE1LTQyQzEtOTM4MC1GMzRDMDg3OUUwNjctMjoyOWU0YWNmMzBjNDg4NjM4MzhmODQ2YzRmMWUxMDE5Yjox</t>
        </is>
      </c>
      <c r="AH182"/>
      <c r="AI182"/>
      <c r="AJ182"/>
      <c r="AK182"/>
    </row>
    <row r="183" ht="25.5" customHeight="1">
      <c r="A183" s="2" t="str">
        <f>=HYPERLINK("https://applink.larksuite.com/client/mini_program/open?appId=cli_9c7cc8a9a9edd105&amp;mode=appCenter&amp;path_pc=pc/pages/requested/index?instanceId=7516799170976563238&amp;source=bitable&amp;path=pages/detail/index?instanceId=7516799170976563238&amp;source=bitable", "202506170057")</f>
        <v>202506170057</v>
      </c>
      <c r="B183" t="inlineStr">
        <is>
          <t>Approved</t>
        </is>
      </c>
      <c r="C183" t="inlineStr">
        <is>
          <t>Procurement Order</t>
        </is>
      </c>
      <c r="D183" s="3">
        <v>45825.59709490741</v>
      </c>
      <c r="E183" s="3">
        <v>45826.42953703704</v>
      </c>
      <c r="F183" t="inlineStr">
        <is>
          <t>Fatima Kathleen M. FLores</t>
        </is>
      </c>
      <c r="G183" t="inlineStr">
        <is>
          <t>Procurement</t>
        </is>
      </c>
      <c r="H183"/>
      <c r="I183"/>
      <c r="J183" t="inlineStr">
        <is>
          <t>Project</t>
        </is>
      </c>
      <c r="K183" t="inlineStr">
        <is>
          <t>PDEI - Event Service</t>
        </is>
      </c>
      <c r="L183" t="inlineStr">
        <is>
          <t>GTCC Summer Showdown</t>
        </is>
      </c>
      <c r="M183" t="inlineStr">
        <is>
          <t>2025TEG-P0040</t>
        </is>
      </c>
      <c r="N183" t="inlineStr">
        <is>
          <t>Frances Angelita Arreglado</t>
        </is>
      </c>
      <c r="O183" t="inlineStr">
        <is>
          <t>202506050117-Frances Angelita Arreglado-费用报销 - 副本 - 副本 - 副本-2025-06-05 12:45:25</t>
        </is>
      </c>
      <c r="P183" t="inlineStr">
        <is>
          <t>NO</t>
        </is>
      </c>
      <c r="Q183"/>
      <c r="R183" t="inlineStr">
        <is>
          <t>NO</t>
        </is>
      </c>
      <c r="S183" t="inlineStr">
        <is>
          <t>Outsourced Logistics Services (14ft closed van / Egress - Junr 16, 2025)</t>
        </is>
      </c>
      <c r="T183">
        <v>1</v>
      </c>
      <c r="U183">
        <v>4144</v>
      </c>
      <c r="V183" t="inlineStr">
        <is>
          <t>PHP</t>
        </is>
      </c>
      <c r="W183">
        <v>4144</v>
      </c>
      <c r="X183" s="2" t="str">
        <f>=HYPERLINK("https://www.larksuite.com/approval/admin/previewAttachment?key=PMgxCgJBDAXQK-Unmfz5XsbGZRAXK3Fhi5xdsNj21YTVHIiSpeAyNAeKEmhijQqP2d4gZURp9vZe992_57mHll5xDPXxfKztgyG6GyMzppnhdnkwM6VK-7v_AgAA__8", "3 attachment(s)")</f>
        <v>3 attachment(s)</v>
      </c>
      <c r="Y183"/>
      <c r="Z183"/>
      <c r="AA183"/>
      <c r="AB183"/>
      <c r="AC183"/>
      <c r="AD183" s="4"/>
      <c r="AE183"/>
      <c r="AF183" s="2"/>
      <c r="AG183" t="inlineStr">
        <is>
          <t>NzQyNTk5MTgyNzQ4MTg3MDM0MTo2MTg1NEI2MS04NkE1LTQyQzEtOTM4MC1GMzRDMDg3OUUwNjctMzo4Y2M1M2I5NmUyNTljNDc4ZTRmNGM2MTgyYjg3Y2M0ZDox</t>
        </is>
      </c>
      <c r="AH183"/>
      <c r="AI183"/>
      <c r="AJ183"/>
      <c r="AK183"/>
    </row>
    <row r="184" ht="25.5" customHeight="1">
      <c r="A184" s="2" t="str">
        <f>=HYPERLINK("https://applink.larksuite.com/client/mini_program/open?appId=cli_9c7cc8a9a9edd105&amp;mode=appCenter&amp;path_pc=pc/pages/requested/index?instanceId=7516804086122020896&amp;source=bitable&amp;path=pages/detail/index?instanceId=7516804086122020896&amp;source=bitable", "202506170062")</f>
        <v>202506170062</v>
      </c>
      <c r="B184" t="inlineStr">
        <is>
          <t>Approved</t>
        </is>
      </c>
      <c r="C184" t="inlineStr">
        <is>
          <t>Procurement Order</t>
        </is>
      </c>
      <c r="D184" s="3">
        <v>45825.61033564815</v>
      </c>
      <c r="E184" s="3">
        <v>45826.79659722222</v>
      </c>
      <c r="F184" t="inlineStr">
        <is>
          <t>Fatima Kathleen M. FLores</t>
        </is>
      </c>
      <c r="G184" t="inlineStr">
        <is>
          <t>Procurement</t>
        </is>
      </c>
      <c r="H184"/>
      <c r="I184"/>
      <c r="J184" t="inlineStr">
        <is>
          <t>GAE</t>
        </is>
      </c>
      <c r="K184"/>
      <c r="L184"/>
      <c r="M184"/>
      <c r="N184"/>
      <c r="O184" t="inlineStr">
        <is>
          <t>202506060001-Yuki Berico-费用报销 - 副本 - 副本 - 副本-2025-06-06 02:48:50</t>
        </is>
      </c>
      <c r="P184"/>
      <c r="Q184" t="inlineStr">
        <is>
          <t>Slash</t>
        </is>
      </c>
      <c r="R184"/>
      <c r="S184" t="inlineStr">
        <is>
          <t>Outsourced Project Assistant</t>
        </is>
      </c>
      <c r="T184">
        <v>1</v>
      </c>
      <c r="U184">
        <v>11900</v>
      </c>
      <c r="V184" t="inlineStr">
        <is>
          <t>PHP</t>
        </is>
      </c>
      <c r="W184">
        <v>11900</v>
      </c>
      <c r="X184" s="2" t="str">
        <f>=HYPERLINK("https://www.larksuite.com/approval/admin/previewAttachment?key=PMhBCgIxDAXQK_2fpkm-l3EzZRCcgiB017MLLmb7ooiozhaCiyZwZ2cUHBU0g6EU2zYzhWSo9pjnc_E9xqfmOq6LPvd6Hef4sivNkM29FQA-bm_p7lI4_o5fAAAA__8", "2 attachment(s)")</f>
        <v>2 attachment(s)</v>
      </c>
      <c r="Y184" t="inlineStr">
        <is>
          <t>Bank Transfer</t>
        </is>
      </c>
      <c r="Z184" t="inlineStr">
        <is>
          <t>Jhun Aldrin Manes</t>
        </is>
      </c>
      <c r="AA184" t="inlineStr">
        <is>
          <t>09668330217</t>
        </is>
      </c>
      <c r="AB184" t="inlineStr">
        <is>
          <t>GCash</t>
        </is>
      </c>
      <c r="AC184" t="inlineStr">
        <is>
          <t>2042 Candido St. Brgy. Mapulang Lupa. Valenzuela City</t>
        </is>
      </c>
      <c r="AD184" s="4">
        <v>45817</v>
      </c>
      <c r="AE184" t="inlineStr">
        <is>
          <t>100% Full Payment - June 27, 2025</t>
        </is>
      </c>
      <c r="AF184" s="2"/>
      <c r="AG184" t="inlineStr">
        <is>
          <t>NzQyNTk5MTgyNzQ4MTg3MDM0MTpDOEY0NTJGNC02MzcxLTQ4QjktOTBCQy1CNEZFREIwNUM0RTYtMTpiYWYxOGUzYWIxOTgzM2Q3OWU0MGI4OWI2ZTZmYzhmYzox</t>
        </is>
      </c>
      <c r="AH184"/>
      <c r="AI184"/>
      <c r="AJ184"/>
      <c r="AK184"/>
    </row>
    <row r="185" ht="25.5" customHeight="1">
      <c r="A185" s="2" t="str">
        <f>=HYPERLINK("https://applink.larksuite.com/client/mini_program/open?appId=cli_9c7cc8a9a9edd105&amp;mode=appCenter&amp;path_pc=pc/pages/requested/index?instanceId=7516806088415592480&amp;source=bitable&amp;path=pages/detail/index?instanceId=7516806088415592480&amp;source=bitable", "202506170068")</f>
        <v>202506170068</v>
      </c>
      <c r="B185" t="inlineStr">
        <is>
          <t>Approved</t>
        </is>
      </c>
      <c r="C185" t="inlineStr">
        <is>
          <t>Procurement Order</t>
        </is>
      </c>
      <c r="D185" s="3">
        <v>45825.61572916667</v>
      </c>
      <c r="E185" s="3">
        <v>45826.43850694445</v>
      </c>
      <c r="F185" t="inlineStr">
        <is>
          <t>Fatima Kathleen M. FLores</t>
        </is>
      </c>
      <c r="G185" t="inlineStr">
        <is>
          <t>Procurement</t>
        </is>
      </c>
      <c r="H185"/>
      <c r="I185"/>
      <c r="J185" t="inlineStr">
        <is>
          <t>Project</t>
        </is>
      </c>
      <c r="K185" t="inlineStr">
        <is>
          <t>PDEI - Event Service</t>
        </is>
      </c>
      <c r="L185" t="inlineStr">
        <is>
          <t>GTCC Summer Showdown</t>
        </is>
      </c>
      <c r="M185" t="inlineStr">
        <is>
          <t>2025TEG-P0040</t>
        </is>
      </c>
      <c r="N185" t="inlineStr">
        <is>
          <t>Frances Angelita Arreglado</t>
        </is>
      </c>
      <c r="O185" t="inlineStr">
        <is>
          <t>202506060015-Frances Angelita Arreglado-费用报销 - 副本 - 副本 - 副本-2025-06-06 08:43:24</t>
        </is>
      </c>
      <c r="P185" t="inlineStr">
        <is>
          <t>YES</t>
        </is>
      </c>
      <c r="Q185"/>
      <c r="R185" t="inlineStr">
        <is>
          <t>NO</t>
        </is>
      </c>
      <c r="S185" t="inlineStr">
        <is>
          <t>Outsourced Show Producer / Director</t>
        </is>
      </c>
      <c r="T185">
        <v>1</v>
      </c>
      <c r="U185">
        <v>30000</v>
      </c>
      <c r="V185" t="inlineStr">
        <is>
          <t>PHP</t>
        </is>
      </c>
      <c r="W185">
        <v>30000</v>
      </c>
      <c r="X185" s="2" t="str">
        <f>=HYPERLINK("https://www.larksuite.com/approval/admin/previewAttachment?key=PMi7DQIxEATQlmbXs5-hGRKsEwFHgsCRa0ciIH3ZhuywkQJlLtiusGwkumkRcja2b6sSylK953lcF8dab81HPE8v7s_9dsyXhcodNcjRAOzy91EkpSR-jm8AAAD__w", "2 attachment(s)")</f>
        <v>2 attachment(s)</v>
      </c>
      <c r="Y185" t="inlineStr">
        <is>
          <t>Bank Transfer</t>
        </is>
      </c>
      <c r="Z185" t="inlineStr">
        <is>
          <t>Khrizen A. Angeles</t>
        </is>
      </c>
      <c r="AA185" t="inlineStr">
        <is>
          <t>109356750810</t>
        </is>
      </c>
      <c r="AB185" t="inlineStr">
        <is>
          <t>Unionbank</t>
        </is>
      </c>
      <c r="AC185" t="inlineStr">
        <is>
          <t>9G, Tower 1, Toyota Avenue, corner Marquinton Drive, Barangay Sto. Niño, Marikina</t>
        </is>
      </c>
      <c r="AD185" s="4">
        <v>45819</v>
      </c>
      <c r="AE185" t="inlineStr">
        <is>
          <t>1st Payment - June 27, 2025
Final Payment - July 11, 2025</t>
        </is>
      </c>
      <c r="AF185" s="2"/>
      <c r="AG185" t="inlineStr">
        <is>
          <t>NzQyNTk5MTgyNzQ4MTg3MDM0MTpFNUQ1MzE4Qy1BQTU1LTQ0ODQtQjk5My0yRTE1QjlDOTkwMjEtMTo5ZmI2YzE0Nzc2YTA4ZDQyZjhhMmViMDAzNDg3ZGJmYzox</t>
        </is>
      </c>
      <c r="AH185"/>
      <c r="AI185"/>
      <c r="AJ185"/>
      <c r="AK185"/>
    </row>
    <row r="186" ht="25.5" customHeight="1">
      <c r="A186" s="2" t="str">
        <f>=HYPERLINK("https://applink.larksuite.com/client/mini_program/open?appId=cli_9c7cc8a9a9edd105&amp;mode=appCenter&amp;path_pc=pc/pages/requested/index?instanceId=7516807915391418399&amp;source=bitable&amp;path=pages/detail/index?instanceId=7516807915391418399&amp;source=bitable", "202506170069")</f>
        <v>202506170069</v>
      </c>
      <c r="B186" t="inlineStr">
        <is>
          <t>Approved</t>
        </is>
      </c>
      <c r="C186" t="inlineStr">
        <is>
          <t>Procurement Order</t>
        </is>
      </c>
      <c r="D186" s="3">
        <v>45825.62065972222</v>
      </c>
      <c r="E186" s="3">
        <v>45826.43346064815</v>
      </c>
      <c r="F186" t="inlineStr">
        <is>
          <t>Fatima Kathleen M. FLores</t>
        </is>
      </c>
      <c r="G186" t="inlineStr">
        <is>
          <t>Procurement</t>
        </is>
      </c>
      <c r="H186"/>
      <c r="I186"/>
      <c r="J186" t="inlineStr">
        <is>
          <t>Project</t>
        </is>
      </c>
      <c r="K186" t="inlineStr">
        <is>
          <t>PDEI - Event Service</t>
        </is>
      </c>
      <c r="L186" t="inlineStr">
        <is>
          <t>GTCC Summer Showdown</t>
        </is>
      </c>
      <c r="M186" t="inlineStr">
        <is>
          <t>2025TEG-P0040</t>
        </is>
      </c>
      <c r="N186" t="inlineStr">
        <is>
          <t>Frances Angelita Arreglado</t>
        </is>
      </c>
      <c r="O186" t="inlineStr">
        <is>
          <t>202506060016-Frances Angelita Arreglado-费用报销 - 副本 - 副本 - 副本-2025-06-06 08:48:55</t>
        </is>
      </c>
      <c r="P186" t="inlineStr">
        <is>
          <t>YES</t>
        </is>
      </c>
      <c r="Q186"/>
      <c r="R186" t="inlineStr">
        <is>
          <t>NO</t>
        </is>
      </c>
      <c r="S186" t="inlineStr">
        <is>
          <t>Outsourced CG Operator</t>
        </is>
      </c>
      <c r="T186">
        <v>1</v>
      </c>
      <c r="U186">
        <v>13888.89</v>
      </c>
      <c r="V186" t="inlineStr">
        <is>
          <t>PHP</t>
        </is>
      </c>
      <c r="W186">
        <v>13888.89</v>
      </c>
      <c r="X186" s="2" t="str">
        <f>=HYPERLINK("https://www.larksuite.com/approval/admin/previewAttachment?key=PMgxCsJAEAXQK_2_Mzsz38vYZFlMYRAkAYs9u2Bh-6KIqE4LwcUmcGVnFFLsJjrLpNUWM4VkqNZ4znu7at-P83O8cpvjXNdjm-PNrmwNae5WAHj7u6W7S-H4Ob4BAAD__w", "2 attachment(s)")</f>
        <v>2 attachment(s)</v>
      </c>
      <c r="Y186" t="inlineStr">
        <is>
          <t>Bank Transfer</t>
        </is>
      </c>
      <c r="Z186" t="inlineStr">
        <is>
          <t>Jan Laurence Antonio</t>
        </is>
      </c>
      <c r="AA186" t="inlineStr">
        <is>
          <t>1094 2724 1990</t>
        </is>
      </c>
      <c r="AB186" t="inlineStr">
        <is>
          <t>Unionbank</t>
        </is>
      </c>
      <c r="AC186" t="inlineStr">
        <is>
          <t>46. F ablola st. tangos north navotas city</t>
        </is>
      </c>
      <c r="AD186" s="4">
        <v>45819</v>
      </c>
      <c r="AE186" t="inlineStr">
        <is>
          <t>100% Full Payment - June 27, 2025</t>
        </is>
      </c>
      <c r="AF186" s="2"/>
      <c r="AG186" t="inlineStr">
        <is>
          <t>NzQyNTk5MTgyNzQ4MTg3MDM0MTpEOEZCNDc2Qi1DMkFDLTRBQTQtOTg3MS01MTlFMjIzQTEzMjEtMTowOTYxYjAyYjJhMTAzZDE5OWZjYmU1MWU0OThmNDNmODox</t>
        </is>
      </c>
      <c r="AH186"/>
      <c r="AI186"/>
      <c r="AJ186"/>
      <c r="AK186"/>
    </row>
    <row r="187" ht="25.5" customHeight="1">
      <c r="A187" s="2" t="str">
        <f>=HYPERLINK("https://applink.larksuite.com/client/mini_program/open?appId=cli_9c7cc8a9a9edd105&amp;mode=appCenter&amp;path_pc=pc/pages/requested/index?instanceId=7516811633352507431&amp;source=bitable&amp;path=pages/detail/index?instanceId=7516811633352507431&amp;source=bitable", "202506170075")</f>
        <v>202506170075</v>
      </c>
      <c r="B187" t="inlineStr">
        <is>
          <t>Approved</t>
        </is>
      </c>
      <c r="C187" t="inlineStr">
        <is>
          <t>Procurement Order</t>
        </is>
      </c>
      <c r="D187" s="3">
        <v>45825.6306712963</v>
      </c>
      <c r="E187" s="3">
        <v>45826.432754629626</v>
      </c>
      <c r="F187" t="inlineStr">
        <is>
          <t>Fatima Kathleen M. FLores</t>
        </is>
      </c>
      <c r="G187" t="inlineStr">
        <is>
          <t>Procurement</t>
        </is>
      </c>
      <c r="H187"/>
      <c r="I187"/>
      <c r="J187" t="inlineStr">
        <is>
          <t>Project</t>
        </is>
      </c>
      <c r="K187" t="inlineStr">
        <is>
          <t>PDEI - Event Service</t>
        </is>
      </c>
      <c r="L187" t="inlineStr">
        <is>
          <t>GTCC Summer Showdown</t>
        </is>
      </c>
      <c r="M187" t="inlineStr">
        <is>
          <t>2025TEG-P0040</t>
        </is>
      </c>
      <c r="N187" t="inlineStr">
        <is>
          <t>Frances Angelita Arreglado</t>
        </is>
      </c>
      <c r="O187" t="inlineStr">
        <is>
          <t>202506060017-Frances Angelita Arreglado-费用报销 - 副本 - 副本 - 副本-2025-06-06 08:59:20</t>
        </is>
      </c>
      <c r="P187" t="inlineStr">
        <is>
          <t>YES</t>
        </is>
      </c>
      <c r="Q187"/>
      <c r="R187" t="inlineStr">
        <is>
          <t>NO</t>
        </is>
      </c>
      <c r="S187" t="inlineStr">
        <is>
          <t>Outsourced Game Observer / Director</t>
        </is>
      </c>
      <c r="T187">
        <v>1</v>
      </c>
      <c r="U187">
        <v>9000</v>
      </c>
      <c r="V187" t="inlineStr">
        <is>
          <t>PHP</t>
        </is>
      </c>
      <c r="W187">
        <v>9000</v>
      </c>
      <c r="X187" s="2" t="str">
        <f>=HYPERLINK("https://www.larksuite.com/approval/admin/previewAttachment?key=PMg7CsJgEATgK83se72MTULwR62EoMWeXbCw_aKIKKdGw5rS4KQzigxVdXGkKUeGmY1kdM3-PK4mtdZ9-5Dnez0452079he9UwSpZloAePm7ppl1h-Hn-AYAAP__", "2 attachment(s)")</f>
        <v>2 attachment(s)</v>
      </c>
      <c r="Y187" t="inlineStr">
        <is>
          <t>Bank Transfer</t>
        </is>
      </c>
      <c r="Z187" t="inlineStr">
        <is>
          <t>Ralp Gabriel Garcia</t>
        </is>
      </c>
      <c r="AA187" t="inlineStr">
        <is>
          <t>09569945794</t>
        </is>
      </c>
      <c r="AB187" t="inlineStr">
        <is>
          <t>GCash</t>
        </is>
      </c>
      <c r="AC187" t="inlineStr">
        <is>
          <t>2817 Beata St. Pandacan Manila</t>
        </is>
      </c>
      <c r="AD187" s="4">
        <v>45819</v>
      </c>
      <c r="AE187" t="inlineStr">
        <is>
          <t>100% Full Payment - June 27, 2025</t>
        </is>
      </c>
      <c r="AF187" s="2"/>
      <c r="AG187" t="inlineStr">
        <is>
          <t>NzQyNTk5MTgyNzQ4MTg3MDM0MTo1MzAxNTc0MC1FODc0LTQ0MDgtODc2NS04OTk3Q0Q3MkVDN0UtMTpkYmI4ZmNiZWVkMzk5YTZhNWZjZTg0ZGI5ZTIyNTVlMTox</t>
        </is>
      </c>
      <c r="AH187"/>
      <c r="AI187"/>
      <c r="AJ187"/>
      <c r="AK187"/>
    </row>
    <row r="188" ht="25.5" customHeight="1">
      <c r="A188" s="2" t="str">
        <f>=HYPERLINK("https://applink.larksuite.com/client/mini_program/open?appId=cli_9c7cc8a9a9edd105&amp;mode=appCenter&amp;path_pc=pc/pages/requested/index?instanceId=7516812648202207264&amp;source=bitable&amp;path=pages/detail/index?instanceId=7516812648202207264&amp;source=bitable", "202506170076")</f>
        <v>202506170076</v>
      </c>
      <c r="B188" t="inlineStr">
        <is>
          <t>Approved</t>
        </is>
      </c>
      <c r="C188" t="inlineStr">
        <is>
          <t>Procurement Order</t>
        </is>
      </c>
      <c r="D188" s="3">
        <v>45825.633414351854</v>
      </c>
      <c r="E188" s="3">
        <v>45826.43219907407</v>
      </c>
      <c r="F188" t="inlineStr">
        <is>
          <t>Fatima Kathleen M. FLores</t>
        </is>
      </c>
      <c r="G188" t="inlineStr">
        <is>
          <t>Procurement</t>
        </is>
      </c>
      <c r="H188"/>
      <c r="I188"/>
      <c r="J188" t="inlineStr">
        <is>
          <t>Project</t>
        </is>
      </c>
      <c r="K188" t="inlineStr">
        <is>
          <t>PDEI - Event Service</t>
        </is>
      </c>
      <c r="L188" t="inlineStr">
        <is>
          <t>GTCC Summer Showdown</t>
        </is>
      </c>
      <c r="M188" t="inlineStr">
        <is>
          <t>2025TEG-P0040</t>
        </is>
      </c>
      <c r="N188" t="inlineStr">
        <is>
          <t>Frances Angelita Arreglado</t>
        </is>
      </c>
      <c r="O188" t="inlineStr">
        <is>
          <t>202506060017-Frances Angelita Arreglado-费用报销 - 副本 - 副本 - 副本-2025-06-06 08:59:20</t>
        </is>
      </c>
      <c r="P188" t="inlineStr">
        <is>
          <t>YES</t>
        </is>
      </c>
      <c r="Q188"/>
      <c r="R188" t="inlineStr">
        <is>
          <t>NO</t>
        </is>
      </c>
      <c r="S188" t="inlineStr">
        <is>
          <t>Outsourced Game Observer</t>
        </is>
      </c>
      <c r="T188">
        <v>1</v>
      </c>
      <c r="U188">
        <v>7200</v>
      </c>
      <c r="V188" t="inlineStr">
        <is>
          <t>PHP</t>
        </is>
      </c>
      <c r="W188">
        <v>7200</v>
      </c>
      <c r="X188" s="2" t="str">
        <f>=HYPERLINK("https://www.larksuite.com/approval/admin/previewAttachment?key=PMs7CgJBEATQK1X11PTHy5jssgiDJrKb9dlFA9MHz5PwnBxeUNEK7Jj0pLnSYIYwV1szohD0yt6fx30fttZ5XlqT8dr6emzH_uas-JYhjQTA299HSKpy4ef4BAAA__8", "2 attachment(s)")</f>
        <v>2 attachment(s)</v>
      </c>
      <c r="Y188" t="inlineStr">
        <is>
          <t>Bank Transfer</t>
        </is>
      </c>
      <c r="Z188" t="inlineStr">
        <is>
          <t>Ian Israel Galope</t>
        </is>
      </c>
      <c r="AA188" t="inlineStr">
        <is>
          <t>09760580016</t>
        </is>
      </c>
      <c r="AB188" t="inlineStr">
        <is>
          <t>GCash</t>
        </is>
      </c>
      <c r="AC188" t="inlineStr">
        <is>
          <t>30 Robert Street, Pleasant View Subdivision, Tandang Sora Quezon City</t>
        </is>
      </c>
      <c r="AD188" s="4">
        <v>45819</v>
      </c>
      <c r="AE188" t="inlineStr">
        <is>
          <t>100% Full Payment - June 27, 2025</t>
        </is>
      </c>
      <c r="AF188" s="2"/>
      <c r="AG188" t="inlineStr">
        <is>
          <t>NzQyNTk5MTgyNzQ4MTg3MDM0MTpDM0JBMzIzMC0yNkZGLTRFOEItOTU0Ni0xRDkwMzFDQ0YwMTgtMTplOTkyZmFkZGM0OTQ1YzY5OGM1YzE3Yzg3YjkxOTJkZjox</t>
        </is>
      </c>
      <c r="AH188"/>
      <c r="AI188"/>
      <c r="AJ188"/>
      <c r="AK188"/>
    </row>
    <row r="189" ht="25.5" customHeight="1">
      <c r="A189" s="2" t="str">
        <f>=HYPERLINK("https://applink.larksuite.com/client/mini_program/open?appId=cli_9c7cc8a9a9edd105&amp;mode=appCenter&amp;path_pc=pc/pages/requested/index?instanceId=7516814159045066791&amp;source=bitable&amp;path=pages/detail/index?instanceId=7516814159045066791&amp;source=bitable", "202506170079")</f>
        <v>202506170079</v>
      </c>
      <c r="B189" t="inlineStr">
        <is>
          <t>Approved</t>
        </is>
      </c>
      <c r="C189" t="inlineStr">
        <is>
          <t>Procurement Order</t>
        </is>
      </c>
      <c r="D189" s="3">
        <v>45825.63748842593</v>
      </c>
      <c r="E189" s="3">
        <v>45826.43084490741</v>
      </c>
      <c r="F189" t="inlineStr">
        <is>
          <t>Fatima Kathleen M. FLores</t>
        </is>
      </c>
      <c r="G189" t="inlineStr">
        <is>
          <t>Procurement</t>
        </is>
      </c>
      <c r="H189"/>
      <c r="I189"/>
      <c r="J189" t="inlineStr">
        <is>
          <t>Project</t>
        </is>
      </c>
      <c r="K189" t="inlineStr">
        <is>
          <t>PDEI - Event Service</t>
        </is>
      </c>
      <c r="L189" t="inlineStr">
        <is>
          <t>GTCC Summer Showdown</t>
        </is>
      </c>
      <c r="M189" t="inlineStr">
        <is>
          <t>2025TEG-P0040</t>
        </is>
      </c>
      <c r="N189" t="inlineStr">
        <is>
          <t>Frances Angelita Arreglado</t>
        </is>
      </c>
      <c r="O189" t="inlineStr">
        <is>
          <t>202506060017-Frances Angelita Arreglado-费用报销 - 副本 - 副本 - 副本-2025-06-06 08:59:20</t>
        </is>
      </c>
      <c r="P189" t="inlineStr">
        <is>
          <t>YES</t>
        </is>
      </c>
      <c r="Q189"/>
      <c r="R189" t="inlineStr">
        <is>
          <t>NO</t>
        </is>
      </c>
      <c r="S189" t="inlineStr">
        <is>
          <t>Outsourced Game Observer</t>
        </is>
      </c>
      <c r="T189">
        <v>1</v>
      </c>
      <c r="U189">
        <v>9000</v>
      </c>
      <c r="V189" t="inlineStr">
        <is>
          <t>PHP</t>
        </is>
      </c>
      <c r="W189">
        <v>9000</v>
      </c>
      <c r="X189" s="2" t="str">
        <f>=HYPERLINK("https://www.larksuite.com/approval/admin/previewAttachment?key=PMg7CgJBEATQK1XN9K-8jInDooibiCsGfXbBwPRFEVHOGYKJQ2CnM4pGF8wRkWKPZqaQDFWvx3Y-eF9raH_fXvzs6ON62daTrhwDOc1mAeDp7zPNTArDz_ENAAD__w", "2 attachment(s)")</f>
        <v>2 attachment(s)</v>
      </c>
      <c r="Y189" t="inlineStr">
        <is>
          <t>Bank Transfer</t>
        </is>
      </c>
      <c r="Z189" t="inlineStr">
        <is>
          <t>Kenneth Bayona</t>
        </is>
      </c>
      <c r="AA189" t="inlineStr">
        <is>
          <t>09484380719</t>
        </is>
      </c>
      <c r="AB189" t="inlineStr">
        <is>
          <t>GCash</t>
        </is>
      </c>
      <c r="AC189" t="inlineStr">
        <is>
          <t>San Nicolas 2nd, Magalang, Pampanga</t>
        </is>
      </c>
      <c r="AD189" s="4">
        <v>45819</v>
      </c>
      <c r="AE189" t="inlineStr">
        <is>
          <t>100% Full Payment - June 27, 2025</t>
        </is>
      </c>
      <c r="AF189" s="2"/>
      <c r="AG189" t="inlineStr">
        <is>
          <t>NzQyNTk5MTgyNzQ4MTg3MDM0MToxMTk3MjcwQy0wNjFELTRCMjctQjBENy04RTU2MkNGOTNDMUEtMToxOGIyMTQ3ZDQwMWNlNjM5ZTQxYjAwYjZkYjllMjI2NTox</t>
        </is>
      </c>
      <c r="AH189"/>
      <c r="AI189"/>
      <c r="AJ189"/>
      <c r="AK189"/>
    </row>
    <row r="190" ht="25.5" customHeight="1">
      <c r="A190" s="2" t="str">
        <f>=HYPERLINK("https://applink.larksuite.com/client/mini_program/open?appId=cli_9c7cc8a9a9edd105&amp;mode=appCenter&amp;path_pc=pc/pages/requested/index?instanceId=7516815028478050343&amp;source=bitable&amp;path=pages/detail/index?instanceId=7516815028478050343&amp;source=bitable", "202506170080")</f>
        <v>202506170080</v>
      </c>
      <c r="B190" t="inlineStr">
        <is>
          <t>Approved</t>
        </is>
      </c>
      <c r="C190" t="inlineStr">
        <is>
          <t>Procurement Order</t>
        </is>
      </c>
      <c r="D190" s="3">
        <v>45825.63982638889</v>
      </c>
      <c r="E190" s="3">
        <v>45831.60172453704</v>
      </c>
      <c r="F190" t="inlineStr">
        <is>
          <t>Fatima Kathleen M. FLores</t>
        </is>
      </c>
      <c r="G190" t="inlineStr">
        <is>
          <t>Procurement</t>
        </is>
      </c>
      <c r="H190"/>
      <c r="I190"/>
      <c r="J190" t="inlineStr">
        <is>
          <t>Project</t>
        </is>
      </c>
      <c r="K190" t="inlineStr">
        <is>
          <t>PDEI - Event Service</t>
        </is>
      </c>
      <c r="L190" t="inlineStr">
        <is>
          <t>GTCC Summer Showdown</t>
        </is>
      </c>
      <c r="M190" t="inlineStr">
        <is>
          <t>2025TEG-P0040</t>
        </is>
      </c>
      <c r="N190" t="inlineStr">
        <is>
          <t>Frances Angelita Arreglado</t>
        </is>
      </c>
      <c r="O190" t="inlineStr">
        <is>
          <t>202506060017-Frances Angelita Arreglado-费用报销 - 副本 - 副本 - 副本-2025-06-06 08:59:20</t>
        </is>
      </c>
      <c r="P190" t="inlineStr">
        <is>
          <t>YES</t>
        </is>
      </c>
      <c r="Q190"/>
      <c r="R190" t="inlineStr">
        <is>
          <t>YES</t>
        </is>
      </c>
      <c r="S190" t="inlineStr">
        <is>
          <t>Outsourced Game Observer</t>
        </is>
      </c>
      <c r="T190">
        <v>1</v>
      </c>
      <c r="U190">
        <v>9000</v>
      </c>
      <c r="V190" t="inlineStr">
        <is>
          <t>PHP</t>
        </is>
      </c>
      <c r="W190">
        <v>9000</v>
      </c>
      <c r="X190" s="2" t="str">
        <f>=HYPERLINK("https://www.larksuite.com/approval/admin/previewAttachment?key=PMg7igJhEATgK1V119-PvcwmDoMwCoIoTNBnFwxMvygiatGjoaY1OLkYxQUrZWHB5WPDzEYygdnu-_9hr_OE13ET9LB5Xy_79uTqNEO65AWAfz_3lNQdwtfxCQAA__8", "2 attachment(s)")</f>
        <v>2 attachment(s)</v>
      </c>
      <c r="Y190" t="inlineStr">
        <is>
          <t>Bank Transfer</t>
        </is>
      </c>
      <c r="Z190" t="inlineStr">
        <is>
          <t>Annejeleeka Cherrell Ho</t>
        </is>
      </c>
      <c r="AA190" t="inlineStr">
        <is>
          <t>1093 2537 7435</t>
        </is>
      </c>
      <c r="AB190" t="inlineStr">
        <is>
          <t>Unionbank</t>
        </is>
      </c>
      <c r="AC190" t="inlineStr">
        <is>
          <t>24B Camia St. Brgy Talipapa Quezon City</t>
        </is>
      </c>
      <c r="AD190" s="4">
        <v>45819</v>
      </c>
      <c r="AE190" t="inlineStr">
        <is>
          <t>100% Full Payment - June 27, 2025</t>
        </is>
      </c>
      <c r="AF190" s="2"/>
      <c r="AG190" t="inlineStr">
        <is>
          <t>NzQyNTk5MTgyNzQ4MTg3MDM0MTozMDFFRTEzNC1COEUzLTQ3QjgtQUNGNC1CMTZFOTgwNTE3MDEtMTo3YjhhZjhmOTYzMTQ2ZjE5YzRiZjY5YjgwNDZkM2JkZTox</t>
        </is>
      </c>
      <c r="AH190"/>
      <c r="AI190"/>
      <c r="AJ190"/>
      <c r="AK190"/>
    </row>
    <row r="191" ht="25.5" customHeight="1">
      <c r="A191" s="2" t="str">
        <f>=HYPERLINK("https://applink.larksuite.com/client/mini_program/open?appId=cli_9c7cc8a9a9edd105&amp;mode=appCenter&amp;path_pc=pc/pages/requested/index?instanceId=7516820723281707046&amp;source=bitable&amp;path=pages/detail/index?instanceId=7516820723281707046&amp;source=bitable", "202506170085")</f>
        <v>202506170085</v>
      </c>
      <c r="B191" t="inlineStr">
        <is>
          <t>Approved</t>
        </is>
      </c>
      <c r="C191" t="inlineStr">
        <is>
          <t>Procurement Order</t>
        </is>
      </c>
      <c r="D191" s="3">
        <v>45825.655173611114</v>
      </c>
      <c r="E191" s="3">
        <v>45831.760416666664</v>
      </c>
      <c r="F191" t="inlineStr">
        <is>
          <t>Fatima Kathleen M. FLores</t>
        </is>
      </c>
      <c r="G191" t="inlineStr">
        <is>
          <t>Procurement</t>
        </is>
      </c>
      <c r="H191"/>
      <c r="I191"/>
      <c r="J191" t="inlineStr">
        <is>
          <t>Project</t>
        </is>
      </c>
      <c r="K191" t="inlineStr">
        <is>
          <t>PDEI - Event Service</t>
        </is>
      </c>
      <c r="L191" t="inlineStr">
        <is>
          <t>MDL PH S5 - Playoffs</t>
        </is>
      </c>
      <c r="M191" t="inlineStr">
        <is>
          <t>2025TEG-P0004</t>
        </is>
      </c>
      <c r="N191" t="inlineStr">
        <is>
          <t>Kervin</t>
        </is>
      </c>
      <c r="O191" t="inlineStr">
        <is>
          <t>202505050063-Kervin-费用报销 - 副本 - 副本 - 副本-2025-05-05 08:17:16</t>
        </is>
      </c>
      <c r="P191" t="inlineStr">
        <is>
          <t>NO</t>
        </is>
      </c>
      <c r="Q191"/>
      <c r="R191" t="inlineStr">
        <is>
          <t>YES</t>
        </is>
      </c>
      <c r="S191" t="inlineStr">
        <is>
          <t>Dedicated Line – 2 lines - 200Mb (May 13 to 17, 2025)</t>
        </is>
      </c>
      <c r="T191">
        <v>1</v>
      </c>
      <c r="U191">
        <v>89600</v>
      </c>
      <c r="V191" t="inlineStr">
        <is>
          <t>PHP</t>
        </is>
      </c>
      <c r="W191">
        <v>89600</v>
      </c>
      <c r="X191" s="2" t="str">
        <f>=HYPERLINK("https://www.larksuite.com/approval/admin/previewAttachment?key=PMhBqoIxDATgK82kaSZ5l3mblmJBQRD_Xc8uuHD7RRKRnS0KXrQCjzojDbJmSUHwOHYoFUQBZz7Wv12591h713vex_Nct7Hmi71kBjX3lgD49_Mmd68Kx9fxCQAA__8", "3 attachment(s)")</f>
        <v>3 attachment(s)</v>
      </c>
      <c r="Y191" t="inlineStr">
        <is>
          <t>Bank Transfer</t>
        </is>
      </c>
      <c r="Z191" t="inlineStr">
        <is>
          <t>BLACKFIBER COMMUNICATIONS CORPORATION</t>
        </is>
      </c>
      <c r="AA191" t="inlineStr">
        <is>
          <t>4763-0593-54</t>
        </is>
      </c>
      <c r="AB191" t="inlineStr">
        <is>
          <t>BPI</t>
        </is>
      </c>
      <c r="AC191" t="inlineStr">
        <is>
          <t>2108 Antel Global Corporate Center, Julia Vargas Ave., Ortigas Center, Pasig City</t>
        </is>
      </c>
      <c r="AD191" s="4">
        <v>45790</v>
      </c>
      <c r="AE191" t="inlineStr">
        <is>
          <t>100% Full Payment</t>
        </is>
      </c>
      <c r="AF191" s="2" t="str">
        <f>=HYPERLINK("https://www.larksuite.com/approval/admin/previewAttachment?key=TMhLqoIxDAXgLZ2TpHnczdxJS7GgIIj_LGsXHDn9PAnPQfWCFaXAjkFPQYhKMhAwb2lGFIIB9Hrsf7nynLnPqfe6z2dft7nXi57qsBpmLAD8-3ESler6dXwCAAD__w", "1 attachment(s)")</f>
        <v>1 attachment(s)</v>
      </c>
      <c r="AG191" t="inlineStr">
        <is>
          <t>NzQyNTk5MTgyNzQ4MTg3MDM0MTpENzUxRDI0Ny1FRTJFLTQxNTgtOTI5RS01NEI4QjY0NTI3MjYtMTozYjc0ODkwNGEyYjA0NzM5N2Q3YmNiYTMyZGVlNzQzMTox</t>
        </is>
      </c>
      <c r="AH191"/>
      <c r="AI191"/>
      <c r="AJ191"/>
      <c r="AK191"/>
    </row>
    <row r="192" ht="25.5" customHeight="1">
      <c r="A192" s="2" t="str">
        <f>=HYPERLINK("https://applink.larksuite.com/client/mini_program/open?appId=cli_9c7cc8a9a9edd105&amp;mode=appCenter&amp;path_pc=pc/pages/requested/index?instanceId=7516831091978731552&amp;source=bitable&amp;path=pages/detail/index?instanceId=7516831091978731552&amp;source=bitable", "202506170099")</f>
        <v>202506170099</v>
      </c>
      <c r="B192" t="inlineStr">
        <is>
          <t>Approved</t>
        </is>
      </c>
      <c r="C192" t="inlineStr">
        <is>
          <t>Procurement Order</t>
        </is>
      </c>
      <c r="D192" s="3">
        <v>45825.68311342593</v>
      </c>
      <c r="E192" s="3">
        <v>45827.78289351852</v>
      </c>
      <c r="F192" t="inlineStr">
        <is>
          <t>Fatima Kathleen M. FLores</t>
        </is>
      </c>
      <c r="G192" t="inlineStr">
        <is>
          <t>Procurement</t>
        </is>
      </c>
      <c r="H192"/>
      <c r="I192"/>
      <c r="J192" t="inlineStr">
        <is>
          <t>Project</t>
        </is>
      </c>
      <c r="K192" t="inlineStr">
        <is>
          <t>PDEI - Event Service</t>
        </is>
      </c>
      <c r="L192" t="inlineStr">
        <is>
          <t>GTCC Summer Showdown</t>
        </is>
      </c>
      <c r="M192" t="inlineStr">
        <is>
          <t>2025TEG-P0040</t>
        </is>
      </c>
      <c r="N192" t="inlineStr">
        <is>
          <t>Frances Angelita Arreglado</t>
        </is>
      </c>
      <c r="O192" t="inlineStr">
        <is>
          <t>202506060018-Frances Angelita Arreglado-费用报销 - 副本 - 副本 - 副本-2025-06-06 09:19:42</t>
        </is>
      </c>
      <c r="P192" t="inlineStr">
        <is>
          <t>YES</t>
        </is>
      </c>
      <c r="Q192"/>
      <c r="R192" t="inlineStr">
        <is>
          <t>YES</t>
        </is>
      </c>
      <c r="S192" t="inlineStr">
        <is>
          <t>Outsourced Technical Director</t>
        </is>
      </c>
      <c r="T192">
        <v>1</v>
      </c>
      <c r="U192">
        <v>60000</v>
      </c>
      <c r="V192" t="inlineStr">
        <is>
          <t>PHP</t>
        </is>
      </c>
      <c r="W192">
        <v>60000</v>
      </c>
      <c r="X192" s="2" t="str">
        <f>=HYPERLINK("https://www.larksuite.com/approval/admin/previewAttachment?key=PMg7CsJAGATgK83s_xwvY5MliBgbQdLs2QWLtF82kR20FFwcAlcFs40QVV3GiLHGYpVQTPWax35_HorgyzTf8zy39X1s-_wwVGOgzN0aAG-XW7m7lI6_4xcAAP__", "2 attachment(s)")</f>
        <v>2 attachment(s)</v>
      </c>
      <c r="Y192" t="inlineStr">
        <is>
          <t>Bank Transfer</t>
        </is>
      </c>
      <c r="Z192" t="inlineStr">
        <is>
          <t>Jordan Swing</t>
        </is>
      </c>
      <c r="AA192" t="inlineStr">
        <is>
          <t>001560339452</t>
        </is>
      </c>
      <c r="AB192" t="inlineStr">
        <is>
          <t>BDO</t>
        </is>
      </c>
      <c r="AC192" t="inlineStr">
        <is>
          <t>723 P Gomez St Brgy Hagdan Bato Itaas Mandaluyong City</t>
        </is>
      </c>
      <c r="AD192" s="4">
        <v>45817</v>
      </c>
      <c r="AE192" t="inlineStr">
        <is>
          <t>1st Payment - June 20, 2025
Final Payment - July 11, 2025</t>
        </is>
      </c>
      <c r="AF192" s="2"/>
      <c r="AG192" t="inlineStr">
        <is>
          <t>NzQyNTk5MTgyNzQ4MTg3MDM0MTpEMTgzRTREMy02NTk2LTREOTktQkFDRi0yN0VGQUI5RUFBMTctMTo4Njc4MjdmZjliNmFmZjM0ZDQzNjZkMjBlYTZmNmVlYzox</t>
        </is>
      </c>
      <c r="AH192"/>
      <c r="AI192"/>
      <c r="AJ192"/>
      <c r="AK192"/>
    </row>
    <row r="193" ht="25.5" customHeight="1">
      <c r="A193" s="2" t="str">
        <f>=HYPERLINK("https://applink.larksuite.com/client/mini_program/open?appId=cli_9c7cc8a9a9edd105&amp;mode=appCenter&amp;path_pc=pc/pages/requested/index?instanceId=7516832971224121376&amp;source=bitable&amp;path=pages/detail/index?instanceId=7516832971224121376&amp;source=bitable", "202506170101")</f>
        <v>202506170101</v>
      </c>
      <c r="B193" t="inlineStr">
        <is>
          <t>Approved</t>
        </is>
      </c>
      <c r="C193" t="inlineStr">
        <is>
          <t>Procurement Order</t>
        </is>
      </c>
      <c r="D193" s="3">
        <v>45825.68818287037</v>
      </c>
      <c r="E193" s="3">
        <v>45826.44767361111</v>
      </c>
      <c r="F193" t="inlineStr">
        <is>
          <t>Fatima Kathleen M. FLores</t>
        </is>
      </c>
      <c r="G193" t="inlineStr">
        <is>
          <t>Procurement</t>
        </is>
      </c>
      <c r="H193"/>
      <c r="I193"/>
      <c r="J193" t="inlineStr">
        <is>
          <t>Project</t>
        </is>
      </c>
      <c r="K193" t="inlineStr">
        <is>
          <t>PDEI - Event Service</t>
        </is>
      </c>
      <c r="L193" t="inlineStr">
        <is>
          <t>GTCC Summer Showdown</t>
        </is>
      </c>
      <c r="M193" t="inlineStr">
        <is>
          <t>2025TEG-P0040</t>
        </is>
      </c>
      <c r="N193" t="inlineStr">
        <is>
          <t>Frances Angelita Arreglado</t>
        </is>
      </c>
      <c r="O193" t="inlineStr">
        <is>
          <t>202506060018-Frances Angelita Arreglado-费用报销 - 副本 - 副本 - 副本-2025-06-06 09:19:42</t>
        </is>
      </c>
      <c r="P193" t="inlineStr">
        <is>
          <t>YES</t>
        </is>
      </c>
      <c r="Q193"/>
      <c r="R193" t="inlineStr">
        <is>
          <t>NO</t>
        </is>
      </c>
      <c r="S193" t="inlineStr">
        <is>
          <t>Outsourced IT Support</t>
        </is>
      </c>
      <c r="T193">
        <v>1</v>
      </c>
      <c r="U193">
        <v>13200</v>
      </c>
      <c r="V193" t="inlineStr">
        <is>
          <t>PHP</t>
        </is>
      </c>
      <c r="W193">
        <v>13200</v>
      </c>
      <c r="X193" s="2" t="str">
        <f>=HYPERLINK("https://www.larksuite.com/approval/admin/previewAttachment?key=PMg7CsJQFATQLc3c_7gZm4QgYmwEweKtXbCwPTVETdJLCNEErk7WuKlpFjR617LFbqFZmrWfx_V-KvMz8-SkHtt637ZjfzHVZmiP8AHAy9-9I0KqwM_xDQAA__8", "2 attachment(s)")</f>
        <v>2 attachment(s)</v>
      </c>
      <c r="Y193" t="inlineStr">
        <is>
          <t>Bank Transfer</t>
        </is>
      </c>
      <c r="Z193" t="inlineStr">
        <is>
          <t>Elton John Lee</t>
        </is>
      </c>
      <c r="AA193" t="inlineStr">
        <is>
          <t>1993906533791</t>
        </is>
      </c>
      <c r="AB193" t="inlineStr">
        <is>
          <t>Metrobank</t>
        </is>
      </c>
      <c r="AC193" t="inlineStr">
        <is>
          <t>22 St. Joseph St. Dela Costa Homes 1, Barangka, Marikina City</t>
        </is>
      </c>
      <c r="AD193" s="4">
        <v>45817</v>
      </c>
      <c r="AE193" t="inlineStr">
        <is>
          <t>1st Payment - June 20, 2025
Final Payment - July 11, 2025</t>
        </is>
      </c>
      <c r="AF193" s="2"/>
      <c r="AG193" t="inlineStr">
        <is>
          <t>NzQyNTk5MTgyNzQ4MTg3MDM0MTpBQ0Q1Qzg2MS1CODIzLTRFREItOTc2My05MTY0NTk0MkYwQjctMTpkODk4ZmIxYWExOWNiZjM0MjAxOGY0NWFiOGIyYjJjOTox</t>
        </is>
      </c>
      <c r="AH193"/>
      <c r="AI193"/>
      <c r="AJ193"/>
      <c r="AK193"/>
    </row>
    <row r="194" ht="25.5" customHeight="1">
      <c r="A194" s="2" t="str">
        <f>=HYPERLINK("https://applink.larksuite.com/client/mini_program/open?appId=cli_9c7cc8a9a9edd105&amp;mode=appCenter&amp;path_pc=pc/pages/requested/index?instanceId=7516841712300376095&amp;source=bitable&amp;path=pages/detail/index?instanceId=7516841712300376095&amp;source=bitable", "202506170108")</f>
        <v>202506170108</v>
      </c>
      <c r="B194" t="inlineStr">
        <is>
          <t>Approved</t>
        </is>
      </c>
      <c r="C194" t="inlineStr">
        <is>
          <t>Procurement Order</t>
        </is>
      </c>
      <c r="D194" s="3">
        <v>45825.71173611111</v>
      </c>
      <c r="E194" s="3">
        <v>45826.446909722225</v>
      </c>
      <c r="F194" t="inlineStr">
        <is>
          <t>Fatima Kathleen M. FLores</t>
        </is>
      </c>
      <c r="G194" t="inlineStr">
        <is>
          <t>Procurement</t>
        </is>
      </c>
      <c r="H194"/>
      <c r="I194"/>
      <c r="J194" t="inlineStr">
        <is>
          <t>Project</t>
        </is>
      </c>
      <c r="K194" t="inlineStr">
        <is>
          <t>PDEI - Event Service</t>
        </is>
      </c>
      <c r="L194" t="inlineStr">
        <is>
          <t>GTCC Summer Showdown</t>
        </is>
      </c>
      <c r="M194" t="inlineStr">
        <is>
          <t>2025TEG-P0040</t>
        </is>
      </c>
      <c r="N194" t="inlineStr">
        <is>
          <t>Frances Angelita Arreglado</t>
        </is>
      </c>
      <c r="O194" t="inlineStr">
        <is>
          <t>202506060021-Frances Angelita Arreglado-费用报销 - 副本 - 副本 - 副本-2025-06-06 09:55:34</t>
        </is>
      </c>
      <c r="P194" t="inlineStr">
        <is>
          <t>YES</t>
        </is>
      </c>
      <c r="Q194"/>
      <c r="R194" t="inlineStr">
        <is>
          <t>NO</t>
        </is>
      </c>
      <c r="S194" t="inlineStr">
        <is>
          <t>Outsourced Road Manager</t>
        </is>
      </c>
      <c r="T194">
        <v>1</v>
      </c>
      <c r="U194">
        <v>10000</v>
      </c>
      <c r="V194" t="inlineStr">
        <is>
          <t>PHP</t>
        </is>
      </c>
      <c r="W194">
        <v>10000</v>
      </c>
      <c r="X194" s="2" t="str">
        <f>=HYPERLINK("https://www.larksuite.com/approval/admin/previewAttachment?key=PMgxCgJBDAXQK_0_yST5XsbGZXAFRRC1ytkFi21fFBE1aSG4OAR2TkY5k8MAy4Bmj2amkAxVb_d1htW-z_XQO-t7e_bnelnbi1M5BtLcrQDwdLilu0vh-Dt-AQAA__8", "2 attachment(s)")</f>
        <v>2 attachment(s)</v>
      </c>
      <c r="Y194" t="inlineStr">
        <is>
          <t>Bank Transfer</t>
        </is>
      </c>
      <c r="Z194" t="inlineStr">
        <is>
          <t>Erika Bautista</t>
        </is>
      </c>
      <c r="AA194" t="inlineStr">
        <is>
          <t>1094 8561 6093</t>
        </is>
      </c>
      <c r="AB194" t="inlineStr">
        <is>
          <t>UnionBank</t>
        </is>
      </c>
      <c r="AC194" t="inlineStr">
        <is>
          <t>1 13th Ave., Cubao., Quezon City</t>
        </is>
      </c>
      <c r="AD194" s="4">
        <v>45817</v>
      </c>
      <c r="AE194" t="inlineStr">
        <is>
          <t>100% Full Payment - June 27, 2025</t>
        </is>
      </c>
      <c r="AF194" s="2"/>
      <c r="AG194" t="inlineStr">
        <is>
          <t>NzQyNTk5MTgyNzQ4MTg3MDM0MTo0MzcyQzdCMi1FMEQ4LTQ5NzYtQjAxMS0xRTc4NDYyMEE1RTItMTo0ZDg1NzkzMDVhMjBjZDUzNmJkNDY3MzI0NDJmOWQ2Zjox</t>
        </is>
      </c>
      <c r="AH194"/>
      <c r="AI194"/>
      <c r="AJ194"/>
      <c r="AK194"/>
    </row>
    <row r="195" ht="25.5" customHeight="1">
      <c r="A195" s="2" t="str">
        <f>=HYPERLINK("https://applink.larksuite.com/client/mini_program/open?appId=cli_9c7cc8a9a9edd105&amp;mode=appCenter&amp;path_pc=pc/pages/requested/index?instanceId=7516845077705031719&amp;source=bitable&amp;path=pages/detail/index?instanceId=7516845077705031719&amp;source=bitable", "202506170114")</f>
        <v>202506170114</v>
      </c>
      <c r="B195" t="inlineStr">
        <is>
          <t>Approved</t>
        </is>
      </c>
      <c r="C195" t="inlineStr">
        <is>
          <t>Procurement Order</t>
        </is>
      </c>
      <c r="D195" s="3">
        <v>45825.72079861111</v>
      </c>
      <c r="E195" s="3">
        <v>45826.44627314815</v>
      </c>
      <c r="F195" t="inlineStr">
        <is>
          <t>Fatima Kathleen M. FLores</t>
        </is>
      </c>
      <c r="G195" t="inlineStr">
        <is>
          <t>Procurement</t>
        </is>
      </c>
      <c r="H195"/>
      <c r="I195"/>
      <c r="J195" t="inlineStr">
        <is>
          <t>Project</t>
        </is>
      </c>
      <c r="K195" t="inlineStr">
        <is>
          <t>PDEI - Event Service</t>
        </is>
      </c>
      <c r="L195" t="inlineStr">
        <is>
          <t>GTCC Summer Showdown</t>
        </is>
      </c>
      <c r="M195" t="inlineStr">
        <is>
          <t>2025TEG-P0040</t>
        </is>
      </c>
      <c r="N195" t="inlineStr">
        <is>
          <t>Frances Angelita Arreglado</t>
        </is>
      </c>
      <c r="O195" t="inlineStr">
        <is>
          <t>202506060022-Frances Angelita Arreglado-费用报销 - 副本 - 副本 - 副本-2025-06-06 10:00:17</t>
        </is>
      </c>
      <c r="P195" t="inlineStr">
        <is>
          <t>YES</t>
        </is>
      </c>
      <c r="Q195"/>
      <c r="R195" t="inlineStr">
        <is>
          <t>NO</t>
        </is>
      </c>
      <c r="S195" t="inlineStr">
        <is>
          <t>Outsourced Scriptwriter</t>
        </is>
      </c>
      <c r="T195">
        <v>1</v>
      </c>
      <c r="U195">
        <v>25000</v>
      </c>
      <c r="V195" t="inlineStr">
        <is>
          <t>PHP</t>
        </is>
      </c>
      <c r="W195">
        <v>25000</v>
      </c>
      <c r="X195" s="2" t="str">
        <f>=HYPERLINK("https://www.larksuite.com/approval/admin/previewAttachment?key=PMgxCgIxFATQK80k___JeBkbl8VdiAiCVjm7YGH7ahA1kr2MMJvBpWSNSEhColP0aouSIZbH2uZ-PaczDz4PzJOfx3rfb_v2YlqtQT2iDwC8_L0rIuwK_BzfAAAA__8", "2 attachment(s)")</f>
        <v>2 attachment(s)</v>
      </c>
      <c r="Y195" t="inlineStr">
        <is>
          <t>Bank Transfer</t>
        </is>
      </c>
      <c r="Z195" t="inlineStr">
        <is>
          <t>Jessamine Elise C. Sagcal</t>
        </is>
      </c>
      <c r="AA195" t="inlineStr">
        <is>
          <t>2679-1185-63</t>
        </is>
      </c>
      <c r="AB195" t="inlineStr">
        <is>
          <t>BPI</t>
        </is>
      </c>
      <c r="AC195" t="inlineStr">
        <is>
          <t>30 TLR Town Homes, Fast Track St., Moonwalk, Paranaque</t>
        </is>
      </c>
      <c r="AD195" s="4">
        <v>45817</v>
      </c>
      <c r="AE195" t="inlineStr">
        <is>
          <t>1st Payment - June 20, 2025
Final Payment - July 11, 2025</t>
        </is>
      </c>
      <c r="AF195" s="2"/>
      <c r="AG195" t="inlineStr">
        <is>
          <t>NzQyNTk5MTgyNzQ4MTg3MDM0MTo4RkVDNzNBQS1CMEVELTQ2QjUtOEU5MS1BNDYxNUM4RDY4MDUtMToyNGFmYWZjNzljNGY5Nzg5ODc1YmZiMzQ5M2Q2ZWIxMjox</t>
        </is>
      </c>
      <c r="AH195"/>
      <c r="AI195"/>
      <c r="AJ195"/>
      <c r="AK195"/>
    </row>
    <row r="196" ht="25.5" customHeight="1">
      <c r="A196" s="2" t="str">
        <f>=HYPERLINK("https://applink.larksuite.com/client/mini_program/open?appId=cli_9c7cc8a9a9edd105&amp;mode=appCenter&amp;path_pc=pc/pages/requested/index?instanceId=7516846743233757216&amp;source=bitable&amp;path=pages/detail/index?instanceId=7516846743233757216&amp;source=bitable", "202506170115")</f>
        <v>202506170115</v>
      </c>
      <c r="B196" t="inlineStr">
        <is>
          <t>Approved</t>
        </is>
      </c>
      <c r="C196" t="inlineStr">
        <is>
          <t>Procurement Order</t>
        </is>
      </c>
      <c r="D196" s="3">
        <v>45825.72528935185</v>
      </c>
      <c r="E196" s="3">
        <v>45826.44568287037</v>
      </c>
      <c r="F196" t="inlineStr">
        <is>
          <t>Fatima Kathleen M. FLores</t>
        </is>
      </c>
      <c r="G196" t="inlineStr">
        <is>
          <t>Procurement</t>
        </is>
      </c>
      <c r="H196"/>
      <c r="I196"/>
      <c r="J196" t="inlineStr">
        <is>
          <t>Project</t>
        </is>
      </c>
      <c r="K196" t="inlineStr">
        <is>
          <t>PDEI - Event Service</t>
        </is>
      </c>
      <c r="L196" t="inlineStr">
        <is>
          <t>GTCC Summer Showdown</t>
        </is>
      </c>
      <c r="M196" t="inlineStr">
        <is>
          <t>2025TEG-P0040</t>
        </is>
      </c>
      <c r="N196" t="inlineStr">
        <is>
          <t>Frances Angelita Arreglado</t>
        </is>
      </c>
      <c r="O196" t="inlineStr">
        <is>
          <t>202506060023-Frances Angelita Arreglado-费用报销 - 副本 - 副本 - 副本-2025-06-06 10:04:35</t>
        </is>
      </c>
      <c r="P196" t="inlineStr">
        <is>
          <t>YES</t>
        </is>
      </c>
      <c r="Q196"/>
      <c r="R196" t="inlineStr">
        <is>
          <t>NO</t>
        </is>
      </c>
      <c r="S196" t="inlineStr">
        <is>
          <t>Outsourced Head Referee</t>
        </is>
      </c>
      <c r="T196">
        <v>1</v>
      </c>
      <c r="U196">
        <v>25000</v>
      </c>
      <c r="V196" t="inlineStr">
        <is>
          <t>PHP</t>
        </is>
      </c>
      <c r="W196">
        <v>25000</v>
      </c>
      <c r="X196" s="2" t="str">
        <f>=HYPERLINK("https://www.larksuite.com/approval/admin/previewAttachment?key=PMgxCgJBDAXQK-Unf_InXsZmhkVYtRHscnbBYtuXE5ZzILKMBS9DayAnUwyP0JAj2xtSmZA1e7-O-w4_z-eqNxmLq7-PdewPRsndFGRMM8Pt8hDJqqT93X4BAAD__w", "2 attachment(s)")</f>
        <v>2 attachment(s)</v>
      </c>
      <c r="Y196" t="inlineStr">
        <is>
          <t>Bank Transfer</t>
        </is>
      </c>
      <c r="Z196" t="inlineStr">
        <is>
          <t>Reign Fortea</t>
        </is>
      </c>
      <c r="AA196" t="inlineStr">
        <is>
          <t>09452748691</t>
        </is>
      </c>
      <c r="AB196" t="inlineStr">
        <is>
          <t>GCash</t>
        </is>
      </c>
      <c r="AC196" t="inlineStr">
        <is>
          <t>134 L.Nadurata Street Brgy. 27 Maypajo Caloocan City</t>
        </is>
      </c>
      <c r="AD196" s="4">
        <v>45778</v>
      </c>
      <c r="AE196" t="inlineStr">
        <is>
          <t>100% Full Payment - June 27, 2025</t>
        </is>
      </c>
      <c r="AF196" s="2"/>
      <c r="AG196" t="inlineStr">
        <is>
          <t>NzQyNTk5MTgyNzQ4MTg3MDM0MTpDNkUyRTIyRS1GMjExLTRFMDUtOTM2Ny0zNkExMjQxOEIzOTEtMTowNTI0M2E4M2E1MzQwOGVhODgxZWMzMjIwYzU5MGIwNTox</t>
        </is>
      </c>
      <c r="AH196"/>
      <c r="AI196"/>
      <c r="AJ196"/>
      <c r="AK196"/>
    </row>
    <row r="197" ht="25.5" customHeight="1">
      <c r="A197" s="2" t="str">
        <f>=HYPERLINK("https://applink.larksuite.com/client/mini_program/open?appId=cli_9c7cc8a9a9edd105&amp;mode=appCenter&amp;path_pc=pc/pages/requested/index?instanceId=7516848144055844903&amp;source=bitable&amp;path=pages/detail/index?instanceId=7516848144055844903&amp;source=bitable", "202506170116")</f>
        <v>202506170116</v>
      </c>
      <c r="B197" t="inlineStr">
        <is>
          <t>Approved</t>
        </is>
      </c>
      <c r="C197" t="inlineStr">
        <is>
          <t>Procurement Order</t>
        </is>
      </c>
      <c r="D197" s="3">
        <v>45825.7290625</v>
      </c>
      <c r="E197" s="3">
        <v>45826.444768518515</v>
      </c>
      <c r="F197" t="inlineStr">
        <is>
          <t>Fatima Kathleen M. FLores</t>
        </is>
      </c>
      <c r="G197" t="inlineStr">
        <is>
          <t>Procurement</t>
        </is>
      </c>
      <c r="H197"/>
      <c r="I197"/>
      <c r="J197" t="inlineStr">
        <is>
          <t>Project</t>
        </is>
      </c>
      <c r="K197" t="inlineStr">
        <is>
          <t>PDEI - Event Service</t>
        </is>
      </c>
      <c r="L197" t="inlineStr">
        <is>
          <t>GTCC Summer Showdown</t>
        </is>
      </c>
      <c r="M197" t="inlineStr">
        <is>
          <t>2025TEG-P0040</t>
        </is>
      </c>
      <c r="N197" t="inlineStr">
        <is>
          <t>Frances Angelita Arreglado</t>
        </is>
      </c>
      <c r="O197" t="inlineStr">
        <is>
          <t>202506060025-Frances Angelita Arreglado-费用报销 - 副本 - 副本 - 副本-2025-06-06 10:29:20</t>
        </is>
      </c>
      <c r="P197" t="inlineStr">
        <is>
          <t>YES</t>
        </is>
      </c>
      <c r="Q197"/>
      <c r="R197" t="inlineStr">
        <is>
          <t>NO</t>
        </is>
      </c>
      <c r="S197" t="inlineStr">
        <is>
          <t>Outsourced Stage Hands / Floor Manager</t>
        </is>
      </c>
      <c r="T197">
        <v>1</v>
      </c>
      <c r="U197">
        <v>11200</v>
      </c>
      <c r="V197" t="inlineStr">
        <is>
          <t>PHP</t>
        </is>
      </c>
      <c r="W197">
        <v>11200</v>
      </c>
      <c r="X197" s="2" t="str">
        <f>=HYPERLINK("https://www.larksuite.com/approval/admin/previewAttachment?key=PMi7DQIxEATQlma8sz-aIcE64YAIcYjAtSMRkL4oIspp0VBzNLjTGaWiBPeSGrbHZmYjGV17Po7rOGstX_4xvXO-9nm_HfNJ7xwDaZIVAF7-bimpO4Sf4xsAAP__", "2 attachment(s)")</f>
        <v>2 attachment(s)</v>
      </c>
      <c r="Y197" t="inlineStr">
        <is>
          <t>Bank Transfer</t>
        </is>
      </c>
      <c r="Z197" t="inlineStr">
        <is>
          <t>Ralph Renzo V. Desamparado</t>
        </is>
      </c>
      <c r="AA197" t="inlineStr">
        <is>
          <t>09682222986</t>
        </is>
      </c>
      <c r="AB197" t="inlineStr">
        <is>
          <t>GCash</t>
        </is>
      </c>
      <c r="AC197" t="inlineStr">
        <is>
          <t>Blk 8 lot 9 Valencia St. Phase 1 Avida Santa Catalina Barangay Salawag City of Dasmariñas Cavite</t>
        </is>
      </c>
      <c r="AD197" s="4">
        <v>45819</v>
      </c>
      <c r="AE197" t="inlineStr">
        <is>
          <t>100% Full Payment - June 27, 2025</t>
        </is>
      </c>
      <c r="AF197" s="2"/>
      <c r="AG197" t="inlineStr">
        <is>
          <t>NzQyNTk5MTgyNzQ4MTg3MDM0MTpDNTExMTk3MS02RDYwLTQxMTctQTQ1OC0zNEFEMkI1MzkwMjYtMTpjNTFlZTg1ZGNjOWNjZGZiZTRkZGZmMDJmOTFkOGVlOTox</t>
        </is>
      </c>
      <c r="AH197"/>
      <c r="AI197"/>
      <c r="AJ197"/>
      <c r="AK197"/>
    </row>
    <row r="198" ht="25.5" customHeight="1">
      <c r="A198" s="2" t="str">
        <f>=HYPERLINK("https://applink.larksuite.com/client/mini_program/open?appId=cli_9c7cc8a9a9edd105&amp;mode=appCenter&amp;path_pc=pc/pages/requested/index?instanceId=7516850055790247975&amp;source=bitable&amp;path=pages/detail/index?instanceId=7516850055790247975&amp;source=bitable", "202506170117")</f>
        <v>202506170117</v>
      </c>
      <c r="B198" t="inlineStr">
        <is>
          <t>Approved</t>
        </is>
      </c>
      <c r="C198" t="inlineStr">
        <is>
          <t>Procurement Order</t>
        </is>
      </c>
      <c r="D198" s="3">
        <v>45825.73421296296</v>
      </c>
      <c r="E198" s="3">
        <v>45831.6043287037</v>
      </c>
      <c r="F198" t="inlineStr">
        <is>
          <t>Fatima Kathleen M. FLores</t>
        </is>
      </c>
      <c r="G198" t="inlineStr">
        <is>
          <t>Procurement</t>
        </is>
      </c>
      <c r="H198"/>
      <c r="I198"/>
      <c r="J198" t="inlineStr">
        <is>
          <t>Project</t>
        </is>
      </c>
      <c r="K198" t="inlineStr">
        <is>
          <t>PDEI - Event Service</t>
        </is>
      </c>
      <c r="L198" t="inlineStr">
        <is>
          <t>GTCC Summer Showdown</t>
        </is>
      </c>
      <c r="M198" t="inlineStr">
        <is>
          <t>2025TEG-P0040</t>
        </is>
      </c>
      <c r="N198" t="inlineStr">
        <is>
          <t>Frances Angelita Arreglado</t>
        </is>
      </c>
      <c r="O198" t="inlineStr">
        <is>
          <t>202506060026-Frances Angelita Arreglado-费用报销 - 副本 - 副本 - 副本-2025-06-06 10:31:19</t>
        </is>
      </c>
      <c r="P198" t="inlineStr">
        <is>
          <t>YES</t>
        </is>
      </c>
      <c r="Q198"/>
      <c r="R198" t="inlineStr">
        <is>
          <t>YES</t>
        </is>
      </c>
      <c r="S198" t="inlineStr">
        <is>
          <t>Outsourced Floor Director</t>
        </is>
      </c>
      <c r="T198">
        <v>1</v>
      </c>
      <c r="U198">
        <v>16700</v>
      </c>
      <c r="V198" t="inlineStr">
        <is>
          <t>PHP</t>
        </is>
      </c>
      <c r="W198">
        <v>16700</v>
      </c>
      <c r="X198" s="2" t="str">
        <f>=HYPERLINK("https://www.larksuite.com/approval/admin/previewAttachment?key=PMg7qsJgEAXgLZ15npm7mdv4E4wYEMRgM2sXLGy_LEFWiGXDW7Qhw5CsACLYUGczRkfIBoXArGP7t6P2_V6Ppe_b61xzXi_beko0VUFztwIgfz83unt3Or6OTwAAAP__", "2 attachment(s)")</f>
        <v>2 attachment(s)</v>
      </c>
      <c r="Y198" t="inlineStr">
        <is>
          <t>Bank Transfer</t>
        </is>
      </c>
      <c r="Z198" t="inlineStr">
        <is>
          <t>CELSO ESTRADA JR.</t>
        </is>
      </c>
      <c r="AA198" t="inlineStr">
        <is>
          <t>0079-2006-1269</t>
        </is>
      </c>
      <c r="AB198" t="inlineStr">
        <is>
          <t>BDO</t>
        </is>
      </c>
      <c r="AC198" t="inlineStr">
        <is>
          <t>29 Kappi Ville Katihan St. Brgy Poblacion, Muntinlupa City</t>
        </is>
      </c>
      <c r="AD198" s="4">
        <v>45819</v>
      </c>
      <c r="AE198" t="inlineStr">
        <is>
          <t>1st Payment - June 20, 2025
Final Payment - July 11, 2025</t>
        </is>
      </c>
      <c r="AF198" s="2"/>
      <c r="AG198" t="inlineStr">
        <is>
          <t>NzQyNTk5MTgyNzQ4MTg3MDM0MTpGOTNBQjQ2RC0yMUYyLTRDMzktODFBRC1BQjY1OEExMUIzOTctMToyNGRiZjAxZjFmNDk3YTg4MDVkMGViNDAxY2RiZWRmNTox</t>
        </is>
      </c>
      <c r="AH198"/>
      <c r="AI198"/>
      <c r="AJ198"/>
      <c r="AK198"/>
    </row>
    <row r="199" ht="25.5" customHeight="1">
      <c r="A199" s="2" t="str">
        <f>=HYPERLINK("https://applink.larksuite.com/client/mini_program/open?appId=cli_9c7cc8a9a9edd105&amp;mode=appCenter&amp;path_pc=pc/pages/requested/index?instanceId=7516851338475536416&amp;source=bitable&amp;path=pages/detail/index?instanceId=7516851338475536416&amp;source=bitable", "202506170119")</f>
        <v>202506170119</v>
      </c>
      <c r="B199" t="inlineStr">
        <is>
          <t>Approved</t>
        </is>
      </c>
      <c r="C199" t="inlineStr">
        <is>
          <t>Procurement Order</t>
        </is>
      </c>
      <c r="D199" s="3">
        <v>45825.73767361111</v>
      </c>
      <c r="E199" s="3">
        <v>45827.78193287037</v>
      </c>
      <c r="F199" t="inlineStr">
        <is>
          <t>Fatima Kathleen M. FLores</t>
        </is>
      </c>
      <c r="G199" t="inlineStr">
        <is>
          <t>Procurement</t>
        </is>
      </c>
      <c r="H199"/>
      <c r="I199"/>
      <c r="J199" t="inlineStr">
        <is>
          <t>Project</t>
        </is>
      </c>
      <c r="K199" t="inlineStr">
        <is>
          <t>PDEI - Event Service</t>
        </is>
      </c>
      <c r="L199" t="inlineStr">
        <is>
          <t>GTCC Summer Showdown</t>
        </is>
      </c>
      <c r="M199" t="inlineStr">
        <is>
          <t>2025TEG-P0040</t>
        </is>
      </c>
      <c r="N199" t="inlineStr">
        <is>
          <t>Frances Angelita Arreglado</t>
        </is>
      </c>
      <c r="O199" t="inlineStr">
        <is>
          <t>202506060027-Frances Angelita Arreglado-费用报销 - 副本 - 副本 - 副本-2025-06-06 10:33:58</t>
        </is>
      </c>
      <c r="P199" t="inlineStr">
        <is>
          <t>YES</t>
        </is>
      </c>
      <c r="Q199"/>
      <c r="R199" t="inlineStr">
        <is>
          <t>YES</t>
        </is>
      </c>
      <c r="S199" t="inlineStr">
        <is>
          <t>Outsourced Lighting Director</t>
        </is>
      </c>
      <c r="T199">
        <v>1</v>
      </c>
      <c r="U199">
        <v>33000</v>
      </c>
      <c r="V199" t="inlineStr">
        <is>
          <t>PHP</t>
        </is>
      </c>
      <c r="W199">
        <v>33000</v>
      </c>
      <c r="X199" s="2" t="str">
        <f>=HYPERLINK("https://www.larksuite.com/approval/admin/previewAttachment?key=PMhNCoJQFAXgLZ3z7n-baZJIhEoQOrtrD97A6edJeBrFC1ocBXYYJ0lqmIkrvUczohD0yl729VmfPHEc23bG99qtr_drXX60ijEQoioJgI_bJVS1yhXT8Q8AAP__", "2 attachment(s)")</f>
        <v>2 attachment(s)</v>
      </c>
      <c r="Y199" t="inlineStr">
        <is>
          <t>Bank Transfer</t>
        </is>
      </c>
      <c r="Z199" t="inlineStr">
        <is>
          <t>Mark Anthony Flor</t>
        </is>
      </c>
      <c r="AA199" t="inlineStr">
        <is>
          <t>09199712271</t>
        </is>
      </c>
      <c r="AB199" t="inlineStr">
        <is>
          <t>GCash</t>
        </is>
      </c>
      <c r="AC199" t="inlineStr">
        <is>
          <t>Blk179 Lot44 St. Cecilia Street, Deca Homes Loma de Gato, Marilao, Bulacan</t>
        </is>
      </c>
      <c r="AD199" s="4">
        <v>45819</v>
      </c>
      <c r="AE199" t="inlineStr">
        <is>
          <t>1st Payment - June 20, 2025
Final Payment - July 11, 2025</t>
        </is>
      </c>
      <c r="AF199" s="2"/>
      <c r="AG199" t="inlineStr">
        <is>
          <t>NzQyNTk5MTgyNzQ4MTg3MDM0MTo0NjJDQ0RDMy05Qzk3LTRDMDctQTRDMS01Qzg1RTlFMjgwMTQtMTpmYzMyNWM3MTg0NjMxNDZkODkxZTkwZGViMGIzYjA4MDox</t>
        </is>
      </c>
      <c r="AH199"/>
      <c r="AI199"/>
      <c r="AJ199"/>
      <c r="AK199"/>
    </row>
    <row r="200" ht="25.5" customHeight="1">
      <c r="A200" s="2" t="str">
        <f>=HYPERLINK("https://applink.larksuite.com/client/mini_program/open?appId=cli_9c7cc8a9a9edd105&amp;mode=appCenter&amp;path_pc=pc/pages/requested/index?instanceId=7516853990446104614&amp;source=bitable&amp;path=pages/detail/index?instanceId=7516853990446104614&amp;source=bitable", "202506170123")</f>
        <v>202506170123</v>
      </c>
      <c r="B200" t="inlineStr">
        <is>
          <t>Approved</t>
        </is>
      </c>
      <c r="C200" t="inlineStr">
        <is>
          <t>Procurement Order</t>
        </is>
      </c>
      <c r="D200" s="3">
        <v>45825.74482638889</v>
      </c>
      <c r="E200" s="3">
        <v>45826.44380787037</v>
      </c>
      <c r="F200" t="inlineStr">
        <is>
          <t>Fatima Kathleen M. FLores</t>
        </is>
      </c>
      <c r="G200" t="inlineStr">
        <is>
          <t>Procurement</t>
        </is>
      </c>
      <c r="H200"/>
      <c r="I200"/>
      <c r="J200" t="inlineStr">
        <is>
          <t>Project</t>
        </is>
      </c>
      <c r="K200" t="inlineStr">
        <is>
          <t>PDEI - Event Service</t>
        </is>
      </c>
      <c r="L200" t="inlineStr">
        <is>
          <t>GTCC Summer Showdown</t>
        </is>
      </c>
      <c r="M200" t="inlineStr">
        <is>
          <t>2025TEG-P0040</t>
        </is>
      </c>
      <c r="N200" t="inlineStr">
        <is>
          <t>Frances Angelita Arreglado</t>
        </is>
      </c>
      <c r="O200" t="inlineStr">
        <is>
          <t>202506060028-Frances Angelita Arreglado-费用报销 - 副本 - 副本 - 副本-2025-06-06 10:35:48</t>
        </is>
      </c>
      <c r="P200" t="inlineStr">
        <is>
          <t>YES</t>
        </is>
      </c>
      <c r="Q200"/>
      <c r="R200" t="inlineStr">
        <is>
          <t>NO</t>
        </is>
      </c>
      <c r="S200" t="inlineStr">
        <is>
          <t>Outsourced Usher</t>
        </is>
      </c>
      <c r="T200">
        <v>1</v>
      </c>
      <c r="U200">
        <v>6600</v>
      </c>
      <c r="V200" t="inlineStr">
        <is>
          <t>PHP</t>
        </is>
      </c>
      <c r="W200">
        <v>6600</v>
      </c>
      <c r="X200" s="2" t="str">
        <f>=HYPERLINK("https://www.larksuite.com/approval/admin/previewAttachment?key=PMgxCgIxFATQK80kk___eBmbDYsgW8mmy9kFC9sXRUQN9jBkNoM7B6NGtyEFoaB228w0kuHa8zqfx32951rLbnex7fU6zvnhcLaG7FIvAHz8vackO4Sf4xsAAP__", "2 attachment(s)")</f>
        <v>2 attachment(s)</v>
      </c>
      <c r="Y200" t="inlineStr">
        <is>
          <t>Bank Transfer</t>
        </is>
      </c>
      <c r="Z200" t="inlineStr">
        <is>
          <t>Jennifer Baogbog</t>
        </is>
      </c>
      <c r="AA200" t="inlineStr">
        <is>
          <t>09563846549</t>
        </is>
      </c>
      <c r="AB200" t="inlineStr">
        <is>
          <t>GCash</t>
        </is>
      </c>
      <c r="AC200" t="inlineStr">
        <is>
          <t>14 Sitio San Gabriel Batasan Hills, Quezon City</t>
        </is>
      </c>
      <c r="AD200" s="4">
        <v>45819</v>
      </c>
      <c r="AE200" t="inlineStr">
        <is>
          <t>100% Full Payment - June 27, 2025</t>
        </is>
      </c>
      <c r="AF200" s="2"/>
      <c r="AG200" t="inlineStr">
        <is>
          <t>NzQyNTk5MTgyNzQ4MTg3MDM0MTpFRDZEOUZEQS05OTJBLTQ4RkQtOUY0Mi0wMzVCNDQwQzkwNDUtMTo1Y2EwOTJjMWEyMjlhMDIzOGI4ZjE1NmVmM2FkMDg3YTox</t>
        </is>
      </c>
      <c r="AH200"/>
      <c r="AI200"/>
      <c r="AJ200"/>
      <c r="AK200"/>
    </row>
    <row r="201" ht="25.5" customHeight="1">
      <c r="A201" s="2" t="str">
        <f>=HYPERLINK("https://applink.larksuite.com/client/mini_program/open?appId=cli_9c7cc8a9a9edd105&amp;mode=appCenter&amp;path_pc=pc/pages/requested/index?instanceId=7516855161923338278&amp;source=bitable&amp;path=pages/detail/index?instanceId=7516855161923338278&amp;source=bitable", "202506170124")</f>
        <v>202506170124</v>
      </c>
      <c r="B201" t="inlineStr">
        <is>
          <t>Approved</t>
        </is>
      </c>
      <c r="C201" t="inlineStr">
        <is>
          <t>Procurement Order</t>
        </is>
      </c>
      <c r="D201" s="3">
        <v>45825.74797453704</v>
      </c>
      <c r="E201" s="3">
        <v>45826.443391203706</v>
      </c>
      <c r="F201" t="inlineStr">
        <is>
          <t>Fatima Kathleen M. FLores</t>
        </is>
      </c>
      <c r="G201" t="inlineStr">
        <is>
          <t>Procurement</t>
        </is>
      </c>
      <c r="H201"/>
      <c r="I201"/>
      <c r="J201" t="inlineStr">
        <is>
          <t>Project</t>
        </is>
      </c>
      <c r="K201" t="inlineStr">
        <is>
          <t>PDEI - Event Service</t>
        </is>
      </c>
      <c r="L201" t="inlineStr">
        <is>
          <t>GTCC Summer Showdown</t>
        </is>
      </c>
      <c r="M201" t="inlineStr">
        <is>
          <t>2025TEG-P0040</t>
        </is>
      </c>
      <c r="N201" t="inlineStr">
        <is>
          <t>Frances Angelita Arreglado</t>
        </is>
      </c>
      <c r="O201" t="inlineStr">
        <is>
          <t>202506060028-Frances Angelita Arreglado-费用报销 - 副本 - 副本 - 副本-2025-06-06 10:35:48</t>
        </is>
      </c>
      <c r="P201" t="inlineStr">
        <is>
          <t>YES</t>
        </is>
      </c>
      <c r="Q201"/>
      <c r="R201" t="inlineStr">
        <is>
          <t>NO</t>
        </is>
      </c>
      <c r="S201" t="inlineStr">
        <is>
          <t>Outsourced Ushers</t>
        </is>
      </c>
      <c r="T201">
        <v>1</v>
      </c>
      <c r="U201">
        <v>31350</v>
      </c>
      <c r="V201" t="inlineStr">
        <is>
          <t>PHP</t>
        </is>
      </c>
      <c r="W201">
        <v>31350</v>
      </c>
      <c r="X201" s="2" t="str">
        <f>=HYPERLINK("https://www.larksuite.com/approval/admin/previewAttachment?key=PMg9CsJAEAXgK703_-NlbFwWjQQEMWCxZxcs0n5RRJRTo2FNaXClM8qdwRZVLclaspjZSEbXGvu8Po5Ndv18N5_Peo113G9zvOmdIkg10wLAy-maZtYdhr_jFwAA__8", "2 attachment(s)")</f>
        <v>2 attachment(s)</v>
      </c>
      <c r="Y201" t="inlineStr">
        <is>
          <t>Bank Transfer</t>
        </is>
      </c>
      <c r="Z201" t="inlineStr">
        <is>
          <t>John Enric Puno</t>
        </is>
      </c>
      <c r="AA201" t="inlineStr">
        <is>
          <t>000690087837</t>
        </is>
      </c>
      <c r="AB201" t="inlineStr">
        <is>
          <t>BDO</t>
        </is>
      </c>
      <c r="AC201" t="inlineStr">
        <is>
          <t>1728 G. Perfecto st. Tondo manila</t>
        </is>
      </c>
      <c r="AD201" s="4">
        <v>45817</v>
      </c>
      <c r="AE201" t="inlineStr">
        <is>
          <t>100% Full Payment - June 27, 2025</t>
        </is>
      </c>
      <c r="AF201" s="2"/>
      <c r="AG201" t="inlineStr">
        <is>
          <t>NzQyNTk5MTgyNzQ4MTg3MDM0MTo3QUZCMTg3RC0wOEQ4LTQxQTAtOUQxMy1BMUJFMTdBNjIxNEMtMTpkZDk3MTlmNGEzOTBkNWMxOWM2MTI1MGM1YmEyNTNlMTox</t>
        </is>
      </c>
      <c r="AH201"/>
      <c r="AI201"/>
      <c r="AJ201"/>
      <c r="AK201"/>
    </row>
    <row r="202" ht="25.5" customHeight="1">
      <c r="A202" s="2" t="str">
        <f>=HYPERLINK("https://applink.larksuite.com/client/mini_program/open?appId=cli_9c7cc8a9a9edd105&amp;mode=appCenter&amp;path_pc=pc/pages/requested/index?instanceId=7516856107340578855&amp;source=bitable&amp;path=pages/detail/index?instanceId=7516856107340578855&amp;source=bitable", "202506170126")</f>
        <v>202506170126</v>
      </c>
      <c r="B202" t="inlineStr">
        <is>
          <t>Approved</t>
        </is>
      </c>
      <c r="C202" t="inlineStr">
        <is>
          <t>Procurement Order</t>
        </is>
      </c>
      <c r="D202" s="3">
        <v>45825.75052083333</v>
      </c>
      <c r="E202" s="3">
        <v>45826.44300925926</v>
      </c>
      <c r="F202" t="inlineStr">
        <is>
          <t>Fatima Kathleen M. FLores</t>
        </is>
      </c>
      <c r="G202" t="inlineStr">
        <is>
          <t>Procurement</t>
        </is>
      </c>
      <c r="H202"/>
      <c r="I202"/>
      <c r="J202" t="inlineStr">
        <is>
          <t>Project</t>
        </is>
      </c>
      <c r="K202" t="inlineStr">
        <is>
          <t>PDEI - Event Service</t>
        </is>
      </c>
      <c r="L202" t="inlineStr">
        <is>
          <t>GTCC Summer Showdown</t>
        </is>
      </c>
      <c r="M202" t="inlineStr">
        <is>
          <t>2025TEG-P0040</t>
        </is>
      </c>
      <c r="N202" t="inlineStr">
        <is>
          <t>Frances Angelita Arreglado</t>
        </is>
      </c>
      <c r="O202" t="inlineStr">
        <is>
          <t>202506060028-Frances Angelita Arreglado-费用报销 - 副本 - 副本 - 副本-2025-06-06 10:35:48</t>
        </is>
      </c>
      <c r="P202" t="inlineStr">
        <is>
          <t>YES</t>
        </is>
      </c>
      <c r="Q202"/>
      <c r="R202" t="inlineStr">
        <is>
          <t>NO</t>
        </is>
      </c>
      <c r="S202" t="inlineStr">
        <is>
          <t>Outsourced Ushers</t>
        </is>
      </c>
      <c r="T202">
        <v>1</v>
      </c>
      <c r="U202">
        <v>11550</v>
      </c>
      <c r="V202" t="inlineStr">
        <is>
          <t>PHP</t>
        </is>
      </c>
      <c r="W202">
        <v>11550</v>
      </c>
      <c r="X202" s="2" t="str">
        <f>=HYPERLINK("https://www.larksuite.com/approval/admin/previewAttachment?key=PMtLCsJAEATQK1XN9K-8jJuEIEIgIM6uzy66cPvgRRFRzhmCiUNgpzPKg8hp8Kxy79HMFJKh6v087nrWGxd2butap_d6bMf-oivH-EabBYC3v880MykMP8cnAAD__w", "2 attachment(s)")</f>
        <v>2 attachment(s)</v>
      </c>
      <c r="Y202" t="inlineStr">
        <is>
          <t>Bank Transfer</t>
        </is>
      </c>
      <c r="Z202" t="inlineStr">
        <is>
          <t>Michaella Acala</t>
        </is>
      </c>
      <c r="AA202" t="inlineStr">
        <is>
          <t>2799050585</t>
        </is>
      </c>
      <c r="AB202" t="inlineStr">
        <is>
          <t>BPI</t>
        </is>
      </c>
      <c r="AC202" t="inlineStr">
        <is>
          <t>Blk 3 lot 5 Sagana Homes Culiat Quezon city</t>
        </is>
      </c>
      <c r="AD202" s="4">
        <v>45817</v>
      </c>
      <c r="AE202" t="inlineStr">
        <is>
          <t>100% Full Payment - June 27, 2025</t>
        </is>
      </c>
      <c r="AF202" s="2"/>
      <c r="AG202" t="inlineStr">
        <is>
          <t>NzQyNTk5MTgyNzQ4MTg3MDM0MTo2NUE4QTAzQi1BOEM2LTQ4QjUtQjc1MS01ODRERkQ0MDM1ODYtMTo0OTY0OTRiMWM5ZmRjMjVkY2ExMmYwNjNmOWQ3YjFkZDox</t>
        </is>
      </c>
      <c r="AH202"/>
      <c r="AI202"/>
      <c r="AJ202"/>
      <c r="AK202"/>
    </row>
    <row r="203" ht="25.5" customHeight="1">
      <c r="A203" s="2" t="str">
        <f>=HYPERLINK("https://applink.larksuite.com/client/mini_program/open?appId=cli_9c7cc8a9a9edd105&amp;mode=appCenter&amp;path_pc=pc/pages/requested/index?instanceId=7516860973408403494&amp;source=bitable&amp;path=pages/detail/index?instanceId=7516860973408403494&amp;source=bitable", "202506170131")</f>
        <v>202506170131</v>
      </c>
      <c r="B203" t="inlineStr">
        <is>
          <t>Approved</t>
        </is>
      </c>
      <c r="C203" t="inlineStr">
        <is>
          <t>Procurement Order</t>
        </is>
      </c>
      <c r="D203" s="3">
        <v>45825.76363425926</v>
      </c>
      <c r="E203" s="3">
        <v>45827.78372685185</v>
      </c>
      <c r="F203" t="inlineStr">
        <is>
          <t>Fatima Kathleen M. FLores</t>
        </is>
      </c>
      <c r="G203" t="inlineStr">
        <is>
          <t>Procurement</t>
        </is>
      </c>
      <c r="H203"/>
      <c r="I203"/>
      <c r="J203" t="inlineStr">
        <is>
          <t>Project</t>
        </is>
      </c>
      <c r="K203" t="inlineStr">
        <is>
          <t>PDEI - Event Service</t>
        </is>
      </c>
      <c r="L203" t="inlineStr">
        <is>
          <t>GTCC Summer Showdown</t>
        </is>
      </c>
      <c r="M203" t="inlineStr">
        <is>
          <t>2025TEG-P0040</t>
        </is>
      </c>
      <c r="N203" t="inlineStr">
        <is>
          <t>Frances Angelita Arreglado</t>
        </is>
      </c>
      <c r="O203" t="inlineStr">
        <is>
          <t>202506060032-Frances Angelita Arreglado-费用报销 - 副本 - 副本 - 副本-2025-06-06 10:50:20</t>
        </is>
      </c>
      <c r="P203" t="inlineStr">
        <is>
          <t>YES</t>
        </is>
      </c>
      <c r="Q203"/>
      <c r="R203" t="inlineStr">
        <is>
          <t>YES</t>
        </is>
      </c>
      <c r="S203" t="inlineStr">
        <is>
          <t>Outsourced Resolume Operator</t>
        </is>
      </c>
      <c r="T203">
        <v>1</v>
      </c>
      <c r="U203">
        <v>12500</v>
      </c>
      <c r="V203" t="inlineStr">
        <is>
          <t>PHP</t>
        </is>
      </c>
      <c r="W203">
        <v>12500</v>
      </c>
      <c r="X203" s="2" t="str">
        <f>=HYPERLINK("https://www.larksuite.com/approval/admin/previewAttachment?key=PMhBikIxEATQK1WnK12pucxs8gkifBFEcZOzCy7cvhqBGj2yDDqaEVs9ahSsJAaRNHfbIRkKAfs41__9mjdrviee84y1X5e5jkd0qzUoyRwA4u_nKZJ2EV_HJwAA__8", "2 attachment(s)")</f>
        <v>2 attachment(s)</v>
      </c>
      <c r="Y203" t="inlineStr">
        <is>
          <t>Bank Transfer</t>
        </is>
      </c>
      <c r="Z203" t="inlineStr">
        <is>
          <t>Remar John Bayona</t>
        </is>
      </c>
      <c r="AA203" t="inlineStr">
        <is>
          <t>09458591894</t>
        </is>
      </c>
      <c r="AB203" t="inlineStr">
        <is>
          <t>GCash</t>
        </is>
      </c>
      <c r="AC203" t="inlineStr">
        <is>
          <t>Puntales Road,Concepcion,Iloilo</t>
        </is>
      </c>
      <c r="AD203" s="4">
        <v>45819</v>
      </c>
      <c r="AE203" t="inlineStr">
        <is>
          <t>100% Full Payment - June 27, 2025</t>
        </is>
      </c>
      <c r="AF203" s="2"/>
      <c r="AG203" t="inlineStr">
        <is>
          <t>NzQyNTk5MTgyNzQ4MTg3MDM0MTpDODFCQjkxRi01QjczLTRGMkItOEYwQi00OTFFMUZGMDZCMzQtMToyYTkwMzhhMjNkMGI5YzU4MDNkMzU1OGI4YWI3ZDQwMTox</t>
        </is>
      </c>
      <c r="AH203"/>
      <c r="AI203"/>
      <c r="AJ203"/>
      <c r="AK203"/>
    </row>
    <row r="204" ht="25.5" customHeight="1">
      <c r="A204" s="2" t="str">
        <f>=HYPERLINK("https://applink.larksuite.com/client/mini_program/open?appId=cli_9c7cc8a9a9edd105&amp;mode=appCenter&amp;path_pc=pc/pages/requested/index?instanceId=7516862852989255718&amp;source=bitable&amp;path=pages/detail/index?instanceId=7516862852989255718&amp;source=bitable", "202506170132")</f>
        <v>202506170132</v>
      </c>
      <c r="B204" t="inlineStr">
        <is>
          <t>Approved</t>
        </is>
      </c>
      <c r="C204" t="inlineStr">
        <is>
          <t>Procurement Order</t>
        </is>
      </c>
      <c r="D204" s="3">
        <v>45825.7687037037</v>
      </c>
      <c r="E204" s="3">
        <v>45827.78459490741</v>
      </c>
      <c r="F204" t="inlineStr">
        <is>
          <t>Fatima Kathleen M. FLores</t>
        </is>
      </c>
      <c r="G204" t="inlineStr">
        <is>
          <t>Procurement</t>
        </is>
      </c>
      <c r="H204"/>
      <c r="I204"/>
      <c r="J204" t="inlineStr">
        <is>
          <t>Project</t>
        </is>
      </c>
      <c r="K204" t="inlineStr">
        <is>
          <t>PDEI - Event Service</t>
        </is>
      </c>
      <c r="L204" t="inlineStr">
        <is>
          <t>GTCC Summer Showdown</t>
        </is>
      </c>
      <c r="M204" t="inlineStr">
        <is>
          <t>2025TEG-P0040</t>
        </is>
      </c>
      <c r="N204" t="inlineStr">
        <is>
          <t>Frances Angelita Arreglado</t>
        </is>
      </c>
      <c r="O204" t="inlineStr">
        <is>
          <t>202506060033-Frances Angelita Arreglado-费用报销 - 副本 - 副本 - 副本-2025-06-06 11:04:41</t>
        </is>
      </c>
      <c r="P204" t="inlineStr">
        <is>
          <t>YES</t>
        </is>
      </c>
      <c r="Q204"/>
      <c r="R204" t="inlineStr">
        <is>
          <t>YES</t>
        </is>
      </c>
      <c r="S204" t="inlineStr">
        <is>
          <t>Outsourced Audio Engineer</t>
        </is>
      </c>
      <c r="T204">
        <v>1</v>
      </c>
      <c r="U204">
        <v>13800</v>
      </c>
      <c r="V204" t="inlineStr">
        <is>
          <t>PHP</t>
        </is>
      </c>
      <c r="W204">
        <v>13800</v>
      </c>
      <c r="X204" s="2" t="str">
        <f>=HYPERLINK("https://www.larksuite.com/approval/admin/previewAttachment?key=PMg7qsJgEAXgLZ0z77mbuY0_QYypRInFrF2wsP2iiCinRsOa0uCkMyqkXLpa3JM1MsxsJBOYdWz_z3fpeT9qX9jPm8_retnWg94pglQzLQD8-7mmmXWH4ev4BAAA__8", "2 attachment(s)")</f>
        <v>2 attachment(s)</v>
      </c>
      <c r="Y204" t="inlineStr">
        <is>
          <t>Bank Transfer</t>
        </is>
      </c>
      <c r="Z204" t="inlineStr">
        <is>
          <t>Kenneth Singian</t>
        </is>
      </c>
      <c r="AA204" t="inlineStr">
        <is>
          <t>09176559151</t>
        </is>
      </c>
      <c r="AB204" t="inlineStr">
        <is>
          <t>GCash</t>
        </is>
      </c>
      <c r="AC204" t="inlineStr">
        <is>
          <t>84 Montreal St. Cubao Quezon City</t>
        </is>
      </c>
      <c r="AD204" s="4">
        <v>45819</v>
      </c>
      <c r="AE204" t="inlineStr">
        <is>
          <t>100% Full Payment - June 27, 2025</t>
        </is>
      </c>
      <c r="AF204" s="2"/>
      <c r="AG204" t="inlineStr">
        <is>
          <t>NzQyNTk5MTgyNzQ4MTg3MDM0MTozQTkzNjhERS0yQjdELTQyOUEtQjM0NC1EMkYyMjc4QzU3QzQtMTo0MzE2Yjg4ZTY0ZjQ0MWQxZDQzOWY2M2ZhNWI2YjAxODox</t>
        </is>
      </c>
      <c r="AH204"/>
      <c r="AI204"/>
      <c r="AJ204"/>
      <c r="AK204"/>
    </row>
    <row r="205" ht="25.5" customHeight="1">
      <c r="A205" s="2" t="str">
        <f>=HYPERLINK("https://applink.larksuite.com/client/mini_program/open?appId=cli_9c7cc8a9a9edd105&amp;mode=appCenter&amp;path_pc=pc/pages/requested/index?instanceId=7516864549648089126&amp;source=bitable&amp;path=pages/detail/index?instanceId=7516864549648089126&amp;source=bitable", "202506170134")</f>
        <v>202506170134</v>
      </c>
      <c r="B205" t="inlineStr">
        <is>
          <t>Approved</t>
        </is>
      </c>
      <c r="C205" t="inlineStr">
        <is>
          <t>Procurement Order</t>
        </is>
      </c>
      <c r="D205" s="3">
        <v>45825.77327546296</v>
      </c>
      <c r="E205" s="3">
        <v>45826.4409375</v>
      </c>
      <c r="F205" t="inlineStr">
        <is>
          <t>Fatima Kathleen M. FLores</t>
        </is>
      </c>
      <c r="G205" t="inlineStr">
        <is>
          <t>Procurement</t>
        </is>
      </c>
      <c r="H205"/>
      <c r="I205"/>
      <c r="J205" t="inlineStr">
        <is>
          <t>Project</t>
        </is>
      </c>
      <c r="K205" t="inlineStr">
        <is>
          <t>PDEI - Event Service</t>
        </is>
      </c>
      <c r="L205" t="inlineStr">
        <is>
          <t>GTCC Summer Showdown</t>
        </is>
      </c>
      <c r="M205" t="inlineStr">
        <is>
          <t>2025TEG-P0040</t>
        </is>
      </c>
      <c r="N205" t="inlineStr">
        <is>
          <t>Frances Angelita Arreglado</t>
        </is>
      </c>
      <c r="O205" t="inlineStr">
        <is>
          <t>202506060034-Frances Angelita Arreglado-费用报销 - 副本 - 副本 - 副本-2025-06-06 11:10:08</t>
        </is>
      </c>
      <c r="P205" t="inlineStr">
        <is>
          <t>YES</t>
        </is>
      </c>
      <c r="Q205"/>
      <c r="R205" t="inlineStr">
        <is>
          <t>NO</t>
        </is>
      </c>
      <c r="S205" t="inlineStr">
        <is>
          <t>Outsourced Talent (Jusuave)</t>
        </is>
      </c>
      <c r="T205">
        <v>1</v>
      </c>
      <c r="U205">
        <v>45000</v>
      </c>
      <c r="V205" t="inlineStr">
        <is>
          <t>PHP</t>
        </is>
      </c>
      <c r="W205">
        <v>45000</v>
      </c>
      <c r="X205" s="2" t="str">
        <f>=HYPERLINK("https://www.larksuite.com/approval/admin/previewAttachment?key=PMgxCgJBDAXQK_1k_iT5XsZml0WQgQVRscjZBQvbF2WImjZCoMwF65wWFZxUsFAyj_a2TCEtVL2v47o9133X541z-Tm8X7ft2B82le7IQY4CYJe_jyQpBfFzfAMAAP__", "2 attachment(s)")</f>
        <v>2 attachment(s)</v>
      </c>
      <c r="Y205" t="inlineStr">
        <is>
          <t>Bank Transfer</t>
        </is>
      </c>
      <c r="Z205" t="inlineStr">
        <is>
          <t>Joshua Francis Villamar</t>
        </is>
      </c>
      <c r="AA205" t="inlineStr">
        <is>
          <t>1094 8518 9048</t>
        </is>
      </c>
      <c r="AB205" t="inlineStr">
        <is>
          <t>Unionbank of the Philippines</t>
        </is>
      </c>
      <c r="AC205" t="inlineStr">
        <is>
          <t>Block 14 Lot 8 Primrose st., Bloomfields subd., Brgy.Pasong Putik Proper, Quezon City</t>
        </is>
      </c>
      <c r="AD205" s="4">
        <v>45819</v>
      </c>
      <c r="AE205" t="inlineStr">
        <is>
          <t>40% 1st Payment - July 4, 2025
60% Final Payment - July 18, 2025</t>
        </is>
      </c>
      <c r="AF205" s="2"/>
      <c r="AG205" t="inlineStr">
        <is>
          <t>NzQyNTk5MTgyNzQ4MTg3MDM0MTo5N0IwRDdGQS1ENzQ1LTQyRDktOEFEMi0wM0MxMjg2NkRGOTMtMTo4MTMwODg4YWE2Nzk5ZGYxNzU4YmZkZTUxMmVlOTEzMjox</t>
        </is>
      </c>
      <c r="AH205"/>
      <c r="AI205"/>
      <c r="AJ205"/>
      <c r="AK205"/>
    </row>
    <row r="206" ht="25.5" customHeight="1">
      <c r="A206" s="2" t="str">
        <f>=HYPERLINK("https://applink.larksuite.com/client/mini_program/open?appId=cli_9c7cc8a9a9edd105&amp;mode=appCenter&amp;path_pc=pc/pages/requested/index?instanceId=7516865518394114079&amp;source=bitable&amp;path=pages/detail/index?instanceId=7516865518394114079&amp;source=bitable", "202506170135")</f>
        <v>202506170135</v>
      </c>
      <c r="B206" t="inlineStr">
        <is>
          <t>Approved</t>
        </is>
      </c>
      <c r="C206" t="inlineStr">
        <is>
          <t>Procurement Order</t>
        </is>
      </c>
      <c r="D206" s="3">
        <v>45825.7758912037</v>
      </c>
      <c r="E206" s="3">
        <v>45826.440358796295</v>
      </c>
      <c r="F206" t="inlineStr">
        <is>
          <t>Fatima Kathleen M. FLores</t>
        </is>
      </c>
      <c r="G206" t="inlineStr">
        <is>
          <t>Procurement</t>
        </is>
      </c>
      <c r="H206"/>
      <c r="I206"/>
      <c r="J206" t="inlineStr">
        <is>
          <t>Project</t>
        </is>
      </c>
      <c r="K206" t="inlineStr">
        <is>
          <t>PDEI - Event Service</t>
        </is>
      </c>
      <c r="L206" t="inlineStr">
        <is>
          <t>GTCC Summer Showdown</t>
        </is>
      </c>
      <c r="M206" t="inlineStr">
        <is>
          <t>2025TEG-P0040</t>
        </is>
      </c>
      <c r="N206" t="inlineStr">
        <is>
          <t>Frances Angelita Arreglado</t>
        </is>
      </c>
      <c r="O206" t="inlineStr">
        <is>
          <t>202506060034-Frances Angelita Arreglado-费用报销 - 副本 - 副本 - 副本-2025-06-06 11:10:08</t>
        </is>
      </c>
      <c r="P206" t="inlineStr">
        <is>
          <t>YES</t>
        </is>
      </c>
      <c r="Q206"/>
      <c r="R206" t="inlineStr">
        <is>
          <t>NO</t>
        </is>
      </c>
      <c r="S206" t="inlineStr">
        <is>
          <t>Outsourced Talent (Yakuron)</t>
        </is>
      </c>
      <c r="T206">
        <v>1</v>
      </c>
      <c r="U206">
        <v>36000</v>
      </c>
      <c r="V206" t="inlineStr">
        <is>
          <t>PHP</t>
        </is>
      </c>
      <c r="W206">
        <v>36000</v>
      </c>
      <c r="X206" s="2" t="str">
        <f>=HYPERLINK("https://www.larksuite.com/approval/admin/previewAttachment?key=PMg9CsJAFATgK828fX_jZWw2LBKSSrDbswsWtl82kR0cKbhoAncFszOCPeSko7Rts0oopnof93qet8LqWrbmvOLcn9dcx5uhMkMN99EA-Pj7KHeX0vFzfAMAAP__", "2 attachment(s)")</f>
        <v>2 attachment(s)</v>
      </c>
      <c r="Y206" t="inlineStr">
        <is>
          <t>Bank Transfer</t>
        </is>
      </c>
      <c r="Z206" t="inlineStr">
        <is>
          <t>Rolen Susi</t>
        </is>
      </c>
      <c r="AA206" t="inlineStr">
        <is>
          <t>001440135922</t>
        </is>
      </c>
      <c r="AB206" t="inlineStr">
        <is>
          <t>BDO</t>
        </is>
      </c>
      <c r="AC206" t="inlineStr">
        <is>
          <t>312 Ampioco st. Balut Tondo Manila</t>
        </is>
      </c>
      <c r="AD206" s="4">
        <v>45819</v>
      </c>
      <c r="AE206" t="inlineStr">
        <is>
          <t>40% 1st Payment - July 4, 2025
60% Final Payment - July 18, 2025</t>
        </is>
      </c>
      <c r="AF206" s="2"/>
      <c r="AG206" t="inlineStr">
        <is>
          <t>NzQyNTk5MTgyNzQ4MTg3MDM0MTpENEU4MUM3RC1BMUQ5LTQ0NTItODM3Qi1FMUU3RTc5NzJFQzUtMTpkZjhhY2UxNTZkYWRmZDlhYzMzNTJiOGNiMDRjNmU2NDox</t>
        </is>
      </c>
      <c r="AH206"/>
      <c r="AI206"/>
      <c r="AJ206"/>
      <c r="AK206"/>
    </row>
    <row r="207" ht="25.5" customHeight="1">
      <c r="A207" s="2" t="str">
        <f>=HYPERLINK("https://applink.larksuite.com/client/mini_program/open?appId=cli_9c7cc8a9a9edd105&amp;mode=appCenter&amp;path_pc=pc/pages/requested/index?instanceId=7516866398171775015&amp;source=bitable&amp;path=pages/detail/index?instanceId=7516866398171775015&amp;source=bitable", "202506170140")</f>
        <v>202506170140</v>
      </c>
      <c r="B207" t="inlineStr">
        <is>
          <t>Approved</t>
        </is>
      </c>
      <c r="C207" t="inlineStr">
        <is>
          <t>Procurement Order</t>
        </is>
      </c>
      <c r="D207" s="3">
        <v>45825.77825231481</v>
      </c>
      <c r="E207" s="3">
        <v>45826.43980324074</v>
      </c>
      <c r="F207" t="inlineStr">
        <is>
          <t>Fatima Kathleen M. FLores</t>
        </is>
      </c>
      <c r="G207" t="inlineStr">
        <is>
          <t>Procurement</t>
        </is>
      </c>
      <c r="H207"/>
      <c r="I207"/>
      <c r="J207" t="inlineStr">
        <is>
          <t>Project</t>
        </is>
      </c>
      <c r="K207" t="inlineStr">
        <is>
          <t>PDEI - Event Service</t>
        </is>
      </c>
      <c r="L207" t="inlineStr">
        <is>
          <t>GTCC Summer Showdown</t>
        </is>
      </c>
      <c r="M207" t="inlineStr">
        <is>
          <t>2025TEG-P0040</t>
        </is>
      </c>
      <c r="N207" t="inlineStr">
        <is>
          <t>Frances Angelita Arreglado</t>
        </is>
      </c>
      <c r="O207" t="inlineStr">
        <is>
          <t>202506060034-Frances Angelita Arreglado-费用报销 - 副本 - 副本 - 副本-2025-06-06 11:10:08</t>
        </is>
      </c>
      <c r="P207" t="inlineStr">
        <is>
          <t>YES</t>
        </is>
      </c>
      <c r="Q207"/>
      <c r="R207" t="inlineStr">
        <is>
          <t>NO</t>
        </is>
      </c>
      <c r="S207" t="inlineStr">
        <is>
          <t>Outsourced Talent (Butters)</t>
        </is>
      </c>
      <c r="T207">
        <v>1</v>
      </c>
      <c r="U207">
        <v>77000</v>
      </c>
      <c r="V207" t="inlineStr">
        <is>
          <t>PHP</t>
        </is>
      </c>
      <c r="W207">
        <v>77000</v>
      </c>
      <c r="X207" s="2" t="str">
        <f>=HYPERLINK("https://www.larksuite.com/approval/admin/previewAttachment?key=PMg9CsJAEAXgK7238_NmvIxNwmJAKyFosWcXLNJ-WURW0LLhzdHgUjAr07ooSgHGGotSQ8yutb_mHVZHnJ8N36nDn-t8bHN_M1pjQOZuBYC3y03u3p2Ov-MXAAD__w", "2 attachment(s)")</f>
        <v>2 attachment(s)</v>
      </c>
      <c r="Y207" t="inlineStr">
        <is>
          <t>Bank Transfer</t>
        </is>
      </c>
      <c r="Z207" t="inlineStr">
        <is>
          <t>Mark Adrian Jison</t>
        </is>
      </c>
      <c r="AA207" t="inlineStr">
        <is>
          <t>112302110673</t>
        </is>
      </c>
      <c r="AB207" t="inlineStr">
        <is>
          <t>Chinabank</t>
        </is>
      </c>
      <c r="AC207" t="inlineStr">
        <is>
          <t>2019 San Pascual St Malate Manila</t>
        </is>
      </c>
      <c r="AD207" s="4">
        <v>45818</v>
      </c>
      <c r="AE207" t="inlineStr">
        <is>
          <t>40% 1st Payment - July 4, 2025
60% Final Payment - July 18, 2025</t>
        </is>
      </c>
      <c r="AF207" s="2"/>
      <c r="AG207" t="inlineStr">
        <is>
          <t>NzQyNTk5MTgyNzQ4MTg3MDM0MToxMDNBNEY4Qi0xQjUwLTQ2QjgtQjI3Mi01NUM2MDNDMThERDMtMTozMWZjYmZlZjgwNmVkNDZlOTdmODc5YjBiMmFiZTFlNzox</t>
        </is>
      </c>
      <c r="AH207"/>
      <c r="AI207"/>
      <c r="AJ207"/>
      <c r="AK207"/>
    </row>
    <row r="208" ht="25.5" customHeight="1">
      <c r="A208" s="2" t="str">
        <f>=HYPERLINK("https://applink.larksuite.com/client/mini_program/open?appId=cli_9c7cc8a9a9edd105&amp;mode=appCenter&amp;path_pc=pc/pages/requested/index?instanceId=7516867244329222175&amp;source=bitable&amp;path=pages/detail/index?instanceId=7516867244329222175&amp;source=bitable", "202506170141")</f>
        <v>202506170141</v>
      </c>
      <c r="B208" t="inlineStr">
        <is>
          <t>Approved</t>
        </is>
      </c>
      <c r="C208" t="inlineStr">
        <is>
          <t>Procurement Order</t>
        </is>
      </c>
      <c r="D208" s="3">
        <v>45825.78053240741</v>
      </c>
      <c r="E208" s="3">
        <v>45826.43918981482</v>
      </c>
      <c r="F208" t="inlineStr">
        <is>
          <t>Fatima Kathleen M. FLores</t>
        </is>
      </c>
      <c r="G208" t="inlineStr">
        <is>
          <t>Procurement</t>
        </is>
      </c>
      <c r="H208"/>
      <c r="I208"/>
      <c r="J208" t="inlineStr">
        <is>
          <t>Project</t>
        </is>
      </c>
      <c r="K208" t="inlineStr">
        <is>
          <t>PDEI - Event Service</t>
        </is>
      </c>
      <c r="L208" t="inlineStr">
        <is>
          <t>GTCC Summer Showdown</t>
        </is>
      </c>
      <c r="M208" t="inlineStr">
        <is>
          <t>2025TEG-P0040</t>
        </is>
      </c>
      <c r="N208" t="inlineStr">
        <is>
          <t>Frances Angelita Arreglado</t>
        </is>
      </c>
      <c r="O208" t="inlineStr">
        <is>
          <t>202506060034-Frances Angelita Arreglado-费用报销 - 副本 - 副本 - 副本-2025-06-06 11:10:08</t>
        </is>
      </c>
      <c r="P208" t="inlineStr">
        <is>
          <t>YES</t>
        </is>
      </c>
      <c r="Q208"/>
      <c r="R208" t="inlineStr">
        <is>
          <t>NO</t>
        </is>
      </c>
      <c r="S208" t="inlineStr">
        <is>
          <t>Outsourced Talent (Manjean)</t>
        </is>
      </c>
      <c r="T208">
        <v>1</v>
      </c>
      <c r="U208">
        <v>82000</v>
      </c>
      <c r="V208" t="inlineStr">
        <is>
          <t>PHP</t>
        </is>
      </c>
      <c r="W208">
        <v>82000</v>
      </c>
      <c r="X208" s="2" t="str">
        <f>=HYPERLINK("https://www.larksuite.com/approval/admin/previewAttachment?key=PMg7CgJBEATQK1XXVP-8jInLoIKwIJj12QUD0xdliHJb0VAbGzbpFhVJabFJWvpwLLORFl1zvPbVvR59Yuupk8z53G_7eJt3ksglrQJgl7-vlNQdws_xDQAA__8", "2 attachment(s)")</f>
        <v>2 attachment(s)</v>
      </c>
      <c r="Y208" t="inlineStr">
        <is>
          <t>Bank Transfer</t>
        </is>
      </c>
      <c r="Z208" t="inlineStr">
        <is>
          <t>Manjean F. Faldas</t>
        </is>
      </c>
      <c r="AA208" t="inlineStr">
        <is>
          <t>6086272286</t>
        </is>
      </c>
      <c r="AB208" t="inlineStr">
        <is>
          <t>BPI Family Savings Bank</t>
        </is>
      </c>
      <c r="AC208" t="inlineStr">
        <is>
          <t>257 - 259 Galvez Building Unit 317 A. Arnaiz St. Pasay City</t>
        </is>
      </c>
      <c r="AD208" s="4">
        <v>45818</v>
      </c>
      <c r="AE208" t="inlineStr">
        <is>
          <t>40% 1st Payment - July 4, 2025
60% Final Payment - July 18, 2025</t>
        </is>
      </c>
      <c r="AF208" s="2"/>
      <c r="AG208" t="inlineStr">
        <is>
          <t>NzQyNTk5MTgyNzQ4MTg3MDM0MTo2NDg3MTcwMi03OEUxLTRBRTktQjYyRC1CQzg3OUIwMjgwN0ItMTo1M2I0ZjE2ODI2MTU0N2Q5MThkMmIyYjg3ZmYzMWExYzox</t>
        </is>
      </c>
      <c r="AH208"/>
      <c r="AI208"/>
      <c r="AJ208"/>
      <c r="AK208"/>
    </row>
    <row r="209" ht="25.5" customHeight="1">
      <c r="A209" s="2" t="str">
        <f>=HYPERLINK("https://applink.larksuite.com/client/mini_program/open?appId=cli_9c7cc8a9a9edd105&amp;mode=appCenter&amp;path_pc=pc/pages/requested/index?instanceId=7517134781952393248&amp;source=bitable&amp;path=pages/detail/index?instanceId=7517134781952393248&amp;source=bitable", "202506180015")</f>
        <v>202506180015</v>
      </c>
      <c r="B209" t="inlineStr">
        <is>
          <t>Approved</t>
        </is>
      </c>
      <c r="C209" t="inlineStr">
        <is>
          <t>Procurement Order</t>
        </is>
      </c>
      <c r="D209" s="3">
        <v>45826.501493055555</v>
      </c>
      <c r="E209" s="3">
        <v>45826.7999537037</v>
      </c>
      <c r="F209" t="inlineStr">
        <is>
          <t>Fatima Kathleen M. FLores</t>
        </is>
      </c>
      <c r="G209" t="inlineStr">
        <is>
          <t>Procurement</t>
        </is>
      </c>
      <c r="H209"/>
      <c r="I209"/>
      <c r="J209" t="inlineStr">
        <is>
          <t>Project</t>
        </is>
      </c>
      <c r="K209" t="inlineStr">
        <is>
          <t>PDEI - Event Service</t>
        </is>
      </c>
      <c r="L209" t="inlineStr">
        <is>
          <t>MPL PH S15 Addendum</t>
        </is>
      </c>
      <c r="M209" t="inlineStr">
        <is>
          <t>2025TEG-P0071</t>
        </is>
      </c>
      <c r="N209" t="inlineStr">
        <is>
          <t>Tiny</t>
        </is>
      </c>
      <c r="O209" t="inlineStr">
        <is>
          <t>202505210141-Tiny-费用报销 - 副本 - 副本 - 副本-2025-05-21 10:40:28</t>
        </is>
      </c>
      <c r="P209" t="inlineStr">
        <is>
          <t>YES</t>
        </is>
      </c>
      <c r="Q209"/>
      <c r="R209" t="inlineStr">
        <is>
          <t>NO</t>
        </is>
      </c>
      <c r="S209" t="inlineStr">
        <is>
          <t>Outsourced On ground Set Designer</t>
        </is>
      </c>
      <c r="T209">
        <v>1</v>
      </c>
      <c r="U209">
        <v>15000</v>
      </c>
      <c r="V209" t="inlineStr">
        <is>
          <t>PHP</t>
        </is>
      </c>
      <c r="W209">
        <v>15000</v>
      </c>
      <c r="X209" s="2" t="str">
        <f>=HYPERLINK("https://www.larksuite.com/approval/admin/previewAttachment?key=PMg9CkJBDATgK2WSySbjZWx8PMQ_BGHFYs8uWNh-o2GjEzFkFFyGVYlCsBpKD4Wzly9UyQpDvbb7fvTZuHwembz6-_Zc83zatxdS5W4VZLSZ4fD3KJLSoP3cvgEAAP__", "2 attachment(s)")</f>
        <v>2 attachment(s)</v>
      </c>
      <c r="Y209" t="inlineStr">
        <is>
          <t>Bank Transfer</t>
        </is>
      </c>
      <c r="Z209" t="inlineStr">
        <is>
          <t>JASON ESPACIS ESPINOSA</t>
        </is>
      </c>
      <c r="AA209" t="inlineStr">
        <is>
          <t>0319297754</t>
        </is>
      </c>
      <c r="AB209" t="inlineStr">
        <is>
          <t>BPI</t>
        </is>
      </c>
      <c r="AC209" t="inlineStr">
        <is>
          <t>1829-F ACACIA STREET, KAHILOM 1, BARANGAY 870, PANDACAN MANILA</t>
        </is>
      </c>
      <c r="AD209" s="4">
        <v>45799</v>
      </c>
      <c r="AE209" t="inlineStr">
        <is>
          <t>100% Full Payment - June 20, 2025</t>
        </is>
      </c>
      <c r="AF209" s="2"/>
      <c r="AG209" t="inlineStr">
        <is>
          <t>NzQyNTk5MTgyNzQ4MTg3MDM0MTo3MTQ1NDNDQS02MTYzLTRFM0EtOTFFMy02REIxOEQ5OTU0REItMTpjMzUzMGI1NjM0MjJkYjllY2JlZjhkMjc4YmE5NWI4ZTox</t>
        </is>
      </c>
      <c r="AH209"/>
      <c r="AI209"/>
      <c r="AJ209"/>
      <c r="AK209"/>
    </row>
    <row r="210" ht="25.5" customHeight="1">
      <c r="A210" s="2" t="str">
        <f>=HYPERLINK("https://applink.larksuite.com/client/mini_program/open?appId=cli_9c7cc8a9a9edd105&amp;mode=appCenter&amp;path_pc=pc/pages/requested/index?instanceId=7517139715414310943&amp;source=bitable&amp;path=pages/detail/index?instanceId=7517139715414310943&amp;source=bitable", "202506180021")</f>
        <v>202506180021</v>
      </c>
      <c r="B210" t="inlineStr">
        <is>
          <t>Approved</t>
        </is>
      </c>
      <c r="C210" t="inlineStr">
        <is>
          <t>Procurement Order</t>
        </is>
      </c>
      <c r="D210" s="3">
        <v>45826.51479166667</v>
      </c>
      <c r="E210" s="3">
        <v>45826.799467592595</v>
      </c>
      <c r="F210" t="inlineStr">
        <is>
          <t>Fatima Kathleen M. FLores</t>
        </is>
      </c>
      <c r="G210" t="inlineStr">
        <is>
          <t>Procurement</t>
        </is>
      </c>
      <c r="H210"/>
      <c r="I210"/>
      <c r="J210" t="inlineStr">
        <is>
          <t>Project</t>
        </is>
      </c>
      <c r="K210" t="inlineStr">
        <is>
          <t>PDEI - Event Service</t>
        </is>
      </c>
      <c r="L210" t="inlineStr">
        <is>
          <t>MPL PH S15 Addendum</t>
        </is>
      </c>
      <c r="M210" t="inlineStr">
        <is>
          <t>2025TEG-P0071</t>
        </is>
      </c>
      <c r="N210" t="inlineStr">
        <is>
          <t>Tiny</t>
        </is>
      </c>
      <c r="O210" t="inlineStr">
        <is>
          <t>202505210166-Tiny-费用报销 - 副本 - 副本 - 副本-2025-05-21 11:36:19</t>
        </is>
      </c>
      <c r="P210" t="inlineStr">
        <is>
          <t>NO</t>
        </is>
      </c>
      <c r="Q210"/>
      <c r="R210" t="inlineStr">
        <is>
          <t>NO</t>
        </is>
      </c>
      <c r="S210" t="inlineStr">
        <is>
          <t>Medals 4in x 4in Reverse lamination 3mm Acrylic (Reprint)</t>
        </is>
      </c>
      <c r="T210">
        <v>5</v>
      </c>
      <c r="U210">
        <v>392</v>
      </c>
      <c r="V210" t="inlineStr">
        <is>
          <t>PHP</t>
        </is>
      </c>
      <c r="W210">
        <v>1960</v>
      </c>
      <c r="X210" s="2" t="str">
        <f>=HYPERLINK("https://www.larksuite.com/approval/admin/previewAttachment?key=PMgxCsJAFATQK83sn93Z72VssgQhaCNELP7ZBYu0b0xizM4YCSVbguVOM9LsooJIRbWinTBHzlrP_f5RrCOwvXx-vY46H9u-3uzp1uCQYgLg7fKwpMwh_B2_AAAA__8", "2 attachment(s)")</f>
        <v>2 attachment(s)</v>
      </c>
      <c r="Y210" t="inlineStr">
        <is>
          <t>Bank Transfer</t>
        </is>
      </c>
      <c r="Z210" t="inlineStr">
        <is>
          <t>Printportal &amp; Advertising OPC</t>
        </is>
      </c>
      <c r="AA210" t="inlineStr">
        <is>
          <t>200058110735</t>
        </is>
      </c>
      <c r="AB210" t="inlineStr">
        <is>
          <t>Eastwest Bank</t>
        </is>
      </c>
      <c r="AC210" t="inlineStr">
        <is>
          <t>25 Isidro Francisco, Malinta, Valenzuela City</t>
        </is>
      </c>
      <c r="AD210" s="4">
        <v>45811</v>
      </c>
      <c r="AE210" t="inlineStr">
        <is>
          <t>50% Down payment upon confirmation
50% Final Payment upon completion of services</t>
        </is>
      </c>
      <c r="AF210" s="2" t="str">
        <f>=HYPERLINK("https://www.larksuite.com/approval/admin/previewAttachment?key=TMgxCgJBDAXQK_2_yST5XsZmh0VYtBFGLHJ2wWrbF0VEDVoILm4COweTpuRwuhFy662ZKSRD1fN53D9u8zTsr1zfnGevx37MN6Ms4BruFADeLk5CZWF_xy8AAP__", "4 attachment(s)")</f>
        <v>4 attachment(s)</v>
      </c>
      <c r="AG210" t="inlineStr">
        <is>
          <t>NzQyNTk5MTgyNzQ4MTg3MDM0MToyQ0VGRURFQS1DNTExLTREMEYtQkYxQS0zRjgxQTUxM0Q3QjQtMTo3NDFmNWViMTZhN2E0NTQwZGM3MWJkN2IzODlkNzUxZDox</t>
        </is>
      </c>
      <c r="AH210"/>
      <c r="AI210"/>
      <c r="AJ210"/>
      <c r="AK210"/>
    </row>
    <row r="211" ht="25.5" customHeight="1">
      <c r="A211" s="2" t="str">
        <f>=HYPERLINK("https://applink.larksuite.com/client/mini_program/open?appId=cli_9c7cc8a9a9edd105&amp;mode=appCenter&amp;path_pc=pc/pages/requested/index?instanceId=7517142804485652518&amp;source=bitable&amp;path=pages/detail/index?instanceId=7517142804485652518&amp;source=bitable", "202506180026")</f>
        <v>202506180026</v>
      </c>
      <c r="B211" t="inlineStr">
        <is>
          <t>Approved</t>
        </is>
      </c>
      <c r="C211" t="inlineStr">
        <is>
          <t>Procurement Order</t>
        </is>
      </c>
      <c r="D211" s="3">
        <v>45826.52311342592</v>
      </c>
      <c r="E211" s="3">
        <v>45826.802465277775</v>
      </c>
      <c r="F211" t="inlineStr">
        <is>
          <t>Fatima Kathleen M. FLores</t>
        </is>
      </c>
      <c r="G211" t="inlineStr">
        <is>
          <t>Procurement</t>
        </is>
      </c>
      <c r="H211"/>
      <c r="I211"/>
      <c r="J211" t="inlineStr">
        <is>
          <t>Project</t>
        </is>
      </c>
      <c r="K211" t="inlineStr">
        <is>
          <t>PDEI - Game Marketing</t>
        </is>
      </c>
      <c r="L211" t="inlineStr">
        <is>
          <t>TTRacing x MPL S15 &amp; MDL S5</t>
        </is>
      </c>
      <c r="M211" t="inlineStr">
        <is>
          <t>2025TEG-P0056</t>
        </is>
      </c>
      <c r="N211" t="inlineStr">
        <is>
          <t>Nadine Nora</t>
        </is>
      </c>
      <c r="O211" t="inlineStr">
        <is>
          <t>202505290007-Nadine Nora-费用报销 - 副本 - 副本 - 副本-2025-05-29 03:47:20</t>
        </is>
      </c>
      <c r="P211" t="inlineStr">
        <is>
          <t>YES</t>
        </is>
      </c>
      <c r="Q211"/>
      <c r="R211" t="inlineStr">
        <is>
          <t>NO</t>
        </is>
      </c>
      <c r="S211" t="inlineStr">
        <is>
          <t>Outsourced Video Producer</t>
        </is>
      </c>
      <c r="T211">
        <v>1</v>
      </c>
      <c r="U211">
        <v>15000</v>
      </c>
      <c r="V211" t="inlineStr">
        <is>
          <t>PHP</t>
        </is>
      </c>
      <c r="W211">
        <v>15000</v>
      </c>
      <c r="X211" s="2" t="str">
        <f>=HYPERLINK("https://www.larksuite.com/approval/admin/previewAttachment?key=PMgrDgJBEATQK1X1VP-4DGY3EwwYAsH02UkQ2BdFRDlXNNS0BiedSVlBKg83Z40NMxvJ6Jrzvq_u1a_DGx97uNa8b8c-n_ROM-SSVgHg5e8rJXWH8HN8AwAA__8", "2 attachment(s)")</f>
        <v>2 attachment(s)</v>
      </c>
      <c r="Y211" t="inlineStr">
        <is>
          <t>Bank Transfer</t>
        </is>
      </c>
      <c r="Z211" t="inlineStr">
        <is>
          <t>Xylo Pineda</t>
        </is>
      </c>
      <c r="AA211" t="inlineStr">
        <is>
          <t>001271697228</t>
        </is>
      </c>
      <c r="AB211" t="inlineStr">
        <is>
          <t>BDO</t>
        </is>
      </c>
      <c r="AC211" t="inlineStr">
        <is>
          <t>Block 13 Lot 16 Kingstown 1 Subdivision, Barangay 171, North Caloocan City</t>
        </is>
      </c>
      <c r="AD211" s="4">
        <v>45808</v>
      </c>
      <c r="AE211" t="inlineStr">
        <is>
          <t>100% Full Payment - June 20, 2025</t>
        </is>
      </c>
      <c r="AF211" s="2"/>
      <c r="AG211" t="inlineStr">
        <is>
          <t>NzQyNTk5MTgyNzQ4MTg3MDM0MTpFMzgzRTQ5MC00MTVGLTQxRkItQTZFQi04ODEzNDVEMUFEMDQtMTplOGU4YzkyZjY2YWNjNTU5Y2M2M2VhYjg0M2MxMTQ3NDox</t>
        </is>
      </c>
      <c r="AH211"/>
      <c r="AI211"/>
      <c r="AJ211"/>
      <c r="AK211"/>
    </row>
    <row r="212" ht="25.5" customHeight="1">
      <c r="A212" s="2" t="str">
        <f>=HYPERLINK("https://applink.larksuite.com/client/mini_program/open?appId=cli_9c7cc8a9a9edd105&amp;mode=appCenter&amp;path_pc=pc/pages/requested/index?instanceId=7517152513951498279&amp;source=bitable&amp;path=pages/detail/index?instanceId=7517152513951498279&amp;source=bitable", "202506180032")</f>
        <v>202506180032</v>
      </c>
      <c r="B212" t="inlineStr">
        <is>
          <t>Approved</t>
        </is>
      </c>
      <c r="C212" t="inlineStr">
        <is>
          <t>Procurement Order</t>
        </is>
      </c>
      <c r="D212" s="3">
        <v>45826.54928240741</v>
      </c>
      <c r="E212" s="3">
        <v>45826.79820601852</v>
      </c>
      <c r="F212" t="inlineStr">
        <is>
          <t>Fatima Kathleen M. FLores</t>
        </is>
      </c>
      <c r="G212" t="inlineStr">
        <is>
          <t>Procurement</t>
        </is>
      </c>
      <c r="H212"/>
      <c r="I212"/>
      <c r="J212" t="inlineStr">
        <is>
          <t>Project</t>
        </is>
      </c>
      <c r="K212" t="inlineStr">
        <is>
          <t>PDEI - Event Service</t>
        </is>
      </c>
      <c r="L212" t="inlineStr">
        <is>
          <t>realme Cup</t>
        </is>
      </c>
      <c r="M212" t="inlineStr">
        <is>
          <t>2025TEG-P0082</t>
        </is>
      </c>
      <c r="N212" t="inlineStr">
        <is>
          <t>Anteaus Villena</t>
        </is>
      </c>
      <c r="O212" t="inlineStr">
        <is>
          <t>202505180014-Anteaus Villena-费用报销 - 副本 - 副本 - 副本-2025-05-18 11:15:16</t>
        </is>
      </c>
      <c r="P212" t="inlineStr">
        <is>
          <t>NO</t>
        </is>
      </c>
      <c r="Q212"/>
      <c r="R212" t="inlineStr">
        <is>
          <t>NO</t>
        </is>
      </c>
      <c r="S212" t="inlineStr">
        <is>
          <t>Outsourced Logistics Services (16ft closed van / Ingress &amp; Egress - June 6 &amp; 7, 2025)</t>
        </is>
      </c>
      <c r="T212">
        <v>1</v>
      </c>
      <c r="U212">
        <v>8736</v>
      </c>
      <c r="V212" t="inlineStr">
        <is>
          <t>PHP</t>
        </is>
      </c>
      <c r="W212">
        <v>8736</v>
      </c>
      <c r="X212" s="2" t="str">
        <f>=HYPERLINK("https://www.larksuite.com/approval/admin/previewAttachment?key=PMgxCgJBDAXQK-UnP5P5XsbGYdCFrYQFi5xdsLB9Y8LGTMSQUXAZuhKF9EQoQU0vtTeqZIWh2evc99d1nNxBrM_Btfp6PvZ6I1XuVkHGNDPc_h5FUhq0n9s3AAD__w", "2 attachment(s)")</f>
        <v>2 attachment(s)</v>
      </c>
      <c r="Y212" t="inlineStr">
        <is>
          <t>Bank Transfer</t>
        </is>
      </c>
      <c r="Z212" t="inlineStr">
        <is>
          <t>ONE-MAX TRUCKING SERVICES</t>
        </is>
      </c>
      <c r="AA212" t="inlineStr">
        <is>
          <t>504-3-50448621-5</t>
        </is>
      </c>
      <c r="AB212" t="inlineStr">
        <is>
          <t>METROBANK</t>
        </is>
      </c>
      <c r="AC212" t="inlineStr">
        <is>
          <t>Eastdrive St., Marikina Heights, Marikina City</t>
        </is>
      </c>
      <c r="AD212" s="4">
        <v>45814</v>
      </c>
      <c r="AE212" t="inlineStr">
        <is>
          <t>100% Full Payment upon completion of services</t>
        </is>
      </c>
      <c r="AF212" s="2"/>
      <c r="AG212" t="inlineStr">
        <is>
          <t>NzQyNTk5MTgyNzQ4MTg3MDM0MTpFQkZDQTBFNS1BMkRCLTQ5QTAtQkIyMS00Q0Q1N0UyNUNDRTYtMTpkMDI5YTNjMTViNmMwYmJhNjExOTE5NzA5Zjc0NGYzZDox</t>
        </is>
      </c>
      <c r="AH212"/>
      <c r="AI212"/>
      <c r="AJ212"/>
      <c r="AK212"/>
    </row>
    <row r="213" ht="25.5" customHeight="1">
      <c r="A213" s="2" t="str">
        <f>=HYPERLINK("https://applink.larksuite.com/client/mini_program/open?appId=cli_9c7cc8a9a9edd105&amp;mode=appCenter&amp;path_pc=pc/pages/requested/index?instanceId=7517165047420895263&amp;source=bitable&amp;path=pages/detail/index?instanceId=7517165047420895263&amp;source=bitable", "202506180045")</f>
        <v>202506180045</v>
      </c>
      <c r="B213" t="inlineStr">
        <is>
          <t>Approved</t>
        </is>
      </c>
      <c r="C213" t="inlineStr">
        <is>
          <t>Procurement Order</t>
        </is>
      </c>
      <c r="D213" s="3">
        <v>45826.58305555556</v>
      </c>
      <c r="E213" s="3">
        <v>45826.79883101852</v>
      </c>
      <c r="F213" t="inlineStr">
        <is>
          <t>Fatima Kathleen M. FLores</t>
        </is>
      </c>
      <c r="G213" t="inlineStr">
        <is>
          <t>Procurement</t>
        </is>
      </c>
      <c r="H213"/>
      <c r="I213"/>
      <c r="J213" t="inlineStr">
        <is>
          <t>Project</t>
        </is>
      </c>
      <c r="K213" t="inlineStr">
        <is>
          <t>PDEI - Event Service</t>
        </is>
      </c>
      <c r="L213" t="inlineStr">
        <is>
          <t>MPL PH S15 Addendum</t>
        </is>
      </c>
      <c r="M213" t="inlineStr">
        <is>
          <t>2025TEG-P0071</t>
        </is>
      </c>
      <c r="N213" t="inlineStr">
        <is>
          <t>Tiny</t>
        </is>
      </c>
      <c r="O213" t="inlineStr">
        <is>
          <t>202505210160-Tiny-费用报销 - 副本 - 副本 - 副本-2025-05-21 11:21:39</t>
        </is>
      </c>
      <c r="P213" t="inlineStr">
        <is>
          <t>YES</t>
        </is>
      </c>
      <c r="Q213"/>
      <c r="R213" t="inlineStr">
        <is>
          <t>NO</t>
        </is>
      </c>
      <c r="S213" t="inlineStr">
        <is>
          <t>Outsourced Game Tester</t>
        </is>
      </c>
      <c r="T213">
        <v>1</v>
      </c>
      <c r="U213">
        <v>2000</v>
      </c>
      <c r="V213" t="inlineStr">
        <is>
          <t>PHP</t>
        </is>
      </c>
      <c r="W213">
        <v>2000</v>
      </c>
      <c r="X213" s="2" t="str">
        <f>=HYPERLINK("https://www.larksuite.com/approval/admin/previewAttachment?key=PMg9DoJAFATgK828fX_jZWwgxEJojBiLPbuJBe2XTWQHRwoumsBZwWIGvNzQCssxbbJKKKZ6rvt2j2i9_fPdj4PP5ZznY9nWF0NlhhruowHwdvkod5fS8Xf8AgAA__8", "2 attachment(s)")</f>
        <v>2 attachment(s)</v>
      </c>
      <c r="Y213" t="inlineStr">
        <is>
          <t>Bank Transfer</t>
        </is>
      </c>
      <c r="Z213" t="inlineStr">
        <is>
          <t>Dan Gabriel P. Abella</t>
        </is>
      </c>
      <c r="AA213" t="inlineStr">
        <is>
          <t>09952856524</t>
        </is>
      </c>
      <c r="AB213" t="inlineStr">
        <is>
          <t>GCash</t>
        </is>
      </c>
      <c r="AC213" t="inlineStr">
        <is>
          <t>406 Marine Rd Brgy Holy Spirit Quezon City</t>
        </is>
      </c>
      <c r="AD213" s="4">
        <v>45757</v>
      </c>
      <c r="AE213" t="inlineStr">
        <is>
          <t>100% Full Payment - June 20, 2025</t>
        </is>
      </c>
      <c r="AF213" s="2"/>
      <c r="AG213" t="inlineStr">
        <is>
          <t>NzQyNTk5MTgyNzQ4MTg3MDM0MTo3MjI5Qjg5OC1EODQyLTQ0MDMtODBDMi0zQzkwODk0RDNGNjYtMTpmOGY3ZjkyZjI4NmRjOTY1OTNhNTk3NTZlYTM5ZTJmYzox</t>
        </is>
      </c>
      <c r="AH213"/>
      <c r="AI213"/>
      <c r="AJ213"/>
      <c r="AK213"/>
    </row>
    <row r="214" ht="25.5" customHeight="1">
      <c r="A214" s="2" t="str">
        <f>=HYPERLINK("https://applink.larksuite.com/client/mini_program/open?appId=cli_9c7cc8a9a9edd105&amp;mode=appCenter&amp;path_pc=pc/pages/requested/index?instanceId=7517212327922417703&amp;source=bitable&amp;path=pages/detail/index?instanceId=7517212327922417703&amp;source=bitable", "202506180077")</f>
        <v>202506180077</v>
      </c>
      <c r="B214" t="inlineStr">
        <is>
          <t>Approved</t>
        </is>
      </c>
      <c r="C214" t="inlineStr">
        <is>
          <t>Procurement Order</t>
        </is>
      </c>
      <c r="D214" s="3">
        <v>45826.71046296296</v>
      </c>
      <c r="E214" s="3">
        <v>45826.79761574074</v>
      </c>
      <c r="F214" t="inlineStr">
        <is>
          <t>Fatima Kathleen M. FLores</t>
        </is>
      </c>
      <c r="G214" t="inlineStr">
        <is>
          <t>Procurement</t>
        </is>
      </c>
      <c r="H214"/>
      <c r="I214"/>
      <c r="J214" t="inlineStr">
        <is>
          <t>Project</t>
        </is>
      </c>
      <c r="K214" t="inlineStr">
        <is>
          <t>PDEI - Event Service</t>
        </is>
      </c>
      <c r="L214" t="inlineStr">
        <is>
          <t>realme Cup</t>
        </is>
      </c>
      <c r="M214" t="inlineStr">
        <is>
          <t>2025TEG-P0082</t>
        </is>
      </c>
      <c r="N214" t="inlineStr">
        <is>
          <t>Anteaus Villena</t>
        </is>
      </c>
      <c r="O214" t="inlineStr">
        <is>
          <t>202505280041-Anteaus Villena-费用报销 - 副本 - 副本 - 副本-2025-05-28 05:01:33</t>
        </is>
      </c>
      <c r="P214" t="inlineStr">
        <is>
          <t>NO</t>
        </is>
      </c>
      <c r="Q214"/>
      <c r="R214" t="inlineStr">
        <is>
          <t>NO</t>
        </is>
      </c>
      <c r="S214" t="inlineStr">
        <is>
          <t>Outsourced Project Manager (Fabrication Coordinator)</t>
        </is>
      </c>
      <c r="T214">
        <v>1</v>
      </c>
      <c r="U214">
        <v>10000</v>
      </c>
      <c r="V214" t="inlineStr">
        <is>
          <t>PHP</t>
        </is>
      </c>
      <c r="W214">
        <v>10000</v>
      </c>
      <c r="X214" s="2" t="str">
        <f>=HYPERLINK("https://www.larksuite.com/approval/admin/previewAttachment?key=PMgxDkIxDAPQK9lOWjdchoXqiwUWpM-UsyMx_PXNRcw1GLOQRRXYHrSokEtK2ohW0y6Ys1bv13Hfoe_bBrD3uUafz8exPxxlCY7MWAB4uzycmVUz8Xf8AgAA__8", "2 attachment(s)")</f>
        <v>2 attachment(s)</v>
      </c>
      <c r="Y214" t="inlineStr">
        <is>
          <t>Bank Transfer</t>
        </is>
      </c>
      <c r="Z214" t="inlineStr">
        <is>
          <t>Camille Romero</t>
        </is>
      </c>
      <c r="AA214" t="inlineStr">
        <is>
          <t>9619185932</t>
        </is>
      </c>
      <c r="AB214" t="inlineStr">
        <is>
          <t>BPI</t>
        </is>
      </c>
      <c r="AC214" t="inlineStr">
        <is>
          <t>220 Area 1-A Luzon Avenue Old Balara Quezon City</t>
        </is>
      </c>
      <c r="AD214" s="4">
        <v>45805</v>
      </c>
      <c r="AE214" t="inlineStr">
        <is>
          <t>100% Full Payment - June 20, 2025</t>
        </is>
      </c>
      <c r="AF214" s="2"/>
      <c r="AG214" t="inlineStr">
        <is>
          <t>NzQyNTk5MTgyNzQ4MTg3MDM0MTpBREYxRUU1RS0xOUNELTRBRjgtOTVCRS00REI3MUFGNzlDNUUtMTo3YmEyNjViZGM3NDhjMjRjNDBhMDg2MDUzMzU1MzRmMjox</t>
        </is>
      </c>
      <c r="AH214"/>
      <c r="AI214"/>
      <c r="AJ214"/>
      <c r="AK214"/>
    </row>
    <row r="215" ht="25.5" customHeight="1">
      <c r="A215" s="2" t="str">
        <f>=HYPERLINK("https://applink.larksuite.com/client/mini_program/open?appId=cli_9c7cc8a9a9edd105&amp;mode=appCenter&amp;path_pc=pc/pages/requested/index?instanceId=7517485389309820959&amp;source=bitable&amp;path=pages/detail/index?instanceId=7517485389309820959&amp;source=bitable", "202506190012")</f>
        <v>202506190012</v>
      </c>
      <c r="B215" t="inlineStr">
        <is>
          <t>Approved</t>
        </is>
      </c>
      <c r="C215" t="inlineStr">
        <is>
          <t>Procurement Order</t>
        </is>
      </c>
      <c r="D215" s="3">
        <v>45827.44630787037</v>
      </c>
      <c r="E215" s="3">
        <v>45831.59788194444</v>
      </c>
      <c r="F215" t="inlineStr">
        <is>
          <t>Fatima Kathleen M. FLores</t>
        </is>
      </c>
      <c r="G215" t="inlineStr">
        <is>
          <t>Procurement</t>
        </is>
      </c>
      <c r="H215"/>
      <c r="I215"/>
      <c r="J215" t="inlineStr">
        <is>
          <t>Project</t>
        </is>
      </c>
      <c r="K215" t="inlineStr">
        <is>
          <t>PDEI - Event Service</t>
        </is>
      </c>
      <c r="L215" t="inlineStr">
        <is>
          <t>GTCC Summer Showdown</t>
        </is>
      </c>
      <c r="M215" t="inlineStr">
        <is>
          <t>2025TEG-P0040</t>
        </is>
      </c>
      <c r="N215" t="inlineStr">
        <is>
          <t>Frances Angelita Arreglado</t>
        </is>
      </c>
      <c r="O215" t="inlineStr">
        <is>
          <t>202506060024-Frances Angelita Arreglado-费用报销 - 副本 - 副本 - 副本-2025-06-06 10:20:29</t>
        </is>
      </c>
      <c r="P215" t="inlineStr">
        <is>
          <t>YES</t>
        </is>
      </c>
      <c r="Q215"/>
      <c r="R215" t="inlineStr">
        <is>
          <t>YES</t>
        </is>
      </c>
      <c r="S215" t="inlineStr">
        <is>
          <t>Outsourced Liaison Officers</t>
        </is>
      </c>
      <c r="T215">
        <v>1</v>
      </c>
      <c r="U215">
        <v>33600</v>
      </c>
      <c r="V215" t="inlineStr">
        <is>
          <t>PHP</t>
        </is>
      </c>
      <c r="W215">
        <v>33600</v>
      </c>
      <c r="X215" s="2" t="str">
        <f>=HYPERLINK("https://www.larksuite.com/approval/admin/previewAttachment?key=PMgxCkJBDATQK002yU7Gy9js8rERBPFrk7MLFrZvlmFWmk8hZEOwZhqj0ksO1YBSPdpIgUag9_24VtTan9cj1zr1Zp-3deynpTgG6BFeAOzyd2dESDPwc3wDAAD__w", "2 attachment(s)")</f>
        <v>2 attachment(s)</v>
      </c>
      <c r="Y215" t="inlineStr">
        <is>
          <t>Bank Transfer</t>
        </is>
      </c>
      <c r="Z215" t="inlineStr">
        <is>
          <t>Neil Kristopher Lou Adon Sy</t>
        </is>
      </c>
      <c r="AA215" t="inlineStr">
        <is>
          <t>09610204134</t>
        </is>
      </c>
      <c r="AB215" t="inlineStr">
        <is>
          <t>Gcash</t>
        </is>
      </c>
      <c r="AC215" t="inlineStr">
        <is>
          <t>23D Lerma St. Maypajo Caloocan City</t>
        </is>
      </c>
      <c r="AD215" s="4">
        <v>45817</v>
      </c>
      <c r="AE215" t="inlineStr">
        <is>
          <t>1st Payment - June 20, 2025
Final Payment - July 4, 2025</t>
        </is>
      </c>
      <c r="AF215" s="2"/>
      <c r="AG215" t="inlineStr">
        <is>
          <t>NzQyNTk5MTgyNzQ4MTg3MDM0MToyRjQzOEU0Mi00NjBCLTRFM0ItODZEMC0yNjcwNDk3NUNEMjUtMTpjY2YyYjJmNjEzMTRhZDJhYjM1ZTA3NzVmNGIyYjEzZTox</t>
        </is>
      </c>
      <c r="AH215"/>
      <c r="AI215"/>
      <c r="AJ215"/>
      <c r="AK215"/>
    </row>
    <row r="216" ht="25.5" customHeight="1">
      <c r="A216" s="2" t="str">
        <f>=HYPERLINK("https://applink.larksuite.com/client/mini_program/open?appId=cli_9c7cc8a9a9edd105&amp;mode=appCenter&amp;path_pc=pc/pages/requested/index?instanceId=7517486538415030303&amp;source=bitable&amp;path=pages/detail/index?instanceId=7517486538415030303&amp;source=bitable", "202506190014")</f>
        <v>202506190014</v>
      </c>
      <c r="B216" t="inlineStr">
        <is>
          <t>Approved</t>
        </is>
      </c>
      <c r="C216" t="inlineStr">
        <is>
          <t>Procurement Order</t>
        </is>
      </c>
      <c r="D216" s="3">
        <v>45827.44940972222</v>
      </c>
      <c r="E216" s="3">
        <v>45831.599178240744</v>
      </c>
      <c r="F216" t="inlineStr">
        <is>
          <t>Fatima Kathleen M. FLores</t>
        </is>
      </c>
      <c r="G216" t="inlineStr">
        <is>
          <t>Procurement</t>
        </is>
      </c>
      <c r="H216"/>
      <c r="I216"/>
      <c r="J216" t="inlineStr">
        <is>
          <t>Project</t>
        </is>
      </c>
      <c r="K216" t="inlineStr">
        <is>
          <t>PDEI - Event Service</t>
        </is>
      </c>
      <c r="L216" t="inlineStr">
        <is>
          <t>GTCC Summer Showdown</t>
        </is>
      </c>
      <c r="M216" t="inlineStr">
        <is>
          <t>2025TEG-P0040</t>
        </is>
      </c>
      <c r="N216" t="inlineStr">
        <is>
          <t>Frances Angelita Arreglado</t>
        </is>
      </c>
      <c r="O216" t="inlineStr">
        <is>
          <t>202506060024-Frances Angelita Arreglado-费用报销 - 副本 - 副本 - 副本-2025-06-06 10:20:29</t>
        </is>
      </c>
      <c r="P216" t="inlineStr">
        <is>
          <t>YES</t>
        </is>
      </c>
      <c r="Q216"/>
      <c r="R216" t="inlineStr">
        <is>
          <t>YES</t>
        </is>
      </c>
      <c r="S216" t="inlineStr">
        <is>
          <t>Outsourced Liaison Officer</t>
        </is>
      </c>
      <c r="T216">
        <v>1</v>
      </c>
      <c r="U216">
        <v>8000</v>
      </c>
      <c r="V216" t="inlineStr">
        <is>
          <t>PHP</t>
        </is>
      </c>
      <c r="W216">
        <v>8000</v>
      </c>
      <c r="X216" s="2" t="str">
        <f>=HYPERLINK("https://www.larksuite.com/approval/admin/previewAttachment?key=PMg9ioJBEATQK1VN1_TPXmYThw9BBEFGTfrsooG87HkSnpPmBRVHgR2TofRpKU7YR49mRCEYQK_r8f-UrX15GSpve49-nE_HunNWjIEwyRIA_35vIanKhe_jHQAA__8", "2 attachment(s)")</f>
        <v>2 attachment(s)</v>
      </c>
      <c r="Y216" t="inlineStr">
        <is>
          <t>Bank Transfer</t>
        </is>
      </c>
      <c r="Z216" t="inlineStr">
        <is>
          <t>Sean Niño Elizalde</t>
        </is>
      </c>
      <c r="AA216" t="inlineStr">
        <is>
          <t>09812633086</t>
        </is>
      </c>
      <c r="AB216" t="inlineStr">
        <is>
          <t>Gcash</t>
        </is>
      </c>
      <c r="AC216" t="inlineStr">
        <is>
          <t>#68 Sta Cruz Compound Congress Village Caloocan City</t>
        </is>
      </c>
      <c r="AD216" s="4">
        <v>45819</v>
      </c>
      <c r="AE216" t="inlineStr">
        <is>
          <t>100% Full Payment - June 27, 2025</t>
        </is>
      </c>
      <c r="AF216" s="2"/>
      <c r="AG216" t="inlineStr">
        <is>
          <t>NzQyNTk5MTgyNzQ4MTg3MDM0MTo0RjJDODZBMi1CRTkzLTQ3N0EtQUU2NC1EREQxQTMzOEM2RjMtMTo5NWQ0YWQ0MWFlZmE3MzQxMDNmYmU1ZjVmN2NhNTQ2OTox</t>
        </is>
      </c>
      <c r="AH216"/>
      <c r="AI216"/>
      <c r="AJ216"/>
      <c r="AK216"/>
    </row>
    <row r="217" ht="25.5" customHeight="1">
      <c r="A217" s="2" t="str">
        <f>=HYPERLINK("https://applink.larksuite.com/client/mini_program/open?appId=cli_9c7cc8a9a9edd105&amp;mode=appCenter&amp;path_pc=pc/pages/requested/index?instanceId=7517488207273918496&amp;source=bitable&amp;path=pages/detail/index?instanceId=7517488207273918496&amp;source=bitable", "202506190015")</f>
        <v>202506190015</v>
      </c>
      <c r="B217" t="inlineStr">
        <is>
          <t>Approved</t>
        </is>
      </c>
      <c r="C217" t="inlineStr">
        <is>
          <t>Procurement Order</t>
        </is>
      </c>
      <c r="D217" s="3">
        <v>45827.45391203704</v>
      </c>
      <c r="E217" s="3">
        <v>45831.59884259259</v>
      </c>
      <c r="F217" t="inlineStr">
        <is>
          <t>Fatima Kathleen M. FLores</t>
        </is>
      </c>
      <c r="G217" t="inlineStr">
        <is>
          <t>Procurement</t>
        </is>
      </c>
      <c r="H217"/>
      <c r="I217"/>
      <c r="J217" t="inlineStr">
        <is>
          <t>Project</t>
        </is>
      </c>
      <c r="K217" t="inlineStr">
        <is>
          <t>PDEI - Event Service</t>
        </is>
      </c>
      <c r="L217" t="inlineStr">
        <is>
          <t>GTCC Summer Showdown</t>
        </is>
      </c>
      <c r="M217" t="inlineStr">
        <is>
          <t>2025TEG-P0040</t>
        </is>
      </c>
      <c r="N217" t="inlineStr">
        <is>
          <t>Frances Angelita Arreglado</t>
        </is>
      </c>
      <c r="O217" t="inlineStr">
        <is>
          <t>202506060024-Frances Angelita Arreglado-费用报销 - 副本 - 副本 - 副本-2025-06-06 10:20:29</t>
        </is>
      </c>
      <c r="P217" t="inlineStr">
        <is>
          <t>YES</t>
        </is>
      </c>
      <c r="Q217"/>
      <c r="R217" t="inlineStr">
        <is>
          <t>YES</t>
        </is>
      </c>
      <c r="S217" t="inlineStr">
        <is>
          <t>Outsourced Liaison Officer</t>
        </is>
      </c>
      <c r="T217">
        <v>1</v>
      </c>
      <c r="U217">
        <v>8000</v>
      </c>
      <c r="V217" t="inlineStr">
        <is>
          <t>PHP</t>
        </is>
      </c>
      <c r="W217">
        <v>8000</v>
      </c>
      <c r="X217" s="2" t="str">
        <f>=HYPERLINK("https://www.larksuite.com/approval/admin/previewAttachment?key=PMgxCgIxFATQK838zGb-9zI2GxZBFgKiaJGzCxa2ryfRc2PrBRWjwOWNVmbA4VZMVV-xaBdMA2ucxzWV-3jOz3yf8w6v120_xoNbOQJuUksAvPy9WVJVF36ObwAAAP__", "2 attachment(s)")</f>
        <v>2 attachment(s)</v>
      </c>
      <c r="Y217" t="inlineStr">
        <is>
          <t>Bank Transfer</t>
        </is>
      </c>
      <c r="Z217" t="inlineStr">
        <is>
          <t>Cyber Steffad E. Layson</t>
        </is>
      </c>
      <c r="AA217" t="inlineStr">
        <is>
          <t>09271867284</t>
        </is>
      </c>
      <c r="AB217" t="inlineStr">
        <is>
          <t>Gcash</t>
        </is>
      </c>
      <c r="AC217" t="inlineStr">
        <is>
          <t>Alley 12 P. Rosales St. Sta. Ana, Pateros, Metro Manila</t>
        </is>
      </c>
      <c r="AD217" s="4">
        <v>45819</v>
      </c>
      <c r="AE217" t="inlineStr">
        <is>
          <t>100% Full Payment - June 27, 2025</t>
        </is>
      </c>
      <c r="AF217" s="2"/>
      <c r="AG217" t="inlineStr">
        <is>
          <t>NzQyNTk5MTgyNzQ4MTg3MDM0MTpFQTUzMEQyMi05RjM4LTQ0OEItQkE1Ni00MTExNEQ4MTUyNTItMTpmNGIyMjY0OThlMTlmYTY2M2QyNzFmYzU4NzExZTJkNTox</t>
        </is>
      </c>
      <c r="AH217"/>
      <c r="AI217"/>
      <c r="AJ217"/>
      <c r="AK217"/>
    </row>
    <row r="218" ht="25.5" customHeight="1">
      <c r="A218" s="2" t="str">
        <f>=HYPERLINK("https://applink.larksuite.com/client/mini_program/open?appId=cli_9c7cc8a9a9edd105&amp;mode=appCenter&amp;path_pc=pc/pages/requested/index?instanceId=7517490099462963239&amp;source=bitable&amp;path=pages/detail/index?instanceId=7517490099462963239&amp;source=bitable", "202506190016")</f>
        <v>202506190016</v>
      </c>
      <c r="B218" t="inlineStr">
        <is>
          <t>Approved</t>
        </is>
      </c>
      <c r="C218" t="inlineStr">
        <is>
          <t>Procurement Order</t>
        </is>
      </c>
      <c r="D218" s="3">
        <v>45827.45900462963</v>
      </c>
      <c r="E218" s="3">
        <v>45831.59951388889</v>
      </c>
      <c r="F218" t="inlineStr">
        <is>
          <t>Fatima Kathleen M. FLores</t>
        </is>
      </c>
      <c r="G218" t="inlineStr">
        <is>
          <t>Procurement</t>
        </is>
      </c>
      <c r="H218"/>
      <c r="I218"/>
      <c r="J218" t="inlineStr">
        <is>
          <t>Project</t>
        </is>
      </c>
      <c r="K218" t="inlineStr">
        <is>
          <t>PDEI - Event Service</t>
        </is>
      </c>
      <c r="L218" t="inlineStr">
        <is>
          <t>GTCC Summer Showdown</t>
        </is>
      </c>
      <c r="M218" t="inlineStr">
        <is>
          <t>2025TEG-P0040</t>
        </is>
      </c>
      <c r="N218" t="inlineStr">
        <is>
          <t>Frances Angelita Arreglado</t>
        </is>
      </c>
      <c r="O218" t="inlineStr">
        <is>
          <t>202506060024-Frances Angelita Arreglado-费用报销 - 副本 - 副本 - 副本-2025-06-06 10:20:29</t>
        </is>
      </c>
      <c r="P218" t="inlineStr">
        <is>
          <t>YES</t>
        </is>
      </c>
      <c r="Q218"/>
      <c r="R218" t="inlineStr">
        <is>
          <t>YES</t>
        </is>
      </c>
      <c r="S218" t="inlineStr">
        <is>
          <t>Outsourced Liaison Officer</t>
        </is>
      </c>
      <c r="T218">
        <v>1</v>
      </c>
      <c r="U218">
        <v>6400</v>
      </c>
      <c r="V218" t="inlineStr">
        <is>
          <t>PHP</t>
        </is>
      </c>
      <c r="W218">
        <v>6400</v>
      </c>
      <c r="X218" s="2" t="str">
        <f>=HYPERLINK("https://www.larksuite.com/approval/admin/previewAttachment?key=PMgxCgJBDAXQK_2fZJL5XsbGYVFcQRAFi5xdsNj25SRyDnoKIZrArsEKAVKkKd1cbc0qoVhAr8d23sf-NeftrfvievbnetnWi0NlhvIInwB4OtwrIqQM_B2_AAAA__8", "2 attachment(s)")</f>
        <v>2 attachment(s)</v>
      </c>
      <c r="Y218" t="inlineStr">
        <is>
          <t>Bank Transfer</t>
        </is>
      </c>
      <c r="Z218" t="inlineStr">
        <is>
          <t>Honey Jane Vertudes</t>
        </is>
      </c>
      <c r="AA218" t="inlineStr">
        <is>
          <t>109324861046</t>
        </is>
      </c>
      <c r="AB218" t="inlineStr">
        <is>
          <t>Union Bank</t>
        </is>
      </c>
      <c r="AC218" t="inlineStr">
        <is>
          <t>9 sto.thomas street bagumbayan Quezon City</t>
        </is>
      </c>
      <c r="AD218" s="4">
        <v>45820</v>
      </c>
      <c r="AE218" t="inlineStr">
        <is>
          <t>100% Full Payment - June 27, 2025</t>
        </is>
      </c>
      <c r="AF218" s="2"/>
      <c r="AG218" t="inlineStr">
        <is>
          <t>NzQyNTk5MTgyNzQ4MTg3MDM0MTpCODg4NTFCNy0wMzcyLTRFMUYtODhGRS00RDhDREEzNjRBMDUtMTpiMzQ0YjQyMGJlYTFmZTkwYjg3ZmI1YjcxZjM0ODdmODox</t>
        </is>
      </c>
      <c r="AH218"/>
      <c r="AI218"/>
      <c r="AJ218"/>
      <c r="AK218"/>
    </row>
    <row r="219" ht="25.5" customHeight="1">
      <c r="A219" s="2" t="str">
        <f>=HYPERLINK("https://applink.larksuite.com/client/mini_program/open?appId=cli_9c7cc8a9a9edd105&amp;mode=appCenter&amp;path_pc=pc/pages/requested/index?instanceId=7517491711447220256&amp;source=bitable&amp;path=pages/detail/index?instanceId=7517491711447220256&amp;source=bitable", "202506190017")</f>
        <v>202506190017</v>
      </c>
      <c r="B219" t="inlineStr">
        <is>
          <t>Approved</t>
        </is>
      </c>
      <c r="C219" t="inlineStr">
        <is>
          <t>Procurement Order</t>
        </is>
      </c>
      <c r="D219" s="3">
        <v>45827.46334490741</v>
      </c>
      <c r="E219" s="3">
        <v>45831.600173611114</v>
      </c>
      <c r="F219" t="inlineStr">
        <is>
          <t>Fatima Kathleen M. FLores</t>
        </is>
      </c>
      <c r="G219" t="inlineStr">
        <is>
          <t>Procurement</t>
        </is>
      </c>
      <c r="H219"/>
      <c r="I219"/>
      <c r="J219" t="inlineStr">
        <is>
          <t>Project</t>
        </is>
      </c>
      <c r="K219" t="inlineStr">
        <is>
          <t>PDEI - Event Service</t>
        </is>
      </c>
      <c r="L219" t="inlineStr">
        <is>
          <t>GTCC Summer Showdown</t>
        </is>
      </c>
      <c r="M219" t="inlineStr">
        <is>
          <t>2025TEG-P0040</t>
        </is>
      </c>
      <c r="N219" t="inlineStr">
        <is>
          <t>Frances Angelita Arreglado</t>
        </is>
      </c>
      <c r="O219" t="inlineStr">
        <is>
          <t>202506060024-Frances Angelita Arreglado-费用报销 - 副本 - 副本 - 副本-2025-06-06 10:20:29</t>
        </is>
      </c>
      <c r="P219" t="inlineStr">
        <is>
          <t>YES</t>
        </is>
      </c>
      <c r="Q219"/>
      <c r="R219" t="inlineStr">
        <is>
          <t>YES</t>
        </is>
      </c>
      <c r="S219" t="inlineStr">
        <is>
          <t>Outsourced Liaison Officer</t>
        </is>
      </c>
      <c r="T219">
        <v>1</v>
      </c>
      <c r="U219">
        <v>6400</v>
      </c>
      <c r="V219" t="inlineStr">
        <is>
          <t>PHP</t>
        </is>
      </c>
      <c r="W219">
        <v>6400</v>
      </c>
      <c r="X219" s="2" t="str">
        <f>=HYPERLINK("https://www.larksuite.com/approval/admin/previewAttachment?key=PMsxCsJAFATQK83s_r-z42VsDMHCgCAGU_yzixZpH7wxiTGTfRhhNoOlpMIUGaHW0HJUK0qGKKCWbb2-j_mRn9PbfuQja7_f1uXF9G-oR_QJgJfTuyLCHoG_4xsAAP__", "2 attachment(s)")</f>
        <v>2 attachment(s)</v>
      </c>
      <c r="Y219" t="inlineStr">
        <is>
          <t>Bank Transfer</t>
        </is>
      </c>
      <c r="Z219" t="inlineStr">
        <is>
          <t>Justine Cerezo</t>
        </is>
      </c>
      <c r="AA219" t="inlineStr">
        <is>
          <t>4856020938</t>
        </is>
      </c>
      <c r="AB219" t="inlineStr">
        <is>
          <t>Landbank</t>
        </is>
      </c>
      <c r="AC219" t="inlineStr">
        <is>
          <t>7a Sto Tomas St Bagumbayan Quezon City</t>
        </is>
      </c>
      <c r="AD219" s="4">
        <v>45820</v>
      </c>
      <c r="AE219" t="inlineStr">
        <is>
          <t>100% Full Payment - June 27, 2025</t>
        </is>
      </c>
      <c r="AF219" s="2"/>
      <c r="AG219" t="inlineStr">
        <is>
          <t>NzQyNTk5MTgyNzQ4MTg3MDM0MTpGOTIwMUI1Qi1DNjMzLTRCNjMtQUUxNi00RkM4QjI1ODI1Q0MtMTphYzk4MmIyYTYzYzgxOThkNjg4MDQwN2YwMTIxYTQ1ZTox</t>
        </is>
      </c>
      <c r="AH219"/>
      <c r="AI219"/>
      <c r="AJ219"/>
      <c r="AK219"/>
    </row>
    <row r="220" ht="25.5" customHeight="1">
      <c r="A220" s="2" t="str">
        <f>=HYPERLINK("https://applink.larksuite.com/client/mini_program/open?appId=cli_9c7cc8a9a9edd105&amp;mode=appCenter&amp;path_pc=pc/pages/requested/index?instanceId=7517493789708124191&amp;source=bitable&amp;path=pages/detail/index?instanceId=7517493789708124191&amp;source=bitable", "202506190018")</f>
        <v>202506190018</v>
      </c>
      <c r="B220" t="inlineStr">
        <is>
          <t>Approved</t>
        </is>
      </c>
      <c r="C220" t="inlineStr">
        <is>
          <t>Procurement Order</t>
        </is>
      </c>
      <c r="D220" s="3">
        <v>45827.46894675926</v>
      </c>
      <c r="E220" s="3">
        <v>45831.600810185184</v>
      </c>
      <c r="F220" t="inlineStr">
        <is>
          <t>Fatima Kathleen M. FLores</t>
        </is>
      </c>
      <c r="G220" t="inlineStr">
        <is>
          <t>Procurement</t>
        </is>
      </c>
      <c r="H220"/>
      <c r="I220"/>
      <c r="J220" t="inlineStr">
        <is>
          <t>Project</t>
        </is>
      </c>
      <c r="K220" t="inlineStr">
        <is>
          <t>PDEI - Event Service</t>
        </is>
      </c>
      <c r="L220" t="inlineStr">
        <is>
          <t>GTCC Summer Showdown</t>
        </is>
      </c>
      <c r="M220" t="inlineStr">
        <is>
          <t>2025TEG-P0040</t>
        </is>
      </c>
      <c r="N220" t="inlineStr">
        <is>
          <t>Frances Angelita Arreglado</t>
        </is>
      </c>
      <c r="O220" t="inlineStr">
        <is>
          <t>202506060024-Frances Angelita Arreglado-费用报销 - 副本 - 副本 - 副本-2025-06-06 10:20:29</t>
        </is>
      </c>
      <c r="P220" t="inlineStr">
        <is>
          <t>YES</t>
        </is>
      </c>
      <c r="Q220"/>
      <c r="R220" t="inlineStr">
        <is>
          <t>YES</t>
        </is>
      </c>
      <c r="S220" t="inlineStr">
        <is>
          <t>Outsourced Liaison Officer</t>
        </is>
      </c>
      <c r="T220">
        <v>1</v>
      </c>
      <c r="U220">
        <v>1600</v>
      </c>
      <c r="V220" t="inlineStr">
        <is>
          <t>PHP</t>
        </is>
      </c>
      <c r="W220">
        <v>1600</v>
      </c>
      <c r="X220" s="2" t="str">
        <f>=HYPERLINK("https://www.larksuite.com/approval/admin/previewAttachment?key=PMgxqgJBEATQK1VN90x1_cv8xGURZEEQJ-uzCwambxWxajKWkeYw2JpUOlQWiiNp9mhKhiigj-v833zEs7T11mZeve-383hxWmNAkRkFgH8_D2WmvRJfxycAAP__", "2 attachment(s)")</f>
        <v>2 attachment(s)</v>
      </c>
      <c r="Y220" t="inlineStr">
        <is>
          <t>Bank Transfer</t>
        </is>
      </c>
      <c r="Z220" t="inlineStr">
        <is>
          <t>Kyne-kyne Lalaine S. Lao</t>
        </is>
      </c>
      <c r="AA220" t="inlineStr">
        <is>
          <t>0626081293</t>
        </is>
      </c>
      <c r="AB220" t="inlineStr">
        <is>
          <t>BPI</t>
        </is>
      </c>
      <c r="AC220" t="inlineStr">
        <is>
          <t>117 Pacheco St. Tondo Manila</t>
        </is>
      </c>
      <c r="AD220" s="4">
        <v>45820</v>
      </c>
      <c r="AE220" t="inlineStr">
        <is>
          <t>100% Full Payment - June 27, 2025</t>
        </is>
      </c>
      <c r="AF220" s="2"/>
      <c r="AG220" t="inlineStr">
        <is>
          <t>NzQyNTk5MTgyNzQ4MTg3MDM0MTowRjg5N0U1MS02NUMwLTRFOTAtQUZDOS0wRUE4ODU2QjRGOEItMTpkNjY0NzY0ODVlMDhjMTI4MTA0MWJmY2I4YWVlYmJlODox</t>
        </is>
      </c>
      <c r="AH220"/>
      <c r="AI220"/>
      <c r="AJ220"/>
      <c r="AK220"/>
    </row>
    <row r="221" ht="25.5" customHeight="1">
      <c r="A221" s="2" t="str">
        <f>=HYPERLINK("https://applink.larksuite.com/client/mini_program/open?appId=cli_9c7cc8a9a9edd105&amp;mode=appCenter&amp;path_pc=pc/pages/requested/index?instanceId=7517494721611087911&amp;source=bitable&amp;path=pages/detail/index?instanceId=7517494721611087911&amp;source=bitable", "202506190019")</f>
        <v>202506190019</v>
      </c>
      <c r="B221" t="inlineStr">
        <is>
          <t>Approved</t>
        </is>
      </c>
      <c r="C221" t="inlineStr">
        <is>
          <t>Procurement Order</t>
        </is>
      </c>
      <c r="D221" s="3">
        <v>45827.47145833333</v>
      </c>
      <c r="E221" s="3">
        <v>45831.60113425926</v>
      </c>
      <c r="F221" t="inlineStr">
        <is>
          <t>Fatima Kathleen M. FLores</t>
        </is>
      </c>
      <c r="G221" t="inlineStr">
        <is>
          <t>Procurement</t>
        </is>
      </c>
      <c r="H221"/>
      <c r="I221"/>
      <c r="J221" t="inlineStr">
        <is>
          <t>Project</t>
        </is>
      </c>
      <c r="K221" t="inlineStr">
        <is>
          <t>PDEI - Event Service</t>
        </is>
      </c>
      <c r="L221" t="inlineStr">
        <is>
          <t>GTCC Summer Showdown</t>
        </is>
      </c>
      <c r="M221" t="inlineStr">
        <is>
          <t>2025TEG-P0040</t>
        </is>
      </c>
      <c r="N221" t="inlineStr">
        <is>
          <t>Frances Angelita Arreglado</t>
        </is>
      </c>
      <c r="O221" t="inlineStr">
        <is>
          <t>202506060024-Frances Angelita Arreglado-费用报销 - 副本 - 副本 - 副本-2025-06-06 10:20:29</t>
        </is>
      </c>
      <c r="P221" t="inlineStr">
        <is>
          <t>YES</t>
        </is>
      </c>
      <c r="Q221"/>
      <c r="R221" t="inlineStr">
        <is>
          <t>YES</t>
        </is>
      </c>
      <c r="S221" t="inlineStr">
        <is>
          <t>Outsourced Liaison Officer</t>
        </is>
      </c>
      <c r="T221">
        <v>1</v>
      </c>
      <c r="U221">
        <v>1600</v>
      </c>
      <c r="V221" t="inlineStr">
        <is>
          <t>PHP</t>
        </is>
      </c>
      <c r="W221">
        <v>1600</v>
      </c>
      <c r="X221" s="2" t="str">
        <f>=HYPERLINK("https://www.larksuite.com/approval/admin/previewAttachment?key=PMgxCsJQEATQK83sn_zZ9TI2hiAJiiCm27MLFrZvJjFz4ZgFFaPA9kKr5OAkkS6yo2kXTAO9PrbryWO88thDezw_6PN-29Y3l3IEPKSRAHj5-7Ckqin8HN8AAAD__w", "2 attachment(s)")</f>
        <v>2 attachment(s)</v>
      </c>
      <c r="Y221" t="inlineStr">
        <is>
          <t>Bank Transfer</t>
        </is>
      </c>
      <c r="Z221" t="inlineStr">
        <is>
          <t>Lorenzo S. Joaquin</t>
        </is>
      </c>
      <c r="AA221" t="inlineStr">
        <is>
          <t>09670566726</t>
        </is>
      </c>
      <c r="AB221" t="inlineStr">
        <is>
          <t>GCash</t>
        </is>
      </c>
      <c r="AC221" t="inlineStr">
        <is>
          <t>31a Allajur St Zone 3 Nia Npc Fairview Q.C</t>
        </is>
      </c>
      <c r="AD221" s="4">
        <v>45823</v>
      </c>
      <c r="AE221" t="inlineStr">
        <is>
          <t>100% Full Payment - June 27, 2025</t>
        </is>
      </c>
      <c r="AF221" s="2"/>
      <c r="AG221" t="inlineStr">
        <is>
          <t>NzQyNTk5MTgyNzQ4MTg3MDM0MTpFMTE4OTZFNC04OTJCLTQ2MjktOUVFQi1EMDE1RTJCNzA2RjItMTpmMjA4Yjg4ZTczNWU0NjVmYmVmYWM3NDBhZjc0NzFjOTox</t>
        </is>
      </c>
      <c r="AH221"/>
      <c r="AI221"/>
      <c r="AJ221"/>
      <c r="AK221"/>
    </row>
    <row r="222" ht="25.5" customHeight="1">
      <c r="A222" s="2" t="str">
        <f>=HYPERLINK("https://applink.larksuite.com/client/mini_program/open?appId=cli_9c7cc8a9a9edd105&amp;mode=appCenter&amp;path_pc=pc/pages/requested/index?instanceId=7517501790208720935&amp;source=bitable&amp;path=pages/detail/index?instanceId=7517501790208720935&amp;source=bitable", "202506190025")</f>
        <v>202506190025</v>
      </c>
      <c r="B222" t="inlineStr">
        <is>
          <t>Approved</t>
        </is>
      </c>
      <c r="C222" t="inlineStr">
        <is>
          <t>Procurement Order</t>
        </is>
      </c>
      <c r="D222" s="3">
        <v>45827.49050925926</v>
      </c>
      <c r="E222" s="3">
        <v>45827.78037037037</v>
      </c>
      <c r="F222" t="inlineStr">
        <is>
          <t>Fatima Kathleen M. FLores</t>
        </is>
      </c>
      <c r="G222" t="inlineStr">
        <is>
          <t>Procurement</t>
        </is>
      </c>
      <c r="H222"/>
      <c r="I222"/>
      <c r="J222" t="inlineStr">
        <is>
          <t>Project</t>
        </is>
      </c>
      <c r="K222" t="inlineStr">
        <is>
          <t>PDEI - Event Service</t>
        </is>
      </c>
      <c r="L222" t="inlineStr">
        <is>
          <t>GTCC Summer Showdown</t>
        </is>
      </c>
      <c r="M222" t="inlineStr">
        <is>
          <t>2025TEG-P0040</t>
        </is>
      </c>
      <c r="N222" t="inlineStr">
        <is>
          <t>Frances Angelita Arreglado</t>
        </is>
      </c>
      <c r="O222" t="inlineStr">
        <is>
          <t>202506060024-Frances Angelita Arreglado-费用报销 - 副本 - 副本 - 副本-2025-06-06 10:20:29</t>
        </is>
      </c>
      <c r="P222" t="inlineStr">
        <is>
          <t>YES</t>
        </is>
      </c>
      <c r="Q222"/>
      <c r="R222" t="inlineStr">
        <is>
          <t>NO</t>
        </is>
      </c>
      <c r="S222" t="inlineStr">
        <is>
          <t>Outsourced Referee</t>
        </is>
      </c>
      <c r="T222">
        <v>1</v>
      </c>
      <c r="U222">
        <v>6000</v>
      </c>
      <c r="V222" t="inlineStr">
        <is>
          <t>PHP</t>
        </is>
      </c>
      <c r="W222">
        <v>6000</v>
      </c>
      <c r="X222" s="2" t="str">
        <f>=HYPERLINK("https://www.larksuite.com/approval/admin/previewAttachment?key=PMg9CsJAFATgK83729nxMjZZFgkEBMHunV2wSPuNaRizLIaQMhesWcaCUXBMOhTV3kYKNAK9rv18n6G1Vu06rhO7v69jr4-V6A5GZkwA9rg9mJnSSPwdvwAAAP__", "2 attachment(s)")</f>
        <v>2 attachment(s)</v>
      </c>
      <c r="Y222" t="inlineStr">
        <is>
          <t>Bank Transfer</t>
        </is>
      </c>
      <c r="Z222" t="inlineStr">
        <is>
          <t>Gianna Maria Arnobit</t>
        </is>
      </c>
      <c r="AA222" t="inlineStr">
        <is>
          <t>3819103223</t>
        </is>
      </c>
      <c r="AB222" t="inlineStr">
        <is>
          <t>BPI</t>
        </is>
      </c>
      <c r="AC222" t="inlineStr">
        <is>
          <t>UPS 2, Paranaque, Metro Manila</t>
        </is>
      </c>
      <c r="AD222" s="4">
        <v>45820</v>
      </c>
      <c r="AE222" t="inlineStr">
        <is>
          <t>100% Full Payment - June 27, 2025</t>
        </is>
      </c>
      <c r="AF222" s="2"/>
      <c r="AG222" t="inlineStr">
        <is>
          <t>NzQyNTk5MTgyNzQ4MTg3MDM0MTpBNTk5QjNGMy1FNkEzLTQ3OTItOUZENC05OUM2NTE5MDkyMjktMTpiODAyZDVkMTM2MDdmZTFlNzQ2YTYzYmI0OGU3NjVhNTox</t>
        </is>
      </c>
      <c r="AH222"/>
      <c r="AI222"/>
      <c r="AJ222"/>
      <c r="AK222"/>
    </row>
    <row r="223" ht="25.5" customHeight="1">
      <c r="A223" s="2" t="str">
        <f>=HYPERLINK("https://applink.larksuite.com/client/mini_program/open?appId=cli_9c7cc8a9a9edd105&amp;mode=appCenter&amp;path_pc=pc/pages/requested/index?instanceId=7517503098752073759&amp;source=bitable&amp;path=pages/detail/index?instanceId=7517503098752073759&amp;source=bitable", "202506190027")</f>
        <v>202506190027</v>
      </c>
      <c r="B223" t="inlineStr">
        <is>
          <t>Approved</t>
        </is>
      </c>
      <c r="C223" t="inlineStr">
        <is>
          <t>Procurement Order</t>
        </is>
      </c>
      <c r="D223" s="3">
        <v>45827.494039351855</v>
      </c>
      <c r="E223" s="3">
        <v>45827.78008101852</v>
      </c>
      <c r="F223" t="inlineStr">
        <is>
          <t>Fatima Kathleen M. FLores</t>
        </is>
      </c>
      <c r="G223" t="inlineStr">
        <is>
          <t>Procurement</t>
        </is>
      </c>
      <c r="H223"/>
      <c r="I223"/>
      <c r="J223" t="inlineStr">
        <is>
          <t>Project</t>
        </is>
      </c>
      <c r="K223" t="inlineStr">
        <is>
          <t>PDEI - Event Service</t>
        </is>
      </c>
      <c r="L223" t="inlineStr">
        <is>
          <t>GTCC Summer Showdown</t>
        </is>
      </c>
      <c r="M223" t="inlineStr">
        <is>
          <t>2025TEG-P0040</t>
        </is>
      </c>
      <c r="N223" t="inlineStr">
        <is>
          <t>Frances Angelita Arreglado</t>
        </is>
      </c>
      <c r="O223" t="inlineStr">
        <is>
          <t>202506060024-Frances Angelita Arreglado-费用报销 - 副本 - 副本 - 副本-2025-06-06 10:20:29</t>
        </is>
      </c>
      <c r="P223" t="inlineStr">
        <is>
          <t>YES</t>
        </is>
      </c>
      <c r="Q223"/>
      <c r="R223" t="inlineStr">
        <is>
          <t>NO</t>
        </is>
      </c>
      <c r="S223" t="inlineStr">
        <is>
          <t>Outsourced Referee</t>
        </is>
      </c>
      <c r="T223">
        <v>1</v>
      </c>
      <c r="U223">
        <v>6000</v>
      </c>
      <c r="V223" t="inlineStr">
        <is>
          <t>PHP</t>
        </is>
      </c>
      <c r="W223">
        <v>6000</v>
      </c>
      <c r="X223" s="2" t="str">
        <f>=HYPERLINK("https://www.larksuite.com/approval/admin/previewAttachment?key=PMsxDgIxDATAL60dO5vlMzR3OsGJVIhIFH47goJ2pOnD0Eda60LIXLBiGhMNGkwHG1PlZaRAI1D7PK7nlK_1Pu8Pn9vrrHXbjv1pKfr3RLQBwC5_b4wIqQd-jk8AAAD__w", "2 attachment(s)")</f>
        <v>2 attachment(s)</v>
      </c>
      <c r="Y223" t="inlineStr">
        <is>
          <t>Bank Transfer</t>
        </is>
      </c>
      <c r="Z223" t="inlineStr">
        <is>
          <t>Wilbert Rysher Dela Cruz Manabat</t>
        </is>
      </c>
      <c r="AA223" t="inlineStr">
        <is>
          <t>1093-2482-8669</t>
        </is>
      </c>
      <c r="AB223" t="inlineStr">
        <is>
          <t>UnionBank</t>
        </is>
      </c>
      <c r="AC223" t="inlineStr">
        <is>
          <t>1277-B Kagitingan St. Morga EXT. Tondo, Manila</t>
        </is>
      </c>
      <c r="AD223" s="4">
        <v>45820</v>
      </c>
      <c r="AE223" t="inlineStr">
        <is>
          <t>100% Full Payment - June 27, 2025</t>
        </is>
      </c>
      <c r="AF223" s="2"/>
      <c r="AG223" t="inlineStr">
        <is>
          <t>NzQyNTk5MTgyNzQ4MTg3MDM0MTozNTg3REExNy03OEZDLTRGNUEtQTQzMi00RUYzQkQ2QTIwNzAtMTo3YTBlNjYyZTVmMzY4ODc4MWVmMTc5ODlkYjVlYjVhZTox</t>
        </is>
      </c>
      <c r="AH223"/>
      <c r="AI223"/>
      <c r="AJ223"/>
      <c r="AK223"/>
    </row>
    <row r="224" ht="25.5" customHeight="1">
      <c r="A224" s="2" t="str">
        <f>=HYPERLINK("https://applink.larksuite.com/client/mini_program/open?appId=cli_9c7cc8a9a9edd105&amp;mode=appCenter&amp;path_pc=pc/pages/requested/index?instanceId=7517503914791485478&amp;source=bitable&amp;path=pages/detail/index?instanceId=7517503914791485478&amp;source=bitable", "202506190028")</f>
        <v>202506190028</v>
      </c>
      <c r="B224" t="inlineStr">
        <is>
          <t>Approved</t>
        </is>
      </c>
      <c r="C224" t="inlineStr">
        <is>
          <t>Procurement Order</t>
        </is>
      </c>
      <c r="D224" s="3">
        <v>45827.49623842593</v>
      </c>
      <c r="E224" s="3">
        <v>45827.779027777775</v>
      </c>
      <c r="F224" t="inlineStr">
        <is>
          <t>Fatima Kathleen M. FLores</t>
        </is>
      </c>
      <c r="G224" t="inlineStr">
        <is>
          <t>Procurement</t>
        </is>
      </c>
      <c r="H224"/>
      <c r="I224"/>
      <c r="J224" t="inlineStr">
        <is>
          <t>Project</t>
        </is>
      </c>
      <c r="K224" t="inlineStr">
        <is>
          <t>PDEI - Event Service</t>
        </is>
      </c>
      <c r="L224" t="inlineStr">
        <is>
          <t>GTCC Summer Showdown</t>
        </is>
      </c>
      <c r="M224" t="inlineStr">
        <is>
          <t>2025TEG-P0040</t>
        </is>
      </c>
      <c r="N224" t="inlineStr">
        <is>
          <t>Frances Angelita Arreglado</t>
        </is>
      </c>
      <c r="O224" t="inlineStr">
        <is>
          <t>202506060024-Frances Angelita Arreglado-费用报销 - 副本 - 副本 - 副本-2025-06-06 10:20:29</t>
        </is>
      </c>
      <c r="P224" t="inlineStr">
        <is>
          <t>YES</t>
        </is>
      </c>
      <c r="Q224"/>
      <c r="R224" t="inlineStr">
        <is>
          <t>NO</t>
        </is>
      </c>
      <c r="S224" t="inlineStr">
        <is>
          <t>Outsourced Referee</t>
        </is>
      </c>
      <c r="T224">
        <v>1</v>
      </c>
      <c r="U224">
        <v>6000</v>
      </c>
      <c r="V224" t="inlineStr">
        <is>
          <t>PHP</t>
        </is>
      </c>
      <c r="W224">
        <v>6000</v>
      </c>
      <c r="X224" s="2" t="str">
        <f>=HYPERLINK("https://www.larksuite.com/approval/admin/previewAttachment?key=PMhBqsJAEATQK1VNV09N_8v8jWEQYkCQBFzM2QUXbl8fRB_J6AUVW4HLSSeiKBc1Uh6rLdoF08Dajvm_tzOPeF5vzfOx17rut7m9mOXW4JBiAODfz8OSqrrwdXwCAAD__w", "2 attachment(s)")</f>
        <v>2 attachment(s)</v>
      </c>
      <c r="Y224" t="inlineStr">
        <is>
          <t>Bank Transfer</t>
        </is>
      </c>
      <c r="Z224" t="inlineStr">
        <is>
          <t>Abijah Andrei Jadie</t>
        </is>
      </c>
      <c r="AA224" t="inlineStr">
        <is>
          <t>8339529244</t>
        </is>
      </c>
      <c r="AB224" t="inlineStr">
        <is>
          <t>BPI</t>
        </is>
      </c>
      <c r="AC224" t="inlineStr">
        <is>
          <t>B1 L7 Centerville Subdivision Talon Tres Las Pinas Cit</t>
        </is>
      </c>
      <c r="AD224" s="4">
        <v>45820</v>
      </c>
      <c r="AE224" t="inlineStr">
        <is>
          <t>100% Full Payment - June 27, 2025</t>
        </is>
      </c>
      <c r="AF224" s="2"/>
      <c r="AG224" t="inlineStr">
        <is>
          <t>NzQyNTk5MTgyNzQ4MTg3MDM0MTpFQTAzOUMyOS0yQ0E2LTRGQ0UtQUEwMS0wQzk2RkExNTlENTgtMTo2Mzk1NWY3NTc1NGMwZjZlMmI5MWEzMDQ2NzAwNDBiOTox</t>
        </is>
      </c>
      <c r="AH224"/>
      <c r="AI224"/>
      <c r="AJ224"/>
      <c r="AK224"/>
    </row>
    <row r="225" ht="25.5" customHeight="1">
      <c r="A225" s="2" t="str">
        <f>=HYPERLINK("https://applink.larksuite.com/client/mini_program/open?appId=cli_9c7cc8a9a9edd105&amp;mode=appCenter&amp;path_pc=pc/pages/requested/index?instanceId=7517505210516766758&amp;source=bitable&amp;path=pages/detail/index?instanceId=7517505210516766758&amp;source=bitable", "202506190029")</f>
        <v>202506190029</v>
      </c>
      <c r="B225" t="inlineStr">
        <is>
          <t>Approved</t>
        </is>
      </c>
      <c r="C225" t="inlineStr">
        <is>
          <t>Procurement Order</t>
        </is>
      </c>
      <c r="D225" s="3">
        <v>45827.49972222222</v>
      </c>
      <c r="E225" s="3">
        <v>45827.77832175926</v>
      </c>
      <c r="F225" t="inlineStr">
        <is>
          <t>Fatima Kathleen M. FLores</t>
        </is>
      </c>
      <c r="G225" t="inlineStr">
        <is>
          <t>Procurement</t>
        </is>
      </c>
      <c r="H225"/>
      <c r="I225"/>
      <c r="J225" t="inlineStr">
        <is>
          <t>Project</t>
        </is>
      </c>
      <c r="K225" t="inlineStr">
        <is>
          <t>PDEI - Event Service</t>
        </is>
      </c>
      <c r="L225" t="inlineStr">
        <is>
          <t>GTCC Summer Showdown</t>
        </is>
      </c>
      <c r="M225" t="inlineStr">
        <is>
          <t>2025TEG-P0040</t>
        </is>
      </c>
      <c r="N225" t="inlineStr">
        <is>
          <t>Frances Angelita Arreglado</t>
        </is>
      </c>
      <c r="O225" t="inlineStr">
        <is>
          <t>202506060024-Frances Angelita Arreglado-费用报销 - 副本 - 副本 - 副本-2025-06-06 10:20:29</t>
        </is>
      </c>
      <c r="P225" t="inlineStr">
        <is>
          <t>YES</t>
        </is>
      </c>
      <c r="Q225"/>
      <c r="R225" t="inlineStr">
        <is>
          <t>NO</t>
        </is>
      </c>
      <c r="S225" t="inlineStr">
        <is>
          <t>Outsourced Referee</t>
        </is>
      </c>
      <c r="T225">
        <v>1</v>
      </c>
      <c r="U225">
        <v>3000</v>
      </c>
      <c r="V225" t="inlineStr">
        <is>
          <t>PHP</t>
        </is>
      </c>
      <c r="W225">
        <v>3000</v>
      </c>
      <c r="X225" s="2" t="str">
        <f>=HYPERLINK("https://www.larksuite.com/approval/admin/previewAttachment?key=PMg9CsJAFATgK828v9nnZWwMQVgUQQik2LMLFmm_GkSNpFcjmtbgUlKJNCJZqlKOZYtSQxSwttd-Pzj9c8736TNkXMfzsW9fZssM8ggfAHi73BUR3RX4O34BAAD__w", "2 attachment(s)")</f>
        <v>2 attachment(s)</v>
      </c>
      <c r="Y225" t="inlineStr">
        <is>
          <t>Bank Transfer</t>
        </is>
      </c>
      <c r="Z225" t="inlineStr">
        <is>
          <t>Geri Dominique Cortez</t>
        </is>
      </c>
      <c r="AA225" t="inlineStr">
        <is>
          <t>3089504456</t>
        </is>
      </c>
      <c r="AB225" t="inlineStr">
        <is>
          <t>BPI</t>
        </is>
      </c>
      <c r="AC225" t="inlineStr">
        <is>
          <t>B1 L7 Centerville Subdivision Talon Tres Las Pinas Cit</t>
        </is>
      </c>
      <c r="AD225" s="4">
        <v>45820</v>
      </c>
      <c r="AE225" t="inlineStr">
        <is>
          <t>100% Full Payment - June 27, 2025</t>
        </is>
      </c>
      <c r="AF225" s="2"/>
      <c r="AG225" t="inlineStr">
        <is>
          <t>NzQyNTk5MTgyNzQ4MTg3MDM0MTpFREMzQzE3NS1EMEVCLTQ1MUQtOTY3QS0zQTQ3MUU2NTEyRTgtMTo2NGI5Nzg0YTYyYjg0NzJjNzlmYjc3ODE5OWY4ZmNmOTox</t>
        </is>
      </c>
      <c r="AH225"/>
      <c r="AI225"/>
      <c r="AJ225"/>
      <c r="AK225"/>
    </row>
    <row r="226" ht="25.5" customHeight="1">
      <c r="A226" s="2" t="str">
        <f>=HYPERLINK("https://applink.larksuite.com/client/mini_program/open?appId=cli_9c7cc8a9a9edd105&amp;mode=appCenter&amp;path_pc=pc/pages/requested/index?instanceId=7517505981568253990&amp;source=bitable&amp;path=pages/detail/index?instanceId=7517505981568253990&amp;source=bitable", "202506190031")</f>
        <v>202506190031</v>
      </c>
      <c r="B226" t="inlineStr">
        <is>
          <t>Approved</t>
        </is>
      </c>
      <c r="C226" t="inlineStr">
        <is>
          <t>Procurement Order</t>
        </is>
      </c>
      <c r="D226" s="3">
        <v>45827.501805555556</v>
      </c>
      <c r="E226" s="3">
        <v>45827.777974537035</v>
      </c>
      <c r="F226" t="inlineStr">
        <is>
          <t>Fatima Kathleen M. FLores</t>
        </is>
      </c>
      <c r="G226" t="inlineStr">
        <is>
          <t>Procurement</t>
        </is>
      </c>
      <c r="H226"/>
      <c r="I226"/>
      <c r="J226" t="inlineStr">
        <is>
          <t>Project</t>
        </is>
      </c>
      <c r="K226" t="inlineStr">
        <is>
          <t>PDEI - Event Service</t>
        </is>
      </c>
      <c r="L226" t="inlineStr">
        <is>
          <t>GTCC Summer Showdown</t>
        </is>
      </c>
      <c r="M226" t="inlineStr">
        <is>
          <t>2025TEG-P0040</t>
        </is>
      </c>
      <c r="N226" t="inlineStr">
        <is>
          <t>Frances Angelita Arreglado</t>
        </is>
      </c>
      <c r="O226" t="inlineStr">
        <is>
          <t>202506060024-Frances Angelita Arreglado-费用报销 - 副本 - 副本 - 副本-2025-06-06 10:20:29</t>
        </is>
      </c>
      <c r="P226" t="inlineStr">
        <is>
          <t>YES</t>
        </is>
      </c>
      <c r="Q226"/>
      <c r="R226" t="inlineStr">
        <is>
          <t>NO</t>
        </is>
      </c>
      <c r="S226" t="inlineStr">
        <is>
          <t>Outsourced Referee</t>
        </is>
      </c>
      <c r="T226">
        <v>1</v>
      </c>
      <c r="U226">
        <v>3000</v>
      </c>
      <c r="V226" t="inlineStr">
        <is>
          <t>PHP</t>
        </is>
      </c>
      <c r="W226">
        <v>3000</v>
      </c>
      <c r="X226" s="2" t="str">
        <f>=HYPERLINK("https://www.larksuite.com/approval/admin/previewAttachment?key=PMgxqsMwEATQK81Iu5qdf5nf2Ig0AUPAkGLPHkiR9q0iViXnMsIcBltJJdLFXDVy2ujRlAxRQJ_P_Z9ZvmTuI95x3X0_jn2-mNYY0IyYBYB_P5-KCHsFvo5PAAAA__8", "2 attachment(s)")</f>
        <v>2 attachment(s)</v>
      </c>
      <c r="Y226" t="inlineStr">
        <is>
          <t>Bank Transfer</t>
        </is>
      </c>
      <c r="Z226" t="inlineStr">
        <is>
          <t>Andrey Levy Marco Pulusan</t>
        </is>
      </c>
      <c r="AA226" t="inlineStr">
        <is>
          <t>09666971770</t>
        </is>
      </c>
      <c r="AB226" t="inlineStr">
        <is>
          <t>GCash</t>
        </is>
      </c>
      <c r="AC226" t="inlineStr">
        <is>
          <t>8 Pangasinan St Bago Bantay Quezon City</t>
        </is>
      </c>
      <c r="AD226" s="4">
        <v>45820</v>
      </c>
      <c r="AE226" t="inlineStr">
        <is>
          <t>100% Full Payment - June 27, 2025</t>
        </is>
      </c>
      <c r="AF226" s="2"/>
      <c r="AG226" t="inlineStr">
        <is>
          <t>NzQyNTk5MTgyNzQ4MTg3MDM0MToxNEFBNTE3NC1CQjNELTQ1ODgtODhFMS0yRTMxMkI5NjU2RUItMTowOTJlZDUyOTRiN2FmYjkyZjhjZjVlM2Q5ZGYzMGExMzox</t>
        </is>
      </c>
      <c r="AH226"/>
      <c r="AI226"/>
      <c r="AJ226"/>
      <c r="AK226"/>
    </row>
    <row r="227" ht="25.5" customHeight="1">
      <c r="A227" s="2" t="str">
        <f>=HYPERLINK("https://applink.larksuite.com/client/mini_program/open?appId=cli_9c7cc8a9a9edd105&amp;mode=appCenter&amp;path_pc=pc/pages/requested/index?instanceId=7517506794994860064&amp;source=bitable&amp;path=pages/detail/index?instanceId=7517506794994860064&amp;source=bitable", "202506190033")</f>
        <v>202506190033</v>
      </c>
      <c r="B227" t="inlineStr">
        <is>
          <t>Approved</t>
        </is>
      </c>
      <c r="C227" t="inlineStr">
        <is>
          <t>Procurement Order</t>
        </is>
      </c>
      <c r="D227" s="3">
        <v>45827.50399305556</v>
      </c>
      <c r="E227" s="3">
        <v>45827.77767361111</v>
      </c>
      <c r="F227" t="inlineStr">
        <is>
          <t>Fatima Kathleen M. FLores</t>
        </is>
      </c>
      <c r="G227" t="inlineStr">
        <is>
          <t>Procurement</t>
        </is>
      </c>
      <c r="H227"/>
      <c r="I227"/>
      <c r="J227" t="inlineStr">
        <is>
          <t>Project</t>
        </is>
      </c>
      <c r="K227" t="inlineStr">
        <is>
          <t>PDEI - Event Service</t>
        </is>
      </c>
      <c r="L227" t="inlineStr">
        <is>
          <t>GTCC Summer Showdown</t>
        </is>
      </c>
      <c r="M227" t="inlineStr">
        <is>
          <t>2025TEG-P0040</t>
        </is>
      </c>
      <c r="N227" t="inlineStr">
        <is>
          <t>Frances Angelita Arreglado</t>
        </is>
      </c>
      <c r="O227" t="inlineStr">
        <is>
          <t>202506060024-Frances Angelita Arreglado-费用报销 - 副本 - 副本 - 副本-2025-06-06 10:20:29</t>
        </is>
      </c>
      <c r="P227" t="inlineStr">
        <is>
          <t>YES</t>
        </is>
      </c>
      <c r="Q227"/>
      <c r="R227" t="inlineStr">
        <is>
          <t>NO</t>
        </is>
      </c>
      <c r="S227" t="inlineStr">
        <is>
          <t>Outsourced Referee</t>
        </is>
      </c>
      <c r="T227">
        <v>1</v>
      </c>
      <c r="U227">
        <v>3000</v>
      </c>
      <c r="V227" t="inlineStr">
        <is>
          <t>PHP</t>
        </is>
      </c>
      <c r="W227">
        <v>3000</v>
      </c>
      <c r="X227" s="2" t="str">
        <f>=HYPERLINK("https://www.larksuite.com/approval/admin/previewAttachment?key=PMhBCsJADAXQK_1k_iT5XsaNpUhhRBCkm5xdcNHtizJETRshUOaCdU7LiUhRYgUQbG_LFNIS6G3td3odp6uO19vWOvv7fOzbx6bSHTnIUQDsdvlIklIQf8cvAAD__w", "2 attachment(s)")</f>
        <v>2 attachment(s)</v>
      </c>
      <c r="Y227" t="inlineStr">
        <is>
          <t>Bank Transfer</t>
        </is>
      </c>
      <c r="Z227" t="inlineStr">
        <is>
          <t>IRENE JOY B. QUIZANA</t>
        </is>
      </c>
      <c r="AA227" t="inlineStr">
        <is>
          <t>170710060475</t>
        </is>
      </c>
      <c r="AB227" t="inlineStr">
        <is>
          <t>PNB</t>
        </is>
      </c>
      <c r="AC227" t="inlineStr">
        <is>
          <t>BLOCK 5 LOT 70 PHASE 2 SAPPHIRE STREET MARYHOMES SUBDIVISION, MOLINO IV, BACOOR, CAVITE</t>
        </is>
      </c>
      <c r="AD227" s="4">
        <v>45822</v>
      </c>
      <c r="AE227" t="inlineStr">
        <is>
          <t>100% Full Payment - June 27, 2025</t>
        </is>
      </c>
      <c r="AF227" s="2"/>
      <c r="AG227" t="inlineStr">
        <is>
          <t>NzQyNTk5MTgyNzQ4MTg3MDM0MTo1NEQxNkY1Ny05QkVDLTRDNDgtOEJDMy1CRDQyMEQ0QzMxMjYtMToxMGE4YWQ3M2ExN2Q2YTM1MzBkY2ZmZjZiN2U0Y2JiMDox</t>
        </is>
      </c>
      <c r="AH227"/>
      <c r="AI227"/>
      <c r="AJ227"/>
      <c r="AK227"/>
    </row>
    <row r="228" ht="25.5" customHeight="1">
      <c r="A228" s="2" t="str">
        <f>=HYPERLINK("https://applink.larksuite.com/client/mini_program/open?appId=cli_9c7cc8a9a9edd105&amp;mode=appCenter&amp;path_pc=pc/pages/requested/index?instanceId=7517508220634628128&amp;source=bitable&amp;path=pages/detail/index?instanceId=7517508220634628128&amp;source=bitable", "202506190034")</f>
        <v>202506190034</v>
      </c>
      <c r="B228" t="inlineStr">
        <is>
          <t>Approved</t>
        </is>
      </c>
      <c r="C228" t="inlineStr">
        <is>
          <t>Procurement Order</t>
        </is>
      </c>
      <c r="D228" s="3">
        <v>45827.507835648146</v>
      </c>
      <c r="E228" s="3">
        <v>45827.777291666665</v>
      </c>
      <c r="F228" t="inlineStr">
        <is>
          <t>Fatima Kathleen M. FLores</t>
        </is>
      </c>
      <c r="G228" t="inlineStr">
        <is>
          <t>Procurement</t>
        </is>
      </c>
      <c r="H228"/>
      <c r="I228"/>
      <c r="J228" t="inlineStr">
        <is>
          <t>Project</t>
        </is>
      </c>
      <c r="K228" t="inlineStr">
        <is>
          <t>PDEI - Event Service</t>
        </is>
      </c>
      <c r="L228" t="inlineStr">
        <is>
          <t>GTCC Summer Showdown</t>
        </is>
      </c>
      <c r="M228" t="inlineStr">
        <is>
          <t>2025TEG-P0040</t>
        </is>
      </c>
      <c r="N228" t="inlineStr">
        <is>
          <t>Frances Angelita Arreglado</t>
        </is>
      </c>
      <c r="O228" t="inlineStr">
        <is>
          <t>202506060024-Frances Angelita Arreglado-费用报销 - 副本 - 副本 - 副本-2025-06-06 10:20:29</t>
        </is>
      </c>
      <c r="P228" t="inlineStr">
        <is>
          <t>YES</t>
        </is>
      </c>
      <c r="Q228"/>
      <c r="R228" t="inlineStr">
        <is>
          <t>NO</t>
        </is>
      </c>
      <c r="S228" t="inlineStr">
        <is>
          <t>Outsourced Referee</t>
        </is>
      </c>
      <c r="T228">
        <v>1</v>
      </c>
      <c r="U228">
        <v>3100</v>
      </c>
      <c r="V228" t="inlineStr">
        <is>
          <t>PHP</t>
        </is>
      </c>
      <c r="W228">
        <v>3100</v>
      </c>
      <c r="X228" s="2" t="str">
        <f>=HYPERLINK("https://www.larksuite.com/approval/admin/previewAttachment?key=PMg5CkJBEATQK1V11_TiZUwcPopLIl8xmLMLBqYvioga9GioaQ2uHMyBMkO4wopWyxYzG8kE1rxvx7d87rLHZeyfG67rdT5t88nRaYZ0yQsAD3_3lNQdws_xDQAA__8", "2 attachment(s)")</f>
        <v>2 attachment(s)</v>
      </c>
      <c r="Y228" t="inlineStr">
        <is>
          <t>Bank Transfer</t>
        </is>
      </c>
      <c r="Z228" t="inlineStr">
        <is>
          <t>Marc Kevin Serrano</t>
        </is>
      </c>
      <c r="AA228" t="inlineStr">
        <is>
          <t>1519218972</t>
        </is>
      </c>
      <c r="AB228" t="inlineStr">
        <is>
          <t>BPI</t>
        </is>
      </c>
      <c r="AC228" t="inlineStr">
        <is>
          <t>3 Don Guillermo Street, Barangay Holy Spirit, Commonwealth, Quezon City</t>
        </is>
      </c>
      <c r="AD228" s="4">
        <v>45822</v>
      </c>
      <c r="AE228" t="inlineStr">
        <is>
          <t>100% Full Payment - June 27, 2025</t>
        </is>
      </c>
      <c r="AF228" s="2"/>
      <c r="AG228" t="inlineStr">
        <is>
          <t>NzQyNTk5MTgyNzQ4MTg3MDM0MTo5NjdGMzk0Qi1CODJBLTQzMEMtQUJDMS03RDQwMjI3NDFGNjEtMTozNTk3NDIwOGE3MDFjNTQyYmY5NjEzMTA0ODQ2YWNmODox</t>
        </is>
      </c>
      <c r="AH228"/>
      <c r="AI228"/>
      <c r="AJ228"/>
      <c r="AK228"/>
    </row>
    <row r="229" ht="25.5" customHeight="1">
      <c r="A229" s="2" t="str">
        <f>=HYPERLINK("https://applink.larksuite.com/client/mini_program/open?appId=cli_9c7cc8a9a9edd105&amp;mode=appCenter&amp;path_pc=pc/pages/requested/index?instanceId=7517509026930835494&amp;source=bitable&amp;path=pages/detail/index?instanceId=7517509026930835494&amp;source=bitable", "202506190036")</f>
        <v>202506190036</v>
      </c>
      <c r="B229" t="inlineStr">
        <is>
          <t>Approved</t>
        </is>
      </c>
      <c r="C229" t="inlineStr">
        <is>
          <t>Procurement Order</t>
        </is>
      </c>
      <c r="D229" s="3">
        <v>45827.51001157407</v>
      </c>
      <c r="E229" s="3">
        <v>45827.77646990741</v>
      </c>
      <c r="F229" t="inlineStr">
        <is>
          <t>Fatima Kathleen M. FLores</t>
        </is>
      </c>
      <c r="G229" t="inlineStr">
        <is>
          <t>Procurement</t>
        </is>
      </c>
      <c r="H229"/>
      <c r="I229"/>
      <c r="J229" t="inlineStr">
        <is>
          <t>Project</t>
        </is>
      </c>
      <c r="K229" t="inlineStr">
        <is>
          <t>PDEI - Event Service</t>
        </is>
      </c>
      <c r="L229" t="inlineStr">
        <is>
          <t>GTCC Summer Showdown</t>
        </is>
      </c>
      <c r="M229" t="inlineStr">
        <is>
          <t>2025TEG-P0040</t>
        </is>
      </c>
      <c r="N229" t="inlineStr">
        <is>
          <t>Frances Angelita Arreglado</t>
        </is>
      </c>
      <c r="O229" t="inlineStr">
        <is>
          <t>202506060024-Frances Angelita Arreglado-费用报销 - 副本 - 副本 - 副本-2025-06-06 10:20:29</t>
        </is>
      </c>
      <c r="P229" t="inlineStr">
        <is>
          <t>YES</t>
        </is>
      </c>
      <c r="Q229"/>
      <c r="R229" t="inlineStr">
        <is>
          <t>NO</t>
        </is>
      </c>
      <c r="S229" t="inlineStr">
        <is>
          <t>Outsourced Referee</t>
        </is>
      </c>
      <c r="T229">
        <v>1</v>
      </c>
      <c r="U229">
        <v>6000</v>
      </c>
      <c r="V229" t="inlineStr">
        <is>
          <t>PHP</t>
        </is>
      </c>
      <c r="W229">
        <v>6000</v>
      </c>
      <c r="X229" s="2" t="str">
        <f>=HYPERLINK("https://www.larksuite.com/approval/admin/previewAttachment?key=PMgxikMxEAPQK2k8sjXay2xjYwLhV4HAL3z2QIq0b1RgVI8cBh3NiKMe6jDacKKy0zzthGQoBJx17f9izcXn3Mn7unXej7nXK7rVGpRkFoD4-3mKpD2Ir-MTAAD__w", "2 attachment(s)")</f>
        <v>2 attachment(s)</v>
      </c>
      <c r="Y229" t="inlineStr">
        <is>
          <t>Bank Transfer</t>
        </is>
      </c>
      <c r="Z229" t="inlineStr">
        <is>
          <t>Nathaniel Razo Enriquez</t>
        </is>
      </c>
      <c r="AA229" t="inlineStr">
        <is>
          <t>0696125660</t>
        </is>
      </c>
      <c r="AB229" t="inlineStr">
        <is>
          <t>Landbank</t>
        </is>
      </c>
      <c r="AC229" t="inlineStr">
        <is>
          <t>13th Pangasinan st. Bago Bantay Quezon City</t>
        </is>
      </c>
      <c r="AD229" s="4">
        <v>45822</v>
      </c>
      <c r="AE229" t="inlineStr">
        <is>
          <t>100% Full Payment - June 27, 2025</t>
        </is>
      </c>
      <c r="AF229" s="2"/>
      <c r="AG229" t="inlineStr">
        <is>
          <t>NzQyNTk5MTgyNzQ4MTg3MDM0MTpENDY1QjlDNy01MTMyLTRDQUEtQTg0NS02Q0UyNTc1MEU5MTktMTpmMzhkOThlMThjMzEyMWQ3MGZlYjBjNDI4OGE3YzAyMzox</t>
        </is>
      </c>
      <c r="AH229"/>
      <c r="AI229"/>
      <c r="AJ229"/>
      <c r="AK229"/>
    </row>
    <row r="230" ht="25.5" customHeight="1">
      <c r="A230" s="2" t="str">
        <f>=HYPERLINK("https://applink.larksuite.com/client/mini_program/open?appId=cli_9c7cc8a9a9edd105&amp;mode=appCenter&amp;path_pc=pc/pages/requested/index?instanceId=7517509859248537639&amp;source=bitable&amp;path=pages/detail/index?instanceId=7517509859248537639&amp;source=bitable", "202506190037")</f>
        <v>202506190037</v>
      </c>
      <c r="B230" t="inlineStr">
        <is>
          <t>Approved</t>
        </is>
      </c>
      <c r="C230" t="inlineStr">
        <is>
          <t>Procurement Order</t>
        </is>
      </c>
      <c r="D230" s="3">
        <v>45827.51225694444</v>
      </c>
      <c r="E230" s="3">
        <v>45827.77581018519</v>
      </c>
      <c r="F230" t="inlineStr">
        <is>
          <t>Fatima Kathleen M. FLores</t>
        </is>
      </c>
      <c r="G230" t="inlineStr">
        <is>
          <t>Procurement</t>
        </is>
      </c>
      <c r="H230"/>
      <c r="I230"/>
      <c r="J230" t="inlineStr">
        <is>
          <t>Project</t>
        </is>
      </c>
      <c r="K230" t="inlineStr">
        <is>
          <t>PDEI - Event Service</t>
        </is>
      </c>
      <c r="L230" t="inlineStr">
        <is>
          <t>GTCC Summer Showdown</t>
        </is>
      </c>
      <c r="M230" t="inlineStr">
        <is>
          <t>2025TEG-P0040</t>
        </is>
      </c>
      <c r="N230" t="inlineStr">
        <is>
          <t>Frances Angelita Arreglado</t>
        </is>
      </c>
      <c r="O230" t="inlineStr">
        <is>
          <t>202506060024-Frances Angelita Arreglado-费用报销 - 副本 - 副本 - 副本-2025-06-06 10:20:29</t>
        </is>
      </c>
      <c r="P230" t="inlineStr">
        <is>
          <t>YES</t>
        </is>
      </c>
      <c r="Q230"/>
      <c r="R230" t="inlineStr">
        <is>
          <t>NO</t>
        </is>
      </c>
      <c r="S230" t="inlineStr">
        <is>
          <t>Outsourced Referee</t>
        </is>
      </c>
      <c r="T230">
        <v>1</v>
      </c>
      <c r="U230">
        <v>3000</v>
      </c>
      <c r="V230" t="inlineStr">
        <is>
          <t>PHP</t>
        </is>
      </c>
      <c r="W230">
        <v>3000</v>
      </c>
      <c r="X230" s="2" t="str">
        <f>=HYPERLINK("https://www.larksuite.com/approval/admin/previewAttachment?key=PMg9qkJRDATgLU1OfibzNvMaLxfhIAiiYJG1Cxa2X7WhOs1LCNkSbJjGhDq1otNZrlljpEAjMMft_M9s3Tf3e6uf4fO6Xs7jYSmuBXqENwD7-7kzIqQKfB2fAAAA__8", "2 attachment(s)")</f>
        <v>2 attachment(s)</v>
      </c>
      <c r="Y230" t="inlineStr">
        <is>
          <t>Bank Transfer</t>
        </is>
      </c>
      <c r="Z230" t="inlineStr">
        <is>
          <t>Edward Dominic Alvarez</t>
        </is>
      </c>
      <c r="AA230" t="inlineStr">
        <is>
          <t>09609046361</t>
        </is>
      </c>
      <c r="AB230" t="inlineStr">
        <is>
          <t>GCash</t>
        </is>
      </c>
      <c r="AC230" t="inlineStr">
        <is>
          <t>864 San Jose St. Ilaya, Las Piñas City</t>
        </is>
      </c>
      <c r="AD230" s="4">
        <v>45820</v>
      </c>
      <c r="AE230" t="inlineStr">
        <is>
          <t>100% Full Payment - June 27, 2025</t>
        </is>
      </c>
      <c r="AF230" s="2"/>
      <c r="AG230" t="inlineStr">
        <is>
          <t>NzQyNTk5MTgyNzQ4MTg3MDM0MTo5RTE5NjYyOS04NTg2LTRCNDctOUY5QS1GN0QwQzZGRTdENDItMTphMTkxMGNlZmRkMzI0YzA3NzdjOTdiNzAzYzNhYjY4NDox</t>
        </is>
      </c>
      <c r="AH230"/>
      <c r="AI230"/>
      <c r="AJ230"/>
      <c r="AK230"/>
    </row>
    <row r="231" ht="25.5" customHeight="1">
      <c r="A231" s="2" t="str">
        <f>=HYPERLINK("https://applink.larksuite.com/client/mini_program/open?appId=cli_9c7cc8a9a9edd105&amp;mode=appCenter&amp;path_pc=pc/pages/requested/index?instanceId=7517510674281529382&amp;source=bitable&amp;path=pages/detail/index?instanceId=7517510674281529382&amp;source=bitable", "202506190038")</f>
        <v>202506190038</v>
      </c>
      <c r="B231" t="inlineStr">
        <is>
          <t>Approved</t>
        </is>
      </c>
      <c r="C231" t="inlineStr">
        <is>
          <t>Procurement Order</t>
        </is>
      </c>
      <c r="D231" s="3">
        <v>45827.51445601852</v>
      </c>
      <c r="E231" s="3">
        <v>45827.77548611111</v>
      </c>
      <c r="F231" t="inlineStr">
        <is>
          <t>Fatima Kathleen M. FLores</t>
        </is>
      </c>
      <c r="G231" t="inlineStr">
        <is>
          <t>Procurement</t>
        </is>
      </c>
      <c r="H231"/>
      <c r="I231"/>
      <c r="J231" t="inlineStr">
        <is>
          <t>Project</t>
        </is>
      </c>
      <c r="K231" t="inlineStr">
        <is>
          <t>PDEI - Event Service</t>
        </is>
      </c>
      <c r="L231" t="inlineStr">
        <is>
          <t>GTCC Summer Showdown</t>
        </is>
      </c>
      <c r="M231" t="inlineStr">
        <is>
          <t>2025TEG-P0040</t>
        </is>
      </c>
      <c r="N231" t="inlineStr">
        <is>
          <t>Frances Angelita Arreglado</t>
        </is>
      </c>
      <c r="O231" t="inlineStr">
        <is>
          <t>202506060024-Frances Angelita Arreglado-费用报销 - 副本 - 副本 - 副本-2025-06-06 10:20:29</t>
        </is>
      </c>
      <c r="P231" t="inlineStr">
        <is>
          <t>YES</t>
        </is>
      </c>
      <c r="Q231"/>
      <c r="R231" t="inlineStr">
        <is>
          <t>NO</t>
        </is>
      </c>
      <c r="S231" t="inlineStr">
        <is>
          <t>Outsourced Referee</t>
        </is>
      </c>
      <c r="T231">
        <v>1</v>
      </c>
      <c r="U231">
        <v>15000</v>
      </c>
      <c r="V231" t="inlineStr">
        <is>
          <t>PHP</t>
        </is>
      </c>
      <c r="W231">
        <v>15000</v>
      </c>
      <c r="X231" s="2" t="str">
        <f>=HYPERLINK("https://www.larksuite.com/approval/admin/previewAttachment?key=PMgxDkIxDAPQK9mJUzdchoWvioUJff7UsyMxsL4xiTGLORpqRoPbRRcxrJis6JyxY9NumAb28Vr3S3mcta44l7q0P8_HOt6sdgScUk4AvP09Lal7CD_HNwAA__8", "2 attachment(s)")</f>
        <v>2 attachment(s)</v>
      </c>
      <c r="Y231" t="inlineStr">
        <is>
          <t>Bank Transfer</t>
        </is>
      </c>
      <c r="Z231" t="inlineStr">
        <is>
          <t>Michael Robert M. Nocheseda</t>
        </is>
      </c>
      <c r="AA231" t="inlineStr">
        <is>
          <t>123210118946</t>
        </is>
      </c>
      <c r="AB231" t="inlineStr">
        <is>
          <t>Philippine National Bank</t>
        </is>
      </c>
      <c r="AC231" t="inlineStr">
        <is>
          <t>480 Anahaw St. Comembo, Taguig City</t>
        </is>
      </c>
      <c r="AD231" s="4">
        <v>45820</v>
      </c>
      <c r="AE231" t="inlineStr">
        <is>
          <t>100% Full Payment - June 27, 2025</t>
        </is>
      </c>
      <c r="AF231" s="2"/>
      <c r="AG231" t="inlineStr">
        <is>
          <t>NzQyNTk5MTgyNzQ4MTg3MDM0MTpBMDJERDY4OC1GRDI0LTRGMjQtQkI1Ny05OTIzMjhCQzlBNkYtMTo2ZWJiYmQwYzExY2QyNmFmZGE0YjFhZjQ1MWNhNGE2Mjox</t>
        </is>
      </c>
      <c r="AH231"/>
      <c r="AI231"/>
      <c r="AJ231"/>
      <c r="AK231"/>
    </row>
    <row r="232" ht="25.5" customHeight="1">
      <c r="A232" s="2" t="str">
        <f>=HYPERLINK("https://applink.larksuite.com/client/mini_program/open?appId=cli_9c7cc8a9a9edd105&amp;mode=appCenter&amp;path_pc=pc/pages/requested/index?instanceId=7517511475573948454&amp;source=bitable&amp;path=pages/detail/index?instanceId=7517511475573948454&amp;source=bitable", "202506190039")</f>
        <v>202506190039</v>
      </c>
      <c r="B232" t="inlineStr">
        <is>
          <t>Approved</t>
        </is>
      </c>
      <c r="C232" t="inlineStr">
        <is>
          <t>Procurement Order</t>
        </is>
      </c>
      <c r="D232" s="3">
        <v>45827.51660879629</v>
      </c>
      <c r="E232" s="3">
        <v>45827.77425925926</v>
      </c>
      <c r="F232" t="inlineStr">
        <is>
          <t>Fatima Kathleen M. FLores</t>
        </is>
      </c>
      <c r="G232" t="inlineStr">
        <is>
          <t>Procurement</t>
        </is>
      </c>
      <c r="H232"/>
      <c r="I232"/>
      <c r="J232" t="inlineStr">
        <is>
          <t>Project</t>
        </is>
      </c>
      <c r="K232" t="inlineStr">
        <is>
          <t>PDEI - Event Service</t>
        </is>
      </c>
      <c r="L232" t="inlineStr">
        <is>
          <t>GTCC Summer Showdown</t>
        </is>
      </c>
      <c r="M232" t="inlineStr">
        <is>
          <t>2025TEG-P0040</t>
        </is>
      </c>
      <c r="N232" t="inlineStr">
        <is>
          <t>Frances Angelita Arreglado</t>
        </is>
      </c>
      <c r="O232" t="inlineStr">
        <is>
          <t>202506060024-Frances Angelita Arreglado-费用报销 - 副本 - 副本 - 副本-2025-06-06 10:20:29</t>
        </is>
      </c>
      <c r="P232" t="inlineStr">
        <is>
          <t>YES</t>
        </is>
      </c>
      <c r="Q232"/>
      <c r="R232" t="inlineStr">
        <is>
          <t>NO</t>
        </is>
      </c>
      <c r="S232" t="inlineStr">
        <is>
          <t>Outsourced Referee</t>
        </is>
      </c>
      <c r="T232">
        <v>1</v>
      </c>
      <c r="U232">
        <v>4500</v>
      </c>
      <c r="V232" t="inlineStr">
        <is>
          <t>PHP</t>
        </is>
      </c>
      <c r="W232">
        <v>4500</v>
      </c>
      <c r="X232" s="2" t="str">
        <f>=HYPERLINK("https://www.larksuite.com/approval/admin/previewAttachment?key=PMgxCgIxFATQK80k8zP5XsZml0VEbcTAFv_sgoXtG5MYM9hHQsmWYDnoIOUI99RUqFrRTpgGan8e13N9DL723O7ng6vWbTv2NyPdGtylPgHw8vduSZlD-Dm-AQAA__8", "2 attachment(s)")</f>
        <v>2 attachment(s)</v>
      </c>
      <c r="Y232" t="inlineStr">
        <is>
          <t>Bank Transfer</t>
        </is>
      </c>
      <c r="Z232" t="inlineStr">
        <is>
          <t>Jhon Michael Concepcion</t>
        </is>
      </c>
      <c r="AA232" t="inlineStr">
        <is>
          <t>09163308966</t>
        </is>
      </c>
      <c r="AB232" t="inlineStr">
        <is>
          <t>GCash</t>
        </is>
      </c>
      <c r="AC232" t="inlineStr">
        <is>
          <t>101 estrada street. Teresa,Rizal</t>
        </is>
      </c>
      <c r="AD232" s="4">
        <v>45820</v>
      </c>
      <c r="AE232" t="inlineStr">
        <is>
          <t>100% Full Payment - June 27, 2025</t>
        </is>
      </c>
      <c r="AF232" s="2"/>
      <c r="AG232" t="inlineStr">
        <is>
          <t>NzQyNTk5MTgyNzQ4MTg3MDM0MTo4MEZDQkM5RS03RTRGLTQ0Q0QtQTI3NC1FNENFNUNFQ0E2MUItMTozNWVhMzhhODI4ODBlMWVmMjFkMzhiYWI5M2RjNDU2Mjox</t>
        </is>
      </c>
      <c r="AH232"/>
      <c r="AI232"/>
      <c r="AJ232"/>
      <c r="AK232"/>
    </row>
    <row r="233" ht="25.5" customHeight="1">
      <c r="A233" s="2" t="str">
        <f>=HYPERLINK("https://applink.larksuite.com/client/mini_program/open?appId=cli_9c7cc8a9a9edd105&amp;mode=appCenter&amp;path_pc=pc/pages/requested/index?instanceId=7517512380754952223&amp;source=bitable&amp;path=pages/detail/index?instanceId=7517512380754952223&amp;source=bitable", "202506190040")</f>
        <v>202506190040</v>
      </c>
      <c r="B233" t="inlineStr">
        <is>
          <t>Approved</t>
        </is>
      </c>
      <c r="C233" t="inlineStr">
        <is>
          <t>Procurement Order</t>
        </is>
      </c>
      <c r="D233" s="3">
        <v>45827.51905092593</v>
      </c>
      <c r="E233" s="3">
        <v>45827.77392361111</v>
      </c>
      <c r="F233" t="inlineStr">
        <is>
          <t>Fatima Kathleen M. FLores</t>
        </is>
      </c>
      <c r="G233" t="inlineStr">
        <is>
          <t>Procurement</t>
        </is>
      </c>
      <c r="H233"/>
      <c r="I233"/>
      <c r="J233" t="inlineStr">
        <is>
          <t>Project</t>
        </is>
      </c>
      <c r="K233" t="inlineStr">
        <is>
          <t>PDEI - Event Service</t>
        </is>
      </c>
      <c r="L233" t="inlineStr">
        <is>
          <t>GTCC Summer Showdown</t>
        </is>
      </c>
      <c r="M233" t="inlineStr">
        <is>
          <t>2025TEG-P0040</t>
        </is>
      </c>
      <c r="N233" t="inlineStr">
        <is>
          <t>Frances Angelita Arreglado</t>
        </is>
      </c>
      <c r="O233" t="inlineStr">
        <is>
          <t>202506060024-Frances Angelita Arreglado-费用报销 - 副本 - 副本 - 副本-2025-06-06 10:20:29</t>
        </is>
      </c>
      <c r="P233" t="inlineStr">
        <is>
          <t>YES</t>
        </is>
      </c>
      <c r="Q233"/>
      <c r="R233" t="inlineStr">
        <is>
          <t>NO</t>
        </is>
      </c>
      <c r="S233" t="inlineStr">
        <is>
          <t>Outsourced Referee</t>
        </is>
      </c>
      <c r="T233">
        <v>1</v>
      </c>
      <c r="U233">
        <v>1500</v>
      </c>
      <c r="V233" t="inlineStr">
        <is>
          <t>PHP</t>
        </is>
      </c>
      <c r="W233">
        <v>1500</v>
      </c>
      <c r="X233" s="2" t="str">
        <f>=HYPERLINK("https://www.larksuite.com/approval/admin/previewAttachment?key=PMg7CsJgEATgK83s459dL2NjCCIKASHY7NkFC9tvFbEq6asRTWtwlFTSvKCMTjPzsaHUEAXM9tqv8EpB2_M8Hp885rzf9u3NbJlBHuEFgJe_uyKiewV-jm8AAAD__w", "2 attachment(s)")</f>
        <v>2 attachment(s)</v>
      </c>
      <c r="Y233" t="inlineStr">
        <is>
          <t>Bank Transfer</t>
        </is>
      </c>
      <c r="Z233" t="inlineStr">
        <is>
          <t>Renzo E. Lacsamana</t>
        </is>
      </c>
      <c r="AA233" t="inlineStr">
        <is>
          <t>109664387317</t>
        </is>
      </c>
      <c r="AB233" t="inlineStr">
        <is>
          <t>Union Bank</t>
        </is>
      </c>
      <c r="AC233" t="inlineStr">
        <is>
          <t>#19 Paris St. Greenland village Nangka, Marikina City</t>
        </is>
      </c>
      <c r="AD233" s="4">
        <v>45822</v>
      </c>
      <c r="AE233" t="inlineStr">
        <is>
          <t>100% Full Payment - June 27, 2025</t>
        </is>
      </c>
      <c r="AF233" s="2"/>
      <c r="AG233" t="inlineStr">
        <is>
          <t>NzQyNTk5MTgyNzQ4MTg3MDM0MTo3QkYzODVCQi1FRDUwLTQwRDItQkM2RC1COEU4MEE5OTBCOTktMTpjZjE3N2U2OWI3Yzc2ODRhYzhlOTBkYTI1YzViNmEzNjox</t>
        </is>
      </c>
      <c r="AH233"/>
      <c r="AI233"/>
      <c r="AJ233"/>
      <c r="AK233"/>
    </row>
    <row r="234" ht="25.5" customHeight="1">
      <c r="A234" s="2" t="str">
        <f>=HYPERLINK("https://applink.larksuite.com/client/mini_program/open?appId=cli_9c7cc8a9a9edd105&amp;mode=appCenter&amp;path_pc=pc/pages/requested/index?instanceId=7517874568116060192&amp;source=bitable&amp;path=pages/detail/index?instanceId=7517874568116060192&amp;source=bitable", "202506200018")</f>
        <v>202506200018</v>
      </c>
      <c r="B234" t="inlineStr">
        <is>
          <t>Approved</t>
        </is>
      </c>
      <c r="C234" t="inlineStr">
        <is>
          <t>Procurement Order</t>
        </is>
      </c>
      <c r="D234" s="3">
        <v>45828.49506944444</v>
      </c>
      <c r="E234" s="3">
        <v>45833.72891203704</v>
      </c>
      <c r="F234" t="inlineStr">
        <is>
          <t>Fatima Kathleen M. FLores</t>
        </is>
      </c>
      <c r="G234" t="inlineStr">
        <is>
          <t>Procurement</t>
        </is>
      </c>
      <c r="H234"/>
      <c r="I234"/>
      <c r="J234" t="inlineStr">
        <is>
          <t>Project</t>
        </is>
      </c>
      <c r="K234" t="inlineStr">
        <is>
          <t>PDEI - Event Service</t>
        </is>
      </c>
      <c r="L234" t="inlineStr">
        <is>
          <t>GTCC Summer Showdown</t>
        </is>
      </c>
      <c r="M234" t="inlineStr">
        <is>
          <t>2025TEG-P0040</t>
        </is>
      </c>
      <c r="N234" t="inlineStr">
        <is>
          <t>Frances Angelita Arreglado</t>
        </is>
      </c>
      <c r="O234" t="inlineStr">
        <is>
          <t>202506030061-Frances Angelita Arreglado-费用报销 - 副本 - 副本 - 副本-2025-06-03 07:16:04</t>
        </is>
      </c>
      <c r="P234" t="inlineStr">
        <is>
          <t>NO</t>
        </is>
      </c>
      <c r="Q234"/>
      <c r="R234" t="inlineStr">
        <is>
          <t>NO</t>
        </is>
      </c>
      <c r="S234" t="inlineStr">
        <is>
          <t>ROLL UP BANNER (Tarp only / 33in x 78in)</t>
        </is>
      </c>
      <c r="T234">
        <v>7</v>
      </c>
      <c r="U234">
        <v>784</v>
      </c>
      <c r="V234" t="inlineStr">
        <is>
          <t>PHP</t>
        </is>
      </c>
      <c r="W234">
        <v>5488</v>
      </c>
      <c r="X234" s="2"/>
      <c r="Y234" t="inlineStr">
        <is>
          <t>Bank Transfer</t>
        </is>
      </c>
      <c r="Z234" t="inlineStr">
        <is>
          <t>Bescost Digital Marketing Services Inc.</t>
        </is>
      </c>
      <c r="AA234" t="inlineStr">
        <is>
          <t>00000-5674-8951</t>
        </is>
      </c>
      <c r="AB234" t="inlineStr">
        <is>
          <t>Security Bank</t>
        </is>
      </c>
      <c r="AC234" t="inlineStr">
        <is>
          <t>5105-A Sulok St., Brgy. Ugong, Valenzuela City</t>
        </is>
      </c>
      <c r="AD234" s="4">
        <v>45820</v>
      </c>
      <c r="AE234" t="inlineStr">
        <is>
          <t>100% Full Payment - 15 days upon complete delivery</t>
        </is>
      </c>
      <c r="AF234" s="2"/>
      <c r="AG234" t="inlineStr">
        <is>
          <t>NzQyNTk5MTgyNzQ4MTg3MDM0MTpGQzA2NUI5OC0xRUU3LTQzRDUtQjczNi0xQjA5MjRBRTg5NzEtMTowNTMwNTNlMTk3NDYxMzY3NmUyYjY5ZTNlYWJlMTZiZTox</t>
        </is>
      </c>
      <c r="AH234"/>
      <c r="AI234"/>
      <c r="AJ234"/>
      <c r="AK234"/>
    </row>
    <row r="235" ht="25.5" customHeight="1">
      <c r="A235" s="2" t="str">
        <f>=HYPERLINK("https://applink.larksuite.com/client/mini_program/open?appId=cli_9c7cc8a9a9edd105&amp;mode=appCenter&amp;path_pc=pc/pages/requested/index?instanceId=7517874568116060192&amp;source=bitable&amp;path=pages/detail/index?instanceId=7517874568116060192&amp;source=bitable", "202506200018")</f>
        <v>202506200018</v>
      </c>
      <c r="B235" t="inlineStr">
        <is>
          <t>Approved</t>
        </is>
      </c>
      <c r="C235" t="inlineStr">
        <is>
          <t>Procurement Order</t>
        </is>
      </c>
      <c r="D235" s="3">
        <v>45828.49506944444</v>
      </c>
      <c r="E235" s="3">
        <v>45833.72891203704</v>
      </c>
      <c r="F235" t="inlineStr">
        <is>
          <t>Fatima Kathleen M. FLores</t>
        </is>
      </c>
      <c r="G235" t="inlineStr">
        <is>
          <t>Procurement</t>
        </is>
      </c>
      <c r="H235"/>
      <c r="I235"/>
      <c r="J235" t="inlineStr">
        <is>
          <t>Project</t>
        </is>
      </c>
      <c r="K235" t="inlineStr">
        <is>
          <t>PDEI - Event Service</t>
        </is>
      </c>
      <c r="L235" t="inlineStr">
        <is>
          <t>GTCC Summer Showdown</t>
        </is>
      </c>
      <c r="M235" t="inlineStr">
        <is>
          <t>2025TEG-P0040</t>
        </is>
      </c>
      <c r="N235" t="inlineStr">
        <is>
          <t>Frances Angelita Arreglado</t>
        </is>
      </c>
      <c r="O235" t="inlineStr">
        <is>
          <t>202506030061-Frances Angelita Arreglado-费用报销 - 副本 - 副本 - 副本-2025-06-03 07:16:04</t>
        </is>
      </c>
      <c r="P235" t="inlineStr">
        <is>
          <t>NO</t>
        </is>
      </c>
      <c r="Q235"/>
      <c r="R235" t="inlineStr">
        <is>
          <t>NO</t>
        </is>
      </c>
      <c r="S235" t="inlineStr">
        <is>
          <t>MOCK CHECKS (3mm Sticker on Sintra / 4ft x 2ft)</t>
        </is>
      </c>
      <c r="T235">
        <v>3</v>
      </c>
      <c r="U235">
        <v>1677.312</v>
      </c>
      <c r="V235" t="inlineStr">
        <is>
          <t>PHP</t>
        </is>
      </c>
      <c r="W235">
        <v>5031.936</v>
      </c>
      <c r="X235" s="2"/>
      <c r="Y235"/>
      <c r="Z235"/>
      <c r="AA235"/>
      <c r="AB235"/>
      <c r="AC235"/>
      <c r="AD235" s="4"/>
      <c r="AE235"/>
      <c r="AF235" s="2"/>
      <c r="AG235" t="inlineStr">
        <is>
          <t>NzQyNTk5MTgyNzQ4MTg3MDM0MTpGQzA2NUI5OC0xRUU3LTQzRDUtQjczNi0xQjA5MjRBRTg5NzEtMjoyMTcwNzkzYmI4ODAzMWRlMmEwNDc3YzcxZmI2ZDRhNjox</t>
        </is>
      </c>
      <c r="AH235"/>
      <c r="AI235"/>
      <c r="AJ235"/>
      <c r="AK235"/>
    </row>
    <row r="236" ht="25.5" customHeight="1">
      <c r="A236" s="2" t="str">
        <f>=HYPERLINK("https://applink.larksuite.com/client/mini_program/open?appId=cli_9c7cc8a9a9edd105&amp;mode=appCenter&amp;path_pc=pc/pages/requested/index?instanceId=7517874568116060192&amp;source=bitable&amp;path=pages/detail/index?instanceId=7517874568116060192&amp;source=bitable", "202506200018")</f>
        <v>202506200018</v>
      </c>
      <c r="B236" t="inlineStr">
        <is>
          <t>Approved</t>
        </is>
      </c>
      <c r="C236" t="inlineStr">
        <is>
          <t>Procurement Order</t>
        </is>
      </c>
      <c r="D236" s="3">
        <v>45828.49506944444</v>
      </c>
      <c r="E236" s="3">
        <v>45833.72891203704</v>
      </c>
      <c r="F236" t="inlineStr">
        <is>
          <t>Fatima Kathleen M. FLores</t>
        </is>
      </c>
      <c r="G236" t="inlineStr">
        <is>
          <t>Procurement</t>
        </is>
      </c>
      <c r="H236"/>
      <c r="I236"/>
      <c r="J236" t="inlineStr">
        <is>
          <t>Project</t>
        </is>
      </c>
      <c r="K236" t="inlineStr">
        <is>
          <t>PDEI - Event Service</t>
        </is>
      </c>
      <c r="L236" t="inlineStr">
        <is>
          <t>GTCC Summer Showdown</t>
        </is>
      </c>
      <c r="M236" t="inlineStr">
        <is>
          <t>2025TEG-P0040</t>
        </is>
      </c>
      <c r="N236" t="inlineStr">
        <is>
          <t>Frances Angelita Arreglado</t>
        </is>
      </c>
      <c r="O236" t="inlineStr">
        <is>
          <t>202506030061-Frances Angelita Arreglado-费用报销 - 副本 - 副本 - 副本-2025-06-03 07:16:04</t>
        </is>
      </c>
      <c r="P236" t="inlineStr">
        <is>
          <t>NO</t>
        </is>
      </c>
      <c r="Q236"/>
      <c r="R236" t="inlineStr">
        <is>
          <t>NO</t>
        </is>
      </c>
      <c r="S236" t="inlineStr">
        <is>
          <t>CUE CARDS (3mm Sticker on Sintra / A5)</t>
        </is>
      </c>
      <c r="T236">
        <v>10</v>
      </c>
      <c r="U236">
        <v>80.8752</v>
      </c>
      <c r="V236" t="inlineStr">
        <is>
          <t>PHP</t>
        </is>
      </c>
      <c r="W236">
        <v>808.752</v>
      </c>
      <c r="X236" s="2"/>
      <c r="Y236"/>
      <c r="Z236"/>
      <c r="AA236"/>
      <c r="AB236"/>
      <c r="AC236"/>
      <c r="AD236" s="4"/>
      <c r="AE236"/>
      <c r="AF236" s="2"/>
      <c r="AG236" t="inlineStr">
        <is>
          <t>NzQyNTk5MTgyNzQ4MTg3MDM0MTpGQzA2NUI5OC0xRUU3LTQzRDUtQjczNi0xQjA5MjRBRTg5NzEtMzpjYTc5NzlhODllNjY0YTQ0NDVjZDY2Nzg2Y2JkNDU3Njox</t>
        </is>
      </c>
      <c r="AH236"/>
      <c r="AI236"/>
      <c r="AJ236"/>
      <c r="AK236"/>
    </row>
    <row r="237" ht="25.5" customHeight="1">
      <c r="A237" s="2" t="str">
        <f>=HYPERLINK("https://applink.larksuite.com/client/mini_program/open?appId=cli_9c7cc8a9a9edd105&amp;mode=appCenter&amp;path_pc=pc/pages/requested/index?instanceId=7517874568116060192&amp;source=bitable&amp;path=pages/detail/index?instanceId=7517874568116060192&amp;source=bitable", "202506200018")</f>
        <v>202506200018</v>
      </c>
      <c r="B237" t="inlineStr">
        <is>
          <t>Approved</t>
        </is>
      </c>
      <c r="C237" t="inlineStr">
        <is>
          <t>Procurement Order</t>
        </is>
      </c>
      <c r="D237" s="3">
        <v>45828.49506944444</v>
      </c>
      <c r="E237" s="3">
        <v>45833.72891203704</v>
      </c>
      <c r="F237" t="inlineStr">
        <is>
          <t>Fatima Kathleen M. FLores</t>
        </is>
      </c>
      <c r="G237" t="inlineStr">
        <is>
          <t>Procurement</t>
        </is>
      </c>
      <c r="H237"/>
      <c r="I237"/>
      <c r="J237" t="inlineStr">
        <is>
          <t>Project</t>
        </is>
      </c>
      <c r="K237" t="inlineStr">
        <is>
          <t>PDEI - Event Service</t>
        </is>
      </c>
      <c r="L237" t="inlineStr">
        <is>
          <t>GTCC Summer Showdown</t>
        </is>
      </c>
      <c r="M237" t="inlineStr">
        <is>
          <t>2025TEG-P0040</t>
        </is>
      </c>
      <c r="N237" t="inlineStr">
        <is>
          <t>Frances Angelita Arreglado</t>
        </is>
      </c>
      <c r="O237" t="inlineStr">
        <is>
          <t>202506030061-Frances Angelita Arreglado-费用报销 - 副本 - 副本 - 副本-2025-06-03 07:16:04</t>
        </is>
      </c>
      <c r="P237" t="inlineStr">
        <is>
          <t>NO</t>
        </is>
      </c>
      <c r="Q237"/>
      <c r="R237" t="inlineStr">
        <is>
          <t>NO</t>
        </is>
      </c>
      <c r="S237" t="inlineStr">
        <is>
          <t>STANDARD POSTERS (C2S200 / A3)</t>
        </is>
      </c>
      <c r="T237">
        <v>10</v>
      </c>
      <c r="U237">
        <v>224</v>
      </c>
      <c r="V237" t="inlineStr">
        <is>
          <t>PHP</t>
        </is>
      </c>
      <c r="W237">
        <v>2240</v>
      </c>
      <c r="X237" s="2"/>
      <c r="Y237"/>
      <c r="Z237"/>
      <c r="AA237"/>
      <c r="AB237"/>
      <c r="AC237"/>
      <c r="AD237" s="4"/>
      <c r="AE237"/>
      <c r="AF237" s="2"/>
      <c r="AG237" t="inlineStr">
        <is>
          <t>NzQyNTk5MTgyNzQ4MTg3MDM0MTpGQzA2NUI5OC0xRUU3LTQzRDUtQjczNi0xQjA5MjRBRTg5NzEtNDphNDkxOTg5ZWE5NjIwYTU1YTA3NWRkMDM4ODU4OWMzNTox</t>
        </is>
      </c>
      <c r="AH237"/>
      <c r="AI237"/>
      <c r="AJ237"/>
      <c r="AK237"/>
    </row>
    <row r="238" ht="25.5" customHeight="1">
      <c r="A238" s="2" t="str">
        <f>=HYPERLINK("https://applink.larksuite.com/client/mini_program/open?appId=cli_9c7cc8a9a9edd105&amp;mode=appCenter&amp;path_pc=pc/pages/requested/index?instanceId=7517874568116060192&amp;source=bitable&amp;path=pages/detail/index?instanceId=7517874568116060192&amp;source=bitable", "202506200018")</f>
        <v>202506200018</v>
      </c>
      <c r="B238" t="inlineStr">
        <is>
          <t>Approved</t>
        </is>
      </c>
      <c r="C238" t="inlineStr">
        <is>
          <t>Procurement Order</t>
        </is>
      </c>
      <c r="D238" s="3">
        <v>45828.49506944444</v>
      </c>
      <c r="E238" s="3">
        <v>45833.72891203704</v>
      </c>
      <c r="F238" t="inlineStr">
        <is>
          <t>Fatima Kathleen M. FLores</t>
        </is>
      </c>
      <c r="G238" t="inlineStr">
        <is>
          <t>Procurement</t>
        </is>
      </c>
      <c r="H238"/>
      <c r="I238"/>
      <c r="J238" t="inlineStr">
        <is>
          <t>Project</t>
        </is>
      </c>
      <c r="K238" t="inlineStr">
        <is>
          <t>PDEI - Event Service</t>
        </is>
      </c>
      <c r="L238" t="inlineStr">
        <is>
          <t>GTCC Summer Showdown</t>
        </is>
      </c>
      <c r="M238" t="inlineStr">
        <is>
          <t>2025TEG-P0040</t>
        </is>
      </c>
      <c r="N238" t="inlineStr">
        <is>
          <t>Frances Angelita Arreglado</t>
        </is>
      </c>
      <c r="O238" t="inlineStr">
        <is>
          <t>202506030061-Frances Angelita Arreglado-费用报销 - 副本 - 副本 - 副本-2025-06-03 07:16:04</t>
        </is>
      </c>
      <c r="P238" t="inlineStr">
        <is>
          <t>NO</t>
        </is>
      </c>
      <c r="Q238"/>
      <c r="R238" t="inlineStr">
        <is>
          <t>NO</t>
        </is>
      </c>
      <c r="S238" t="inlineStr">
        <is>
          <t>EVENT/ TOURNAMENT HANDBOOK (C2S120 / A4 - Trifold)</t>
        </is>
      </c>
      <c r="T238">
        <v>175</v>
      </c>
      <c r="U238">
        <v>50.96</v>
      </c>
      <c r="V238" t="inlineStr">
        <is>
          <t>PHP</t>
        </is>
      </c>
      <c r="W238">
        <v>8918</v>
      </c>
      <c r="X238" s="2"/>
      <c r="Y238"/>
      <c r="Z238"/>
      <c r="AA238"/>
      <c r="AB238"/>
      <c r="AC238"/>
      <c r="AD238" s="4"/>
      <c r="AE238"/>
      <c r="AF238" s="2"/>
      <c r="AG238" t="inlineStr">
        <is>
          <t>NzQyNTk5MTgyNzQ4MTg3MDM0MTpGQzA2NUI5OC0xRUU3LTQzRDUtQjczNi0xQjA5MjRBRTg5NzEtNTo4NDFiNzJmMmVjMDVjZmMyMjkzNDc3MjMyMzMxMTE5Mjox</t>
        </is>
      </c>
      <c r="AH238"/>
      <c r="AI238"/>
      <c r="AJ238"/>
      <c r="AK238"/>
    </row>
    <row r="239" ht="25.5" customHeight="1">
      <c r="A239" s="2" t="str">
        <f>=HYPERLINK("https://applink.larksuite.com/client/mini_program/open?appId=cli_9c7cc8a9a9edd105&amp;mode=appCenter&amp;path_pc=pc/pages/requested/index?instanceId=7517874568116060192&amp;source=bitable&amp;path=pages/detail/index?instanceId=7517874568116060192&amp;source=bitable", "202506200018")</f>
        <v>202506200018</v>
      </c>
      <c r="B239" t="inlineStr">
        <is>
          <t>Approved</t>
        </is>
      </c>
      <c r="C239" t="inlineStr">
        <is>
          <t>Procurement Order</t>
        </is>
      </c>
      <c r="D239" s="3">
        <v>45828.49506944444</v>
      </c>
      <c r="E239" s="3">
        <v>45833.72891203704</v>
      </c>
      <c r="F239" t="inlineStr">
        <is>
          <t>Fatima Kathleen M. FLores</t>
        </is>
      </c>
      <c r="G239" t="inlineStr">
        <is>
          <t>Procurement</t>
        </is>
      </c>
      <c r="H239"/>
      <c r="I239"/>
      <c r="J239" t="inlineStr">
        <is>
          <t>Project</t>
        </is>
      </c>
      <c r="K239" t="inlineStr">
        <is>
          <t>PDEI - Event Service</t>
        </is>
      </c>
      <c r="L239" t="inlineStr">
        <is>
          <t>GTCC Summer Showdown</t>
        </is>
      </c>
      <c r="M239" t="inlineStr">
        <is>
          <t>2025TEG-P0040</t>
        </is>
      </c>
      <c r="N239" t="inlineStr">
        <is>
          <t>Frances Angelita Arreglado</t>
        </is>
      </c>
      <c r="O239" t="inlineStr">
        <is>
          <t>202506030061-Frances Angelita Arreglado-费用报销 - 副本 - 副本 - 副本-2025-06-03 07:16:04</t>
        </is>
      </c>
      <c r="P239" t="inlineStr">
        <is>
          <t>NO</t>
        </is>
      </c>
      <c r="Q239"/>
      <c r="R239" t="inlineStr">
        <is>
          <t>NO</t>
        </is>
      </c>
      <c r="S239" t="inlineStr">
        <is>
          <t>MIC FLAG (1.5mm Sticker on Sintra / 7in x 5.1in)</t>
        </is>
      </c>
      <c r="T239">
        <v>5</v>
      </c>
      <c r="U239">
        <v>51.9792</v>
      </c>
      <c r="V239" t="inlineStr">
        <is>
          <t>PHP</t>
        </is>
      </c>
      <c r="W239">
        <v>259.896</v>
      </c>
      <c r="X239" s="2" t="str">
        <f>=HYPERLINK("https://www.larksuite.com/approval/admin/previewAttachment?key=PMgxCgJRDATQK83kJ5nEy9j4WYTVShCbnF2wsH1ZRFZwZcOb1uAoqJJHFplIsG1sKDVEAbOfxzWi2h6xpdM_p-Z9vx37xWiZQct9FQBe_r7k7t3p-Hl8AwAA__8", "1 attachment(s)")</f>
        <v>1 attachment(s)</v>
      </c>
      <c r="Y239"/>
      <c r="Z239"/>
      <c r="AA239"/>
      <c r="AB239"/>
      <c r="AC239"/>
      <c r="AD239" s="4"/>
      <c r="AE239"/>
      <c r="AF239" s="2"/>
      <c r="AG239" t="inlineStr">
        <is>
          <t>NzQyNTk5MTgyNzQ4MTg3MDM0MTpGQzA2NUI5OC0xRUU3LTQzRDUtQjczNi0xQjA5MjRBRTg5NzEtNjo4ZGNhZDc0ZjYyZWYxZGE3NGJlY2NmMjBjZjIwYTk2Nzox</t>
        </is>
      </c>
      <c r="AH239"/>
      <c r="AI239"/>
      <c r="AJ239"/>
      <c r="AK239"/>
    </row>
    <row r="240" ht="25.5" customHeight="1">
      <c r="A240" s="2" t="str">
        <f>=HYPERLINK("https://applink.larksuite.com/client/mini_program/open?appId=cli_9c7cc8a9a9edd105&amp;mode=appCenter&amp;path_pc=pc/pages/requested/index?instanceId=7517874568116060192&amp;source=bitable&amp;path=pages/detail/index?instanceId=7517874568116060192&amp;source=bitable", "202506200018")</f>
        <v>202506200018</v>
      </c>
      <c r="B240" t="inlineStr">
        <is>
          <t>Approved</t>
        </is>
      </c>
      <c r="C240" t="inlineStr">
        <is>
          <t>Procurement Order</t>
        </is>
      </c>
      <c r="D240" s="3">
        <v>45828.49506944444</v>
      </c>
      <c r="E240" s="3">
        <v>45833.72891203704</v>
      </c>
      <c r="F240" t="inlineStr">
        <is>
          <t>Fatima Kathleen M. FLores</t>
        </is>
      </c>
      <c r="G240" t="inlineStr">
        <is>
          <t>Procurement</t>
        </is>
      </c>
      <c r="H240"/>
      <c r="I240"/>
      <c r="J240" t="inlineStr">
        <is>
          <t>Project</t>
        </is>
      </c>
      <c r="K240" t="inlineStr">
        <is>
          <t>PDEI - Event Service</t>
        </is>
      </c>
      <c r="L240" t="inlineStr">
        <is>
          <t>GTCC Summer Showdown</t>
        </is>
      </c>
      <c r="M240" t="inlineStr">
        <is>
          <t>2025TEG-P0040</t>
        </is>
      </c>
      <c r="N240" t="inlineStr">
        <is>
          <t>Frances Angelita Arreglado</t>
        </is>
      </c>
      <c r="O240" t="inlineStr">
        <is>
          <t>202506030061-Frances Angelita Arreglado-费用报销 - 副本 - 副本 - 副本-2025-06-03 07:16:04</t>
        </is>
      </c>
      <c r="P240" t="inlineStr">
        <is>
          <t>NO</t>
        </is>
      </c>
      <c r="Q240"/>
      <c r="R240" t="inlineStr">
        <is>
          <t>NO</t>
        </is>
      </c>
      <c r="S240" t="inlineStr">
        <is>
          <t>ADDITIONAL EVENT/ TOURNAMENT HANDBOOK (C2S120 / A4 - Trifold)</t>
        </is>
      </c>
      <c r="T240">
        <v>90</v>
      </c>
      <c r="U240">
        <v>55.8208</v>
      </c>
      <c r="V240" t="inlineStr">
        <is>
          <t>PHP</t>
        </is>
      </c>
      <c r="W240">
        <v>5023.872</v>
      </c>
      <c r="X240" s="2" t="str">
        <f>=HYPERLINK("https://www.larksuite.com/approval/admin/previewAttachment?key=PMgxCgJRDATQK83kJ5nEy9j4WYTVShCbnF2wsH1ZRFZwZcOb1uAoqJJHFplIsG1sKDVEAbOfxzWi2h6xpdM_p-Z9vx37xWiZQct9FQBe_r7k7t3p-Hl-AwAA__8", "2 attachment(s)")</f>
        <v>2 attachment(s)</v>
      </c>
      <c r="Y240"/>
      <c r="Z240"/>
      <c r="AA240"/>
      <c r="AB240"/>
      <c r="AC240"/>
      <c r="AD240" s="4"/>
      <c r="AE240"/>
      <c r="AF240" s="2"/>
      <c r="AG240" t="inlineStr">
        <is>
          <t>NzQyNTk5MTgyNzQ4MTg3MDM0MTpGQzA2NUI5OC0xRUU3LTQzRDUtQjczNi0xQjA5MjRBRTg5NzEtNzpmNmFkY2E2N2UxMTFmOWY2ZTdmZTFiMGNmMGE3M2M0Mjox</t>
        </is>
      </c>
      <c r="AH240"/>
      <c r="AI240"/>
      <c r="AJ240"/>
      <c r="AK240"/>
    </row>
    <row r="241" ht="25.5" customHeight="1">
      <c r="A241" s="2" t="str">
        <f>=HYPERLINK("https://applink.larksuite.com/client/mini_program/open?appId=cli_9c7cc8a9a9edd105&amp;mode=appCenter&amp;path_pc=pc/pages/requested/index?instanceId=7517874568116060192&amp;source=bitable&amp;path=pages/detail/index?instanceId=7517874568116060192&amp;source=bitable", "202506200018")</f>
        <v>202506200018</v>
      </c>
      <c r="B241" t="inlineStr">
        <is>
          <t>Approved</t>
        </is>
      </c>
      <c r="C241" t="inlineStr">
        <is>
          <t>Procurement Order</t>
        </is>
      </c>
      <c r="D241" s="3">
        <v>45828.49506944444</v>
      </c>
      <c r="E241" s="3">
        <v>45833.72891203704</v>
      </c>
      <c r="F241" t="inlineStr">
        <is>
          <t>Fatima Kathleen M. FLores</t>
        </is>
      </c>
      <c r="G241" t="inlineStr">
        <is>
          <t>Procurement</t>
        </is>
      </c>
      <c r="H241"/>
      <c r="I241"/>
      <c r="J241" t="inlineStr">
        <is>
          <t>Project</t>
        </is>
      </c>
      <c r="K241" t="inlineStr">
        <is>
          <t>PDEI - Event Service</t>
        </is>
      </c>
      <c r="L241" t="inlineStr">
        <is>
          <t>GTCC Summer Showdown</t>
        </is>
      </c>
      <c r="M241" t="inlineStr">
        <is>
          <t>2025TEG-P0040</t>
        </is>
      </c>
      <c r="N241" t="inlineStr">
        <is>
          <t>Frances Angelita Arreglado</t>
        </is>
      </c>
      <c r="O241" t="inlineStr">
        <is>
          <t>202506030061-Frances Angelita Arreglado-费用报销 - 副本 - 副本 - 副本-2025-06-03 07:16:04</t>
        </is>
      </c>
      <c r="P241" t="inlineStr">
        <is>
          <t>NO</t>
        </is>
      </c>
      <c r="Q241"/>
      <c r="R241" t="inlineStr">
        <is>
          <t>NO</t>
        </is>
      </c>
      <c r="S241" t="inlineStr">
        <is>
          <t>RUSH FEE</t>
        </is>
      </c>
      <c r="T241">
        <v>1</v>
      </c>
      <c r="U241">
        <v>502.39</v>
      </c>
      <c r="V241" t="inlineStr">
        <is>
          <t>PHP</t>
        </is>
      </c>
      <c r="W241">
        <v>502.39</v>
      </c>
      <c r="X241" s="2"/>
      <c r="Y241"/>
      <c r="Z241"/>
      <c r="AA241"/>
      <c r="AB241"/>
      <c r="AC241"/>
      <c r="AD241" s="4"/>
      <c r="AE241"/>
      <c r="AF241" s="2"/>
      <c r="AG241" t="inlineStr">
        <is>
          <t>NzQyNTk5MTgyNzQ4MTg3MDM0MTpGQzA2NUI5OC0xRUU3LTQzRDUtQjczNi0xQjA5MjRBRTg5NzEtODo2ODMxNmIyZjA2ZDk2NzE3ZTYzOGU3NzJmNDI0M2YxZDox</t>
        </is>
      </c>
      <c r="AH241"/>
      <c r="AI241"/>
      <c r="AJ241"/>
      <c r="AK241"/>
    </row>
    <row r="242" ht="25.5" customHeight="1">
      <c r="A242" s="2" t="str">
        <f>=HYPERLINK("https://applink.larksuite.com/client/mini_program/open?appId=cli_9c7cc8a9a9edd105&amp;mode=appCenter&amp;path_pc=pc/pages/requested/index?instanceId=7517880907529797664&amp;source=bitable&amp;path=pages/detail/index?instanceId=7517880907529797664&amp;source=bitable", "202506200033")</f>
        <v>202506200033</v>
      </c>
      <c r="B242" t="inlineStr">
        <is>
          <t>Approved</t>
        </is>
      </c>
      <c r="C242" t="inlineStr">
        <is>
          <t>Procurement Order</t>
        </is>
      </c>
      <c r="D242" s="3">
        <v>45828.51215277778</v>
      </c>
      <c r="E242" s="3">
        <v>45833.775185185186</v>
      </c>
      <c r="F242" t="inlineStr">
        <is>
          <t>Fatima Kathleen M. FLores</t>
        </is>
      </c>
      <c r="G242" t="inlineStr">
        <is>
          <t>Procurement</t>
        </is>
      </c>
      <c r="H242"/>
      <c r="I242"/>
      <c r="J242" t="inlineStr">
        <is>
          <t>Project</t>
        </is>
      </c>
      <c r="K242" t="inlineStr">
        <is>
          <t>PDEI - Event Service</t>
        </is>
      </c>
      <c r="L242" t="inlineStr">
        <is>
          <t>GTCC Summer Showdown</t>
        </is>
      </c>
      <c r="M242" t="inlineStr">
        <is>
          <t>2025TEG-P0040</t>
        </is>
      </c>
      <c r="N242" t="inlineStr">
        <is>
          <t>Frances Angelita Arreglado</t>
        </is>
      </c>
      <c r="O242" t="inlineStr">
        <is>
          <t>202506050109-Frances Angelita Arreglado-费用报销 - 副本 - 副本 - 副本-2025-06-05 12:00:25</t>
        </is>
      </c>
      <c r="P242" t="inlineStr">
        <is>
          <t>YES</t>
        </is>
      </c>
      <c r="Q242"/>
      <c r="R242" t="inlineStr">
        <is>
          <t>YES</t>
        </is>
      </c>
      <c r="S242" t="inlineStr">
        <is>
          <t>Outsourced Video editor</t>
        </is>
      </c>
      <c r="T242">
        <v>1</v>
      </c>
      <c r="U242">
        <v>40000</v>
      </c>
      <c r="V242" t="inlineStr">
        <is>
          <t>PHP</t>
        </is>
      </c>
      <c r="W242">
        <v>40000</v>
      </c>
      <c r="X242" s="2" t="str">
        <f>=HYPERLINK("https://www.larksuite.com/approval/admin/previewAttachment?key=PMg9igJREATgK1W__qmuvcwmMzwE0UScrM8uGJh-1YbqNC8hZEuwYRq7ITCXKFbFrDFSoBGY87H_4Z3P62Dk2-_b57od-3xZimuBHuENwP5-7owIqQJfxycAAP__", "2 attachment(s)")</f>
        <v>2 attachment(s)</v>
      </c>
      <c r="Y242" t="inlineStr">
        <is>
          <t>Bank Transfer</t>
        </is>
      </c>
      <c r="Z242" t="inlineStr">
        <is>
          <t>Ziegfred Perez Domingo</t>
        </is>
      </c>
      <c r="AA242" t="inlineStr">
        <is>
          <t>8034 7580 0832</t>
        </is>
      </c>
      <c r="AB242" t="inlineStr">
        <is>
          <t>Maya Bank, Inc.</t>
        </is>
      </c>
      <c r="AC242" t="inlineStr">
        <is>
          <t>Block 4 Lot 12 San Lucas Street MWSS Compound Delpan Tondo, Manila</t>
        </is>
      </c>
      <c r="AD242" s="4">
        <v>45820</v>
      </c>
      <c r="AE242" t="inlineStr">
        <is>
          <t>1st Payment - July 11, 2025
Final Payment - July 25, 2025</t>
        </is>
      </c>
      <c r="AF242" s="2"/>
      <c r="AG242" t="inlineStr">
        <is>
          <t>NzQyNTk5MTgyNzQ4MTg3MDM0MTpGQzA1Mjg5OC00NDgxLTRBNUItOTg4Qi1EOUY5NkYzRTY2MEEtMTo2NjIxZGM3YjkyZjM3M2Y2YmEyYWQyN2UwOTA2MWE5Nzox</t>
        </is>
      </c>
      <c r="AH242"/>
      <c r="AI242"/>
      <c r="AJ242"/>
      <c r="AK242"/>
    </row>
    <row r="243" ht="25.5" customHeight="1">
      <c r="A243" s="2" t="str">
        <f>=HYPERLINK("https://applink.larksuite.com/client/mini_program/open?appId=cli_9c7cc8a9a9edd105&amp;mode=appCenter&amp;path_pc=pc/pages/requested/index?instanceId=7517930133483700256&amp;source=bitable&amp;path=pages/detail/index?instanceId=7517930133483700256&amp;source=bitable", "202506200056")</f>
        <v>202506200056</v>
      </c>
      <c r="B243" t="inlineStr">
        <is>
          <t>Approved</t>
        </is>
      </c>
      <c r="C243" t="inlineStr">
        <is>
          <t>Procurement Order</t>
        </is>
      </c>
      <c r="D243" s="3">
        <v>45828.64481481481</v>
      </c>
      <c r="E243" s="3">
        <v>45834.45722222222</v>
      </c>
      <c r="F243" t="inlineStr">
        <is>
          <t>Fatima Kathleen M. FLores</t>
        </is>
      </c>
      <c r="G243" t="inlineStr">
        <is>
          <t>Procurement</t>
        </is>
      </c>
      <c r="H243"/>
      <c r="I243"/>
      <c r="J243" t="inlineStr">
        <is>
          <t>Project</t>
        </is>
      </c>
      <c r="K243" t="inlineStr">
        <is>
          <t>PDEI - Event Service</t>
        </is>
      </c>
      <c r="L243" t="inlineStr">
        <is>
          <t>MDL PH S5 - Playoffs</t>
        </is>
      </c>
      <c r="M243" t="inlineStr">
        <is>
          <t>2025TEG-P0004</t>
        </is>
      </c>
      <c r="N243" t="inlineStr">
        <is>
          <t>Kervin</t>
        </is>
      </c>
      <c r="O243" t="inlineStr">
        <is>
          <t>202506160003-Kervin-费用报销 - 副本 - 副本 - 副本-2025-06-16 01:56:24</t>
        </is>
      </c>
      <c r="P243" t="inlineStr">
        <is>
          <t>YES</t>
        </is>
      </c>
      <c r="Q243"/>
      <c r="R243" t="inlineStr">
        <is>
          <t>YES</t>
        </is>
      </c>
      <c r="S243" t="inlineStr">
        <is>
          <t>Outsourced LED Operator</t>
        </is>
      </c>
      <c r="T243">
        <v>1</v>
      </c>
      <c r="U243">
        <v>8333.33</v>
      </c>
      <c r="V243" t="inlineStr">
        <is>
          <t>PHP</t>
        </is>
      </c>
      <c r="W243">
        <v>8333.33</v>
      </c>
      <c r="X243" s="2" t="str">
        <f>=HYPERLINK("https://www.larksuite.com/approval/admin/previewAttachment?key=PMhBCsJADAXQK_0_yeQnXsaNZRBEEKSFLnJ2wUW3L5KInLQoeHEU2JpUGWjmaQLGjB5NqSAK6O297uexa38xOT-e6-zj-Vjbl7M0BmTulgB4u9zk7lXh-Dt-AQAA__8", "2 attachment(s)")</f>
        <v>2 attachment(s)</v>
      </c>
      <c r="Y243" t="inlineStr">
        <is>
          <t>Bank Transfer</t>
        </is>
      </c>
      <c r="Z243" t="inlineStr">
        <is>
          <t>Julia Sandra Dela Peña</t>
        </is>
      </c>
      <c r="AA243" t="inlineStr">
        <is>
          <t>3229335854</t>
        </is>
      </c>
      <c r="AB243" t="inlineStr">
        <is>
          <t>BPI</t>
        </is>
      </c>
      <c r="AC243" t="inlineStr">
        <is>
          <t>2330 Calderon Street Sta Ana Manila</t>
        </is>
      </c>
      <c r="AD243" s="4">
        <v>45793</v>
      </c>
      <c r="AE243" t="inlineStr">
        <is>
          <t>100% Full Payment - June 27, 2025</t>
        </is>
      </c>
      <c r="AF243" s="2"/>
      <c r="AG243" t="inlineStr">
        <is>
          <t>NzQyNTk5MTgyNzQ4MTg3MDM0MTowRUY2MTg0RC0xQUJDLTQ1NjctOTUwOC1CMTRBMERBQjA5RjEtMTpiMDJjZTM4YTVkMjlmMzMyYjc1ZTY5ZjFjYjA4MjIxMDox</t>
        </is>
      </c>
      <c r="AH243"/>
      <c r="AI243"/>
      <c r="AJ243"/>
      <c r="AK243"/>
    </row>
    <row r="244" ht="25.5" customHeight="1">
      <c r="A244" s="2" t="str">
        <f>=HYPERLINK("https://applink.larksuite.com/client/mini_program/open?appId=cli_9c7cc8a9a9edd105&amp;mode=appCenter&amp;path_pc=pc/pages/requested/index?instanceId=7517932879091875871&amp;source=bitable&amp;path=pages/detail/index?instanceId=7517932879091875871&amp;source=bitable", "202506200057")</f>
        <v>202506200057</v>
      </c>
      <c r="B244" t="inlineStr">
        <is>
          <t>Approved</t>
        </is>
      </c>
      <c r="C244" t="inlineStr">
        <is>
          <t>Procurement Order</t>
        </is>
      </c>
      <c r="D244" s="3">
        <v>45828.65221064815</v>
      </c>
      <c r="E244" s="3">
        <v>45833.74418981482</v>
      </c>
      <c r="F244" t="inlineStr">
        <is>
          <t>Fatima Kathleen M. FLores</t>
        </is>
      </c>
      <c r="G244" t="inlineStr">
        <is>
          <t>Procurement</t>
        </is>
      </c>
      <c r="H244"/>
      <c r="I244"/>
      <c r="J244" t="inlineStr">
        <is>
          <t>Project</t>
        </is>
      </c>
      <c r="K244" t="inlineStr">
        <is>
          <t>PDEI - Game Marketing</t>
        </is>
      </c>
      <c r="L244" t="inlineStr">
        <is>
          <t>realme Cup</t>
        </is>
      </c>
      <c r="M244" t="inlineStr">
        <is>
          <t>2025TEG-P0094</t>
        </is>
      </c>
      <c r="N244" t="inlineStr">
        <is>
          <t>Anteaus Villena</t>
        </is>
      </c>
      <c r="O244" t="inlineStr">
        <is>
          <t>202506180066-Anteaus Villena-费用报销 - 副本 - 副本 - 副本-2025-06-18 08:02:19</t>
        </is>
      </c>
      <c r="P244" t="inlineStr">
        <is>
          <t>NO</t>
        </is>
      </c>
      <c r="Q244"/>
      <c r="R244" t="inlineStr">
        <is>
          <t>NO</t>
        </is>
      </c>
      <c r="S244" t="inlineStr">
        <is>
          <t>Outsourced Photography &amp; Videography Team</t>
        </is>
      </c>
      <c r="T244">
        <v>1</v>
      </c>
      <c r="U244">
        <v>61600</v>
      </c>
      <c r="V244" t="inlineStr">
        <is>
          <t>PHP</t>
        </is>
      </c>
      <c r="W244">
        <v>61600</v>
      </c>
      <c r="X244" s="2" t="str">
        <f>=HYPERLINK("https://www.larksuite.com/approval/admin/previewAttachment?key=PMgxCkIxEATQK81kN5kdL2PzP0FEgyDY5eyChe0bRYzqjGGk2QxudcrRSoZZ6iXutikZooB9PufV90K95lyPWDrW_tyOeb7ZrdagyIwCwMvfQ5lpj8TP8Q0AAP__", "2 attachment(s)")</f>
        <v>2 attachment(s)</v>
      </c>
      <c r="Y244" t="inlineStr">
        <is>
          <t>Bank Transfer</t>
        </is>
      </c>
      <c r="Z244" t="inlineStr">
        <is>
          <t>Ryan Matias</t>
        </is>
      </c>
      <c r="AA244" t="inlineStr">
        <is>
          <t>1996 2285 79</t>
        </is>
      </c>
      <c r="AB244" t="inlineStr">
        <is>
          <t>BPI</t>
        </is>
      </c>
      <c r="AC244" t="inlineStr">
        <is>
          <t>Kingsville, Antipolo</t>
        </is>
      </c>
      <c r="AD244" s="4">
        <v>45817</v>
      </c>
      <c r="AE244" t="inlineStr">
        <is>
          <t>50% Down Payment upon confirmation
50% Full Payment - 14 days upon completion of services</t>
        </is>
      </c>
      <c r="AF244" s="2"/>
      <c r="AG244" t="inlineStr">
        <is>
          <t>NzQyNTk5MTgyNzQ4MTg3MDM0MTpFQ0Q3MDhENi0yRTVELTRCMkYtQTYxMi04MjVGQjdFMzA5MTUtMTozMmMwY2M1ZWUwNmMyZDI4MDVjYjZhNWJjMmMwZTRkMzox</t>
        </is>
      </c>
      <c r="AH244"/>
      <c r="AI244"/>
      <c r="AJ244"/>
      <c r="AK244"/>
    </row>
    <row r="245" ht="25.5" customHeight="1">
      <c r="A245" s="2" t="str">
        <f>=HYPERLINK("https://applink.larksuite.com/client/mini_program/open?appId=cli_9c7cc8a9a9edd105&amp;mode=appCenter&amp;path_pc=pc/pages/requested/index?instanceId=7517935100080783398&amp;source=bitable&amp;path=pages/detail/index?instanceId=7517935100080783398&amp;source=bitable", "202506200058")</f>
        <v>202506200058</v>
      </c>
      <c r="B245" t="inlineStr">
        <is>
          <t>Approved</t>
        </is>
      </c>
      <c r="C245" t="inlineStr">
        <is>
          <t>Procurement Order</t>
        </is>
      </c>
      <c r="D245" s="3">
        <v>45828.65819444445</v>
      </c>
      <c r="E245" s="3">
        <v>45833.7719212963</v>
      </c>
      <c r="F245" t="inlineStr">
        <is>
          <t>Fatima Kathleen M. FLores</t>
        </is>
      </c>
      <c r="G245" t="inlineStr">
        <is>
          <t>Procurement</t>
        </is>
      </c>
      <c r="H245"/>
      <c r="I245"/>
      <c r="J245" t="inlineStr">
        <is>
          <t>Project</t>
        </is>
      </c>
      <c r="K245" t="inlineStr">
        <is>
          <t>PDEI - Event Service</t>
        </is>
      </c>
      <c r="L245" t="inlineStr">
        <is>
          <t>GTCC Summer Showdown</t>
        </is>
      </c>
      <c r="M245" t="inlineStr">
        <is>
          <t>2025TEG-P0040</t>
        </is>
      </c>
      <c r="N245" t="inlineStr">
        <is>
          <t>Frances Angelita Arreglado</t>
        </is>
      </c>
      <c r="O245" t="inlineStr">
        <is>
          <t>202506060029-Frances Angelita Arreglado-费用报销 - 副本 - 副本 - 副本-2025-06-06 10:43:45</t>
        </is>
      </c>
      <c r="P245" t="inlineStr">
        <is>
          <t>YES</t>
        </is>
      </c>
      <c r="Q245"/>
      <c r="R245" t="inlineStr">
        <is>
          <t>YES</t>
        </is>
      </c>
      <c r="S245" t="inlineStr">
        <is>
          <t>Outsourced Executive Producer</t>
        </is>
      </c>
      <c r="T245">
        <v>1</v>
      </c>
      <c r="U245">
        <v>100000</v>
      </c>
      <c r="V245" t="inlineStr">
        <is>
          <t>PHP</t>
        </is>
      </c>
      <c r="W245">
        <v>100000</v>
      </c>
      <c r="X245" s="2" t="str">
        <f>=HYPERLINK("https://www.larksuite.com/approval/admin/previewAttachment?key=PMgxCgIxFATQK83k_2T-eBmbXYIgVqKuRc4uWGz7RhGjOmMYaTaDS51ydAIoqCJcqy1Khihg7Y95fX3rKGt-jrbdZ673bZv7k91qDYrMKAC8nB7KTHsk_o5fAAAA__8", "2 attachment(s)")</f>
        <v>2 attachment(s)</v>
      </c>
      <c r="Y245" t="inlineStr">
        <is>
          <t>Bank Transfer</t>
        </is>
      </c>
      <c r="Z245" t="inlineStr">
        <is>
          <t>Ruben A. Mercado Jr.</t>
        </is>
      </c>
      <c r="AA245" t="inlineStr">
        <is>
          <t>1096 6595 8663</t>
        </is>
      </c>
      <c r="AB245" t="inlineStr">
        <is>
          <t>Unionbank</t>
        </is>
      </c>
      <c r="AC245" t="inlineStr">
        <is>
          <t>L 33 Blk 15 DM8 Subd. San Andress Hagonoy St. Cainta Rizal</t>
        </is>
      </c>
      <c r="AD245" s="4">
        <v>45763</v>
      </c>
      <c r="AE245" t="inlineStr">
        <is>
          <t>1st Payment - June 27, 2025
2nd Payment - July 11, 2025
Final Payment - July 25, 2025</t>
        </is>
      </c>
      <c r="AF245" s="2"/>
      <c r="AG245" t="inlineStr">
        <is>
          <t>NzQyNTk5MTgyNzQ4MTg3MDM0MTpEQ0U2OUFEMS0wQkQwLTRGNzktQTlDMC0yRjE2MkZENkFFRDItMTo5MmQ0MDQwMzJiZTg2ODhlYzk1ZjJjMzdlYWE5MmU4Njox</t>
        </is>
      </c>
      <c r="AH245"/>
      <c r="AI245"/>
      <c r="AJ245"/>
      <c r="AK245"/>
    </row>
    <row r="246" ht="25.5" customHeight="1">
      <c r="A246" s="2" t="str">
        <f>=HYPERLINK("https://applink.larksuite.com/client/mini_program/open?appId=cli_9c7cc8a9a9edd105&amp;mode=appCenter&amp;path_pc=pc/pages/requested/index?instanceId=7517936860153298975&amp;source=bitable&amp;path=pages/detail/index?instanceId=7517936860153298975&amp;source=bitable", "202506200059")</f>
        <v>202506200059</v>
      </c>
      <c r="B246" t="inlineStr">
        <is>
          <t>Approved</t>
        </is>
      </c>
      <c r="C246" t="inlineStr">
        <is>
          <t>Procurement Order</t>
        </is>
      </c>
      <c r="D246" s="3">
        <v>45828.662939814814</v>
      </c>
      <c r="E246" s="3">
        <v>45833.77365740741</v>
      </c>
      <c r="F246" t="inlineStr">
        <is>
          <t>Fatima Kathleen M. FLores</t>
        </is>
      </c>
      <c r="G246" t="inlineStr">
        <is>
          <t>Procurement</t>
        </is>
      </c>
      <c r="H246"/>
      <c r="I246"/>
      <c r="J246" t="inlineStr">
        <is>
          <t>Project</t>
        </is>
      </c>
      <c r="K246" t="inlineStr">
        <is>
          <t>PDEI - Event Service</t>
        </is>
      </c>
      <c r="L246" t="inlineStr">
        <is>
          <t>GTCC Summer Showdown</t>
        </is>
      </c>
      <c r="M246" t="inlineStr">
        <is>
          <t>2025TEG-P0040</t>
        </is>
      </c>
      <c r="N246" t="inlineStr">
        <is>
          <t>Frances Angelita Arreglado</t>
        </is>
      </c>
      <c r="O246" t="inlineStr">
        <is>
          <t>202506050110-Frances Angelita Arreglado-费用报销 - 副本 - 副本 - 副本-2025-06-05 12:11:57</t>
        </is>
      </c>
      <c r="P246" t="inlineStr">
        <is>
          <t>YES</t>
        </is>
      </c>
      <c r="Q246"/>
      <c r="R246" t="inlineStr">
        <is>
          <t>YES</t>
        </is>
      </c>
      <c r="S246" t="inlineStr">
        <is>
          <t>Outsourced Broadcast and Motion Graphic Artist</t>
        </is>
      </c>
      <c r="T246">
        <v>1</v>
      </c>
      <c r="U246">
        <v>75000</v>
      </c>
      <c r="V246" t="inlineStr">
        <is>
          <t>PHP</t>
        </is>
      </c>
      <c r="W246">
        <v>75000</v>
      </c>
      <c r="X246" s="2" t="str">
        <f>=HYPERLINK("https://www.larksuite.com/approval/admin/previewAttachment?key=PMg7CsJgEATgK83--5gdL2OTEASJjRBs9uyChe1XbahO8xJCtgQbplFeXbD0pRZz1hgp0AjMfh73zFa_ov3ct8_zmuuxHfvbUlwL9AhvAHb7uzMipAr8HN8AAAD__w", "2 attachment(s)")</f>
        <v>2 attachment(s)</v>
      </c>
      <c r="Y246" t="inlineStr">
        <is>
          <t>Bank Transfer</t>
        </is>
      </c>
      <c r="Z246" t="inlineStr">
        <is>
          <t>Jeric Angelo C. Asinas</t>
        </is>
      </c>
      <c r="AA246" t="inlineStr">
        <is>
          <t>4519301747</t>
        </is>
      </c>
      <c r="AB246" t="inlineStr">
        <is>
          <t>BPI</t>
        </is>
      </c>
      <c r="AC246" t="inlineStr">
        <is>
          <t>1723 Lirio St. Camarin, Brgy 174 Caloocan City</t>
        </is>
      </c>
      <c r="AD246" s="4">
        <v>45792</v>
      </c>
      <c r="AE246" t="inlineStr">
        <is>
          <t>1st Payment - June 27, 2025
2nd Payment - July 11, 2025
Final Payment - July 25, 2025</t>
        </is>
      </c>
      <c r="AF246" s="2"/>
      <c r="AG246" t="inlineStr">
        <is>
          <t>NzQyNTk5MTgyNzQ4MTg3MDM0MTpCMERCQjRFRC0zQjhDLTQwMTEtQjEwQS05Rjk0MUYzNEQ3MzgtMTo3MjMzNjY5OWE0ZWFkMDQ2NzUwOThkMTVkZDM3ZjBmNjox</t>
        </is>
      </c>
      <c r="AH246"/>
      <c r="AI246"/>
      <c r="AJ246"/>
      <c r="AK246"/>
    </row>
    <row r="247" ht="25.5" customHeight="1">
      <c r="A247" s="2" t="str">
        <f>=HYPERLINK("https://applink.larksuite.com/client/mini_program/open?appId=cli_9c7cc8a9a9edd105&amp;mode=appCenter&amp;path_pc=pc/pages/requested/index?instanceId=7517938970056114214&amp;source=bitable&amp;path=pages/detail/index?instanceId=7517938970056114214&amp;source=bitable", "202506200060")</f>
        <v>202506200060</v>
      </c>
      <c r="B247" t="inlineStr">
        <is>
          <t>Approved</t>
        </is>
      </c>
      <c r="C247" t="inlineStr">
        <is>
          <t>Procurement Order</t>
        </is>
      </c>
      <c r="D247" s="3">
        <v>45828.66862268518</v>
      </c>
      <c r="E247" s="3">
        <v>45833.72215277778</v>
      </c>
      <c r="F247" t="inlineStr">
        <is>
          <t>Fatima Kathleen M. FLores</t>
        </is>
      </c>
      <c r="G247" t="inlineStr">
        <is>
          <t>Procurement</t>
        </is>
      </c>
      <c r="H247"/>
      <c r="I247"/>
      <c r="J247" t="inlineStr">
        <is>
          <t>Project</t>
        </is>
      </c>
      <c r="K247" t="inlineStr">
        <is>
          <t>PDEI - Event Service</t>
        </is>
      </c>
      <c r="L247" t="inlineStr">
        <is>
          <t>GTCC Summer Showdown</t>
        </is>
      </c>
      <c r="M247" t="inlineStr">
        <is>
          <t>2025TEG-P0040</t>
        </is>
      </c>
      <c r="N247" t="inlineStr">
        <is>
          <t>Frances Angelita Arreglado</t>
        </is>
      </c>
      <c r="O247" t="inlineStr">
        <is>
          <t>202506050107-Frances Angelita Arreglado-费用报销 - 副本 - 副本 - 副本-2025-06-05 11:42:34</t>
        </is>
      </c>
      <c r="P247" t="inlineStr">
        <is>
          <t>YES</t>
        </is>
      </c>
      <c r="Q247"/>
      <c r="R247" t="inlineStr">
        <is>
          <t>NO</t>
        </is>
      </c>
      <c r="S247" t="inlineStr">
        <is>
          <t>Outsourced 3D Artist</t>
        </is>
      </c>
      <c r="T247">
        <v>1</v>
      </c>
      <c r="U247">
        <v>50000</v>
      </c>
      <c r="V247" t="inlineStr">
        <is>
          <t>PHP</t>
        </is>
      </c>
      <c r="W247">
        <v>50000</v>
      </c>
      <c r="X247" s="2" t="str">
        <f>=HYPERLINK("https://www.larksuite.com/approval/admin/previewAttachment?key=PMgxCkIxEATQK83sTjJZL2Nj-FhEG-GjRc4uWNi-Pog-GrMXVIwCtxtdOcpA66SC2rFpF0wDez6O62rrs6wzn1N4xz7vt2O-2MoRcEo5APDy97Skqi78HN8AAAD__w", "2 attachment(s)")</f>
        <v>2 attachment(s)</v>
      </c>
      <c r="Y247" t="inlineStr">
        <is>
          <t>Bank Transfer</t>
        </is>
      </c>
      <c r="Z247" t="inlineStr">
        <is>
          <t>Ezzard Slim Eguia</t>
        </is>
      </c>
      <c r="AA247" t="inlineStr">
        <is>
          <t>6196 2357 26</t>
        </is>
      </c>
      <c r="AB247" t="inlineStr">
        <is>
          <t>BPI</t>
        </is>
      </c>
      <c r="AC247" t="inlineStr">
        <is>
          <t>34 Ambuklao St NPC Village, Pasong Tamo, QC</t>
        </is>
      </c>
      <c r="AD247" s="4">
        <v>45792</v>
      </c>
      <c r="AE247" t="inlineStr">
        <is>
          <t>1st Payment - June 27, 2025
Final Payment - July 11, 2025</t>
        </is>
      </c>
      <c r="AF247" s="2"/>
      <c r="AG247" t="inlineStr">
        <is>
          <t>NzQyNTk5MTgyNzQ4MTg3MDM0MTpERDBERjI4Ny02NkNFLTQyQjItOTAyQS0wRkVDQ0EzQzBEOEMtMTphOWJlN2Q4NmYyNWEwNDM1Y2E2Njc4ODJiZDVmYzk4Njox</t>
        </is>
      </c>
      <c r="AH247"/>
      <c r="AI247"/>
      <c r="AJ247"/>
      <c r="AK247"/>
    </row>
    <row r="248" ht="25.5" customHeight="1">
      <c r="A248" s="2" t="str">
        <f>=HYPERLINK("https://applink.larksuite.com/client/mini_program/open?appId=cli_9c7cc8a9a9edd105&amp;mode=appCenter&amp;path_pc=pc/pages/requested/index?instanceId=7527180512369082399&amp;source=bitable&amp;path=pages/detail/index?instanceId=7527180512369082399&amp;source=bitable", "202507150022")</f>
        <v>202507150022</v>
      </c>
      <c r="B248" t="inlineStr">
        <is>
          <t>Approved</t>
        </is>
      </c>
      <c r="C248" t="inlineStr">
        <is>
          <t>Procurement Order</t>
        </is>
      </c>
      <c r="D248" s="3">
        <v>45853.57271990741</v>
      </c>
      <c r="E248" s="3">
        <v>45867.74349537037</v>
      </c>
      <c r="F248" t="inlineStr">
        <is>
          <t>Fatima Kathleen M. FLores</t>
        </is>
      </c>
      <c r="G248" t="inlineStr">
        <is>
          <t>Procurement</t>
        </is>
      </c>
      <c r="H248"/>
      <c r="I248"/>
      <c r="J248" t="inlineStr">
        <is>
          <t>Project</t>
        </is>
      </c>
      <c r="K248" t="inlineStr">
        <is>
          <t>PDEI - Game Marketing</t>
        </is>
      </c>
      <c r="L248" t="inlineStr">
        <is>
          <t>Samsung Galaxy Gaming Academy - Content Seeding</t>
        </is>
      </c>
      <c r="M248" t="inlineStr">
        <is>
          <t>2025TEG-P0075</t>
        </is>
      </c>
      <c r="N248" t="inlineStr">
        <is>
          <t>Diana Lou Perocho Gosamo</t>
        </is>
      </c>
      <c r="O248" t="inlineStr">
        <is>
          <t>202507040050-Diana Lou Perocho Gosamo-费用报销 - 副本 - 副本 - 副本-2025-07-04 08:33:20</t>
        </is>
      </c>
      <c r="P248" t="inlineStr">
        <is>
          <t>YES</t>
        </is>
      </c>
      <c r="Q248"/>
      <c r="R248" t="inlineStr">
        <is>
          <t>YES</t>
        </is>
      </c>
      <c r="S248" t="inlineStr">
        <is>
          <t>Social Media Post / Sponsored Post</t>
        </is>
      </c>
      <c r="T248">
        <v>1</v>
      </c>
      <c r="U248">
        <v>10000</v>
      </c>
      <c r="V248" t="inlineStr">
        <is>
          <t>PHP</t>
        </is>
      </c>
      <c r="W248">
        <v>10000</v>
      </c>
      <c r="X248" s="2" t="str">
        <f>=HYPERLINK("https://www.larksuite.com/approval/admin/previewAttachment?key=PMgxqsMwEATQK82sVhrNv8xvbESagCHY4GLPHpIi7RuTGLOzDSPNMFjqIU50xkdnNLuiKBmikLU_1_95L6-T4nEf19bremxrf7FbEVDLbBMA_37elJn2SHwd7wAAAP__", "2 attachment(s)")</f>
        <v>2 attachment(s)</v>
      </c>
      <c r="Y248" t="inlineStr">
        <is>
          <t>Bank Transfer</t>
        </is>
      </c>
      <c r="Z248" t="inlineStr">
        <is>
          <t>RENS STEPHEN VILLAPANA</t>
        </is>
      </c>
      <c r="AA248" t="inlineStr">
        <is>
          <t>0539120042</t>
        </is>
      </c>
      <c r="AB248" t="inlineStr">
        <is>
          <t>BPI</t>
        </is>
      </c>
      <c r="AC248" t="inlineStr">
        <is>
          <t>LOR, Matatalaib, Tarlac City</t>
        </is>
      </c>
      <c r="AD248" s="4">
        <v>45762</v>
      </c>
      <c r="AE248" t="inlineStr">
        <is>
          <t>100% Full Payment</t>
        </is>
      </c>
      <c r="AF248" s="2"/>
      <c r="AG248" t="inlineStr">
        <is>
          <t>NzQyNTk5MTgyNzQ4MTg3MDM0MTo0RkU3MUM4OC1CRDc5LTQ2MkUtOEVEQS01RjhBRDI5OTNENTAtMTplMzg3NmQzYTEyMDkwODJjMWEyZTE0OWZmOTY1ZTU1Yzox</t>
        </is>
      </c>
      <c r="AH248" t="inlineStr">
        <is>
          <t>PinoyGamer</t>
        </is>
      </c>
      <c r="AI248"/>
      <c r="AJ248"/>
      <c r="AK248"/>
    </row>
    <row r="249" ht="25.5" customHeight="1">
      <c r="A249" s="2" t="str">
        <f>=HYPERLINK("https://applink.larksuite.com/client/mini_program/open?appId=cli_9c7cc8a9a9edd105&amp;mode=appCenter&amp;path_pc=pc/pages/requested/index?instanceId=7537981263630762022&amp;source=bitable&amp;path=pages/detail/index?instanceId=7537981263630762022&amp;source=bitable", "202508130052")</f>
        <v>202508130052</v>
      </c>
      <c r="B249" t="inlineStr">
        <is>
          <t>Approved</t>
        </is>
      </c>
      <c r="C249" t="inlineStr">
        <is>
          <t>Procurement Order</t>
        </is>
      </c>
      <c r="D249" s="3">
        <v>45882.67857638889</v>
      </c>
      <c r="E249" s="3">
        <v>45889.51907407407</v>
      </c>
      <c r="F249" t="inlineStr">
        <is>
          <t>Fatima Kathleen M. FLores</t>
        </is>
      </c>
      <c r="G249" t="inlineStr">
        <is>
          <t>Procurement</t>
        </is>
      </c>
      <c r="H249"/>
      <c r="I249"/>
      <c r="J249" t="inlineStr">
        <is>
          <t>Project</t>
        </is>
      </c>
      <c r="K249" t="inlineStr">
        <is>
          <t>PDEI - Event Service</t>
        </is>
      </c>
      <c r="L249" t="inlineStr">
        <is>
          <t>MPL PH S16 Media Day</t>
        </is>
      </c>
      <c r="M249" t="inlineStr">
        <is>
          <t>2025TEG-P0194</t>
        </is>
      </c>
      <c r="N249" t="inlineStr">
        <is>
          <t>Jessica Jane Lor Felicilda</t>
        </is>
      </c>
      <c r="O249" t="inlineStr">
        <is>
          <t>202507310023-Jessica Jane Lor Felicilda-费用报销 - 副本 - 副本 - 副本-2025-07-31 03:39:25</t>
        </is>
      </c>
      <c r="P249" t="inlineStr">
        <is>
          <t>YES</t>
        </is>
      </c>
      <c r="Q249"/>
      <c r="R249" t="inlineStr">
        <is>
          <t>YES</t>
        </is>
      </c>
      <c r="S249" t="inlineStr">
        <is>
          <t>Outsourced Logistics Associate</t>
        </is>
      </c>
      <c r="T249">
        <v>1</v>
      </c>
      <c r="U249">
        <v>6000</v>
      </c>
      <c r="V249" t="inlineStr">
        <is>
          <t>PHP</t>
        </is>
      </c>
      <c r="W249">
        <v>6000</v>
      </c>
      <c r="X249" s="2" t="str">
        <f>=HYPERLINK("https://www.larksuite.com/approval/admin/previewAttachment?key=PMgxqoJBDATgK80k2czmXeY1Losiv42oWOTsgoXtl5PIOehZiKIV2BqumrT0dCgNZm1NqSCK6HXs_8d7H0vjZtfXpdbo5_m0152jZAZ5hE8A_Pu5KyKqMvB1fAIAAP__", "2 attachment(s)")</f>
        <v>2 attachment(s)</v>
      </c>
      <c r="Y249" t="inlineStr">
        <is>
          <t>Bank Transfer</t>
        </is>
      </c>
      <c r="Z249" t="inlineStr">
        <is>
          <t>Rizel John Obong</t>
        </is>
      </c>
      <c r="AA249" t="inlineStr">
        <is>
          <t>09709731174</t>
        </is>
      </c>
      <c r="AB249" t="inlineStr">
        <is>
          <t>GCash</t>
        </is>
      </c>
      <c r="AC249" t="inlineStr">
        <is>
          <t>Blk 1j Lot 31 Phase 3 E-1 Dagat Dagatan Caloocan City</t>
        </is>
      </c>
      <c r="AD249" s="4">
        <v>45877</v>
      </c>
      <c r="AE249" t="inlineStr">
        <is>
          <t>100% Full Payment - Aug. 22, 2025</t>
        </is>
      </c>
      <c r="AF249" s="2"/>
      <c r="AG249" t="inlineStr">
        <is>
          <t>NzQyNTk5MTgyNzQ4MTg3MDM0MTo0NzEwOTMwOS1BMDA3LTQ2OEUtOTE1NS0wNzk2Qzc4M0JDNTMtMTpmMmQ1N2E5Y2Y4ZWVmMWI3YzA3Zjc3MDE5ZmNkN2JlZTox</t>
        </is>
      </c>
      <c r="AH249" t="inlineStr">
        <is>
          <t>Rizel John Obong</t>
        </is>
      </c>
      <c r="AI249"/>
      <c r="AJ249"/>
      <c r="AK249"/>
    </row>
    <row r="250" ht="25.5" customHeight="1">
      <c r="A250" s="2" t="str">
        <f>=HYPERLINK("https://applink.larksuite.com/client/mini_program/open?appId=cli_9c7cc8a9a9edd105&amp;mode=appCenter&amp;path_pc=pc/pages/requested/index?instanceId=7539824689439391775&amp;source=bitable&amp;path=pages/detail/index?instanceId=7539824689439391775&amp;source=bitable", "202508180026")</f>
        <v>202508180026</v>
      </c>
      <c r="B250" t="inlineStr">
        <is>
          <t>Approved</t>
        </is>
      </c>
      <c r="C250" t="inlineStr">
        <is>
          <t>Procurement Order</t>
        </is>
      </c>
      <c r="D250" s="3">
        <v>45887.64623842593</v>
      </c>
      <c r="E250" s="3">
        <v>45887.86340277778</v>
      </c>
      <c r="F250" t="inlineStr">
        <is>
          <t>Fatima Kathleen M. FLores</t>
        </is>
      </c>
      <c r="G250" t="inlineStr">
        <is>
          <t>Procurement</t>
        </is>
      </c>
      <c r="H250"/>
      <c r="I250"/>
      <c r="J250" t="inlineStr">
        <is>
          <t>Project</t>
        </is>
      </c>
      <c r="K250" t="inlineStr">
        <is>
          <t>PDEI - Event Service</t>
        </is>
      </c>
      <c r="L250" t="inlineStr">
        <is>
          <t>MPL PH S16 - Regular Season</t>
        </is>
      </c>
      <c r="M250" t="inlineStr">
        <is>
          <t>2025TEG-P0214</t>
        </is>
      </c>
      <c r="N250" t="inlineStr">
        <is>
          <t>Jessica Jane Lor Felicilda</t>
        </is>
      </c>
      <c r="O250" t="inlineStr">
        <is>
          <t>202508050042-Jessica Jane Lor Felicilda-费用报销 - 副本 - 副本 - 副本-2025-08-05 06:07:04</t>
        </is>
      </c>
      <c r="P250" t="inlineStr">
        <is>
          <t>NO</t>
        </is>
      </c>
      <c r="Q250"/>
      <c r="R250" t="inlineStr">
        <is>
          <t>NO</t>
        </is>
      </c>
      <c r="S250" t="inlineStr">
        <is>
          <t>Feather Banner - no Mechanism (2x7ft)</t>
        </is>
      </c>
      <c r="T250">
        <v>16</v>
      </c>
      <c r="U250">
        <v>2800</v>
      </c>
      <c r="V250" t="inlineStr">
        <is>
          <t>PHP</t>
        </is>
      </c>
      <c r="W250">
        <v>44800</v>
      </c>
      <c r="X250" s="2"/>
      <c r="Y250" t="inlineStr">
        <is>
          <t>Bank Transfer</t>
        </is>
      </c>
      <c r="Z250" t="inlineStr">
        <is>
          <t>MARB PRINTING SERVICES</t>
        </is>
      </c>
      <c r="AA250" t="inlineStr">
        <is>
          <t>000288066181</t>
        </is>
      </c>
      <c r="AB250" t="inlineStr">
        <is>
          <t>BDO</t>
        </is>
      </c>
      <c r="AC250" t="inlineStr">
        <is>
          <t>31st Ave., 2F Le Nuovo Bldg., Cor. JP Rizal St., East Rembo, Makati City</t>
        </is>
      </c>
      <c r="AD250" s="4">
        <v>45639</v>
      </c>
      <c r="AE250" t="inlineStr">
        <is>
          <t>50% Down Payment upon confirmation
50% Final payment upon completion</t>
        </is>
      </c>
      <c r="AF250" s="2"/>
      <c r="AG250" t="inlineStr">
        <is>
          <t>NzQyNTk5MTgyNzQ4MTg3MDM0MTowNkEzNjk4Ri02MDc5LTREM0EtQTZFOC1EQzVBQTEzNzBBMkMtMTo5OWEyYzZiMTRiZjFjYjg3MjU4YzkyNDYyNGZmN2I1Yzox</t>
        </is>
      </c>
      <c r="AH250" t="inlineStr">
        <is>
          <t>MARB PRINTING SERVICES</t>
        </is>
      </c>
      <c r="AI250"/>
      <c r="AJ250"/>
      <c r="AK250"/>
    </row>
    <row r="251" ht="25.5" customHeight="1">
      <c r="A251" s="2" t="str">
        <f>=HYPERLINK("https://applink.larksuite.com/client/mini_program/open?appId=cli_9c7cc8a9a9edd105&amp;mode=appCenter&amp;path_pc=pc/pages/requested/index?instanceId=7539824689439391775&amp;source=bitable&amp;path=pages/detail/index?instanceId=7539824689439391775&amp;source=bitable", "202508180026")</f>
        <v>202508180026</v>
      </c>
      <c r="B251" t="inlineStr">
        <is>
          <t>Approved</t>
        </is>
      </c>
      <c r="C251" t="inlineStr">
        <is>
          <t>Procurement Order</t>
        </is>
      </c>
      <c r="D251" s="3">
        <v>45887.64623842593</v>
      </c>
      <c r="E251" s="3">
        <v>45887.86340277778</v>
      </c>
      <c r="F251" t="inlineStr">
        <is>
          <t>Fatima Kathleen M. FLores</t>
        </is>
      </c>
      <c r="G251" t="inlineStr">
        <is>
          <t>Procurement</t>
        </is>
      </c>
      <c r="H251"/>
      <c r="I251"/>
      <c r="J251" t="inlineStr">
        <is>
          <t>Project</t>
        </is>
      </c>
      <c r="K251" t="inlineStr">
        <is>
          <t>PDEI - Event Service</t>
        </is>
      </c>
      <c r="L251" t="inlineStr">
        <is>
          <t>MPL PH S16 - Regular Season</t>
        </is>
      </c>
      <c r="M251" t="inlineStr">
        <is>
          <t>2025TEG-P0214</t>
        </is>
      </c>
      <c r="N251" t="inlineStr">
        <is>
          <t>Jessica Jane Lor Felicilda</t>
        </is>
      </c>
      <c r="O251" t="inlineStr">
        <is>
          <t>202508050042-Jessica Jane Lor Felicilda-费用报销 - 副本 - 副本 - 副本-2025-08-05 06:07:04</t>
        </is>
      </c>
      <c r="P251" t="inlineStr">
        <is>
          <t>NO</t>
        </is>
      </c>
      <c r="Q251"/>
      <c r="R251" t="inlineStr">
        <is>
          <t>NO</t>
        </is>
      </c>
      <c r="S251" t="inlineStr">
        <is>
          <t>Rush Fee</t>
        </is>
      </c>
      <c r="T251">
        <v>1</v>
      </c>
      <c r="U251">
        <v>3000</v>
      </c>
      <c r="V251" t="inlineStr">
        <is>
          <t>PHP</t>
        </is>
      </c>
      <c r="W251">
        <v>3000</v>
      </c>
      <c r="X251" s="2" t="str">
        <f>=HYPERLINK("https://www.larksuite.com/approval/admin/previewAttachment?key=PMgxDsIwFAPQK9n5P3HMZVhaRahqWVARDDk7EkPX1zrRemU0I81icKqGe8nWneEwpTrLpGSIIuZ6jLu3Y-zbp-7n6e_ynO_HMtYXq1UKFJnRAfB2eSgz7Zb4O38BAAD__w", "2 attachment(s)")</f>
        <v>2 attachment(s)</v>
      </c>
      <c r="Y251"/>
      <c r="Z251"/>
      <c r="AA251"/>
      <c r="AB251"/>
      <c r="AC251"/>
      <c r="AD251" s="4"/>
      <c r="AE251"/>
      <c r="AF251" s="2"/>
      <c r="AG251" t="inlineStr">
        <is>
          <t>NzQyNTk5MTgyNzQ4MTg3MDM0MTowNkEzNjk4Ri02MDc5LTREM0EtQTZFOC1EQzVBQTEzNzBBMkMtMjo3NzE2ZjBlNzgwZmNkNmUwNzczMGYwM2QyOGRjM2M1ZTox</t>
        </is>
      </c>
      <c r="AH251"/>
      <c r="AI251"/>
      <c r="AJ251"/>
      <c r="AK251"/>
    </row>
    <row r="252" ht="25.5" customHeight="1">
      <c r="A252" s="2" t="str">
        <f>=HYPERLINK("https://applink.larksuite.com/client/mini_program/open?appId=cli_9c7cc8a9a9edd105&amp;mode=appCenter&amp;path_pc=pc/pages/requested/index?instanceId=7539833492826259487&amp;source=bitable&amp;path=pages/detail/index?instanceId=7539833492826259487&amp;source=bitable", "202508180034")</f>
        <v>202508180034</v>
      </c>
      <c r="B252" t="inlineStr">
        <is>
          <t>Approved</t>
        </is>
      </c>
      <c r="C252" t="inlineStr">
        <is>
          <t>Procurement Order</t>
        </is>
      </c>
      <c r="D252" s="3">
        <v>45887.669965277775</v>
      </c>
      <c r="E252" s="3">
        <v>45909.63512731482</v>
      </c>
      <c r="F252" t="inlineStr">
        <is>
          <t>Fatima Kathleen M. FLores</t>
        </is>
      </c>
      <c r="G252" t="inlineStr">
        <is>
          <t>Procurement</t>
        </is>
      </c>
      <c r="H252"/>
      <c r="I252"/>
      <c r="J252" t="inlineStr">
        <is>
          <t>Project</t>
        </is>
      </c>
      <c r="K252" t="inlineStr">
        <is>
          <t>PDEI - Event Service</t>
        </is>
      </c>
      <c r="L252" t="inlineStr">
        <is>
          <t>MPL PH S16 - Regular Season</t>
        </is>
      </c>
      <c r="M252" t="inlineStr">
        <is>
          <t>2025TEG-P0214</t>
        </is>
      </c>
      <c r="N252" t="inlineStr">
        <is>
          <t>Anteaus Villena</t>
        </is>
      </c>
      <c r="O252" t="inlineStr">
        <is>
          <t>202507310073-Jessica Jane Lor Felicilda-费用报销 - 副本 - 副本 - 副本-2025-07-31 07:25:37</t>
        </is>
      </c>
      <c r="P252" t="inlineStr">
        <is>
          <t>NO</t>
        </is>
      </c>
      <c r="Q252"/>
      <c r="R252" t="inlineStr">
        <is>
          <t>NO</t>
        </is>
      </c>
      <c r="S252" t="inlineStr">
        <is>
          <t>Main Stage and On ground Fabrication</t>
        </is>
      </c>
      <c r="T252">
        <v>1</v>
      </c>
      <c r="U252">
        <v>1815102.8</v>
      </c>
      <c r="V252" t="inlineStr">
        <is>
          <t>PHP</t>
        </is>
      </c>
      <c r="W252">
        <v>1815102.8</v>
      </c>
      <c r="X252" s="2" t="str">
        <f>=HYPERLINK("https://www.larksuite.com/approval/admin/previewAttachment?key=PMg7CgJBEATQK1X_u7yMicsggxsJa9RnFwxMX7YgO8SScIoSMhXGNnNqa2rQu0ZHqoiSEsxxrjv3uV7Xis1t_dlzPR_reEuwVFHmbg1Abn-3cncyHT_HNwAA__8", "2 attachment(s)")</f>
        <v>2 attachment(s)</v>
      </c>
      <c r="Y252" t="inlineStr">
        <is>
          <t>Bank Transfer</t>
        </is>
      </c>
      <c r="Z252" t="inlineStr">
        <is>
          <t>APEX FRANCHISE VENTURES OPC</t>
        </is>
      </c>
      <c r="AA252" t="inlineStr">
        <is>
          <t>102000005344</t>
        </is>
      </c>
      <c r="AB252" t="inlineStr">
        <is>
          <t>China Banking Corporation</t>
        </is>
      </c>
      <c r="AC252" t="inlineStr">
        <is>
          <t>San Juan City</t>
        </is>
      </c>
      <c r="AD252" s="4">
        <v>45886</v>
      </c>
      <c r="AE252" t="inlineStr">
        <is>
          <t>100% Full Payment - Nov. 3, 2025</t>
        </is>
      </c>
      <c r="AF252" s="2"/>
      <c r="AG252" t="inlineStr">
        <is>
          <t>NzQyNTk5MTgyNzQ4MTg3MDM0MTozN0UxQUFEMS1EOUJBLTQ1NUMtOEM0Ri1DQjA1QkZDQjYyQjUtMTo0MTlhM2U3MzhiZWQyNzdlNDI0YmVkOTIyNDkyNDhlNzox</t>
        </is>
      </c>
      <c r="AH252" t="inlineStr">
        <is>
          <t>APEX FRANCHISE VENTURES OPC</t>
        </is>
      </c>
      <c r="AI252"/>
      <c r="AJ252"/>
      <c r="AK252"/>
    </row>
    <row r="253" ht="25.5" customHeight="1">
      <c r="A253" s="2" t="str">
        <f>=HYPERLINK("https://applink.larksuite.com/client/mini_program/open?appId=cli_9c7cc8a9a9edd105&amp;mode=appCenter&amp;path_pc=pc/pages/requested/index?instanceId=7540156023185768480&amp;source=bitable&amp;path=pages/detail/index?instanceId=7540156023185768480&amp;source=bitable", "202508190034")</f>
        <v>202508190034</v>
      </c>
      <c r="B253" t="inlineStr">
        <is>
          <t>Approved</t>
        </is>
      </c>
      <c r="C253" t="inlineStr">
        <is>
          <t>Procurement Order</t>
        </is>
      </c>
      <c r="D253" s="3">
        <v>45888.53912037037</v>
      </c>
      <c r="E253" s="3">
        <v>45888.76681712963</v>
      </c>
      <c r="F253" t="inlineStr">
        <is>
          <t>Fatima Kathleen M. FLores</t>
        </is>
      </c>
      <c r="G253" t="inlineStr">
        <is>
          <t>Procurement</t>
        </is>
      </c>
      <c r="H253"/>
      <c r="I253"/>
      <c r="J253" t="inlineStr">
        <is>
          <t>Project</t>
        </is>
      </c>
      <c r="K253" t="inlineStr">
        <is>
          <t>PDEI - Event Service</t>
        </is>
      </c>
      <c r="L253" t="inlineStr">
        <is>
          <t>MPL PH S16 - Regular Season</t>
        </is>
      </c>
      <c r="M253" t="inlineStr">
        <is>
          <t>2025TEG-P0214</t>
        </is>
      </c>
      <c r="N253" t="inlineStr">
        <is>
          <t>Jessica Jane Lor Felicilda</t>
        </is>
      </c>
      <c r="O253" t="inlineStr">
        <is>
          <t>202508120061-Jessica Jane Lor Felicilda-费用报销 - 副本 - 副本 - 副本-2025-08-12 09:05:43</t>
        </is>
      </c>
      <c r="P253" t="inlineStr">
        <is>
          <t>NO</t>
        </is>
      </c>
      <c r="Q253"/>
      <c r="R253" t="inlineStr">
        <is>
          <t>NO</t>
        </is>
      </c>
      <c r="S253" t="inlineStr">
        <is>
          <t>Fiber Optic Termination per core</t>
        </is>
      </c>
      <c r="T253">
        <v>4</v>
      </c>
      <c r="U253">
        <v>3000</v>
      </c>
      <c r="V253" t="inlineStr">
        <is>
          <t>PHP</t>
        </is>
      </c>
      <c r="W253">
        <v>12000</v>
      </c>
      <c r="X253" s="2" t="str">
        <f>=HYPERLINK("https://www.larksuite.com/approval/admin/previewAttachment?key=PMi7DQIxEATQlmZ2x_uhGRIsi-COBEHm2pEILn1RRNSgR0NNa3DnEDgC5qyRUSps28xsJJPY81x32aGuc2rh469jf5-PNd8cnWZIl7wA8Ha5p6TuEP6OXwAAAP__", "2 attachment(s)")</f>
        <v>2 attachment(s)</v>
      </c>
      <c r="Y253" t="inlineStr">
        <is>
          <t>Bank Transfer</t>
        </is>
      </c>
      <c r="Z253" t="inlineStr">
        <is>
          <t>C3E Information Technology Services</t>
        </is>
      </c>
      <c r="AA253" t="inlineStr">
        <is>
          <t>9023283293</t>
        </is>
      </c>
      <c r="AB253" t="inlineStr">
        <is>
          <t>RIZAL COMMERCIAL BANKING CORPORATION (RCBC)</t>
        </is>
      </c>
      <c r="AC253" t="inlineStr">
        <is>
          <t>727 Calabash Road, Sampaloc, Manila</t>
        </is>
      </c>
      <c r="AD253" s="4">
        <v>45888</v>
      </c>
      <c r="AE253" t="inlineStr">
        <is>
          <t>100% Full payment upon completion of services</t>
        </is>
      </c>
      <c r="AF253" s="2"/>
      <c r="AG253" t="inlineStr">
        <is>
          <t>NzQyNTk5MTgyNzQ4MTg3MDM0MToyMTFDQzAxRi1BRjVELTQxQTYtODVFMS1EQTYzNzAxQjQzNUYtMTo1MTE5ZjE3M2IxZTU3ZGVkZGI2NzUzNDI1ZDZlODk2Mzox</t>
        </is>
      </c>
      <c r="AH253" t="inlineStr">
        <is>
          <t>C3E Information Technology Services</t>
        </is>
      </c>
      <c r="AI253"/>
      <c r="AJ253"/>
      <c r="AK253"/>
    </row>
    <row r="254" ht="25.5" customHeight="1">
      <c r="A254" s="2" t="str">
        <f>=HYPERLINK("https://applink.larksuite.com/client/mini_program/open?appId=cli_9c7cc8a9a9edd105&amp;mode=appCenter&amp;path_pc=pc/pages/requested/index?instanceId=7540191128381964320&amp;source=bitable&amp;path=pages/detail/index?instanceId=7540191128381964320&amp;source=bitable", "202508190061")</f>
        <v>202508190061</v>
      </c>
      <c r="B254" t="inlineStr">
        <is>
          <t>Approved</t>
        </is>
      </c>
      <c r="C254" t="inlineStr">
        <is>
          <t>Procurement Order</t>
        </is>
      </c>
      <c r="D254" s="3">
        <v>45888.63371527778</v>
      </c>
      <c r="E254" s="3">
        <v>45889.51752314815</v>
      </c>
      <c r="F254" t="inlineStr">
        <is>
          <t>Fatima Kathleen M. FLores</t>
        </is>
      </c>
      <c r="G254" t="inlineStr">
        <is>
          <t>Procurement</t>
        </is>
      </c>
      <c r="H254"/>
      <c r="I254"/>
      <c r="J254" t="inlineStr">
        <is>
          <t>GAE</t>
        </is>
      </c>
      <c r="K254"/>
      <c r="L254"/>
      <c r="M254"/>
      <c r="N254"/>
      <c r="O254" t="inlineStr">
        <is>
          <t>202507140052-Bernadeth Español Villaflor-费用报销 - 副本 - 副本 - 副本-2025-07-14 06:27:53</t>
        </is>
      </c>
      <c r="P254"/>
      <c r="Q254" t="inlineStr">
        <is>
          <t>Mineski PH</t>
        </is>
      </c>
      <c r="R254"/>
      <c r="S254" t="inlineStr">
        <is>
          <t>Outsourced Broadcast Manpower</t>
        </is>
      </c>
      <c r="T254">
        <v>1</v>
      </c>
      <c r="U254">
        <v>10000</v>
      </c>
      <c r="V254" t="inlineStr">
        <is>
          <t>PHP</t>
        </is>
      </c>
      <c r="W254">
        <v>10000</v>
      </c>
      <c r="X254" s="2" t="str">
        <f>=HYPERLINK("https://www.larksuite.com/approval/admin/previewAttachment?key=PMixDcJQDATQle7s-982y9AQRaRIGgSh8exIFGnfTGLmoM-CilZgxxBYpKUna8oNbc2IQjCIXvb17vvBN7Zvbjr9PPrzfKzLi6PCDOGSJwDeLveQVDWFv-MXAAD__w", "2 attachment(s)")</f>
        <v>2 attachment(s)</v>
      </c>
      <c r="Y254" t="inlineStr">
        <is>
          <t>Bank Transfer</t>
        </is>
      </c>
      <c r="Z254" t="inlineStr">
        <is>
          <t>Alec Roi Dolorso</t>
        </is>
      </c>
      <c r="AA254" t="inlineStr">
        <is>
          <t>0000049934563</t>
        </is>
      </c>
      <c r="AB254" t="inlineStr">
        <is>
          <t>Security Bank</t>
        </is>
      </c>
      <c r="AC254" t="inlineStr">
        <is>
          <t>22B Virginia Drive. Rodriguez Subd. Baesa Quezon City</t>
        </is>
      </c>
      <c r="AD254" s="4">
        <v>45854</v>
      </c>
      <c r="AE254" t="inlineStr">
        <is>
          <t>100% Full Payment - Aug. 8, 2025</t>
        </is>
      </c>
      <c r="AF254" s="2"/>
      <c r="AG254" t="inlineStr">
        <is>
          <t>NzQyNTk5MTgyNzQ4MTg3MDM0MTpBOTQ1MjUyQS1GNkY2LTQwN0QtQjcyQS0yMjAwNjE3RTYxRTUtMTo1N2UyYTFmNDlhYjRjZWYxY2IyZjJiNWVmY2Q4NzcxYzox</t>
        </is>
      </c>
      <c r="AH254" t="inlineStr">
        <is>
          <t>Alec Roi Dolorso</t>
        </is>
      </c>
      <c r="AI254"/>
      <c r="AJ254"/>
      <c r="AK254"/>
    </row>
    <row r="255" ht="25.5" customHeight="1">
      <c r="A255" s="2" t="str">
        <f>=HYPERLINK("https://applink.larksuite.com/client/mini_program/open?appId=cli_9c7cc8a9a9edd105&amp;mode=appCenter&amp;path_pc=pc/pages/requested/index?instanceId=7540224855417847847&amp;source=bitable&amp;path=pages/detail/index?instanceId=7540224855417847847&amp;source=bitable", "202508190090")</f>
        <v>202508190090</v>
      </c>
      <c r="B255" t="inlineStr">
        <is>
          <t>Approved</t>
        </is>
      </c>
      <c r="C255" t="inlineStr">
        <is>
          <t>Procurement Order</t>
        </is>
      </c>
      <c r="D255" s="3">
        <v>45888.72460648148</v>
      </c>
      <c r="E255" s="3">
        <v>45889.519780092596</v>
      </c>
      <c r="F255" t="inlineStr">
        <is>
          <t>Fatima Kathleen M. FLores</t>
        </is>
      </c>
      <c r="G255" t="inlineStr">
        <is>
          <t>Procurement</t>
        </is>
      </c>
      <c r="H255"/>
      <c r="I255"/>
      <c r="J255" t="inlineStr">
        <is>
          <t>Project</t>
        </is>
      </c>
      <c r="K255" t="inlineStr">
        <is>
          <t>PDEI - Event Service</t>
        </is>
      </c>
      <c r="L255" t="inlineStr">
        <is>
          <t>MPL PH S16 - Regular Season</t>
        </is>
      </c>
      <c r="M255" t="inlineStr">
        <is>
          <t>2025TEG-P0214</t>
        </is>
      </c>
      <c r="N255" t="inlineStr">
        <is>
          <t>JP dela Peña</t>
        </is>
      </c>
      <c r="O255" t="inlineStr">
        <is>
          <t>202508190087-JP dela Peña-费用报销 - 副本 - 副本 - 副本-2025-08-19 08:53:35</t>
        </is>
      </c>
      <c r="P255" t="inlineStr">
        <is>
          <t>NO</t>
        </is>
      </c>
      <c r="Q255"/>
      <c r="R255" t="inlineStr">
        <is>
          <t>NO</t>
        </is>
      </c>
      <c r="S255" t="inlineStr">
        <is>
          <t>Refurbishment Services of David Clark Headsets</t>
        </is>
      </c>
      <c r="T255">
        <v>1</v>
      </c>
      <c r="U255">
        <v>5200</v>
      </c>
      <c r="V255" t="inlineStr">
        <is>
          <t>PHP</t>
        </is>
      </c>
      <c r="W255">
        <v>5200</v>
      </c>
      <c r="X255" s="2" t="str">
        <f>=HYPERLINK("https://www.larksuite.com/approval/admin/previewAttachment?key=PMg7rkJBDAPQLdkZZzx5m3kNV1eAoEJ8mqwdQYF0qjMXMVdyzIKKUWA7hQitTNFLHx1Nu2Ca6O26_2Mozk_dK18-6dKP42HfbsxyBDyksQDw7_fDkqqm8H28AwAA__8", "2 attachment(s)")</f>
        <v>2 attachment(s)</v>
      </c>
      <c r="Y255" t="inlineStr">
        <is>
          <t>Bank Transfer</t>
        </is>
      </c>
      <c r="Z255" t="inlineStr">
        <is>
          <t>Kevin C. Padilla</t>
        </is>
      </c>
      <c r="AA255" t="inlineStr">
        <is>
          <t>002550117073</t>
        </is>
      </c>
      <c r="AB255" t="inlineStr">
        <is>
          <t>BDO</t>
        </is>
      </c>
      <c r="AC255" t="inlineStr">
        <is>
          <t>92A San Luis st. San Juan City</t>
        </is>
      </c>
      <c r="AD255" s="4">
        <v>45889</v>
      </c>
      <c r="AE255" t="inlineStr">
        <is>
          <t>100% Full Payment upon completion of services</t>
        </is>
      </c>
      <c r="AF255" s="2"/>
      <c r="AG255" t="inlineStr">
        <is>
          <t>NzQyNTk5MTgyNzQ4MTg3MDM0MTozMEJCOTJBQi01QkNELTQ2N0YtOUY1QS0xNjdEODY3MjYzMjgtMTo3NjVjYTJhN2U0ZDkxOGMyZmIzZDA3MjA3N2M0YTc4YTox</t>
        </is>
      </c>
      <c r="AH255" t="inlineStr">
        <is>
          <t>Kevin C. Padilla</t>
        </is>
      </c>
      <c r="AI255"/>
      <c r="AJ255"/>
      <c r="AK255"/>
    </row>
    <row r="256" ht="25.5" customHeight="1">
      <c r="A256" s="2" t="str">
        <f>=HYPERLINK("https://applink.larksuite.com/client/mini_program/open?appId=cli_9c7cc8a9a9edd105&amp;mode=appCenter&amp;path_pc=pc/pages/requested/index?instanceId=7540588012976062496&amp;source=bitable&amp;path=pages/detail/index?instanceId=7540588012976062496&amp;source=bitable", "202508200075")</f>
        <v>202508200075</v>
      </c>
      <c r="B256" t="inlineStr">
        <is>
          <t>Approved</t>
        </is>
      </c>
      <c r="C256" t="inlineStr">
        <is>
          <t>Procurement Order</t>
        </is>
      </c>
      <c r="D256" s="3">
        <v>45889.70324074074</v>
      </c>
      <c r="E256" s="3">
        <v>45889.805451388886</v>
      </c>
      <c r="F256" t="inlineStr">
        <is>
          <t>Fatima Kathleen M. FLores</t>
        </is>
      </c>
      <c r="G256" t="inlineStr">
        <is>
          <t>Procurement</t>
        </is>
      </c>
      <c r="H256"/>
      <c r="I256"/>
      <c r="J256" t="inlineStr">
        <is>
          <t>Project</t>
        </is>
      </c>
      <c r="K256" t="inlineStr">
        <is>
          <t>PDEI - Event Service</t>
        </is>
      </c>
      <c r="L256" t="inlineStr">
        <is>
          <t>MPL PH S16 - Regular Season</t>
        </is>
      </c>
      <c r="M256" t="inlineStr">
        <is>
          <t>2025TEG-P0214</t>
        </is>
      </c>
      <c r="N256" t="inlineStr">
        <is>
          <t>Jessica Jane Lor Felicilda</t>
        </is>
      </c>
      <c r="O256" t="inlineStr">
        <is>
          <t>202507230073-Jessica Jane Lor Felicilda-费用报销 - 副本 - 副本 - 副本-2025-07-23 08:35:45</t>
        </is>
      </c>
      <c r="P256" t="inlineStr">
        <is>
          <t>YES</t>
        </is>
      </c>
      <c r="Q256"/>
      <c r="R256" t="inlineStr">
        <is>
          <t>NO</t>
        </is>
      </c>
      <c r="S256" t="inlineStr">
        <is>
          <t>Outsourced Show Director</t>
        </is>
      </c>
      <c r="T256">
        <v>1</v>
      </c>
      <c r="U256">
        <v>120000</v>
      </c>
      <c r="V256" t="inlineStr">
        <is>
          <t>PHP</t>
        </is>
      </c>
      <c r="W256">
        <v>120000</v>
      </c>
      <c r="X256" s="2" t="str">
        <f>=HYPERLINK("https://www.larksuite.com/approval/admin/previewAttachment?key=PMg9CgJBDAXgK72XZPLjZWx2GbRQBGFwipxdsLD9PAnPQfWCFaXAjmEYmaBUOFysvKUZUQgG0edjXhfnZ8nx2nflfqLX7Zjnm6NCBKFmmgB4-buGmVW54ef4BgAA__8", "2 attachment(s)")</f>
        <v>2 attachment(s)</v>
      </c>
      <c r="Y256" t="inlineStr">
        <is>
          <t>Bank Transfer</t>
        </is>
      </c>
      <c r="Z256" t="inlineStr">
        <is>
          <t>James Christopher Magallanes</t>
        </is>
      </c>
      <c r="AA256" t="inlineStr">
        <is>
          <t>109670084621</t>
        </is>
      </c>
      <c r="AB256" t="inlineStr">
        <is>
          <t>Unionbank</t>
        </is>
      </c>
      <c r="AC256" t="inlineStr">
        <is>
          <t>Unit 16J Tower 2, Xavier Hills Condominium, N. Domingo St., Quezon City</t>
        </is>
      </c>
      <c r="AD256" s="4">
        <v>45856</v>
      </c>
      <c r="AE256" t="inlineStr">
        <is>
          <t>1st Payment - Aug. 22, 2025
2nd Payment - Sept. 12, 2025
3rd Payment - Oct. 3, 2025
4th Payment - Oct. 24, 2025
5th Payment - Nov. 14, 2025
Final Payment - Nov. 28, 2025</t>
        </is>
      </c>
      <c r="AF256" s="2"/>
      <c r="AG256" t="inlineStr">
        <is>
          <t>NzQyNTk5MTgyNzQ4MTg3MDM0MToyRjQ1MEIyQi1GNkQ0LTREQTYtOUVCNS0yMDFEOTVDMDU2M0YtMTpmYWY5M2JmMWJjNzRlZDNmYmFlNjMxNGU4MGU4Y2EwZDox</t>
        </is>
      </c>
      <c r="AH256" t="inlineStr">
        <is>
          <t>James Christopher Magallanes</t>
        </is>
      </c>
      <c r="AI256"/>
      <c r="AJ256"/>
      <c r="AK256"/>
    </row>
    <row r="257" ht="25.5" customHeight="1">
      <c r="A257" s="2" t="str">
        <f>=HYPERLINK("https://applink.larksuite.com/client/mini_program/open?appId=cli_9c7cc8a9a9edd105&amp;mode=appCenter&amp;path_pc=pc/pages/requested/index?instanceId=7540589565812293664&amp;source=bitable&amp;path=pages/detail/index?instanceId=7540589565812293664&amp;source=bitable", "202508200077")</f>
        <v>202508200077</v>
      </c>
      <c r="B257" t="inlineStr">
        <is>
          <t>Approved</t>
        </is>
      </c>
      <c r="C257" t="inlineStr">
        <is>
          <t>Procurement Order</t>
        </is>
      </c>
      <c r="D257" s="3">
        <v>45889.70743055556</v>
      </c>
      <c r="E257" s="3">
        <v>45889.8047337963</v>
      </c>
      <c r="F257" t="inlineStr">
        <is>
          <t>Fatima Kathleen M. FLores</t>
        </is>
      </c>
      <c r="G257" t="inlineStr">
        <is>
          <t>Procurement</t>
        </is>
      </c>
      <c r="H257"/>
      <c r="I257"/>
      <c r="J257" t="inlineStr">
        <is>
          <t>Project</t>
        </is>
      </c>
      <c r="K257" t="inlineStr">
        <is>
          <t>PDEI - Event Service</t>
        </is>
      </c>
      <c r="L257" t="inlineStr">
        <is>
          <t>MPL PH S16 - Regular Season</t>
        </is>
      </c>
      <c r="M257" t="inlineStr">
        <is>
          <t>2025TEG-P0214</t>
        </is>
      </c>
      <c r="N257" t="inlineStr">
        <is>
          <t>Jessica Jane Lor Felicilda</t>
        </is>
      </c>
      <c r="O257" t="inlineStr">
        <is>
          <t>202507230073-Jessica Jane Lor Felicilda-费用报销 - 副本 - 副本 - 副本-2025-07-23 08:35:45</t>
        </is>
      </c>
      <c r="P257" t="inlineStr">
        <is>
          <t>YES</t>
        </is>
      </c>
      <c r="Q257"/>
      <c r="R257" t="inlineStr">
        <is>
          <t>NO</t>
        </is>
      </c>
      <c r="S257" t="inlineStr">
        <is>
          <t>Outsourced Creative Director</t>
        </is>
      </c>
      <c r="T257">
        <v>1</v>
      </c>
      <c r="U257">
        <v>120000</v>
      </c>
      <c r="V257" t="inlineStr">
        <is>
          <t>PHP</t>
        </is>
      </c>
      <c r="W257">
        <v>120000</v>
      </c>
      <c r="X257" s="2" t="str">
        <f>=HYPERLINK("https://www.larksuite.com/approval/admin/previewAttachment?key=PMgxDgIxDATAL62dtZ3lMzREEUhche46vx2JgnZyGnKGjRQoc8G6goipyJjmrpHJ9rYqoawMvY59f8fSPs547fO4uPp6Pvb6WKjcUYMcE4Dd_j6KpJTEz_ENAAD__w", "2 attachment(s)")</f>
        <v>2 attachment(s)</v>
      </c>
      <c r="Y257" t="inlineStr">
        <is>
          <t>Bank Transfer</t>
        </is>
      </c>
      <c r="Z257" t="inlineStr">
        <is>
          <t>Ruben A. Mercado Jr.</t>
        </is>
      </c>
      <c r="AA257" t="inlineStr">
        <is>
          <t>1096 6595 8663</t>
        </is>
      </c>
      <c r="AB257" t="inlineStr">
        <is>
          <t>Unionbank</t>
        </is>
      </c>
      <c r="AC257" t="inlineStr">
        <is>
          <t>L 33 Blk 15 DM8 Subd. San Andress Hagonoy St. Cainta Rizal</t>
        </is>
      </c>
      <c r="AD257" s="4">
        <v>45856</v>
      </c>
      <c r="AE257" t="inlineStr">
        <is>
          <t>1st Payment - Aug. 22, 2025
2nd Payment - Sept. 12, 2025
3rd Payment - Oct. 3, 2025
4th Payment - Oct. 24, 2025
5th Payment - Nov. 14, 2025
Final Payment - Nov. 28, 2025</t>
        </is>
      </c>
      <c r="AF257" s="2"/>
      <c r="AG257" t="inlineStr">
        <is>
          <t>NzQyNTk5MTgyNzQ4MTg3MDM0MTo5MkI0QTA2RS0wRDdFLTRFQ0UtOTdGNS1GNkZEQzA2OUJFNDAtMTo1M2ViMzJmOWRkODQzNzM5NTJiZmRiNjUyYzlmNWZjMjox</t>
        </is>
      </c>
      <c r="AH257" t="inlineStr">
        <is>
          <t>Ruben A. Mercado Jr.</t>
        </is>
      </c>
      <c r="AI257"/>
      <c r="AJ257"/>
      <c r="AK257"/>
    </row>
    <row r="258" ht="25.5" customHeight="1">
      <c r="A258" s="2" t="str">
        <f>=HYPERLINK("https://applink.larksuite.com/client/mini_program/open?appId=cli_9c7cc8a9a9edd105&amp;mode=appCenter&amp;path_pc=pc/pages/requested/index?instanceId=7540595206144475174&amp;source=bitable&amp;path=pages/detail/index?instanceId=7540595206144475174&amp;source=bitable", "202508200087")</f>
        <v>202508200087</v>
      </c>
      <c r="B258" t="inlineStr">
        <is>
          <t>Approved</t>
        </is>
      </c>
      <c r="C258" t="inlineStr">
        <is>
          <t>Procurement Order</t>
        </is>
      </c>
      <c r="D258" s="3">
        <v>45889.72262731481</v>
      </c>
      <c r="E258" s="3">
        <v>45889.8077662037</v>
      </c>
      <c r="F258" t="inlineStr">
        <is>
          <t>Fatima Kathleen M. FLores</t>
        </is>
      </c>
      <c r="G258" t="inlineStr">
        <is>
          <t>Procurement</t>
        </is>
      </c>
      <c r="H258"/>
      <c r="I258"/>
      <c r="J258" t="inlineStr">
        <is>
          <t>Project</t>
        </is>
      </c>
      <c r="K258" t="inlineStr">
        <is>
          <t>PDEI - Event Service</t>
        </is>
      </c>
      <c r="L258" t="inlineStr">
        <is>
          <t>MPL PH S16 - Regular Season</t>
        </is>
      </c>
      <c r="M258" t="inlineStr">
        <is>
          <t>2025TEG-P0214</t>
        </is>
      </c>
      <c r="N258" t="inlineStr">
        <is>
          <t>Jessica Jane Lor Felicilda</t>
        </is>
      </c>
      <c r="O258" t="inlineStr">
        <is>
          <t>202507230078-Jessica Jane Lor Felicilda-费用报销 - 副本 - 副本 - 副本-2025-07-23 08:53:20</t>
        </is>
      </c>
      <c r="P258" t="inlineStr">
        <is>
          <t>YES</t>
        </is>
      </c>
      <c r="Q258"/>
      <c r="R258" t="inlineStr">
        <is>
          <t>NO</t>
        </is>
      </c>
      <c r="S258" t="inlineStr">
        <is>
          <t>Outsourced Statsman</t>
        </is>
      </c>
      <c r="T258">
        <v>1</v>
      </c>
      <c r="U258">
        <v>198000</v>
      </c>
      <c r="V258" t="inlineStr">
        <is>
          <t>PHP</t>
        </is>
      </c>
      <c r="W258">
        <v>198000</v>
      </c>
      <c r="X258" s="2" t="str">
        <f>=HYPERLINK("https://www.larksuite.com/approval/admin/previewAttachment?key=PMgxCgMhFATQK83ofMefy6RRJAhbBbKVZw-kSPtaJ1oP1pZQsiR4HEJkFDRKctA65dBOmCbOvNYzYuy173HdE9z1fF5jzTcjXQpcpdoB8PH3akmZTfg5vgEAAP__", "2 attachment(s)")</f>
        <v>2 attachment(s)</v>
      </c>
      <c r="Y258" t="inlineStr">
        <is>
          <t>Bank Transfer</t>
        </is>
      </c>
      <c r="Z258" t="inlineStr">
        <is>
          <t>John Paulo De Guzman</t>
        </is>
      </c>
      <c r="AA258" t="inlineStr">
        <is>
          <t>109429269003</t>
        </is>
      </c>
      <c r="AB258" t="inlineStr">
        <is>
          <t>Unionbank</t>
        </is>
      </c>
      <c r="AC258" t="inlineStr">
        <is>
          <t>Blk 97 Lot 5 Katalinuhan Street, Karangalan Village, Brgy. San Isidro, Cainta</t>
        </is>
      </c>
      <c r="AD258" s="4">
        <v>45856</v>
      </c>
      <c r="AE258" t="inlineStr">
        <is>
          <t>1st Payment - Aug. 22, 2025
2nd Payment - Sept. 12, 2025
3rd Payment - Oct. 3, 2025
4th Payment - Oct. 24, 2025
5th Payment - Nov. 14, 2025
Final Payment - Nov. 28, 2025</t>
        </is>
      </c>
      <c r="AF258" s="2"/>
      <c r="AG258" t="inlineStr">
        <is>
          <t>NzQyNTk5MTgyNzQ4MTg3MDM0MTpCMDAwNTNDNy04RTY2LTQxRUMtODA5OC1BMzQ2MTE1ODE4ODEtMTowZWQ0NTNmYmJlYWIyNDQyODYxMzExZjY4NWJjM2Y4MDox</t>
        </is>
      </c>
      <c r="AH258" t="inlineStr">
        <is>
          <t>John Paulo De Guzman</t>
        </is>
      </c>
      <c r="AI258"/>
      <c r="AJ258"/>
      <c r="AK258"/>
    </row>
    <row r="259" ht="25.5" customHeight="1">
      <c r="A259" s="2" t="str">
        <f>=HYPERLINK("https://applink.larksuite.com/client/mini_program/open?appId=cli_9c7cc8a9a9edd105&amp;mode=appCenter&amp;path_pc=pc/pages/requested/index?instanceId=7540601780388872223&amp;source=bitable&amp;path=pages/detail/index?instanceId=7540601780388872223&amp;source=bitable", "202508200094")</f>
        <v>202508200094</v>
      </c>
      <c r="B259" t="inlineStr">
        <is>
          <t>Approved</t>
        </is>
      </c>
      <c r="C259" t="inlineStr">
        <is>
          <t>Procurement Order</t>
        </is>
      </c>
      <c r="D259" s="3">
        <v>45889.74034722222</v>
      </c>
      <c r="E259" s="3">
        <v>45889.811631944445</v>
      </c>
      <c r="F259" t="inlineStr">
        <is>
          <t>Fatima Kathleen M. FLores</t>
        </is>
      </c>
      <c r="G259" t="inlineStr">
        <is>
          <t>Procurement</t>
        </is>
      </c>
      <c r="H259"/>
      <c r="I259"/>
      <c r="J259" t="inlineStr">
        <is>
          <t>Project</t>
        </is>
      </c>
      <c r="K259" t="inlineStr">
        <is>
          <t>PDEI - Event Service</t>
        </is>
      </c>
      <c r="L259" t="inlineStr">
        <is>
          <t>MPL PH S16 - Regular Season</t>
        </is>
      </c>
      <c r="M259" t="inlineStr">
        <is>
          <t>2025TEG-P0214</t>
        </is>
      </c>
      <c r="N259" t="inlineStr">
        <is>
          <t>Jessica Jane Lor Felicilda</t>
        </is>
      </c>
      <c r="O259" t="inlineStr">
        <is>
          <t>202507250029-Jessica Jane Lor Felicilda-费用报销 - 副本 - 副本 - 副本-2025-07-25 06:24:23</t>
        </is>
      </c>
      <c r="P259" t="inlineStr">
        <is>
          <t>YES</t>
        </is>
      </c>
      <c r="Q259"/>
      <c r="R259" t="inlineStr">
        <is>
          <t>NO</t>
        </is>
      </c>
      <c r="S259" t="inlineStr">
        <is>
          <t>Outsourced Safety Officer, Medical Personnel and Event Marshals (Ingress to Egress)</t>
        </is>
      </c>
      <c r="T259">
        <v>1</v>
      </c>
      <c r="U259">
        <v>692000</v>
      </c>
      <c r="V259" t="inlineStr">
        <is>
          <t>PHP</t>
        </is>
      </c>
      <c r="W259">
        <v>692000</v>
      </c>
      <c r="X259" s="2" t="str">
        <f>=HYPERLINK("https://www.larksuite.com/approval/admin/previewAttachment?key=PMgxCsJQEATQK83s7v8z62VsDEGDVkLA4p9dsLB908T0YM5GNaPBpVGYoIy0rYjIFYtSQxSxttd-3dInfCQ_fjyPsc77bd_eHK0IKKvSAHj5e6qqumfh5_gGAAD__w", "2 attachment(s)")</f>
        <v>2 attachment(s)</v>
      </c>
      <c r="Y259" t="inlineStr">
        <is>
          <t>Bank Transfer</t>
        </is>
      </c>
      <c r="Z259" t="inlineStr">
        <is>
          <t>JEROME T. CAPOQUIAN</t>
        </is>
      </c>
      <c r="AA259" t="inlineStr">
        <is>
          <t>9599094366</t>
        </is>
      </c>
      <c r="AB259" t="inlineStr">
        <is>
          <t>BPI</t>
        </is>
      </c>
      <c r="AC259" t="inlineStr">
        <is>
          <t>BLOCK 5 LOT 7 PHASE 2 SHINEVILL MAMBUGAN ANTIPOLO CITY</t>
        </is>
      </c>
      <c r="AD259" s="4">
        <v>45886</v>
      </c>
      <c r="AE259" t="inlineStr">
        <is>
          <t>50% Down Payment upon confirmation
50% Final Payment upon completion of services</t>
        </is>
      </c>
      <c r="AF259" s="2"/>
      <c r="AG259" t="inlineStr">
        <is>
          <t>NzQyNTk5MTgyNzQ4MTg3MDM0MTo2RTRBQTkxOS1EMUVBLTQ1NzAtODI5Mi00NDI3OERDQjE3NDgtMTpmOTM1YzAwOGQ5NmQ5ZTU1NWZhOGEzNWM2OTFjNjE1OTox</t>
        </is>
      </c>
      <c r="AH259" t="inlineStr">
        <is>
          <t>JEROME T. CAPOQUIAN</t>
        </is>
      </c>
      <c r="AI259"/>
      <c r="AJ259"/>
      <c r="AK259"/>
    </row>
    <row r="260" ht="25.5" customHeight="1">
      <c r="A260" s="2" t="str">
        <f>=HYPERLINK("https://applink.larksuite.com/client/mini_program/open?appId=cli_9c7cc8a9a9edd105&amp;mode=appCenter&amp;path_pc=pc/pages/requested/index?instanceId=7540605975795859494&amp;source=bitable&amp;path=pages/detail/index?instanceId=7540605975795859494&amp;source=bitable", "202508200097")</f>
        <v>202508200097</v>
      </c>
      <c r="B260" t="inlineStr">
        <is>
          <t>Approved</t>
        </is>
      </c>
      <c r="C260" t="inlineStr">
        <is>
          <t>Procurement Order</t>
        </is>
      </c>
      <c r="D260" s="3">
        <v>45889.751655092594</v>
      </c>
      <c r="E260" s="3">
        <v>45889.81079861111</v>
      </c>
      <c r="F260" t="inlineStr">
        <is>
          <t>Fatima Kathleen M. FLores</t>
        </is>
      </c>
      <c r="G260" t="inlineStr">
        <is>
          <t>Procurement</t>
        </is>
      </c>
      <c r="H260"/>
      <c r="I260"/>
      <c r="J260" t="inlineStr">
        <is>
          <t>Project</t>
        </is>
      </c>
      <c r="K260" t="inlineStr">
        <is>
          <t>PDEI - Event Service</t>
        </is>
      </c>
      <c r="L260" t="inlineStr">
        <is>
          <t>MPL PH S16 - Regular Season</t>
        </is>
      </c>
      <c r="M260" t="inlineStr">
        <is>
          <t>2025TEG-P0214</t>
        </is>
      </c>
      <c r="N260" t="inlineStr">
        <is>
          <t>Jessica Jane Lor Felicilda</t>
        </is>
      </c>
      <c r="O260" t="inlineStr">
        <is>
          <t>202507280006-Jessica Jane Lor Felicilda-费用报销 - 副本 - 副本 - 副本-2025-07-28 02:30:00</t>
        </is>
      </c>
      <c r="P260" t="inlineStr">
        <is>
          <t>YES</t>
        </is>
      </c>
      <c r="Q260"/>
      <c r="R260" t="inlineStr">
        <is>
          <t>NO</t>
        </is>
      </c>
      <c r="S260" t="inlineStr">
        <is>
          <t>Outsourced Show Producer</t>
        </is>
      </c>
      <c r="T260">
        <v>1</v>
      </c>
      <c r="U260">
        <v>112000</v>
      </c>
      <c r="V260" t="inlineStr">
        <is>
          <t>PHP</t>
        </is>
      </c>
      <c r="W260">
        <v>112000</v>
      </c>
      <c r="X260" s="2" t="str">
        <f>=HYPERLINK("https://www.larksuite.com/approval/admin/previewAttachment?key=PMgxCkIxEATQK81mZzMZL2PjJ4jw0whqk7MLFravj0AfFdkNOpoRW0V0lFVyjTLN3XZIhkKBfZzzmueKKc423_l5rP263-bxjLJag5LMASAuf0-RtDvxc3wDAAD__w", "2 attachment(s)")</f>
        <v>2 attachment(s)</v>
      </c>
      <c r="Y260" t="inlineStr">
        <is>
          <t>Bank Transfer</t>
        </is>
      </c>
      <c r="Z260" t="inlineStr">
        <is>
          <t>Matthew Militar</t>
        </is>
      </c>
      <c r="AA260" t="inlineStr">
        <is>
          <t>916105283525</t>
        </is>
      </c>
      <c r="AB260" t="inlineStr">
        <is>
          <t>AUB</t>
        </is>
      </c>
      <c r="AC260" t="inlineStr">
        <is>
          <t>#3 Carmel Street, Hacienda Heights Village, Marikina city</t>
        </is>
      </c>
      <c r="AD260" s="4">
        <v>45886</v>
      </c>
      <c r="AE260" t="inlineStr">
        <is>
          <t>1st Payment - Aug. 22, 2025
2nd Payment - Sept. 12, 2025
3rd Payment - Oct. 3, 2025
4th Payment - Oct. 24, 2025
5th Payment - Nov. 14, 2025
Final Payment - Nov. 28, 2025</t>
        </is>
      </c>
      <c r="AF260" s="2"/>
      <c r="AG260" t="inlineStr">
        <is>
          <t>NzQyNTk5MTgyNzQ4MTg3MDM0MTpGODBGOUZCNy1GNUY1LTQ2QjUtODkwNC1ERTNENTUwNUVFOTUtMTpjZDdhOTMzYzgzNjA4OWJiYWE5YjNlNDJlZDYwMDY4YTox</t>
        </is>
      </c>
      <c r="AH260" t="inlineStr">
        <is>
          <t>Matthew Militar</t>
        </is>
      </c>
      <c r="AI260"/>
      <c r="AJ260"/>
      <c r="AK260"/>
    </row>
    <row r="261" ht="25.5" customHeight="1">
      <c r="A261" s="2" t="str">
        <f>=HYPERLINK("https://applink.larksuite.com/client/mini_program/open?appId=cli_9c7cc8a9a9edd105&amp;mode=appCenter&amp;path_pc=pc/pages/requested/index?instanceId=7540607791254224928&amp;source=bitable&amp;path=pages/detail/index?instanceId=7540607791254224928&amp;source=bitable", "202508200101")</f>
        <v>202508200101</v>
      </c>
      <c r="B261" t="inlineStr">
        <is>
          <t>Approved</t>
        </is>
      </c>
      <c r="C261" t="inlineStr">
        <is>
          <t>Procurement Order</t>
        </is>
      </c>
      <c r="D261" s="3">
        <v>45889.75653935185</v>
      </c>
      <c r="E261" s="3">
        <v>45889.809699074074</v>
      </c>
      <c r="F261" t="inlineStr">
        <is>
          <t>Fatima Kathleen M. FLores</t>
        </is>
      </c>
      <c r="G261" t="inlineStr">
        <is>
          <t>Procurement</t>
        </is>
      </c>
      <c r="H261"/>
      <c r="I261"/>
      <c r="J261" t="inlineStr">
        <is>
          <t>Project</t>
        </is>
      </c>
      <c r="K261" t="inlineStr">
        <is>
          <t>PDEI - Event Service</t>
        </is>
      </c>
      <c r="L261" t="inlineStr">
        <is>
          <t>MPL PH S16 - Regular Season</t>
        </is>
      </c>
      <c r="M261" t="inlineStr">
        <is>
          <t>2025TEG-P0214</t>
        </is>
      </c>
      <c r="N261" t="inlineStr">
        <is>
          <t>Jessica Jane Lor Felicilda</t>
        </is>
      </c>
      <c r="O261" t="inlineStr">
        <is>
          <t>202507280007-Jessica Jane Lor Felicilda-费用报销 - 副本 - 副本 - 副本-2025-07-28 02:35:54</t>
        </is>
      </c>
      <c r="P261" t="inlineStr">
        <is>
          <t>YES</t>
        </is>
      </c>
      <c r="Q261"/>
      <c r="R261" t="inlineStr">
        <is>
          <t>NO</t>
        </is>
      </c>
      <c r="S261" t="inlineStr">
        <is>
          <t>Outsourced Video Production Assistant</t>
        </is>
      </c>
      <c r="T261">
        <v>1</v>
      </c>
      <c r="U261">
        <v>90000</v>
      </c>
      <c r="V261" t="inlineStr">
        <is>
          <t>PHP</t>
        </is>
      </c>
      <c r="W261">
        <v>90000</v>
      </c>
      <c r="X261" s="2" t="str">
        <f>=HYPERLINK("https://www.larksuite.com/approval/admin/previewAttachment?key=PMgxCgIxFATQK838TDL5XsbGELRQFsRlLXJ2wWLb1zrRemVpCSUjweUqNNjJqIpQRl-xaCdME2s85_Wxbx98j7HNw-M11n6_zfFmTUfARSodAC-nF0vKbMLf8QsAAP__", "2 attachment(s)")</f>
        <v>2 attachment(s)</v>
      </c>
      <c r="Y261" t="inlineStr">
        <is>
          <t>Bank Transfer</t>
        </is>
      </c>
      <c r="Z261" t="inlineStr">
        <is>
          <t>Sheilla Mae Songalia</t>
        </is>
      </c>
      <c r="AA261" t="inlineStr">
        <is>
          <t>09497767800</t>
        </is>
      </c>
      <c r="AB261" t="inlineStr">
        <is>
          <t>Gcash</t>
        </is>
      </c>
      <c r="AC261" t="inlineStr">
        <is>
          <t>19-B Acacia St. Old Cabuyao Brgy. Sauyo, QC</t>
        </is>
      </c>
      <c r="AD261" s="4">
        <v>45886</v>
      </c>
      <c r="AE261" t="inlineStr">
        <is>
          <t>1st Payment - Aug. 22, 2025
2nd Payment - Sept. 12, 2025
3rd Payment - Oct. 3, 2025
4th Payment - Oct. 24, 2025
5th Payment - Nov. 14, 2025
Final Payment - Nov. 28, 2025</t>
        </is>
      </c>
      <c r="AF261" s="2"/>
      <c r="AG261" t="inlineStr">
        <is>
          <t>NzQyNTk5MTgyNzQ4MTg3MDM0MTozOUZDNTYzRC0wNjE5LTREOTMtQTRCOS1GMDQ1QzY2OTAyRUUtMTozZTY4NzM3OWU5YzAwOTA3NWEzNTM3YWIwM2MxNGVlYzox</t>
        </is>
      </c>
      <c r="AH261" t="inlineStr">
        <is>
          <t>Sheilla Mae Songalia</t>
        </is>
      </c>
      <c r="AI261"/>
      <c r="AJ261"/>
      <c r="AK261"/>
    </row>
    <row r="262" ht="25.5" customHeight="1">
      <c r="A262" s="2" t="str">
        <f>=HYPERLINK("https://applink.larksuite.com/client/mini_program/open?appId=cli_9c7cc8a9a9edd105&amp;mode=appCenter&amp;path_pc=pc/pages/requested/index?instanceId=7540609156294705190&amp;source=bitable&amp;path=pages/detail/index?instanceId=7540609156294705190&amp;source=bitable", "202508200103")</f>
        <v>202508200103</v>
      </c>
      <c r="B262" t="inlineStr">
        <is>
          <t>Approved</t>
        </is>
      </c>
      <c r="C262" t="inlineStr">
        <is>
          <t>Procurement Order</t>
        </is>
      </c>
      <c r="D262" s="3">
        <v>45889.76021990741</v>
      </c>
      <c r="E262" s="3">
        <v>45889.80872685185</v>
      </c>
      <c r="F262" t="inlineStr">
        <is>
          <t>Fatima Kathleen M. FLores</t>
        </is>
      </c>
      <c r="G262" t="inlineStr">
        <is>
          <t>Procurement</t>
        </is>
      </c>
      <c r="H262"/>
      <c r="I262"/>
      <c r="J262" t="inlineStr">
        <is>
          <t>Project</t>
        </is>
      </c>
      <c r="K262" t="inlineStr">
        <is>
          <t>PDEI - Event Service</t>
        </is>
      </c>
      <c r="L262" t="inlineStr">
        <is>
          <t>MPL PH S16 - Regular Season</t>
        </is>
      </c>
      <c r="M262" t="inlineStr">
        <is>
          <t>2025TEG-P0214</t>
        </is>
      </c>
      <c r="N262" t="inlineStr">
        <is>
          <t>Jessica Jane Lor Felicilda</t>
        </is>
      </c>
      <c r="O262" t="inlineStr">
        <is>
          <t>202507280008-Jessica Jane Lor Felicilda-费用报销 - 副本 - 副本 - 副本-2025-07-28 02:43:05</t>
        </is>
      </c>
      <c r="P262" t="inlineStr">
        <is>
          <t>YES</t>
        </is>
      </c>
      <c r="Q262"/>
      <c r="R262" t="inlineStr">
        <is>
          <t>NO</t>
        </is>
      </c>
      <c r="S262" t="inlineStr">
        <is>
          <t>Outsourced Content Producer/Scriptwriter</t>
        </is>
      </c>
      <c r="T262">
        <v>1</v>
      </c>
      <c r="U262">
        <v>90000</v>
      </c>
      <c r="V262" t="inlineStr">
        <is>
          <t>PHP</t>
        </is>
      </c>
      <c r="W262">
        <v>90000</v>
      </c>
      <c r="X262" s="2" t="str">
        <f>=HYPERLINK("https://www.larksuite.com/approval/admin/previewAttachment?key=PMgxCkJBDATQK81kJ8nGy9i4LDZWwsIvcnbB4rcvJhHTOaKgohXY6UKg6GGlhLPQ1swsJJPo9dnP6-zppoM11qXT5_3a60uvNEMOaUwAfNw-UlJVCH_HLwAA__8", "2 attachment(s)")</f>
        <v>2 attachment(s)</v>
      </c>
      <c r="Y262" t="inlineStr">
        <is>
          <t>Bank Transfer</t>
        </is>
      </c>
      <c r="Z262" t="inlineStr">
        <is>
          <t>Jessamine Elise C. Sagcal</t>
        </is>
      </c>
      <c r="AA262" t="inlineStr">
        <is>
          <t>2679-1185-63</t>
        </is>
      </c>
      <c r="AB262" t="inlineStr">
        <is>
          <t>BPI</t>
        </is>
      </c>
      <c r="AC262" t="inlineStr">
        <is>
          <t>30 TLR Town Homes, Fast Track St., Moonwalk, Paranaque</t>
        </is>
      </c>
      <c r="AD262" s="4">
        <v>45887</v>
      </c>
      <c r="AE262" t="inlineStr">
        <is>
          <t>1st Payment - Aug. 22, 2025
2nd Payment - Sept. 12, 2025
3rd Payment - Oct. 3, 2025
4th Payment - Oct. 24, 2025
5th Payment - Nov. 14, 2025
Final Payment - Nov. 28, 2025</t>
        </is>
      </c>
      <c r="AF262" s="2"/>
      <c r="AG262" t="inlineStr">
        <is>
          <t>NzQyNTk5MTgyNzQ4MTg3MDM0MTpBNDZCNzI3Qy1FNjM1LTQzNzctOTM2Qy1GODg5MzI0N0U2NkYtMTo4OGFmZWU1ZTRjMTNkYWVkYmIyNzI1ZTVlMDE5ZWIxZTox</t>
        </is>
      </c>
      <c r="AH262" t="inlineStr">
        <is>
          <t>Jessamine Elise C. Sagcal</t>
        </is>
      </c>
      <c r="AI262"/>
      <c r="AJ262"/>
      <c r="AK262"/>
    </row>
    <row r="263" ht="25.5" customHeight="1">
      <c r="A263" s="2" t="str">
        <f>=HYPERLINK("https://applink.larksuite.com/client/mini_program/open?appId=cli_9c7cc8a9a9edd105&amp;mode=appCenter&amp;path_pc=pc/pages/requested/index?instanceId=7540611466886447136&amp;source=bitable&amp;path=pages/detail/index?instanceId=7540611466886447136&amp;source=bitable", "202508200106")</f>
        <v>202508200106</v>
      </c>
      <c r="B263" t="inlineStr">
        <is>
          <t>Approved</t>
        </is>
      </c>
      <c r="C263" t="inlineStr">
        <is>
          <t>Procurement Order</t>
        </is>
      </c>
      <c r="D263" s="3">
        <v>45889.76644675926</v>
      </c>
      <c r="E263" s="3">
        <v>45889.816400462965</v>
      </c>
      <c r="F263" t="inlineStr">
        <is>
          <t>Fatima Kathleen M. FLores</t>
        </is>
      </c>
      <c r="G263" t="inlineStr">
        <is>
          <t>Procurement</t>
        </is>
      </c>
      <c r="H263"/>
      <c r="I263"/>
      <c r="J263" t="inlineStr">
        <is>
          <t>Project</t>
        </is>
      </c>
      <c r="K263" t="inlineStr">
        <is>
          <t>PDEI - Event Service</t>
        </is>
      </c>
      <c r="L263" t="inlineStr">
        <is>
          <t>MPL PH S16 - Regular Season</t>
        </is>
      </c>
      <c r="M263" t="inlineStr">
        <is>
          <t>2025TEG-P0214</t>
        </is>
      </c>
      <c r="N263" t="inlineStr">
        <is>
          <t>Jessica Jane Lor Felicilda</t>
        </is>
      </c>
      <c r="O263" t="inlineStr">
        <is>
          <t>202507280009-Jessica Jane Lor Felicilda-费用报销 - 副本 - 副本 - 副本-2025-07-28 02:50:11</t>
        </is>
      </c>
      <c r="P263" t="inlineStr">
        <is>
          <t>YES</t>
        </is>
      </c>
      <c r="Q263"/>
      <c r="R263" t="inlineStr">
        <is>
          <t>NO</t>
        </is>
      </c>
      <c r="S263" t="inlineStr">
        <is>
          <t>Outsourced Head of LOPs</t>
        </is>
      </c>
      <c r="T263">
        <v>1</v>
      </c>
      <c r="U263">
        <v>80000</v>
      </c>
      <c r="V263" t="inlineStr">
        <is>
          <t>PHP</t>
        </is>
      </c>
      <c r="W263">
        <v>80000</v>
      </c>
      <c r="X263" s="2" t="str">
        <f>=HYPERLINK("https://www.larksuite.com/approval/admin/previewAttachment?key=PMgxCgJBDAXQK_0_-UkmXsZml0EGtpK1y9kFC9sXk4jptCioOArsdCFIRcwZUtKiRzOzkEyiz2s93Y-9Lvld965t_Xkd63zTK8dAmmQTAB9_t5RUFcLP8Q0AAP__", "2 attachment(s)")</f>
        <v>2 attachment(s)</v>
      </c>
      <c r="Y263" t="inlineStr">
        <is>
          <t>Bank Transfer</t>
        </is>
      </c>
      <c r="Z263" t="inlineStr">
        <is>
          <t>Wilbert Rysher Dela Cruz Manabat</t>
        </is>
      </c>
      <c r="AA263" t="inlineStr">
        <is>
          <t>1093-2482-8669</t>
        </is>
      </c>
      <c r="AB263" t="inlineStr">
        <is>
          <t>Unionbank</t>
        </is>
      </c>
      <c r="AC263" t="inlineStr">
        <is>
          <t>1277-B Kagitingan St. Morga EXT. Tondo, Manila</t>
        </is>
      </c>
      <c r="AD263" s="4">
        <v>45861</v>
      </c>
      <c r="AE263" t="inlineStr">
        <is>
          <t>1st Payment - Aug. 22, 2025
2nd Payment - Sept. 12, 2025
3rd Payment - Oct. 3, 2025
4th Payment - Oct. 24, 2025
5th Payment - Nov. 14, 2025
Final Payment - Nov. 28, 2025</t>
        </is>
      </c>
      <c r="AF263" s="2"/>
      <c r="AG263" t="inlineStr">
        <is>
          <t>NzQyNTk5MTgyNzQ4MTg3MDM0MTozMDI1MzI3Ri1DQjQyLTQ2RTktQTNFMS00NUQyNkZDNDI3RDEtMTpmN2U4OGJkYzFkOTE0YzZkMDlmYjYzN2EwZmMwNzhjYjox</t>
        </is>
      </c>
      <c r="AH263" t="inlineStr">
        <is>
          <t>Wilbert Rysher Dela Cruz Manabat</t>
        </is>
      </c>
      <c r="AI263"/>
      <c r="AJ263"/>
      <c r="AK263"/>
    </row>
    <row r="264" ht="25.5" customHeight="1">
      <c r="A264" s="2" t="str">
        <f>=HYPERLINK("https://applink.larksuite.com/client/mini_program/open?appId=cli_9c7cc8a9a9edd105&amp;mode=appCenter&amp;path_pc=pc/pages/requested/index?instanceId=7540613242083704871&amp;source=bitable&amp;path=pages/detail/index?instanceId=7540613242083704871&amp;source=bitable", "202508200108")</f>
        <v>202508200108</v>
      </c>
      <c r="B264" t="inlineStr">
        <is>
          <t>Approved</t>
        </is>
      </c>
      <c r="C264" t="inlineStr">
        <is>
          <t>Procurement Order</t>
        </is>
      </c>
      <c r="D264" s="3">
        <v>45889.77122685185</v>
      </c>
      <c r="E264" s="3">
        <v>45889.815775462965</v>
      </c>
      <c r="F264" t="inlineStr">
        <is>
          <t>Fatima Kathleen M. FLores</t>
        </is>
      </c>
      <c r="G264" t="inlineStr">
        <is>
          <t>Procurement</t>
        </is>
      </c>
      <c r="H264"/>
      <c r="I264"/>
      <c r="J264" t="inlineStr">
        <is>
          <t>Project</t>
        </is>
      </c>
      <c r="K264" t="inlineStr">
        <is>
          <t>PDEI - Event Service</t>
        </is>
      </c>
      <c r="L264" t="inlineStr">
        <is>
          <t>MPL PH S16 - Regular Season</t>
        </is>
      </c>
      <c r="M264" t="inlineStr">
        <is>
          <t>2025TEG-P0214</t>
        </is>
      </c>
      <c r="N264" t="inlineStr">
        <is>
          <t>Jessica Jane Lor Felicilda</t>
        </is>
      </c>
      <c r="O264" t="inlineStr">
        <is>
          <t>202507280012-Jessica Jane Lor Felicilda-费用报销 - 副本 - 副本 - 副本-2025-07-28 02:58:37</t>
        </is>
      </c>
      <c r="P264" t="inlineStr">
        <is>
          <t>YES</t>
        </is>
      </c>
      <c r="Q264"/>
      <c r="R264" t="inlineStr">
        <is>
          <t>NO</t>
        </is>
      </c>
      <c r="S264" t="inlineStr">
        <is>
          <t>Outsourced Stream Moderator/Broadcast Assistant</t>
        </is>
      </c>
      <c r="T264">
        <v>1</v>
      </c>
      <c r="U264">
        <v>75000</v>
      </c>
      <c r="V264" t="inlineStr">
        <is>
          <t>PHP</t>
        </is>
      </c>
      <c r="W264">
        <v>75000</v>
      </c>
      <c r="X264" s="2" t="str">
        <f>=HYPERLINK("https://www.larksuite.com/approval/admin/previewAttachment?key=PMgxDgIxDATAL-3avqzNZ2hyiihChTgqvx2JgnZGEiMP-ihE0QpsHYFBtzCkC5FiW1MqiCL6fK77fOfGyn2t6Ts_fT3mOl88SmaQR3gC4O3vroioGoGf4xsAAP__", "2 attachment(s)")</f>
        <v>2 attachment(s)</v>
      </c>
      <c r="Y264" t="inlineStr">
        <is>
          <t>Bank Transfer</t>
        </is>
      </c>
      <c r="Z264" t="inlineStr">
        <is>
          <t>Julia Sandra Dela Peña</t>
        </is>
      </c>
      <c r="AA264" t="inlineStr">
        <is>
          <t>3229335854</t>
        </is>
      </c>
      <c r="AB264" t="inlineStr">
        <is>
          <t>BPI</t>
        </is>
      </c>
      <c r="AC264" t="inlineStr">
        <is>
          <t>2330 Calderon Street Sta Ana Manila</t>
        </is>
      </c>
      <c r="AD264" s="4">
        <v>45861</v>
      </c>
      <c r="AE264" t="inlineStr">
        <is>
          <t>1st Payment - Aug. 22, 2025
2nd Payment - Sept. 12, 2025
3rd Payment - Oct. 3, 2025
4th Payment - Oct. 24, 2025
5th Payment - Nov. 14, 2025
Final Payment - Nov. 28, 2025</t>
        </is>
      </c>
      <c r="AF264" s="2"/>
      <c r="AG264" t="inlineStr">
        <is>
          <t>NzQyNTk5MTgyNzQ4MTg3MDM0MTpDRTNDMjg2RC0zQzA1LTQ2RUQtOEEyRC1CRkY1MUU5RTUzMjMtMTowYTU2YTNjMTk5MzExZDhhNGZkOTlmNzk1YzVlMmRiODox</t>
        </is>
      </c>
      <c r="AH264" t="inlineStr">
        <is>
          <t>Julia Sandra Dela Peña</t>
        </is>
      </c>
      <c r="AI264"/>
      <c r="AJ264"/>
      <c r="AK264"/>
    </row>
    <row r="265" ht="25.5" customHeight="1">
      <c r="A265" s="2" t="str">
        <f>=HYPERLINK("https://applink.larksuite.com/client/mini_program/open?appId=cli_9c7cc8a9a9edd105&amp;mode=appCenter&amp;path_pc=pc/pages/requested/index?instanceId=7540614893880311846&amp;source=bitable&amp;path=pages/detail/index?instanceId=7540614893880311846&amp;source=bitable", "202508200110")</f>
        <v>202508200110</v>
      </c>
      <c r="B265" t="inlineStr">
        <is>
          <t>Approved</t>
        </is>
      </c>
      <c r="C265" t="inlineStr">
        <is>
          <t>Procurement Order</t>
        </is>
      </c>
      <c r="D265" s="3">
        <v>45889.77568287037</v>
      </c>
      <c r="E265" s="3">
        <v>45889.81512731482</v>
      </c>
      <c r="F265" t="inlineStr">
        <is>
          <t>Fatima Kathleen M. FLores</t>
        </is>
      </c>
      <c r="G265" t="inlineStr">
        <is>
          <t>Procurement</t>
        </is>
      </c>
      <c r="H265"/>
      <c r="I265"/>
      <c r="J265" t="inlineStr">
        <is>
          <t>Project</t>
        </is>
      </c>
      <c r="K265" t="inlineStr">
        <is>
          <t>PDEI - Event Service</t>
        </is>
      </c>
      <c r="L265" t="inlineStr">
        <is>
          <t>MPL PH S16 - Regular Season</t>
        </is>
      </c>
      <c r="M265" t="inlineStr">
        <is>
          <t>2025TEG-P0214</t>
        </is>
      </c>
      <c r="N265" t="inlineStr">
        <is>
          <t>Jessica Jane Lor Felicilda</t>
        </is>
      </c>
      <c r="O265" t="inlineStr">
        <is>
          <t>202507280013-Jessica Jane Lor Felicilda-费用报销 - 副本 - 副本 - 副本-2025-07-28 03:01:16</t>
        </is>
      </c>
      <c r="P265" t="inlineStr">
        <is>
          <t>YES</t>
        </is>
      </c>
      <c r="Q265"/>
      <c r="R265" t="inlineStr">
        <is>
          <t>NO</t>
        </is>
      </c>
      <c r="S265" t="inlineStr">
        <is>
          <t>Outsourced Hospitality Officer</t>
        </is>
      </c>
      <c r="T265">
        <v>1</v>
      </c>
      <c r="U265">
        <v>70000</v>
      </c>
      <c r="V265" t="inlineStr">
        <is>
          <t>PHP</t>
        </is>
      </c>
      <c r="W265">
        <v>70000</v>
      </c>
      <c r="X265" s="2" t="str">
        <f>=HYPERLINK("https://www.larksuite.com/approval/admin/previewAttachment?key=PMg9CsJAEAXgK72383Z-vIxNwqJBKyGkmbMLFrafJ-E5aV5QcRTYMQWnsiwTRqa8RzOiEAyi9_e6z7kd63kd13Uue1mfj23tH86KMRAmWQLg7e8Wkqpc-Dm-AQAA__8", "2 attachment(s)")</f>
        <v>2 attachment(s)</v>
      </c>
      <c r="Y265" t="inlineStr">
        <is>
          <t>Bank Transfer</t>
        </is>
      </c>
      <c r="Z265" t="inlineStr">
        <is>
          <t>Juan Angelo B. Masongsong</t>
        </is>
      </c>
      <c r="AA265" t="inlineStr">
        <is>
          <t>0068 4024 9688</t>
        </is>
      </c>
      <c r="AB265" t="inlineStr">
        <is>
          <t>BDO</t>
        </is>
      </c>
      <c r="AC265" t="inlineStr">
        <is>
          <t>Munsayac Street, Barangay Calantipay, Baliwag Bulacan</t>
        </is>
      </c>
      <c r="AD265" s="4">
        <v>45861</v>
      </c>
      <c r="AE265" t="inlineStr">
        <is>
          <t>1st Payment - Sept. 5, 2025
2nd Payment - Sept. 26, 2025
3rd Payment - Oct. 17, 2025
4th Payment - Nov. 7, 2025
Final Payment - Nov. 21, 2025</t>
        </is>
      </c>
      <c r="AF265" s="2"/>
      <c r="AG265" t="inlineStr">
        <is>
          <t>NzQyNTk5MTgyNzQ4MTg3MDM0MTo0OUE2MjdFMy1EQjEyLTQ5RDgtOTBFQi1BN0ZDOTdCQkJBRjYtMTpiNTBlYzVkZTg4ZDRlYTEyOTU3ODkwZTM2ZmZlMTBiZTox</t>
        </is>
      </c>
      <c r="AH265" t="inlineStr">
        <is>
          <t>Juan Angelo B. Masongsong</t>
        </is>
      </c>
      <c r="AI265"/>
      <c r="AJ265"/>
      <c r="AK265"/>
    </row>
    <row r="266" ht="25.5" customHeight="1">
      <c r="A266" s="2" t="str">
        <f>=HYPERLINK("https://applink.larksuite.com/client/mini_program/open?appId=cli_9c7cc8a9a9edd105&amp;mode=appCenter&amp;path_pc=pc/pages/requested/index?instanceId=7540616956752281639&amp;source=bitable&amp;path=pages/detail/index?instanceId=7540616956752281639&amp;source=bitable", "202508200116")</f>
        <v>202508200116</v>
      </c>
      <c r="B266" t="inlineStr">
        <is>
          <t>Approved</t>
        </is>
      </c>
      <c r="C266" t="inlineStr">
        <is>
          <t>Procurement Order</t>
        </is>
      </c>
      <c r="D266" s="3">
        <v>45889.78123842592</v>
      </c>
      <c r="E266" s="3">
        <v>45889.81438657407</v>
      </c>
      <c r="F266" t="inlineStr">
        <is>
          <t>Fatima Kathleen M. FLores</t>
        </is>
      </c>
      <c r="G266" t="inlineStr">
        <is>
          <t>Procurement</t>
        </is>
      </c>
      <c r="H266"/>
      <c r="I266"/>
      <c r="J266" t="inlineStr">
        <is>
          <t>Project</t>
        </is>
      </c>
      <c r="K266" t="inlineStr">
        <is>
          <t>PDEI - Event Service</t>
        </is>
      </c>
      <c r="L266" t="inlineStr">
        <is>
          <t>MPL PH S16 - Regular Season</t>
        </is>
      </c>
      <c r="M266" t="inlineStr">
        <is>
          <t>2025TEG-P0214</t>
        </is>
      </c>
      <c r="N266" t="inlineStr">
        <is>
          <t>Jessica Jane Lor Felicilda</t>
        </is>
      </c>
      <c r="O266" t="inlineStr">
        <is>
          <t>202507280017-Jessica Jane Lor Felicilda-费用报销 - 副本 - 副本 - 副本-2025-07-28 03:17:36</t>
        </is>
      </c>
      <c r="P266" t="inlineStr">
        <is>
          <t>YES</t>
        </is>
      </c>
      <c r="Q266"/>
      <c r="R266" t="inlineStr">
        <is>
          <t>NO</t>
        </is>
      </c>
      <c r="S266" t="inlineStr">
        <is>
          <t>Outsourced Liaison Officer Head</t>
        </is>
      </c>
      <c r="T266">
        <v>1</v>
      </c>
      <c r="U266">
        <v>80000</v>
      </c>
      <c r="V266" t="inlineStr">
        <is>
          <t>PHP</t>
        </is>
      </c>
      <c r="W266">
        <v>80000</v>
      </c>
      <c r="X266" s="2" t="str">
        <f>=HYPERLINK("https://www.larksuite.com/approval/admin/previewAttachment?key=PMgxDsIwFAPQK9k_znc-l2GhqmBohITaLWdHYmB9OYgcnS0LKkaBy11IZvV0jxjMVisW7YJpYm3Hfn9d7xOHLM1zzm1dz8e-fdjLEXCT2gDA29-bJVWl8HN8AwAA__8", "2 attachment(s)")</f>
        <v>2 attachment(s)</v>
      </c>
      <c r="Y266" t="inlineStr">
        <is>
          <t>Bank Transfer</t>
        </is>
      </c>
      <c r="Z266" t="inlineStr">
        <is>
          <t>Jeremiah Montemayor Obial</t>
        </is>
      </c>
      <c r="AA266" t="inlineStr">
        <is>
          <t>109427684740</t>
        </is>
      </c>
      <c r="AB266" t="inlineStr">
        <is>
          <t>Unionbank</t>
        </is>
      </c>
      <c r="AC266" t="inlineStr">
        <is>
          <t>18 Alfa Street North Fairview Park Subdivision</t>
        </is>
      </c>
      <c r="AD266" s="4">
        <v>45861</v>
      </c>
      <c r="AE266" t="inlineStr">
        <is>
          <t>1st Payment - Aug. 22, 2025
2nd Payment - Sept. 12, 2025
3rd Payment - Oct. 3, 2025
4th Payment - Oct. 24, 2025
5th Payment - Nov. 14, 2025
Final Payment - Nov. 28, 2025</t>
        </is>
      </c>
      <c r="AF266" s="2"/>
      <c r="AG266" t="inlineStr">
        <is>
          <t>NzQyNTk5MTgyNzQ4MTg3MDM0MTo1OTU0NjJDRS05QzQ0LTRGQTEtQkRFRi1EM0NCMDNGOTM5RTgtMTo5NGMxODU4Njk0OTdmNzYyOTc0OTc3Y2FjYWI0Zjk1Yjox</t>
        </is>
      </c>
      <c r="AH266" t="inlineStr">
        <is>
          <t>Jeremiah Montemayor Obial</t>
        </is>
      </c>
      <c r="AI266"/>
      <c r="AJ266"/>
      <c r="AK266"/>
    </row>
    <row r="267" ht="25.5" customHeight="1">
      <c r="A267" s="2" t="str">
        <f>=HYPERLINK("https://applink.larksuite.com/client/mini_program/open?appId=cli_9c7cc8a9a9edd105&amp;mode=appCenter&amp;path_pc=pc/pages/requested/index?instanceId=7540618910295392288&amp;source=bitable&amp;path=pages/detail/index?instanceId=7540618910295392288&amp;source=bitable", "202508200124")</f>
        <v>202508200124</v>
      </c>
      <c r="B267" t="inlineStr">
        <is>
          <t>Approved</t>
        </is>
      </c>
      <c r="C267" t="inlineStr">
        <is>
          <t>Procurement Order</t>
        </is>
      </c>
      <c r="D267" s="3">
        <v>45889.78650462963</v>
      </c>
      <c r="E267" s="3">
        <v>45889.81380787037</v>
      </c>
      <c r="F267" t="inlineStr">
        <is>
          <t>Fatima Kathleen M. FLores</t>
        </is>
      </c>
      <c r="G267" t="inlineStr">
        <is>
          <t>Procurement</t>
        </is>
      </c>
      <c r="H267"/>
      <c r="I267"/>
      <c r="J267" t="inlineStr">
        <is>
          <t>Project</t>
        </is>
      </c>
      <c r="K267" t="inlineStr">
        <is>
          <t>PDEI - Event Service</t>
        </is>
      </c>
      <c r="L267" t="inlineStr">
        <is>
          <t>MPL PH S16 - Regular Season</t>
        </is>
      </c>
      <c r="M267" t="inlineStr">
        <is>
          <t>2025TEG-P0214</t>
        </is>
      </c>
      <c r="N267" t="inlineStr">
        <is>
          <t>Jessica Jane Lor Felicilda</t>
        </is>
      </c>
      <c r="O267" t="inlineStr">
        <is>
          <t>202507280025-Jessica Jane Lor Felicilda-费用报销 - 副本 - 副本 - 副本-2025-07-28 03:35:59</t>
        </is>
      </c>
      <c r="P267" t="inlineStr">
        <is>
          <t>YES</t>
        </is>
      </c>
      <c r="Q267"/>
      <c r="R267" t="inlineStr">
        <is>
          <t>NO</t>
        </is>
      </c>
      <c r="S267" t="inlineStr">
        <is>
          <t>Outsourced Assistant Staging Director</t>
        </is>
      </c>
      <c r="T267">
        <v>1</v>
      </c>
      <c r="U267">
        <v>102000</v>
      </c>
      <c r="V267" t="inlineStr">
        <is>
          <t>PHP</t>
        </is>
      </c>
      <c r="W267">
        <v>102000</v>
      </c>
      <c r="X267" s="2" t="str">
        <f>=HYPERLINK("https://www.larksuite.com/approval/admin/previewAttachment?key=PMgxCkJBDATQK81kk03Gy9jsZxHlV6LY5OyChe2bRcwKjim4aAI7wzFZIkwxZFbV1swUkkn0ce5rxLpvne7rtT6P7Pdt7ePJUJohh_soALz8faS7S9Pxc3wDAAD__w", "2 attachment(s)")</f>
        <v>2 attachment(s)</v>
      </c>
      <c r="Y267" t="inlineStr">
        <is>
          <t>Bank Transfer</t>
        </is>
      </c>
      <c r="Z267" t="inlineStr">
        <is>
          <t>Allen Bert Araño</t>
        </is>
      </c>
      <c r="AA267" t="inlineStr">
        <is>
          <t>109855637640</t>
        </is>
      </c>
      <c r="AB267" t="inlineStr">
        <is>
          <t>Unionbank</t>
        </is>
      </c>
      <c r="AC267" t="inlineStr">
        <is>
          <t>Marungko, Angat, Bulacan</t>
        </is>
      </c>
      <c r="AD267" s="4">
        <v>45861</v>
      </c>
      <c r="AE267" t="inlineStr">
        <is>
          <t>1st Payment - Sept. 5, 2025
2nd Payment - Sept. 26, 2025
3rd Payment - Oct. 17, 2025
4th Payment - Nov. 7, 2025
Final Payment - Nov. 21, 2025</t>
        </is>
      </c>
      <c r="AF267" s="2"/>
      <c r="AG267" t="inlineStr">
        <is>
          <t>NzQyNTk5MTgyNzQ4MTg3MDM0MTpCNUNENTYwNS00MzE2LTQ1QjItODU5Qy1CRjBCRUI3RDYxRDgtMTozYTkyYjM5MDAzMTBjNWMyNDI2ZDM4ZmU3NDZjNThmMDox</t>
        </is>
      </c>
      <c r="AH267" t="inlineStr">
        <is>
          <t>Allen Bert Araño</t>
        </is>
      </c>
      <c r="AI267"/>
      <c r="AJ267"/>
      <c r="AK267"/>
    </row>
    <row r="268" ht="25.5" customHeight="1">
      <c r="A268" s="2" t="str">
        <f>=HYPERLINK("https://applink.larksuite.com/client/mini_program/open?appId=cli_9c7cc8a9a9edd105&amp;mode=appCenter&amp;path_pc=pc/pages/requested/index?instanceId=7540620776098054175&amp;source=bitable&amp;path=pages/detail/index?instanceId=7540620776098054175&amp;source=bitable", "202508200126")</f>
        <v>202508200126</v>
      </c>
      <c r="B268" t="inlineStr">
        <is>
          <t>Approved</t>
        </is>
      </c>
      <c r="C268" t="inlineStr">
        <is>
          <t>Procurement Order</t>
        </is>
      </c>
      <c r="D268" s="3">
        <v>45889.79152777778</v>
      </c>
      <c r="E268" s="3">
        <v>45889.813043981485</v>
      </c>
      <c r="F268" t="inlineStr">
        <is>
          <t>Fatima Kathleen M. FLores</t>
        </is>
      </c>
      <c r="G268" t="inlineStr">
        <is>
          <t>Procurement</t>
        </is>
      </c>
      <c r="H268"/>
      <c r="I268"/>
      <c r="J268" t="inlineStr">
        <is>
          <t>Project</t>
        </is>
      </c>
      <c r="K268" t="inlineStr">
        <is>
          <t>PDEI - Event Service</t>
        </is>
      </c>
      <c r="L268" t="inlineStr">
        <is>
          <t>MPL PH S16 - Regular Season</t>
        </is>
      </c>
      <c r="M268" t="inlineStr">
        <is>
          <t>2025TEG-P0214</t>
        </is>
      </c>
      <c r="N268" t="inlineStr">
        <is>
          <t>Jessica Jane Lor Felicilda</t>
        </is>
      </c>
      <c r="O268" t="inlineStr">
        <is>
          <t>202507280028-Jessica Jane Lor Felicilda-费用报销 - 副本 - 副本 - 副本-2025-07-28 04:08:19</t>
        </is>
      </c>
      <c r="P268" t="inlineStr">
        <is>
          <t>YES</t>
        </is>
      </c>
      <c r="Q268"/>
      <c r="R268" t="inlineStr">
        <is>
          <t>NO</t>
        </is>
      </c>
      <c r="S268" t="inlineStr">
        <is>
          <t>Outsourced Assistant Director</t>
        </is>
      </c>
      <c r="T268">
        <v>1</v>
      </c>
      <c r="U268">
        <v>65000</v>
      </c>
      <c r="V268" t="inlineStr">
        <is>
          <t>PHP</t>
        </is>
      </c>
      <c r="W268">
        <v>65000</v>
      </c>
      <c r="X268" s="2" t="str">
        <f>=HYPERLINK("https://www.larksuite.com/approval/admin/previewAttachment?key=PMhBCkIxDATQK820aSbxMm78FPlSEITqJmcXXLh9HoTHYPeEJVuCpWHwBsmRgWHUqFaUEqKIOta8bs7PPvf5fgTnc9W-3-bx4ki1BnWzHgB4-XuXmWW64ef4BgAA__8", "2 attachment(s)")</f>
        <v>2 attachment(s)</v>
      </c>
      <c r="Y268" t="inlineStr">
        <is>
          <t>Bank Transfer</t>
        </is>
      </c>
      <c r="Z268" t="inlineStr">
        <is>
          <t>Jerome B. Pineda</t>
        </is>
      </c>
      <c r="AA268" t="inlineStr">
        <is>
          <t>3179759828</t>
        </is>
      </c>
      <c r="AB268" t="inlineStr">
        <is>
          <t>BPI</t>
        </is>
      </c>
      <c r="AC268" t="inlineStr">
        <is>
          <t>46 Nightingale Street, Strip 70, Concepcion Uno, Marikina City</t>
        </is>
      </c>
      <c r="AD268" s="4">
        <v>45873</v>
      </c>
      <c r="AE268" t="inlineStr">
        <is>
          <t>1st Payment - Aug. 22, 2025
2nd Payment - Sept. 12, 2025
3rd Payment - Oct. 3, 2025
4th Payment - Oct. 24, 2025
5th Payment - Nov. 14, 2025
Final Payment - Nov. 28, 2025</t>
        </is>
      </c>
      <c r="AF268" s="2"/>
      <c r="AG268" t="inlineStr">
        <is>
          <t>NzQyNTk5MTgyNzQ4MTg3MDM0MTpFNzI1NkM5QS1DMEY0LTQ4MUQtODFEOC1EREEyRThERTM0MzAtMTo0YmJlYTRhMjIyMTJiZDJlOGU1MWFkZjFmNjhmY2YzNDox</t>
        </is>
      </c>
      <c r="AH268" t="inlineStr">
        <is>
          <t>Jerome B. Pineda</t>
        </is>
      </c>
      <c r="AI268"/>
      <c r="AJ268"/>
      <c r="AK268"/>
    </row>
    <row r="269" ht="25.5" customHeight="1">
      <c r="A269" s="2" t="str">
        <f>=HYPERLINK("https://applink.larksuite.com/client/mini_program/open?appId=cli_9c7cc8a9a9edd105&amp;mode=appCenter&amp;path_pc=pc/pages/requested/index?instanceId=7540621932434030623&amp;source=bitable&amp;path=pages/detail/index?instanceId=7540621932434030623&amp;source=bitable", "202508200128")</f>
        <v>202508200128</v>
      </c>
      <c r="B269" t="inlineStr">
        <is>
          <t>Approved</t>
        </is>
      </c>
      <c r="C269" t="inlineStr">
        <is>
          <t>Procurement Order</t>
        </is>
      </c>
      <c r="D269" s="3">
        <v>45889.794652777775</v>
      </c>
      <c r="E269" s="3">
        <v>45889.81239583333</v>
      </c>
      <c r="F269" t="inlineStr">
        <is>
          <t>Fatima Kathleen M. FLores</t>
        </is>
      </c>
      <c r="G269" t="inlineStr">
        <is>
          <t>Procurement</t>
        </is>
      </c>
      <c r="H269"/>
      <c r="I269"/>
      <c r="J269" t="inlineStr">
        <is>
          <t>Project</t>
        </is>
      </c>
      <c r="K269" t="inlineStr">
        <is>
          <t>PDEI - Event Service</t>
        </is>
      </c>
      <c r="L269" t="inlineStr">
        <is>
          <t>MPL PH S16 - Regular Season</t>
        </is>
      </c>
      <c r="M269" t="inlineStr">
        <is>
          <t>2025TEG-P0214</t>
        </is>
      </c>
      <c r="N269" t="inlineStr">
        <is>
          <t>Jessica Jane Lor Felicilda</t>
        </is>
      </c>
      <c r="O269" t="inlineStr">
        <is>
          <t>202507280025-Jessica Jane Lor Felicilda-费用报销 - 副本 - 副本 - 副本-2025-07-28 03:35:59</t>
        </is>
      </c>
      <c r="P269" t="inlineStr">
        <is>
          <t>YES</t>
        </is>
      </c>
      <c r="Q269"/>
      <c r="R269" t="inlineStr">
        <is>
          <t>NO</t>
        </is>
      </c>
      <c r="S269" t="inlineStr">
        <is>
          <t>Outsourced Assistant Staging Director</t>
        </is>
      </c>
      <c r="T269">
        <v>1</v>
      </c>
      <c r="U269">
        <v>102000</v>
      </c>
      <c r="V269" t="inlineStr">
        <is>
          <t>PHP</t>
        </is>
      </c>
      <c r="W269">
        <v>102000</v>
      </c>
      <c r="X269" s="2" t="str">
        <f>=HYPERLINK("https://www.larksuite.com/approval/admin/previewAttachment?key=PMgxDsJADATAL629G_vMZ2hyiriCCAmRzm9HoqCdGIYYmzEKKvOCdW5CuBVdFIhwtrdlFtLS0PN53CfHhbU-63w5z72vx37Mt22V7khKHADs9nempKoQfo5vAAAA__8", "2 attachment(s)")</f>
        <v>2 attachment(s)</v>
      </c>
      <c r="Y269" t="inlineStr">
        <is>
          <t>Bank Transfer</t>
        </is>
      </c>
      <c r="Z269" t="inlineStr">
        <is>
          <t>John Martin Señorosa</t>
        </is>
      </c>
      <c r="AA269" t="inlineStr">
        <is>
          <t>09458006005</t>
        </is>
      </c>
      <c r="AB269" t="inlineStr">
        <is>
          <t>GCash</t>
        </is>
      </c>
      <c r="AC269" t="inlineStr">
        <is>
          <t>45 calia II st. Bayan Bayanan Malabon City</t>
        </is>
      </c>
      <c r="AD269" s="4">
        <v>45886</v>
      </c>
      <c r="AE269" t="inlineStr">
        <is>
          <t>1st Payment - Sept. 5, 2025
2nd Payment - Sept. 26, 2025
3rd Payment - Oct. 17, 2025
4th Payment - Nov. 7, 2025
Final Payment - Nov. 21, 2025</t>
        </is>
      </c>
      <c r="AF269" s="2"/>
      <c r="AG269" t="inlineStr">
        <is>
          <t>NzQyNTk5MTgyNzQ4MTg3MDM0MTpDRTY4MUNFMS04RDFELTRFQTUtOEQzQS0wOURBNjM1Q0E1RjYtMTo2MzZlMTg3ZmQwNDFmZGQzYjg4YzFjZjkxYjJkZGJhNDox</t>
        </is>
      </c>
      <c r="AH269" t="inlineStr">
        <is>
          <t>John Martin Señorosa</t>
        </is>
      </c>
      <c r="AI269"/>
      <c r="AJ269"/>
      <c r="AK269"/>
    </row>
    <row r="270" ht="25.5" customHeight="1">
      <c r="A270" s="2" t="str">
        <f>=HYPERLINK("https://applink.larksuite.com/client/mini_program/open?appId=cli_9c7cc8a9a9edd105&amp;mode=appCenter&amp;path_pc=pc/pages/requested/index?instanceId=7541235485533077543&amp;source=bitable&amp;path=pages/detail/index?instanceId=7541235485533077543&amp;source=bitable", "202508220005")</f>
        <v>202508220005</v>
      </c>
      <c r="B270" t="inlineStr">
        <is>
          <t>Approved</t>
        </is>
      </c>
      <c r="C270" t="inlineStr">
        <is>
          <t>Procurement Order</t>
        </is>
      </c>
      <c r="D270" s="3">
        <v>45891.44805555556</v>
      </c>
      <c r="E270" s="3">
        <v>45898.4240162037</v>
      </c>
      <c r="F270" t="inlineStr">
        <is>
          <t>Fatima Kathleen M. FLores</t>
        </is>
      </c>
      <c r="G270" t="inlineStr">
        <is>
          <t>Procurement</t>
        </is>
      </c>
      <c r="H270"/>
      <c r="I270"/>
      <c r="J270" t="inlineStr">
        <is>
          <t>Project</t>
        </is>
      </c>
      <c r="K270" t="inlineStr">
        <is>
          <t>PDEI - Event Service</t>
        </is>
      </c>
      <c r="L270" t="inlineStr">
        <is>
          <t>MPL PH S16 - Regular Season</t>
        </is>
      </c>
      <c r="M270" t="inlineStr">
        <is>
          <t>2025TEG-P0214</t>
        </is>
      </c>
      <c r="N270" t="inlineStr">
        <is>
          <t>Anteaus Villena</t>
        </is>
      </c>
      <c r="O270" t="inlineStr">
        <is>
          <t>202507310073-Jessica Jane Lor Felicilda-费用报销 - 副本 - 副本 - 副本-2025-07-31 07:25:37</t>
        </is>
      </c>
      <c r="P270" t="inlineStr">
        <is>
          <t>NO</t>
        </is>
      </c>
      <c r="Q270"/>
      <c r="R270" t="inlineStr">
        <is>
          <t>YES</t>
        </is>
      </c>
      <c r="S270" t="inlineStr">
        <is>
          <t>Black Wall Curtains Katrina cloth 610 cm x 140 cm (height x width) - 65 pcs</t>
        </is>
      </c>
      <c r="T270">
        <v>1</v>
      </c>
      <c r="U270">
        <v>50000</v>
      </c>
      <c r="V270" t="inlineStr">
        <is>
          <t>PHP</t>
        </is>
      </c>
      <c r="W270">
        <v>50000</v>
      </c>
      <c r="X270" s="2"/>
      <c r="Y270" t="inlineStr">
        <is>
          <t>Bank Transfer</t>
        </is>
      </c>
      <c r="Z270" t="inlineStr">
        <is>
          <t>SPE Events Management And Services Party Needs Rental</t>
        </is>
      </c>
      <c r="AA270" t="inlineStr">
        <is>
          <t>141102017588</t>
        </is>
      </c>
      <c r="AB270" t="inlineStr">
        <is>
          <t>China Bank Corporation</t>
        </is>
      </c>
      <c r="AC270" t="inlineStr">
        <is>
          <t>10A St. Benedict, Paradise Village, Sangandaan, QC</t>
        </is>
      </c>
      <c r="AD270" s="4">
        <v>45886</v>
      </c>
      <c r="AE270" t="inlineStr">
        <is>
          <t>100% Full Payment</t>
        </is>
      </c>
      <c r="AF270" s="2"/>
      <c r="AG270" t="inlineStr">
        <is>
          <t>NzQyNTk5MTgyNzQ4MTg3MDM0MTozM0ZBMzZBNC0wNTBBLTQ1RjctODZEMi03MjdBNzAzOEQzOUUtMTpiMmVmZTM3Y2MzNjg1NTc4YzIwYjI5NTIwM2RmNTVkNDox</t>
        </is>
      </c>
      <c r="AH270" t="inlineStr">
        <is>
          <t>SPE Events Management And Services Party Needs Rental</t>
        </is>
      </c>
      <c r="AI270"/>
      <c r="AJ270"/>
      <c r="AK270"/>
    </row>
    <row r="271" ht="25.5" customHeight="1">
      <c r="A271" s="2" t="str">
        <f>=HYPERLINK("https://applink.larksuite.com/client/mini_program/open?appId=cli_9c7cc8a9a9edd105&amp;mode=appCenter&amp;path_pc=pc/pages/requested/index?instanceId=7541235485533077543&amp;source=bitable&amp;path=pages/detail/index?instanceId=7541235485533077543&amp;source=bitable", "202508220005")</f>
        <v>202508220005</v>
      </c>
      <c r="B271" t="inlineStr">
        <is>
          <t>Approved</t>
        </is>
      </c>
      <c r="C271" t="inlineStr">
        <is>
          <t>Procurement Order</t>
        </is>
      </c>
      <c r="D271" s="3">
        <v>45891.44805555556</v>
      </c>
      <c r="E271" s="3">
        <v>45898.4240162037</v>
      </c>
      <c r="F271" t="inlineStr">
        <is>
          <t>Fatima Kathleen M. FLores</t>
        </is>
      </c>
      <c r="G271" t="inlineStr">
        <is>
          <t>Procurement</t>
        </is>
      </c>
      <c r="H271"/>
      <c r="I271"/>
      <c r="J271" t="inlineStr">
        <is>
          <t>Project</t>
        </is>
      </c>
      <c r="K271" t="inlineStr">
        <is>
          <t>PDEI - Event Service</t>
        </is>
      </c>
      <c r="L271" t="inlineStr">
        <is>
          <t>MPL PH S16 - Regular Season</t>
        </is>
      </c>
      <c r="M271" t="inlineStr">
        <is>
          <t>2025TEG-P0214</t>
        </is>
      </c>
      <c r="N271" t="inlineStr">
        <is>
          <t>Anteaus Villena</t>
        </is>
      </c>
      <c r="O271" t="inlineStr">
        <is>
          <t>202507310073-Jessica Jane Lor Felicilda-费用报销 - 副本 - 副本 - 副本-2025-07-31 07:25:37</t>
        </is>
      </c>
      <c r="P271" t="inlineStr">
        <is>
          <t>NO</t>
        </is>
      </c>
      <c r="Q271"/>
      <c r="R271" t="inlineStr">
        <is>
          <t>YES</t>
        </is>
      </c>
      <c r="S271" t="inlineStr">
        <is>
          <t>Delivery fee</t>
        </is>
      </c>
      <c r="T271">
        <v>1</v>
      </c>
      <c r="U271">
        <v>1000</v>
      </c>
      <c r="V271" t="inlineStr">
        <is>
          <t>PHP</t>
        </is>
      </c>
      <c r="W271">
        <v>1000</v>
      </c>
      <c r="X271" s="2" t="str">
        <f>=HYPERLINK("https://www.larksuite.com/approval/admin/previewAttachment?key=PMgxDsIwFAPQK9n533E-l2FJVaFSJkS3nB2JgfX1QfQhRi9ksRW4rGQL5ZAiYCtjtUW7YJpY22u_S_Ooeep5fOqc17oec9_eVLk1ODJjAODt7-HMrOqJn_MbAAD__w", "2 attachment(s)")</f>
        <v>2 attachment(s)</v>
      </c>
      <c r="Y271"/>
      <c r="Z271"/>
      <c r="AA271"/>
      <c r="AB271"/>
      <c r="AC271"/>
      <c r="AD271" s="4"/>
      <c r="AE271"/>
      <c r="AF271" s="2"/>
      <c r="AG271" t="inlineStr">
        <is>
          <t>NzQyNTk5MTgyNzQ4MTg3MDM0MTozM0ZBMzZBNC0wNTBBLTQ1RjctODZEMi03MjdBNzAzOEQzOUUtMjo2N2E5MGFjMGM0MWQ2YTliMjk1NWIyMTI5NDg2ZmExYTox</t>
        </is>
      </c>
      <c r="AH271"/>
      <c r="AI271"/>
      <c r="AJ271"/>
      <c r="AK271"/>
    </row>
    <row r="272" ht="25.5" customHeight="1">
      <c r="A272" s="2" t="str">
        <f>=HYPERLINK("https://applink.larksuite.com/client/mini_program/open?appId=cli_9c7cc8a9a9edd105&amp;mode=appCenter&amp;path_pc=pc/pages/requested/index?instanceId=7541284872871034912&amp;source=bitable&amp;path=pages/detail/index?instanceId=7541284872871034912&amp;source=bitable", "202508220027")</f>
        <v>202508220027</v>
      </c>
      <c r="B272" t="inlineStr">
        <is>
          <t>Approved</t>
        </is>
      </c>
      <c r="C272" t="inlineStr">
        <is>
          <t>Procurement Order</t>
        </is>
      </c>
      <c r="D272" s="3">
        <v>45891.581145833334</v>
      </c>
      <c r="E272" s="3">
        <v>45891.60561342593</v>
      </c>
      <c r="F272" t="inlineStr">
        <is>
          <t>Fatima Kathleen M. FLores</t>
        </is>
      </c>
      <c r="G272" t="inlineStr">
        <is>
          <t>Procurement</t>
        </is>
      </c>
      <c r="H272"/>
      <c r="I272"/>
      <c r="J272" t="inlineStr">
        <is>
          <t>Project</t>
        </is>
      </c>
      <c r="K272" t="inlineStr">
        <is>
          <t>PDEI - Event Service</t>
        </is>
      </c>
      <c r="L272" t="inlineStr">
        <is>
          <t>MPL PH S16 - Regular Season</t>
        </is>
      </c>
      <c r="M272" t="inlineStr">
        <is>
          <t>2025TEG-P0214</t>
        </is>
      </c>
      <c r="N272" t="inlineStr">
        <is>
          <t>Jessica Jane Lor Felicilda</t>
        </is>
      </c>
      <c r="O272" t="inlineStr">
        <is>
          <t>202508220019-Jessica Jane Lor Felicilda-费用报销 - 副本 - 副本 - 副本-2025-08-22 04:09:16</t>
        </is>
      </c>
      <c r="P272" t="inlineStr">
        <is>
          <t>NO</t>
        </is>
      </c>
      <c r="Q272"/>
      <c r="R272" t="inlineStr">
        <is>
          <t>NO</t>
        </is>
      </c>
      <c r="S272" t="inlineStr">
        <is>
          <t>Reserved Parking (15 slots / Week 1 - Aug. 22 to 24, 2025)</t>
        </is>
      </c>
      <c r="T272">
        <v>1</v>
      </c>
      <c r="U272">
        <v>17360</v>
      </c>
      <c r="V272" t="inlineStr">
        <is>
          <t>PHP</t>
        </is>
      </c>
      <c r="W272">
        <v>17360</v>
      </c>
      <c r="X272" s="2" t="str">
        <f>=HYPERLINK("https://www.larksuite.com/approval/admin/previewAttachment?key=PMgxjkIxDATQK83YTsbey2xD9MUHQYOUzmdHUNC-mcTMQZ-FKFqBrRG0jJSlCP9wW1MqiCJ6PY7_u63baaPw3HVu6329HOvFUTKDPMITAP9-7oqIqhn4Ot4BAAD__w", "2 attachment(s)")</f>
        <v>2 attachment(s)</v>
      </c>
      <c r="Y272" t="inlineStr">
        <is>
          <t>Bank Transfer</t>
        </is>
      </c>
      <c r="Z272" t="inlineStr">
        <is>
          <t>Ecotechland, Inc.</t>
        </is>
      </c>
      <c r="AA272" t="inlineStr">
        <is>
          <t>001450007951</t>
        </is>
      </c>
      <c r="AB272" t="inlineStr">
        <is>
          <t>BDO</t>
        </is>
      </c>
      <c r="AC272" t="inlineStr">
        <is>
          <t>Mezzanine Floor, Ecoplaza Building, 2305 Don Chino Roces Ave. Extension, Brgy. Magallanes, Makati City</t>
        </is>
      </c>
      <c r="AD272" s="4">
        <v>45891</v>
      </c>
      <c r="AE272" t="inlineStr">
        <is>
          <t>100% Full Payment</t>
        </is>
      </c>
      <c r="AF272" s="2" t="str">
        <f>=HYPERLINK("https://www.larksuite.com/approval/admin/previewAttachment?key=TMg7DgIxDATQK83Yjj9choZoRUDQIKXz2RFU2z5PwnNQvWBFKbBjGCUtQzII_XFLM6IQDKLn67g-ZT6WjMJ719rS-3475oee6rAaZiwAvJycRKW6_h3fAAAA__8", "1 attachment(s)")</f>
        <v>1 attachment(s)</v>
      </c>
      <c r="AG272" t="inlineStr">
        <is>
          <t>NzQyNTk5MTgyNzQ4MTg3MDM0MTo1RURCRkE1Mi1GNjk4LTQ2REUtOUUxQy0xNzkzNTYzOUEyOTQtMTo3ZDY2YTllMmQwOWVhYTcwMTU1YTAxNWU3ZTc3YWFkYjox</t>
        </is>
      </c>
      <c r="AH272" t="inlineStr">
        <is>
          <t>Ecotechland, Inc.</t>
        </is>
      </c>
      <c r="AI272"/>
      <c r="AJ272"/>
      <c r="AK272"/>
    </row>
    <row r="273" ht="25.5" customHeight="1">
      <c r="A273" s="2" t="str">
        <f>=HYPERLINK("https://applink.larksuite.com/client/mini_program/open?appId=cli_9c7cc8a9a9edd105&amp;mode=appCenter&amp;path_pc=pc/pages/requested/index?instanceId=7541304473283035167&amp;source=bitable&amp;path=pages/detail/index?instanceId=7541304473283035167&amp;source=bitable", "202508220037")</f>
        <v>202508220037</v>
      </c>
      <c r="B273" t="inlineStr">
        <is>
          <t>Approved</t>
        </is>
      </c>
      <c r="C273" t="inlineStr">
        <is>
          <t>Procurement Order</t>
        </is>
      </c>
      <c r="D273" s="3">
        <v>45891.63395833333</v>
      </c>
      <c r="E273" s="3">
        <v>45891.68791666667</v>
      </c>
      <c r="F273" t="inlineStr">
        <is>
          <t>Fatima Kathleen M. FLores</t>
        </is>
      </c>
      <c r="G273" t="inlineStr">
        <is>
          <t>Procurement</t>
        </is>
      </c>
      <c r="H273"/>
      <c r="I273"/>
      <c r="J273" t="inlineStr">
        <is>
          <t>CAPEX</t>
        </is>
      </c>
      <c r="K273"/>
      <c r="L273"/>
      <c r="M273"/>
      <c r="N273"/>
      <c r="O273" t="inlineStr">
        <is>
          <t>202508180069-Bernadeth Español Villaflor-费用报销 - 副本 - 副本 - 副本-2025-08-18 22:50:50</t>
        </is>
      </c>
      <c r="P273"/>
      <c r="Q273" t="inlineStr">
        <is>
          <t>Broadcast</t>
        </is>
      </c>
      <c r="R273"/>
      <c r="S273" t="inlineStr">
        <is>
          <t>KingSton DDR5 6000 16gb Fury beast: 16GB 6000MT/s DDR5 CL36 DIMM FURY Beast Black EXPO</t>
        </is>
      </c>
      <c r="T273">
        <v>28</v>
      </c>
      <c r="U273">
        <v>3320</v>
      </c>
      <c r="V273" t="inlineStr">
        <is>
          <t>PHP</t>
        </is>
      </c>
      <c r="W273">
        <v>92960</v>
      </c>
      <c r="X273" s="2" t="str">
        <f>=HYPERLINK("https://www.larksuite.com/approval/admin/previewAttachment?key=PMgxDsIwFAPQK9n_O3E-l2GhqhjKhEK75OxIDKyvD6KPxuwFFaPA5SYmJGeMRDZ2r1i0C6aJtb32-6n9qpg-juucM9bn-di3N1s5Ak4pBwDe_p6WVNWFn-MbAAD__w", "2 attachment(s)")</f>
        <v>2 attachment(s)</v>
      </c>
      <c r="Y273" t="inlineStr">
        <is>
          <t>Bank Transfer</t>
        </is>
      </c>
      <c r="Z273" t="inlineStr">
        <is>
          <t>Iontech Inc</t>
        </is>
      </c>
      <c r="AA273" t="inlineStr">
        <is>
          <t>004-763-0449-34</t>
        </is>
      </c>
      <c r="AB273" t="inlineStr">
        <is>
          <t>BPI</t>
        </is>
      </c>
      <c r="AC273" t="inlineStr">
        <is>
          <t>Rm 200, Timbol-Singh Building, 915 Aurora Blvd. Cubao, Quezon City</t>
        </is>
      </c>
      <c r="AD273" s="4">
        <v>45891</v>
      </c>
      <c r="AE273" t="inlineStr">
        <is>
          <t>100% Full payment</t>
        </is>
      </c>
      <c r="AF273" s="2" t="str">
        <f>=HYPERLINK("https://www.larksuite.com/approval/admin/previewAttachment?key=TMg7DgIxDATQK83Yjj9choZVRLFUKGwanx2JivZ5Ep6D6gUrSoEdw6gwC5VU6KBHSzOiEAyij9e8XzZ3yYrz3Nda0p_nYx5veqrDapixAPD25yQq1fXn-AYAAP__", "1 attachment(s)")</f>
        <v>1 attachment(s)</v>
      </c>
      <c r="AG273" t="inlineStr">
        <is>
          <t>NzQyNTk5MTgyNzQ4MTg3MDM0MTowRUM1QjM4RC1CNEE1LTREMUItQTg5NS1CRjc0M0UxMURGQUUtMToxNGI4ZmZiMTAyM2U4MmM5M2MyNGQ5ZGFlZDE1YzhmYTox</t>
        </is>
      </c>
      <c r="AH273" t="inlineStr">
        <is>
          <t>Iontech Inc</t>
        </is>
      </c>
      <c r="AI273"/>
      <c r="AJ273"/>
      <c r="AK273"/>
    </row>
    <row r="274" ht="25.5" customHeight="1">
      <c r="A274" s="2" t="str">
        <f>=HYPERLINK("https://applink.larksuite.com/client/mini_program/open?appId=cli_9c7cc8a9a9edd105&amp;mode=appCenter&amp;path_pc=pc/pages/requested/index?instanceId=7542364108046204966&amp;source=bitable&amp;path=pages/detail/index?instanceId=7542364108046204966&amp;source=bitable", "202508250025")</f>
        <v>202508250025</v>
      </c>
      <c r="B274" t="inlineStr">
        <is>
          <t>Approved</t>
        </is>
      </c>
      <c r="C274" t="inlineStr">
        <is>
          <t>Procurement Order</t>
        </is>
      </c>
      <c r="D274" s="3">
        <v>45894.48946759259</v>
      </c>
      <c r="E274" s="3">
        <v>45898.42569444444</v>
      </c>
      <c r="F274" t="inlineStr">
        <is>
          <t>Fatima Kathleen M. FLores</t>
        </is>
      </c>
      <c r="G274" t="inlineStr">
        <is>
          <t>Procurement</t>
        </is>
      </c>
      <c r="H274"/>
      <c r="I274"/>
      <c r="J274" t="inlineStr">
        <is>
          <t>Project</t>
        </is>
      </c>
      <c r="K274" t="inlineStr">
        <is>
          <t>GG - Event Service</t>
        </is>
      </c>
      <c r="L274" t="inlineStr">
        <is>
          <t>HOK Philippine Kings League - Fall Season</t>
        </is>
      </c>
      <c r="M274" t="inlineStr">
        <is>
          <t>2025TEG-P0219</t>
        </is>
      </c>
      <c r="N274" t="inlineStr">
        <is>
          <t>Carla Andrea Calma Crespo</t>
        </is>
      </c>
      <c r="O274" t="inlineStr">
        <is>
          <t>202508250012-Carla Andrea Calma Crespo-费用报销 - 副本 - 副本 - 副本-2025-08-25 03:02:25</t>
        </is>
      </c>
      <c r="P274" t="inlineStr">
        <is>
          <t>YES</t>
        </is>
      </c>
      <c r="Q274"/>
      <c r="R274" t="inlineStr">
        <is>
          <t>YES</t>
        </is>
      </c>
      <c r="S274" t="inlineStr">
        <is>
          <t>Outsourced Stylist</t>
        </is>
      </c>
      <c r="T274">
        <v>1</v>
      </c>
      <c r="U274">
        <v>126666.67</v>
      </c>
      <c r="V274" t="inlineStr">
        <is>
          <t>PHP</t>
        </is>
      </c>
      <c r="W274">
        <v>126666.67</v>
      </c>
      <c r="X274" s="2" t="str">
        <f>=HYPERLINK("https://www.larksuite.com/approval/admin/previewAttachment?key=PMhBqgJBDATQK1Ul1UnnX-ZvHAZxpkEQBjc5u-DC7YtJxBz0KKhoBXYOmYeICYVBFdHWzCwkk-ht7f-yc52HrYdfx3O9-7rf9u3FUWmGdMknAP793FNSVQhfxycAAP__", "2 attachment(s)")</f>
        <v>2 attachment(s)</v>
      </c>
      <c r="Y274" t="inlineStr">
        <is>
          <t>Bank Transfer</t>
        </is>
      </c>
      <c r="Z274" t="inlineStr">
        <is>
          <t>Harley A. Grajo</t>
        </is>
      </c>
      <c r="AA274" t="inlineStr">
        <is>
          <t>001500696054</t>
        </is>
      </c>
      <c r="AB274" t="inlineStr">
        <is>
          <t>BDO</t>
        </is>
      </c>
      <c r="AC274" t="inlineStr">
        <is>
          <t>1 San Sotero st. Brgy. San Perfecto, San Juan City</t>
        </is>
      </c>
      <c r="AD274" s="4">
        <v>45898</v>
      </c>
      <c r="AE274" t="inlineStr">
        <is>
          <t>1st Payment - Aug. 25, 2025
2nd Payment - Sept. 26, 2025
Final Payment - Oct. 17, 2025</t>
        </is>
      </c>
      <c r="AF274" s="2"/>
      <c r="AG274" t="inlineStr">
        <is>
          <t>NzQyNTk5MTgyNzQ4MTg3MDM0MTpFRUM4MjQwQy0yQjc1LTQ1REItQTU5MC1CMjc2Q0Q0NzI3RDMtMTpmMDIxYmY1NjZlMjg0MTM4NGIxNzk1MTdhOTM3NTQ4MTox</t>
        </is>
      </c>
      <c r="AH274" t="inlineStr">
        <is>
          <t>Harley A. Grajo</t>
        </is>
      </c>
      <c r="AI274"/>
      <c r="AJ274"/>
      <c r="AK274"/>
    </row>
    <row r="275" ht="25.5" customHeight="1">
      <c r="A275" s="2" t="str">
        <f>=HYPERLINK("https://applink.larksuite.com/client/mini_program/open?appId=cli_9c7cc8a9a9edd105&amp;mode=appCenter&amp;path_pc=pc/pages/requested/index?instanceId=7542725375887474720&amp;source=bitable&amp;path=pages/detail/index?instanceId=7542725375887474720&amp;source=bitable", "202508260022")</f>
        <v>202508260022</v>
      </c>
      <c r="B275" t="inlineStr">
        <is>
          <t>Approved</t>
        </is>
      </c>
      <c r="C275" t="inlineStr">
        <is>
          <t>Procurement Order</t>
        </is>
      </c>
      <c r="D275" s="3">
        <v>45895.463009259256</v>
      </c>
      <c r="E275" s="3">
        <v>45895.705358796295</v>
      </c>
      <c r="F275" t="inlineStr">
        <is>
          <t>Fatima Kathleen M. FLores</t>
        </is>
      </c>
      <c r="G275" t="inlineStr">
        <is>
          <t>Procurement</t>
        </is>
      </c>
      <c r="H275"/>
      <c r="I275"/>
      <c r="J275" t="inlineStr">
        <is>
          <t>Project</t>
        </is>
      </c>
      <c r="K275" t="inlineStr">
        <is>
          <t>GG - Event Service</t>
        </is>
      </c>
      <c r="L275" t="inlineStr">
        <is>
          <t>HOK Philippine Kings League - Fall Season</t>
        </is>
      </c>
      <c r="M275" t="inlineStr">
        <is>
          <t>2025TEG-P0219</t>
        </is>
      </c>
      <c r="N275" t="inlineStr">
        <is>
          <t>Carla Andrea Calma Crespo</t>
        </is>
      </c>
      <c r="O275" t="inlineStr">
        <is>
          <t>202508240005-Carla Andrea Calma Crespo-费用报销 - 副本 - 副本 - 副本-2025-08-24 06:54:36</t>
        </is>
      </c>
      <c r="P275" t="inlineStr">
        <is>
          <t>NO</t>
        </is>
      </c>
      <c r="Q275"/>
      <c r="R275" t="inlineStr">
        <is>
          <t>YES</t>
        </is>
      </c>
      <c r="S275" t="inlineStr">
        <is>
          <t>Studio Rental (Yellow Studio)</t>
        </is>
      </c>
      <c r="T275">
        <v>1</v>
      </c>
      <c r="U275">
        <v>2128000</v>
      </c>
      <c r="V275" t="inlineStr">
        <is>
          <t>PHP</t>
        </is>
      </c>
      <c r="W275">
        <v>2128000</v>
      </c>
      <c r="X275" s="2" t="str">
        <f>=HYPERLINK("https://www.larksuite.com/approval/admin/previewAttachment?key=PMgxDsJADATAL61961ubz9BcFCEQaRDp_HYkirQz0zAzbMwCy7xgraDLYygyRVGO9japIJOht_d-j1hex5HfsNdznX0-1r59LEru0CBHArDb5UMkqybxd_wCAAD__w", "2 attachment(s)")</f>
        <v>2 attachment(s)</v>
      </c>
      <c r="Y275" t="inlineStr">
        <is>
          <t>Bank Transfer</t>
        </is>
      </c>
      <c r="Z275" t="inlineStr">
        <is>
          <t>SHOOTINGALLERY STUDIOS CORP</t>
        </is>
      </c>
      <c r="AA275" t="inlineStr">
        <is>
          <t>4831-0020-48</t>
        </is>
      </c>
      <c r="AB275" t="inlineStr">
        <is>
          <t>BPI</t>
        </is>
      </c>
      <c r="AC275" t="inlineStr">
        <is>
          <t>1196 Pablo Ocampo Ave. Ext. Cor. Zapote St., Brgy. Sta. Cruz, Makati City</t>
        </is>
      </c>
      <c r="AD275" s="4">
        <v>45894</v>
      </c>
      <c r="AE275" t="inlineStr">
        <is>
          <t>50% DOWN PAYMENT UPON CONFIRMATION
50% FULL PAYMENT MUST BE PAID ON AUGUST 29, 2025</t>
        </is>
      </c>
      <c r="AF275" s="2"/>
      <c r="AG275" t="inlineStr">
        <is>
          <t>NzQyNTk5MTgyNzQ4MTg3MDM0MTowRTVENjU5RC1FQkVELTQ3OTUtQjVCMi02OTQxMTVBOEQwOUQtMTo4NjZlNzdkOTYxZDU5NjAyZmEyZDVhOGI5Nzg3MGIwMjox</t>
        </is>
      </c>
      <c r="AH275" t="inlineStr">
        <is>
          <t>SHOOTINGALLERY STUDIOS CORP</t>
        </is>
      </c>
      <c r="AI275"/>
      <c r="AJ275"/>
      <c r="AK275"/>
    </row>
    <row r="276" ht="25.5" customHeight="1">
      <c r="A276" s="2" t="str">
        <f>=HYPERLINK("https://applink.larksuite.com/client/mini_program/open?appId=cli_9c7cc8a9a9edd105&amp;mode=appCenter&amp;path_pc=pc/pages/requested/index?instanceId=7542734016642908191&amp;source=bitable&amp;path=pages/detail/index?instanceId=7542734016642908191&amp;source=bitable", "202508260028")</f>
        <v>202508260028</v>
      </c>
      <c r="B276" t="inlineStr">
        <is>
          <t>Approved</t>
        </is>
      </c>
      <c r="C276" t="inlineStr">
        <is>
          <t>Procurement Order</t>
        </is>
      </c>
      <c r="D276" s="3">
        <v>45895.486296296294</v>
      </c>
      <c r="E276" s="3">
        <v>45895.70869212963</v>
      </c>
      <c r="F276" t="inlineStr">
        <is>
          <t>Fatima Kathleen M. FLores</t>
        </is>
      </c>
      <c r="G276" t="inlineStr">
        <is>
          <t>Procurement</t>
        </is>
      </c>
      <c r="H276"/>
      <c r="I276"/>
      <c r="J276" t="inlineStr">
        <is>
          <t>CAPEX</t>
        </is>
      </c>
      <c r="K276"/>
      <c r="L276"/>
      <c r="M276"/>
      <c r="N276"/>
      <c r="O276" t="inlineStr">
        <is>
          <t>202508220029-Bernadeth Español Villaflor-费用报销 - 副本 - 副本 - 副本-2025-08-22 06:09:38</t>
        </is>
      </c>
      <c r="P276"/>
      <c r="Q276" t="inlineStr">
        <is>
          <t>Broadcast</t>
        </is>
      </c>
      <c r="R276"/>
      <c r="S276" t="inlineStr">
        <is>
          <t>Samsung TV 50"</t>
        </is>
      </c>
      <c r="T276">
        <v>2</v>
      </c>
      <c r="U276">
        <v>18500</v>
      </c>
      <c r="V276" t="inlineStr">
        <is>
          <t>PHP</t>
        </is>
      </c>
      <c r="W276">
        <v>37000</v>
      </c>
      <c r="X276" s="2"/>
      <c r="Y276" t="inlineStr">
        <is>
          <t>Bank Transfer</t>
        </is>
      </c>
      <c r="Z276" t="inlineStr">
        <is>
          <t>Welcome Home Appliances Binondo Corp.</t>
        </is>
      </c>
      <c r="AA276" t="inlineStr">
        <is>
          <t>0026 3808 4635</t>
        </is>
      </c>
      <c r="AB276" t="inlineStr">
        <is>
          <t>BDO</t>
        </is>
      </c>
      <c r="AC276" t="inlineStr">
        <is>
          <t>229 Wilson St., Greenhills, San Juan City</t>
        </is>
      </c>
      <c r="AD276" s="4">
        <v>45895</v>
      </c>
      <c r="AE276" t="inlineStr">
        <is>
          <t>100% Full Payment</t>
        </is>
      </c>
      <c r="AF276" s="2" t="str">
        <f>=HYPERLINK("https://www.larksuite.com/approval/admin/previewAttachment?key=TMgxCgJBDAXQK_0_yST5XsZmh0WQrYTVLXJ2wcr2RRFRkxaCi0Ng5_SR5mCED6Eo9mhmCskkeh37vfzkpvfnufw6rtnnY9vXi1EWcE13CgBvf05CZWE_xzcAAP__", "2 attachment(s)")</f>
        <v>2 attachment(s)</v>
      </c>
      <c r="AG276" t="inlineStr">
        <is>
          <t>NzQyNTk5MTgyNzQ4MTg3MDM0MTpBQTUwOEQyMC1GNUIxLTQxN0YtOTI4OS1DQ0EzREUyNDUxRjgtMTowMzUzMjJjODQ4MmEzYmRhMzQ1OTI2MjE3ZTQ1YjdlYjox</t>
        </is>
      </c>
      <c r="AH276" t="inlineStr">
        <is>
          <t>Welcome Home Appliances Binondo Corporation</t>
        </is>
      </c>
      <c r="AI276"/>
      <c r="AJ276"/>
      <c r="AK276"/>
    </row>
    <row r="277" ht="25.5" customHeight="1">
      <c r="A277" s="2" t="str">
        <f>=HYPERLINK("https://applink.larksuite.com/client/mini_program/open?appId=cli_9c7cc8a9a9edd105&amp;mode=appCenter&amp;path_pc=pc/pages/requested/index?instanceId=7542734016642908191&amp;source=bitable&amp;path=pages/detail/index?instanceId=7542734016642908191&amp;source=bitable", "202508260028")</f>
        <v>202508260028</v>
      </c>
      <c r="B277" t="inlineStr">
        <is>
          <t>Approved</t>
        </is>
      </c>
      <c r="C277" t="inlineStr">
        <is>
          <t>Procurement Order</t>
        </is>
      </c>
      <c r="D277" s="3">
        <v>45895.486296296294</v>
      </c>
      <c r="E277" s="3">
        <v>45895.70869212963</v>
      </c>
      <c r="F277" t="inlineStr">
        <is>
          <t>Fatima Kathleen M. FLores</t>
        </is>
      </c>
      <c r="G277" t="inlineStr">
        <is>
          <t>Procurement</t>
        </is>
      </c>
      <c r="H277"/>
      <c r="I277"/>
      <c r="J277" t="inlineStr">
        <is>
          <t>CAPEX</t>
        </is>
      </c>
      <c r="K277"/>
      <c r="L277"/>
      <c r="M277"/>
      <c r="N277"/>
      <c r="O277" t="inlineStr">
        <is>
          <t>202508220029-Bernadeth Español Villaflor-费用报销 - 副本 - 副本 - 副本-2025-08-22 06:09:38</t>
        </is>
      </c>
      <c r="P277"/>
      <c r="Q277" t="inlineStr">
        <is>
          <t>Broadcast</t>
        </is>
      </c>
      <c r="R277"/>
      <c r="S277" t="inlineStr">
        <is>
          <t>Samsung TV 55"</t>
        </is>
      </c>
      <c r="T277">
        <v>7</v>
      </c>
      <c r="U277">
        <v>18500</v>
      </c>
      <c r="V277" t="inlineStr">
        <is>
          <t>PHP</t>
        </is>
      </c>
      <c r="W277">
        <v>129500</v>
      </c>
      <c r="X277" s="2" t="str">
        <f>=HYPERLINK("https://www.larksuite.com/approval/admin/previewAttachment?key=PMgxCsJAFATQK838nf1_x8vYZAmCpBKiKfbsgoXty0Hk6GxpyAyDq7qimsBMhTForlisMopFrHns96GTm9-f59R1XH2dj22fL3ZXBKpJbQDg7e-tJNkp_JzfAAAA__8", "2 attachment(s)")</f>
        <v>2 attachment(s)</v>
      </c>
      <c r="Y277"/>
      <c r="Z277"/>
      <c r="AA277"/>
      <c r="AB277"/>
      <c r="AC277"/>
      <c r="AD277" s="4"/>
      <c r="AE277"/>
      <c r="AF277" s="2"/>
      <c r="AG277" t="inlineStr">
        <is>
          <t>NzQyNTk5MTgyNzQ4MTg3MDM0MTpBQTUwOEQyMC1GNUIxLTQxN0YtOTI4OS1DQ0EzREUyNDUxRjgtMjpjZjBiNWQ2ZGZmMmM4YzBmYTBhNWNlMzg1NjY2YjgzZjox</t>
        </is>
      </c>
      <c r="AH277"/>
      <c r="AI277"/>
      <c r="AJ277"/>
      <c r="AK277"/>
    </row>
    <row r="278" ht="25.5" customHeight="1">
      <c r="A278" s="2" t="str">
        <f>=HYPERLINK("https://applink.larksuite.com/client/mini_program/open?appId=cli_9c7cc8a9a9edd105&amp;mode=appCenter&amp;path_pc=pc/pages/requested/index?instanceId=7542815646833180703&amp;source=bitable&amp;path=pages/detail/index?instanceId=7542815646833180703&amp;source=bitable", "202508260097")</f>
        <v>202508260097</v>
      </c>
      <c r="B278" t="inlineStr">
        <is>
          <t>Approved</t>
        </is>
      </c>
      <c r="C278" t="inlineStr">
        <is>
          <t>Procurement Order</t>
        </is>
      </c>
      <c r="D278" s="3">
        <v>45895.70627314815</v>
      </c>
      <c r="E278" s="3">
        <v>45923.69642361111</v>
      </c>
      <c r="F278" t="inlineStr">
        <is>
          <t>Fatima Kathleen M. FLores</t>
        </is>
      </c>
      <c r="G278" t="inlineStr">
        <is>
          <t>Procurement</t>
        </is>
      </c>
      <c r="H278"/>
      <c r="I278"/>
      <c r="J278" t="inlineStr">
        <is>
          <t>GAE</t>
        </is>
      </c>
      <c r="K278"/>
      <c r="L278"/>
      <c r="M278"/>
      <c r="N278"/>
      <c r="O278" t="inlineStr">
        <is>
          <t>202507140039-John Jerald Lauguico-费用报销 - 副本 - 副本-2025-07-14 05:57:51</t>
        </is>
      </c>
      <c r="P278"/>
      <c r="Q278" t="inlineStr">
        <is>
          <t>V5 Tech</t>
        </is>
      </c>
      <c r="R278"/>
      <c r="S278" t="inlineStr">
        <is>
          <t>Game License Fee  (January to December 2025)</t>
        </is>
      </c>
      <c r="T278">
        <v>1</v>
      </c>
      <c r="U278">
        <v>3000</v>
      </c>
      <c r="V278" t="inlineStr">
        <is>
          <t>USD</t>
        </is>
      </c>
      <c r="W278">
        <v>3000</v>
      </c>
      <c r="X278" s="2" t="str">
        <f>=HYPERLINK("https://www.larksuite.com/approval/admin/previewAttachment?key=PMg9qgJBEATgK1V11_TPu8xLHBZFVwRh2WTOLhiYflFE1KBHQ01rcOWQFUcoyp2FhC9bzGwkk1hz3_7vNs_buT9ar-cxeh3XyzbfHJ1mSJe8APDv556SukP4Oj4BAAD__w", "4 attachment(s)")</f>
        <v>4 attachment(s)</v>
      </c>
      <c r="Y278" t="inlineStr">
        <is>
          <t>Bank Transfer</t>
        </is>
      </c>
      <c r="Z278" t="inlineStr">
        <is>
          <t>INLOGIC SOFTWARE S.R</t>
        </is>
      </c>
      <c r="AA278" t="inlineStr">
        <is>
          <t>2628098225/1100</t>
        </is>
      </c>
      <c r="AB278" t="inlineStr">
        <is>
          <t>Tatra banka, a.s.</t>
        </is>
      </c>
      <c r="AC278" t="inlineStr">
        <is>
          <t>Skuteckého 25, 974 01 Banská Bystrica, Slovakia</t>
        </is>
      </c>
      <c r="AD278" s="4">
        <v>45898</v>
      </c>
      <c r="AE278" t="inlineStr">
        <is>
          <t>Quarterly Payment:
1st Payment - Nov. 2024
2nd Payment - Jan. 2025
3rd Payment - Apr. 2025
Final Payment - Oct. 2025</t>
        </is>
      </c>
      <c r="AF278" s="2"/>
      <c r="AG278" t="inlineStr">
        <is>
          <t>NzQyNTk5MTgyNzQ4MTg3MDM0MTpDMDcyRjYxOS1FMEFCLTQ2QzctODY3Qi0wMjUwODYyOTY0MkYtMTo2N2Q2YWVkODA3YzQ2MTdmNThiOWQ1MWEzYjY1MGI1NDox</t>
        </is>
      </c>
      <c r="AH278" t="inlineStr">
        <is>
          <t>INLOGIC SOFTWARE S.R</t>
        </is>
      </c>
      <c r="AI278"/>
      <c r="AJ278"/>
      <c r="AK278"/>
    </row>
    <row r="279" ht="25.5" customHeight="1">
      <c r="A279" s="2" t="str">
        <f>=HYPERLINK("https://applink.larksuite.com/client/mini_program/open?appId=cli_9c7cc8a9a9edd105&amp;mode=appCenter&amp;path_pc=pc/pages/requested/index?instanceId=7542832130955493414&amp;source=bitable&amp;path=pages/detail/index?instanceId=7542832130955493414&amp;source=bitable", "202508260108")</f>
        <v>202508260108</v>
      </c>
      <c r="B279" t="inlineStr">
        <is>
          <t>Approved</t>
        </is>
      </c>
      <c r="C279" t="inlineStr">
        <is>
          <t>Procurement Order</t>
        </is>
      </c>
      <c r="D279" s="3">
        <v>45895.75069444445</v>
      </c>
      <c r="E279" s="3">
        <v>45896.58875</v>
      </c>
      <c r="F279" t="inlineStr">
        <is>
          <t>Fatima Kathleen M. FLores</t>
        </is>
      </c>
      <c r="G279" t="inlineStr">
        <is>
          <t>Procurement</t>
        </is>
      </c>
      <c r="H279"/>
      <c r="I279"/>
      <c r="J279" t="inlineStr">
        <is>
          <t>Project</t>
        </is>
      </c>
      <c r="K279" t="inlineStr">
        <is>
          <t>PDEI - Event Service</t>
        </is>
      </c>
      <c r="L279" t="inlineStr">
        <is>
          <t>MPL PH S16 - Regular Season</t>
        </is>
      </c>
      <c r="M279" t="inlineStr">
        <is>
          <t>2025TEG-P0214</t>
        </is>
      </c>
      <c r="N279" t="inlineStr">
        <is>
          <t>Jessica Jane Lor Felicilda</t>
        </is>
      </c>
      <c r="O279" t="inlineStr">
        <is>
          <t>202507280019-Jessica Jane Lor Felicilda-费用报销 - 副本 - 副本 - 副本-2025-07-28 03:24:12</t>
        </is>
      </c>
      <c r="P279" t="inlineStr">
        <is>
          <t>YES</t>
        </is>
      </c>
      <c r="Q279"/>
      <c r="R279" t="inlineStr">
        <is>
          <t>NO</t>
        </is>
      </c>
      <c r="S279" t="inlineStr">
        <is>
          <t>Outsourced Logistics Manager (for Sponsors)</t>
        </is>
      </c>
      <c r="T279">
        <v>1</v>
      </c>
      <c r="U279">
        <v>75000</v>
      </c>
      <c r="V279" t="inlineStr">
        <is>
          <t>PHP</t>
        </is>
      </c>
      <c r="W279">
        <v>75000</v>
      </c>
      <c r="X279" s="2" t="str">
        <f>=HYPERLINK("https://www.larksuite.com/approval/admin/previewAttachment?key=PMg7DgIxDATQK83YkzjmMjQbRXzENgi0jc-ORLHt64Poo9F7QklLsKLJhhsd2ZrSRZUVIxLBIGq-1nX6OO7r-OyPp_m-1fe2rflmyzBDuOQDAC-ne0jK7MLf8QsAAP__", "2 attachment(s)")</f>
        <v>2 attachment(s)</v>
      </c>
      <c r="Y279" t="inlineStr">
        <is>
          <t>Bank Transfer</t>
        </is>
      </c>
      <c r="Z279" t="inlineStr">
        <is>
          <t>Marc Kevin Serrano</t>
        </is>
      </c>
      <c r="AA279" t="inlineStr">
        <is>
          <t>1519218972</t>
        </is>
      </c>
      <c r="AB279" t="inlineStr">
        <is>
          <t>BPI</t>
        </is>
      </c>
      <c r="AC279" t="inlineStr">
        <is>
          <t>3 Don Guillermo Street, Barangay Holy Spirit, Commonwealth, Quezon City</t>
        </is>
      </c>
      <c r="AD279" s="4">
        <v>45886</v>
      </c>
      <c r="AE279" t="inlineStr">
        <is>
          <t>1st Payment - Sept. 12, 2025
2nd Payment - Sept. 26, 2025
3rd Payment - Oct. 24, 2025
4th Payment - Nov. 14, 2025
Final Payment - Nov. 28, 2025</t>
        </is>
      </c>
      <c r="AF279" s="2"/>
      <c r="AG279" t="inlineStr">
        <is>
          <t>NzQyNTk5MTgyNzQ4MTg3MDM0MTo5NDg1RDREMS04MURDLTRBNEItOUZDMC1COUYxRkQyRTk4REYtMTpkN2ZmNDMyZTM1YTk0ZWVkMDgyYWE4YTc1NjQxM2YzOTox</t>
        </is>
      </c>
      <c r="AH279" t="inlineStr">
        <is>
          <t>Marc Kevin Serrano</t>
        </is>
      </c>
      <c r="AI279"/>
      <c r="AJ279"/>
      <c r="AK279"/>
    </row>
    <row r="280" ht="25.5" customHeight="1">
      <c r="A280" s="2" t="str">
        <f>=HYPERLINK("https://applink.larksuite.com/client/mini_program/open?appId=cli_9c7cc8a9a9edd105&amp;mode=appCenter&amp;path_pc=pc/pages/requested/index?instanceId=7542833554971983910&amp;source=bitable&amp;path=pages/detail/index?instanceId=7542833554971983910&amp;source=bitable", "202508260110")</f>
        <v>202508260110</v>
      </c>
      <c r="B280" t="inlineStr">
        <is>
          <t>Approved</t>
        </is>
      </c>
      <c r="C280" t="inlineStr">
        <is>
          <t>Procurement Order</t>
        </is>
      </c>
      <c r="D280" s="3">
        <v>45895.754525462966</v>
      </c>
      <c r="E280" s="3">
        <v>45896.58777777778</v>
      </c>
      <c r="F280" t="inlineStr">
        <is>
          <t>Fatima Kathleen M. FLores</t>
        </is>
      </c>
      <c r="G280" t="inlineStr">
        <is>
          <t>Procurement</t>
        </is>
      </c>
      <c r="H280"/>
      <c r="I280"/>
      <c r="J280" t="inlineStr">
        <is>
          <t>Project</t>
        </is>
      </c>
      <c r="K280" t="inlineStr">
        <is>
          <t>PDEI - Event Service</t>
        </is>
      </c>
      <c r="L280" t="inlineStr">
        <is>
          <t>MPL PH S16 - Regular Season</t>
        </is>
      </c>
      <c r="M280" t="inlineStr">
        <is>
          <t>2025TEG-P0214</t>
        </is>
      </c>
      <c r="N280" t="inlineStr">
        <is>
          <t>Jessica Jane Lor Felicilda</t>
        </is>
      </c>
      <c r="O280" t="inlineStr">
        <is>
          <t>202507280021-Jessica Jane Lor Felicilda-费用报销 - 副本 - 副本 - 副本-2025-07-28 03:27:39</t>
        </is>
      </c>
      <c r="P280" t="inlineStr">
        <is>
          <t>YES</t>
        </is>
      </c>
      <c r="Q280"/>
      <c r="R280" t="inlineStr">
        <is>
          <t>NO</t>
        </is>
      </c>
      <c r="S280" t="inlineStr">
        <is>
          <t>Outsourced On ground Logistics</t>
        </is>
      </c>
      <c r="T280">
        <v>1</v>
      </c>
      <c r="U280">
        <v>6000</v>
      </c>
      <c r="V280" t="inlineStr">
        <is>
          <t>PHP</t>
        </is>
      </c>
      <c r="W280">
        <v>6000</v>
      </c>
      <c r="X280" s="2" t="str">
        <f>=HYPERLINK("https://www.larksuite.com/approval/admin/previewAttachment?key=PMg7CgJBEATQK1VN10x3eRkTl8UPbiKISZ9dMDB9q4hVk7EMmcNg59SoiDnlpCtM9GhmGskkenvuZ4SOx43bUbzjE_2-XvbtxekcAxlSFACe_h4pyV7Cz_ENAAD__w", "2 attachment(s)")</f>
        <v>2 attachment(s)</v>
      </c>
      <c r="Y280" t="inlineStr">
        <is>
          <t>Bank Transfer</t>
        </is>
      </c>
      <c r="Z280" t="inlineStr">
        <is>
          <t>Manal Kharboutlli</t>
        </is>
      </c>
      <c r="AA280" t="inlineStr">
        <is>
          <t>006800226318</t>
        </is>
      </c>
      <c r="AB280" t="inlineStr">
        <is>
          <t>BDO</t>
        </is>
      </c>
      <c r="AC280" t="inlineStr">
        <is>
          <t>37 Guirayan St. Brgy Doña Imelda</t>
        </is>
      </c>
      <c r="AD280" s="4">
        <v>45886</v>
      </c>
      <c r="AE280" t="inlineStr">
        <is>
          <t>100% Full Payment - Sept. 5, 2025</t>
        </is>
      </c>
      <c r="AF280" s="2"/>
      <c r="AG280" t="inlineStr">
        <is>
          <t>NzQyNTk5MTgyNzQ4MTg3MDM0MTo1OTlCMEQ4NC0zRTZGLTRCMTktOTUwRC0yMEVFNjE2MTQwNTAtMTowZGQ4MWRlNzc2YjU4NzU1OGVhOTJhODgyZmRkZTRkNTox</t>
        </is>
      </c>
      <c r="AH280" t="inlineStr">
        <is>
          <t>Manal Kharboutlli</t>
        </is>
      </c>
      <c r="AI280"/>
      <c r="AJ280"/>
      <c r="AK280"/>
    </row>
    <row r="281" ht="25.5" customHeight="1">
      <c r="A281" s="2" t="str">
        <f>=HYPERLINK("https://applink.larksuite.com/client/mini_program/open?appId=cli_9c7cc8a9a9edd105&amp;mode=appCenter&amp;path_pc=pc/pages/requested/index?instanceId=7542836766873567263&amp;source=bitable&amp;path=pages/detail/index?instanceId=7542836766873567263&amp;source=bitable", "202508260112")</f>
        <v>202508260112</v>
      </c>
      <c r="B281" t="inlineStr">
        <is>
          <t>Approved</t>
        </is>
      </c>
      <c r="C281" t="inlineStr">
        <is>
          <t>Procurement Order</t>
        </is>
      </c>
      <c r="D281" s="3">
        <v>45895.76318287037</v>
      </c>
      <c r="E281" s="3">
        <v>45896.58673611111</v>
      </c>
      <c r="F281" t="inlineStr">
        <is>
          <t>Fatima Kathleen M. FLores</t>
        </is>
      </c>
      <c r="G281" t="inlineStr">
        <is>
          <t>Procurement</t>
        </is>
      </c>
      <c r="H281"/>
      <c r="I281"/>
      <c r="J281" t="inlineStr">
        <is>
          <t>Project</t>
        </is>
      </c>
      <c r="K281" t="inlineStr">
        <is>
          <t>PDEI - Event Service</t>
        </is>
      </c>
      <c r="L281" t="inlineStr">
        <is>
          <t>MPL PH S16 - Regular Season</t>
        </is>
      </c>
      <c r="M281" t="inlineStr">
        <is>
          <t>2025TEG-P0214</t>
        </is>
      </c>
      <c r="N281" t="inlineStr">
        <is>
          <t>Jessica Jane Lor Felicilda</t>
        </is>
      </c>
      <c r="O281" t="inlineStr">
        <is>
          <t>202507280024-Jessica Jane Lor Felicilda-费用报销 - 副本 - 副本 - 副本-2025-07-28 03:32:42</t>
        </is>
      </c>
      <c r="P281" t="inlineStr">
        <is>
          <t>YES</t>
        </is>
      </c>
      <c r="Q281"/>
      <c r="R281" t="inlineStr">
        <is>
          <t>NO</t>
        </is>
      </c>
      <c r="S281" t="inlineStr">
        <is>
          <t>Outsourced Head Technical Director</t>
        </is>
      </c>
      <c r="T281">
        <v>1</v>
      </c>
      <c r="U281">
        <v>60000</v>
      </c>
      <c r="V281" t="inlineStr">
        <is>
          <t>PHP</t>
        </is>
      </c>
      <c r="W281">
        <v>60000</v>
      </c>
      <c r="X281" s="2" t="str">
        <f>=HYPERLINK("https://www.larksuite.com/approval/admin/previewAttachment?key=PMg7DsJADATQK40_67G5DE2iFQKlQouSwmdHoqB9kYLIIRYFL9GCNIdrWjAiaSOoYa0tZIFCQe_HvK9rPtfJ13ltWMfoz2Ob-1tGURU0d0sAcvu70d2rwvFzfAMAAP__", "2 attachment(s)")</f>
        <v>2 attachment(s)</v>
      </c>
      <c r="Y281" t="inlineStr">
        <is>
          <t>Bank Transfer</t>
        </is>
      </c>
      <c r="Z281" t="inlineStr">
        <is>
          <t>Jordan Swing</t>
        </is>
      </c>
      <c r="AA281" t="inlineStr">
        <is>
          <t>001560339452</t>
        </is>
      </c>
      <c r="AB281" t="inlineStr">
        <is>
          <t>BDO</t>
        </is>
      </c>
      <c r="AC281" t="inlineStr">
        <is>
          <t>723 P Gomez St Brgy Hagdan Bato Itaas Mandaluyong City</t>
        </is>
      </c>
      <c r="AD281" s="4">
        <v>45855</v>
      </c>
      <c r="AE281" t="inlineStr">
        <is>
          <t>1st Payment - Sept. 5, 2025
2nd Payment - Sept. 19, 2025
Final Payment - Oct. 3, 2025</t>
        </is>
      </c>
      <c r="AF281" s="2"/>
      <c r="AG281" t="inlineStr">
        <is>
          <t>NzQyNTk5MTgyNzQ4MTg3MDM0MTo3ODhBMDBFQy1BNjE5LTRDRDYtQjJCOC1FNDk1RjM3QTM4RTUtMToxMzY0OGNkZTIyNTFiMmYzZDJhYmJlZGEwYzdiZWZlYzox</t>
        </is>
      </c>
      <c r="AH281" t="inlineStr">
        <is>
          <t>Jordan Swing</t>
        </is>
      </c>
      <c r="AI281"/>
      <c r="AJ281"/>
      <c r="AK281"/>
    </row>
    <row r="282" ht="25.5" customHeight="1">
      <c r="A282" s="2" t="str">
        <f>=HYPERLINK("https://applink.larksuite.com/client/mini_program/open?appId=cli_9c7cc8a9a9edd105&amp;mode=appCenter&amp;path_pc=pc/pages/requested/index?instanceId=7542839203495772192&amp;source=bitable&amp;path=pages/detail/index?instanceId=7542839203495772192&amp;source=bitable", "202508260114")</f>
        <v>202508260114</v>
      </c>
      <c r="B282" t="inlineStr">
        <is>
          <t>Approved</t>
        </is>
      </c>
      <c r="C282" t="inlineStr">
        <is>
          <t>Procurement Order</t>
        </is>
      </c>
      <c r="D282" s="3">
        <v>45895.76974537037</v>
      </c>
      <c r="E282" s="3">
        <v>45896.585752314815</v>
      </c>
      <c r="F282" t="inlineStr">
        <is>
          <t>Fatima Kathleen M. FLores</t>
        </is>
      </c>
      <c r="G282" t="inlineStr">
        <is>
          <t>Procurement</t>
        </is>
      </c>
      <c r="H282"/>
      <c r="I282"/>
      <c r="J282" t="inlineStr">
        <is>
          <t>Project</t>
        </is>
      </c>
      <c r="K282" t="inlineStr">
        <is>
          <t>PDEI - Event Service</t>
        </is>
      </c>
      <c r="L282" t="inlineStr">
        <is>
          <t>MPL PH S16 - Regular Season</t>
        </is>
      </c>
      <c r="M282" t="inlineStr">
        <is>
          <t>2025TEG-P0214</t>
        </is>
      </c>
      <c r="N282" t="inlineStr">
        <is>
          <t>Jessica Jane Lor Felicilda</t>
        </is>
      </c>
      <c r="O282" t="inlineStr">
        <is>
          <t>202507280026-Jessica Jane Lor Felicilda-费用报销 - 副本 - 副本 - 副本-2025-07-28 03:38:39</t>
        </is>
      </c>
      <c r="P282" t="inlineStr">
        <is>
          <t>YES</t>
        </is>
      </c>
      <c r="Q282"/>
      <c r="R282" t="inlineStr">
        <is>
          <t>NO</t>
        </is>
      </c>
      <c r="S282" t="inlineStr">
        <is>
          <t>Outsourced Camera Director</t>
        </is>
      </c>
      <c r="T282">
        <v>1</v>
      </c>
      <c r="U282">
        <v>82500</v>
      </c>
      <c r="V282" t="inlineStr">
        <is>
          <t>PHP</t>
        </is>
      </c>
      <c r="W282">
        <v>82500</v>
      </c>
      <c r="X282" s="2" t="str">
        <f>=HYPERLINK("https://www.larksuite.com/approval/admin/previewAttachment?key=PMgxCgJRDATQK02S-X_-eBkbl8UFBUEQLXJ2wcL2zRWYa0RNg440ojWYq5woekgZzs4OyVAo0Nt9P2-13sfB8UGibo9-XS_79oxhZUJF1gIQp7-XSNqT-Dm-AQAA__8", "2 attachment(s)")</f>
        <v>2 attachment(s)</v>
      </c>
      <c r="Y282" t="inlineStr">
        <is>
          <t>Bank Transfer</t>
        </is>
      </c>
      <c r="Z282" t="inlineStr">
        <is>
          <t>Khim Segovia</t>
        </is>
      </c>
      <c r="AA282" t="inlineStr">
        <is>
          <t>09053390100</t>
        </is>
      </c>
      <c r="AB282" t="inlineStr">
        <is>
          <t>GCash</t>
        </is>
      </c>
      <c r="AC282" t="inlineStr">
        <is>
          <t>105 K-6th Street Cubao Quezon City</t>
        </is>
      </c>
      <c r="AD282" s="4">
        <v>45889</v>
      </c>
      <c r="AE282" t="inlineStr">
        <is>
          <t>1st Payment - Sept. 12, 2025
2nd Payment - Oct. 3 2025
3rd Payment - Oct. 24, 2025
4th Payment - Nov. 14, 2025
Final Payment - Nov. 28, 2025</t>
        </is>
      </c>
      <c r="AF282" s="2"/>
      <c r="AG282" t="inlineStr">
        <is>
          <t>NzQyNTk5MTgyNzQ4MTg3MDM0MTpBMDZERUFFMS04M0RFLTRENTktQkM4RS1CQkJDRDY0NDk3MTAtMTo5N2NhOTk2YjJmNDkyZTE1Y2IzYzI1OTBmYWU0ZjlhMDox</t>
        </is>
      </c>
      <c r="AH282" t="inlineStr">
        <is>
          <t>Khim Segovia</t>
        </is>
      </c>
      <c r="AI282"/>
      <c r="AJ282"/>
      <c r="AK282"/>
    </row>
    <row r="283" ht="25.5" customHeight="1">
      <c r="A283" s="2" t="str">
        <f>=HYPERLINK("https://applink.larksuite.com/client/mini_program/open?appId=cli_9c7cc8a9a9edd105&amp;mode=appCenter&amp;path_pc=pc/pages/requested/index?instanceId=7543088854069198886&amp;source=bitable&amp;path=pages/detail/index?instanceId=7543088854069198886&amp;source=bitable", "202508270009")</f>
        <v>202508270009</v>
      </c>
      <c r="B283" t="inlineStr">
        <is>
          <t>Approved</t>
        </is>
      </c>
      <c r="C283" t="inlineStr">
        <is>
          <t>Procurement Order</t>
        </is>
      </c>
      <c r="D283" s="3">
        <v>45896.442511574074</v>
      </c>
      <c r="E283" s="3">
        <v>45896.62131944444</v>
      </c>
      <c r="F283" t="inlineStr">
        <is>
          <t>Fatima Kathleen M. FLores</t>
        </is>
      </c>
      <c r="G283" t="inlineStr">
        <is>
          <t>Procurement</t>
        </is>
      </c>
      <c r="H283"/>
      <c r="I283"/>
      <c r="J283" t="inlineStr">
        <is>
          <t>CAPEX</t>
        </is>
      </c>
      <c r="K283"/>
      <c r="L283"/>
      <c r="M283"/>
      <c r="N283"/>
      <c r="O283" t="inlineStr">
        <is>
          <t>202508220030-Bernadeth Español Villaflor-费用报销 - 副本 - 副本 - 副本-2025-08-22 07:00:57</t>
        </is>
      </c>
      <c r="P283"/>
      <c r="Q283" t="inlineStr">
        <is>
          <t>Broadcast</t>
        </is>
      </c>
      <c r="R283"/>
      <c r="S283" t="inlineStr">
        <is>
          <t>Vention USB Type-C 3.1 Male to Male 60W Fast Charging 5Gbps Data Cable</t>
        </is>
      </c>
      <c r="T283">
        <v>5</v>
      </c>
      <c r="U283">
        <v>365</v>
      </c>
      <c r="V283" t="inlineStr">
        <is>
          <t>PHP</t>
        </is>
      </c>
      <c r="W283">
        <v>1825</v>
      </c>
      <c r="X283" s="2"/>
      <c r="Y283" t="inlineStr">
        <is>
          <t>Bank Transfer</t>
        </is>
      </c>
      <c r="Z283" t="inlineStr">
        <is>
          <t>O&amp;J Global Trading</t>
        </is>
      </c>
      <c r="AA283" t="inlineStr">
        <is>
          <t>00 444 802 7346</t>
        </is>
      </c>
      <c r="AB283" t="inlineStr">
        <is>
          <t>BDO</t>
        </is>
      </c>
      <c r="AC283" t="inlineStr">
        <is>
          <t>3F Annapolis Tower, 43 Annapolis St., Greenhills, San Juan City</t>
        </is>
      </c>
      <c r="AD283" s="4">
        <v>45877</v>
      </c>
      <c r="AE283" t="inlineStr">
        <is>
          <t>100% Full Payment before delivery / pick-up.</t>
        </is>
      </c>
      <c r="AF283" s="2"/>
      <c r="AG283" t="inlineStr">
        <is>
          <t>NzQyNTk5MTgyNzQ4MTg3MDM0MToyOUQzMTJERS1DMjIyLTQxNjEtODAxNi0xQkREMzBENzE5NzctMTo4MzYyYWZlMDNlMTUzNmQzYmY5NmQ5MGZkODQ5ZGE3Zjox</t>
        </is>
      </c>
      <c r="AH283" t="inlineStr">
        <is>
          <t>O&amp;J Global Trading</t>
        </is>
      </c>
      <c r="AI283"/>
      <c r="AJ283"/>
      <c r="AK283"/>
    </row>
    <row r="284" ht="25.5" customHeight="1">
      <c r="A284" s="2" t="str">
        <f>=HYPERLINK("https://applink.larksuite.com/client/mini_program/open?appId=cli_9c7cc8a9a9edd105&amp;mode=appCenter&amp;path_pc=pc/pages/requested/index?instanceId=7543088854069198886&amp;source=bitable&amp;path=pages/detail/index?instanceId=7543088854069198886&amp;source=bitable", "202508270009")</f>
        <v>202508270009</v>
      </c>
      <c r="B284" t="inlineStr">
        <is>
          <t>Approved</t>
        </is>
      </c>
      <c r="C284" t="inlineStr">
        <is>
          <t>Procurement Order</t>
        </is>
      </c>
      <c r="D284" s="3">
        <v>45896.442511574074</v>
      </c>
      <c r="E284" s="3">
        <v>45896.62131944444</v>
      </c>
      <c r="F284" t="inlineStr">
        <is>
          <t>Fatima Kathleen M. FLores</t>
        </is>
      </c>
      <c r="G284" t="inlineStr">
        <is>
          <t>Procurement</t>
        </is>
      </c>
      <c r="H284"/>
      <c r="I284"/>
      <c r="J284" t="inlineStr">
        <is>
          <t>CAPEX</t>
        </is>
      </c>
      <c r="K284"/>
      <c r="L284"/>
      <c r="M284"/>
      <c r="N284"/>
      <c r="O284" t="inlineStr">
        <is>
          <t>202508220030-Bernadeth Español Villaflor-费用报销 - 副本 - 副本 - 副本-2025-08-22 07:00:57</t>
        </is>
      </c>
      <c r="P284"/>
      <c r="Q284" t="inlineStr">
        <is>
          <t>Broadcast</t>
        </is>
      </c>
      <c r="R284"/>
      <c r="S284" t="inlineStr">
        <is>
          <t>Vention 6.5mm Jack Male to XLR Female 1-Meter Gold Plated (BBE) Audio Cable</t>
        </is>
      </c>
      <c r="T284">
        <v>5</v>
      </c>
      <c r="U284">
        <v>140</v>
      </c>
      <c r="V284" t="inlineStr">
        <is>
          <t>PHP</t>
        </is>
      </c>
      <c r="W284">
        <v>700</v>
      </c>
      <c r="X284" s="2"/>
      <c r="Y284"/>
      <c r="Z284"/>
      <c r="AA284"/>
      <c r="AB284"/>
      <c r="AC284"/>
      <c r="AD284" s="4"/>
      <c r="AE284"/>
      <c r="AF284" s="2"/>
      <c r="AG284" t="inlineStr">
        <is>
          <t>NzQyNTk5MTgyNzQ4MTg3MDM0MToyOUQzMTJERS1DMjIyLTQxNjEtODAxNi0xQkREMzBENzE5NzctMjoxOTkwNDM2OGU0NjliOTE1YmQwZTIzNzQ3MDhjMzI5NTox</t>
        </is>
      </c>
      <c r="AH284"/>
      <c r="AI284"/>
      <c r="AJ284"/>
      <c r="AK284"/>
    </row>
    <row r="285" ht="25.5" customHeight="1">
      <c r="A285" s="2" t="str">
        <f>=HYPERLINK("https://applink.larksuite.com/client/mini_program/open?appId=cli_9c7cc8a9a9edd105&amp;mode=appCenter&amp;path_pc=pc/pages/requested/index?instanceId=7543088854069198886&amp;source=bitable&amp;path=pages/detail/index?instanceId=7543088854069198886&amp;source=bitable", "202508270009")</f>
        <v>202508270009</v>
      </c>
      <c r="B285" t="inlineStr">
        <is>
          <t>Approved</t>
        </is>
      </c>
      <c r="C285" t="inlineStr">
        <is>
          <t>Procurement Order</t>
        </is>
      </c>
      <c r="D285" s="3">
        <v>45896.442511574074</v>
      </c>
      <c r="E285" s="3">
        <v>45896.62131944444</v>
      </c>
      <c r="F285" t="inlineStr">
        <is>
          <t>Fatima Kathleen M. FLores</t>
        </is>
      </c>
      <c r="G285" t="inlineStr">
        <is>
          <t>Procurement</t>
        </is>
      </c>
      <c r="H285"/>
      <c r="I285"/>
      <c r="J285" t="inlineStr">
        <is>
          <t>CAPEX</t>
        </is>
      </c>
      <c r="K285"/>
      <c r="L285"/>
      <c r="M285"/>
      <c r="N285"/>
      <c r="O285" t="inlineStr">
        <is>
          <t>202508220030-Bernadeth Español Villaflor-费用报销 - 副本 - 副本 - 副本-2025-08-22 07:00:57</t>
        </is>
      </c>
      <c r="P285"/>
      <c r="Q285" t="inlineStr">
        <is>
          <t>Broadcast</t>
        </is>
      </c>
      <c r="R285"/>
      <c r="S285" t="inlineStr">
        <is>
          <t>Vention 6.5mm Male to 3.5mm Female Audio Jack Plug Gold-plated Adapter for Microphone Headset Guitar Recording</t>
        </is>
      </c>
      <c r="T285">
        <v>5</v>
      </c>
      <c r="U285">
        <v>100</v>
      </c>
      <c r="V285" t="inlineStr">
        <is>
          <t>PHP</t>
        </is>
      </c>
      <c r="W285">
        <v>500</v>
      </c>
      <c r="X285" s="2"/>
      <c r="Y285"/>
      <c r="Z285"/>
      <c r="AA285"/>
      <c r="AB285"/>
      <c r="AC285"/>
      <c r="AD285" s="4"/>
      <c r="AE285"/>
      <c r="AF285" s="2"/>
      <c r="AG285" t="inlineStr">
        <is>
          <t>NzQyNTk5MTgyNzQ4MTg3MDM0MToyOUQzMTJERS1DMjIyLTQxNjEtODAxNi0xQkREMzBENzE5NzctMzoxZGI0YjMyNTQ1YzlmNzk4NDQ5ODg4YjVlZjhlYWZkNTox</t>
        </is>
      </c>
      <c r="AH285"/>
      <c r="AI285"/>
      <c r="AJ285"/>
      <c r="AK285"/>
    </row>
    <row r="286" ht="25.5" customHeight="1">
      <c r="A286" s="2" t="str">
        <f>=HYPERLINK("https://applink.larksuite.com/client/mini_program/open?appId=cli_9c7cc8a9a9edd105&amp;mode=appCenter&amp;path_pc=pc/pages/requested/index?instanceId=7543088854069198886&amp;source=bitable&amp;path=pages/detail/index?instanceId=7543088854069198886&amp;source=bitable", "202508270009")</f>
        <v>202508270009</v>
      </c>
      <c r="B286" t="inlineStr">
        <is>
          <t>Approved</t>
        </is>
      </c>
      <c r="C286" t="inlineStr">
        <is>
          <t>Procurement Order</t>
        </is>
      </c>
      <c r="D286" s="3">
        <v>45896.442511574074</v>
      </c>
      <c r="E286" s="3">
        <v>45896.62131944444</v>
      </c>
      <c r="F286" t="inlineStr">
        <is>
          <t>Fatima Kathleen M. FLores</t>
        </is>
      </c>
      <c r="G286" t="inlineStr">
        <is>
          <t>Procurement</t>
        </is>
      </c>
      <c r="H286"/>
      <c r="I286"/>
      <c r="J286" t="inlineStr">
        <is>
          <t>CAPEX</t>
        </is>
      </c>
      <c r="K286"/>
      <c r="L286"/>
      <c r="M286"/>
      <c r="N286"/>
      <c r="O286" t="inlineStr">
        <is>
          <t>202508220030-Bernadeth Español Villaflor-费用报销 - 副本 - 副本 - 副本-2025-08-22 07:00:57</t>
        </is>
      </c>
      <c r="P286"/>
      <c r="Q286" t="inlineStr">
        <is>
          <t>Broadcast</t>
        </is>
      </c>
      <c r="R286"/>
      <c r="S286" t="inlineStr">
        <is>
          <t>UGREEN USB 2.0 A to Type-B High Speed Printer Cable Scanner Cord 480Mbps (3M) for Mac, PC, Laptop</t>
        </is>
      </c>
      <c r="T286">
        <v>5</v>
      </c>
      <c r="U286">
        <v>240</v>
      </c>
      <c r="V286" t="inlineStr">
        <is>
          <t>PHP</t>
        </is>
      </c>
      <c r="W286">
        <v>1200</v>
      </c>
      <c r="X286" s="2" t="str">
        <f>=HYPERLINK("https://www.larksuite.com/approval/admin/previewAttachment?key=PMhBikJBDATQK1V10klqLjOb3zQqfhEEdzm74MLtiyKiJi0EF4fAzumGqpqOEFVV0aOZKSST6HXu_-dtGx7HFfdzQqvfl2OvF6dyDKS5WwHg388t3V0Kx9ftEwAA__8", "2 attachment(s)")</f>
        <v>2 attachment(s)</v>
      </c>
      <c r="Y286"/>
      <c r="Z286"/>
      <c r="AA286"/>
      <c r="AB286"/>
      <c r="AC286"/>
      <c r="AD286" s="4"/>
      <c r="AE286"/>
      <c r="AF286" s="2"/>
      <c r="AG286" t="inlineStr">
        <is>
          <t>NzQyNTk5MTgyNzQ4MTg3MDM0MToyOUQzMTJERS1DMjIyLTQxNjEtODAxNi0xQkREMzBENzE5NzctNDoyZjY0NTZjMzg3MWY5MTkyZDUxMzRjMjFkNWE0YjUzMzox</t>
        </is>
      </c>
      <c r="AH286"/>
      <c r="AI286"/>
      <c r="AJ286"/>
      <c r="AK286"/>
    </row>
    <row r="287" ht="25.5" customHeight="1">
      <c r="A287" s="2" t="str">
        <f>=HYPERLINK("https://applink.larksuite.com/client/mini_program/open?appId=cli_9c7cc8a9a9edd105&amp;mode=appCenter&amp;path_pc=pc/pages/requested/index?instanceId=7543092797193158688&amp;source=bitable&amp;path=pages/detail/index?instanceId=7543092797193158688&amp;source=bitable", "202508270018")</f>
        <v>202508270018</v>
      </c>
      <c r="B287" t="inlineStr">
        <is>
          <t>Approved</t>
        </is>
      </c>
      <c r="C287" t="inlineStr">
        <is>
          <t>Procurement Order</t>
        </is>
      </c>
      <c r="D287" s="3">
        <v>45896.45313657408</v>
      </c>
      <c r="E287" s="3">
        <v>45896.60376157407</v>
      </c>
      <c r="F287" t="inlineStr">
        <is>
          <t>Fatima Kathleen M. FLores</t>
        </is>
      </c>
      <c r="G287" t="inlineStr">
        <is>
          <t>Procurement</t>
        </is>
      </c>
      <c r="H287"/>
      <c r="I287"/>
      <c r="J287" t="inlineStr">
        <is>
          <t>CAPEX</t>
        </is>
      </c>
      <c r="K287"/>
      <c r="L287"/>
      <c r="M287"/>
      <c r="N287"/>
      <c r="O287" t="inlineStr">
        <is>
          <t>202508190093-Bernadeth Español Villaflor-费用报销 - 副本 - 副本 - 副本-2025-08-19 09:35:12</t>
        </is>
      </c>
      <c r="P287"/>
      <c r="Q287" t="inlineStr">
        <is>
          <t>Broadcast</t>
        </is>
      </c>
      <c r="R287"/>
      <c r="S287" t="inlineStr">
        <is>
          <t>UPS - 1200VA / 650W | Line Interactive | Mini Tower</t>
        </is>
      </c>
      <c r="T287">
        <v>10</v>
      </c>
      <c r="U287">
        <v>6350</v>
      </c>
      <c r="V287" t="inlineStr">
        <is>
          <t>PHP</t>
        </is>
      </c>
      <c r="W287">
        <v>63500</v>
      </c>
      <c r="X287" s="2" t="str">
        <f>=HYPERLINK("https://www.larksuite.com/approval/admin/previewAttachment?key=PMgxDkIxDAPQK9lNUsdchuV_VSxMCCSGnh2J4a9vNjG7GNNIcxjcqgx4yKKD1bN7j03JEEXs87nuVUfjy-X3WrD253Gs88WyxoAiMxoAb5eHMtOeib_jFwAA__8", "2 attachment(s)")</f>
        <v>2 attachment(s)</v>
      </c>
      <c r="Y287" t="inlineStr">
        <is>
          <t>Bank Transfer</t>
        </is>
      </c>
      <c r="Z287" t="inlineStr">
        <is>
          <t>Iontech Inc</t>
        </is>
      </c>
      <c r="AA287" t="inlineStr">
        <is>
          <t>004-763-0449-34</t>
        </is>
      </c>
      <c r="AB287" t="inlineStr">
        <is>
          <t>BPI</t>
        </is>
      </c>
      <c r="AC287" t="inlineStr">
        <is>
          <t>Rm 200, Timbol-Singh Building, 915 Aurora Blvd. Cubao, Quezon City</t>
        </is>
      </c>
      <c r="AD287" s="4">
        <v>45896</v>
      </c>
      <c r="AE287" t="inlineStr">
        <is>
          <t>100% Full payment</t>
        </is>
      </c>
      <c r="AF287" s="2" t="str">
        <f>=HYPERLINK("https://www.larksuite.com/approval/admin/previewAttachment?key=TMg9CgJRDATgK828vPyMl7HZJdhYiYJFzi5YbftFEVFOC2GLS-Ckb4NWKimjV1TNGmYKySTmfPbd_Sh82Xp3Qzmfx9Hni1EW2PK9KQC8XZyEysL-jl8AAAD__w", "1 attachment(s)")</f>
        <v>1 attachment(s)</v>
      </c>
      <c r="AG287" t="inlineStr">
        <is>
          <t>NzQyNTk5MTgyNzQ4MTg3MDM0MTpCRjgxM0YyOC0wMzg3LTQyMTItQkJBNy0zRDJDOTVCQ0EzOTQtMTpiOTRlMWVmMWE5YmU4OWU4ZThlMmQyMDEyMmIzODU1ZTox</t>
        </is>
      </c>
      <c r="AH287" t="inlineStr">
        <is>
          <t>Iontech Inc</t>
        </is>
      </c>
      <c r="AI287"/>
      <c r="AJ287"/>
      <c r="AK287"/>
    </row>
    <row r="288" ht="25.5" customHeight="1">
      <c r="A288" s="2" t="str">
        <f>=HYPERLINK("https://applink.larksuite.com/client/mini_program/open?appId=cli_9c7cc8a9a9edd105&amp;mode=appCenter&amp;path_pc=pc/pages/requested/index?instanceId=7543106125315555360&amp;source=bitable&amp;path=pages/detail/index?instanceId=7543106125315555360&amp;source=bitable", "202508270029")</f>
        <v>202508270029</v>
      </c>
      <c r="B288" t="inlineStr">
        <is>
          <t>Approved</t>
        </is>
      </c>
      <c r="C288" t="inlineStr">
        <is>
          <t>Procurement Order</t>
        </is>
      </c>
      <c r="D288" s="3">
        <v>45896.48905092593</v>
      </c>
      <c r="E288" s="3">
        <v>45896.62464120371</v>
      </c>
      <c r="F288" t="inlineStr">
        <is>
          <t>Fatima Kathleen M. FLores</t>
        </is>
      </c>
      <c r="G288" t="inlineStr">
        <is>
          <t>Procurement</t>
        </is>
      </c>
      <c r="H288"/>
      <c r="I288"/>
      <c r="J288" t="inlineStr">
        <is>
          <t>CAPEX</t>
        </is>
      </c>
      <c r="K288"/>
      <c r="L288"/>
      <c r="M288"/>
      <c r="N288"/>
      <c r="O288" t="inlineStr">
        <is>
          <t>202508190093-Bernadeth Español Villaflor-费用报销 - 副本 - 副本 - 副本-2025-08-19 09:35:12</t>
        </is>
      </c>
      <c r="P288"/>
      <c r="Q288" t="inlineStr">
        <is>
          <t>Broadcast</t>
        </is>
      </c>
      <c r="R288"/>
      <c r="S288" t="inlineStr">
        <is>
          <t>Focusrite Scarlett 2i2 USB-C Audio Interface (4th Generation)</t>
        </is>
      </c>
      <c r="T288">
        <v>2</v>
      </c>
      <c r="U288">
        <v>15750</v>
      </c>
      <c r="V288" t="inlineStr">
        <is>
          <t>PHP</t>
        </is>
      </c>
      <c r="W288">
        <v>31500</v>
      </c>
      <c r="X288" s="2"/>
      <c r="Y288" t="inlineStr">
        <is>
          <t>Bank Transfer</t>
        </is>
      </c>
      <c r="Z288" t="inlineStr">
        <is>
          <t>APERTURE TRADING CORPORATION</t>
        </is>
      </c>
      <c r="AA288" t="inlineStr">
        <is>
          <t>278-327-880-4810</t>
        </is>
      </c>
      <c r="AB288" t="inlineStr">
        <is>
          <t>Metrobank</t>
        </is>
      </c>
      <c r="AC288" t="inlineStr">
        <is>
          <t>#118 Scout Dr. Lazcano St., Brgy Sacred Heart, Quezon City</t>
        </is>
      </c>
      <c r="AD288" s="4">
        <v>45897</v>
      </c>
      <c r="AE288" t="inlineStr">
        <is>
          <t>100% Full Payment</t>
        </is>
      </c>
      <c r="AF288" s="2" t="str">
        <f>=HYPERLINK("https://www.larksuite.com/approval/admin/previewAttachment?key=TMg5CgJBEAXQK_3ftXsZE5tGBU3ELaizD0w06fMkPI3iBS2OAjtMhXAOE5qZiaNHM6IQDKLnY53f_5VV37uM33zOW3-ulzVf9BSHlqmyAPB0cBKV4rI7tgAAAP__", "1 attachment(s)")</f>
        <v>1 attachment(s)</v>
      </c>
      <c r="AG288" t="inlineStr">
        <is>
          <t>NzQyNTk5MTgyNzQ4MTg3MDM0MTo1NDlBRTJCNy1GMEE4LTQyOUYtOTU1MC01QjBCQjg0MENFRjItMTo4MDk5ZGE4NWQ1YmJhYzZiMjM1Y2U2YmRjNjM0YmJlZDox</t>
        </is>
      </c>
      <c r="AH288" t="inlineStr">
        <is>
          <t>APERTURE TRADING CORPORATION</t>
        </is>
      </c>
      <c r="AI288"/>
      <c r="AJ288"/>
      <c r="AK288"/>
    </row>
    <row r="289" ht="25.5" customHeight="1">
      <c r="A289" s="2" t="str">
        <f>=HYPERLINK("https://applink.larksuite.com/client/mini_program/open?appId=cli_9c7cc8a9a9edd105&amp;mode=appCenter&amp;path_pc=pc/pages/requested/index?instanceId=7543106125315555360&amp;source=bitable&amp;path=pages/detail/index?instanceId=7543106125315555360&amp;source=bitable", "202508270029")</f>
        <v>202508270029</v>
      </c>
      <c r="B289" t="inlineStr">
        <is>
          <t>Approved</t>
        </is>
      </c>
      <c r="C289" t="inlineStr">
        <is>
          <t>Procurement Order</t>
        </is>
      </c>
      <c r="D289" s="3">
        <v>45896.48905092593</v>
      </c>
      <c r="E289" s="3">
        <v>45896.62464120371</v>
      </c>
      <c r="F289" t="inlineStr">
        <is>
          <t>Fatima Kathleen M. FLores</t>
        </is>
      </c>
      <c r="G289" t="inlineStr">
        <is>
          <t>Procurement</t>
        </is>
      </c>
      <c r="H289"/>
      <c r="I289"/>
      <c r="J289" t="inlineStr">
        <is>
          <t>CAPEX</t>
        </is>
      </c>
      <c r="K289"/>
      <c r="L289"/>
      <c r="M289"/>
      <c r="N289"/>
      <c r="O289" t="inlineStr">
        <is>
          <t>202508190093-Bernadeth Español Villaflor-费用报销 - 副本 - 副本 - 副本-2025-08-19 09:35:12</t>
        </is>
      </c>
      <c r="P289"/>
      <c r="Q289" t="inlineStr">
        <is>
          <t>Broadcast</t>
        </is>
      </c>
      <c r="R289"/>
      <c r="S289" t="inlineStr">
        <is>
          <t>Sennheiser ew IEM G4-Twin Wireless Monitor System Kit (606 to 648 MHz)</t>
        </is>
      </c>
      <c r="T289">
        <v>1</v>
      </c>
      <c r="U289">
        <v>111766</v>
      </c>
      <c r="V289" t="inlineStr">
        <is>
          <t>PHP</t>
        </is>
      </c>
      <c r="W289">
        <v>111766</v>
      </c>
      <c r="X289" s="2" t="str">
        <f>=HYPERLINK("https://www.larksuite.com/approval/admin/previewAttachment?key=PMg5CgJBEAXQK_1fa5eXMbFpVNBE3II6-8AEk74YRAynRsGKUmCnmxJBcaW7uwZampmFZBI9H-v8_q9R9b2r_OZz3vpzvaz5oleKINVMBwCeDtc0s6ow7M4tAAD__w", "2 attachment(s)")</f>
        <v>2 attachment(s)</v>
      </c>
      <c r="Y289"/>
      <c r="Z289"/>
      <c r="AA289"/>
      <c r="AB289"/>
      <c r="AC289"/>
      <c r="AD289" s="4"/>
      <c r="AE289"/>
      <c r="AF289" s="2"/>
      <c r="AG289" t="inlineStr">
        <is>
          <t>NzQyNTk5MTgyNzQ4MTg3MDM0MTo1NDlBRTJCNy1GMEE4LTQyOUYtOTU1MC01QjBCQjg0MENFRjItMjpkNDVlMjhiOTBjN2YyNzRhMGFjOTc3OTBjNDM0NjE5Njox</t>
        </is>
      </c>
      <c r="AH289"/>
      <c r="AI289"/>
      <c r="AJ289"/>
      <c r="AK289"/>
    </row>
    <row r="290" ht="25.5" customHeight="1">
      <c r="A290" s="2" t="str">
        <f>=HYPERLINK("https://applink.larksuite.com/client/mini_program/open?appId=cli_9c7cc8a9a9edd105&amp;mode=appCenter&amp;path_pc=pc/pages/requested/index?instanceId=7543111619455303711&amp;source=bitable&amp;path=pages/detail/index?instanceId=7543111619455303711&amp;source=bitable", "202508270032")</f>
        <v>202508270032</v>
      </c>
      <c r="B290" t="inlineStr">
        <is>
          <t>Approved</t>
        </is>
      </c>
      <c r="C290" t="inlineStr">
        <is>
          <t>Procurement Order</t>
        </is>
      </c>
      <c r="D290" s="3">
        <v>45896.503854166665</v>
      </c>
      <c r="E290" s="3">
        <v>45898.41924768518</v>
      </c>
      <c r="F290" t="inlineStr">
        <is>
          <t>Fatima Kathleen M. FLores</t>
        </is>
      </c>
      <c r="G290" t="inlineStr">
        <is>
          <t>Procurement</t>
        </is>
      </c>
      <c r="H290"/>
      <c r="I290"/>
      <c r="J290" t="inlineStr">
        <is>
          <t>Project</t>
        </is>
      </c>
      <c r="K290" t="inlineStr">
        <is>
          <t>PDEI - Event Service</t>
        </is>
      </c>
      <c r="L290" t="inlineStr">
        <is>
          <t>MPL PH S16 - Regular Season</t>
        </is>
      </c>
      <c r="M290" t="inlineStr">
        <is>
          <t>2025TEG-P0214</t>
        </is>
      </c>
      <c r="N290" t="inlineStr">
        <is>
          <t>Jessica Jane Lor Felicilda</t>
        </is>
      </c>
      <c r="O290" t="inlineStr">
        <is>
          <t>202507280030-Jessica Jane Lor Felicilda-费用报销 - 副本 - 副本 - 副本-2025-07-28 04:13:24</t>
        </is>
      </c>
      <c r="P290" t="inlineStr">
        <is>
          <t>YES</t>
        </is>
      </c>
      <c r="Q290"/>
      <c r="R290" t="inlineStr">
        <is>
          <t>NO</t>
        </is>
      </c>
      <c r="S290" t="inlineStr">
        <is>
          <t>Outsourced LED Operator (RS &amp; PO)</t>
        </is>
      </c>
      <c r="T290">
        <v>1</v>
      </c>
      <c r="U290">
        <v>66000</v>
      </c>
      <c r="V290" t="inlineStr">
        <is>
          <t>PHP</t>
        </is>
      </c>
      <c r="W290">
        <v>66000</v>
      </c>
      <c r="X290" s="2" t="str">
        <f>=HYPERLINK("https://www.larksuite.com/approval/admin/previewAttachment?key=PMg9CgIxEAXgK703vxkvY-MSFFkJCAGLObtgYfvFIGI4NQpWlAI73ZRksMxdoUm2NDMLyST6OOd1cz799dkPWZjr7H2_zeNNrxRBqpkOALz8XdPMqsLwc3wDAAD__w", "2 attachment(s)")</f>
        <v>2 attachment(s)</v>
      </c>
      <c r="Y290" t="inlineStr">
        <is>
          <t>Bank Transfer</t>
        </is>
      </c>
      <c r="Z290" t="inlineStr">
        <is>
          <t>Gerald Alfred Hara</t>
        </is>
      </c>
      <c r="AA290" t="inlineStr">
        <is>
          <t>09693171176</t>
        </is>
      </c>
      <c r="AB290" t="inlineStr">
        <is>
          <t>GCash</t>
        </is>
      </c>
      <c r="AC290" t="inlineStr">
        <is>
          <t>918 Maceda St. Sampaloc Manila</t>
        </is>
      </c>
      <c r="AD290" s="4">
        <v>45889</v>
      </c>
      <c r="AE290" t="inlineStr">
        <is>
          <t>1st payment - Sept. 12, 2025
2nd Payment - Oct. 3, 2025
3rd Payment - Oct. 24, 2025
4th Payment - Nov. 14, 2025
Final Payment - Nov. 28, 2025</t>
        </is>
      </c>
      <c r="AF290" s="2"/>
      <c r="AG290" t="inlineStr">
        <is>
          <t>NzQyNTk5MTgyNzQ4MTg3MDM0MTpFQTJEOUE5RS1CMTcyLTRGRUMtQjJEMy1ERTg3MDczQTJBMkUtMTo5NDhhZDhiM2ZkODkyMDFlYmYzYjViZWQ3OTdhMWNmZTox</t>
        </is>
      </c>
      <c r="AH290" t="inlineStr">
        <is>
          <t>Gerald Alfred Hara</t>
        </is>
      </c>
      <c r="AI290"/>
      <c r="AJ290"/>
      <c r="AK290"/>
    </row>
    <row r="291" ht="25.5" customHeight="1">
      <c r="A291" s="2" t="str">
        <f>=HYPERLINK("https://applink.larksuite.com/client/mini_program/open?appId=cli_9c7cc8a9a9edd105&amp;mode=appCenter&amp;path_pc=pc/pages/requested/index?instanceId=7543114422714236967&amp;source=bitable&amp;path=pages/detail/index?instanceId=7543114422714236967&amp;source=bitable", "202508270034")</f>
        <v>202508270034</v>
      </c>
      <c r="B291" t="inlineStr">
        <is>
          <t>Approved</t>
        </is>
      </c>
      <c r="C291" t="inlineStr">
        <is>
          <t>Procurement Order</t>
        </is>
      </c>
      <c r="D291" s="3">
        <v>45896.511412037034</v>
      </c>
      <c r="E291" s="3">
        <v>45898.417719907404</v>
      </c>
      <c r="F291" t="inlineStr">
        <is>
          <t>Fatima Kathleen M. FLores</t>
        </is>
      </c>
      <c r="G291" t="inlineStr">
        <is>
          <t>Procurement</t>
        </is>
      </c>
      <c r="H291"/>
      <c r="I291"/>
      <c r="J291" t="inlineStr">
        <is>
          <t>Project</t>
        </is>
      </c>
      <c r="K291" t="inlineStr">
        <is>
          <t>PDEI - Event Service</t>
        </is>
      </c>
      <c r="L291" t="inlineStr">
        <is>
          <t>MPL PH S16 - Regular Season</t>
        </is>
      </c>
      <c r="M291" t="inlineStr">
        <is>
          <t>2025TEG-P0214</t>
        </is>
      </c>
      <c r="N291" t="inlineStr">
        <is>
          <t>Jessica Jane Lor Felicilda</t>
        </is>
      </c>
      <c r="O291" t="inlineStr">
        <is>
          <t>202507280031-Jessica Jane Lor Felicilda-费用报销 - 副本 - 副本 - 副本-2025-07-28 04:16:33</t>
        </is>
      </c>
      <c r="P291" t="inlineStr">
        <is>
          <t>YES</t>
        </is>
      </c>
      <c r="Q291"/>
      <c r="R291" t="inlineStr">
        <is>
          <t>NO</t>
        </is>
      </c>
      <c r="S291" t="inlineStr">
        <is>
          <t>Outsourced Audio Engineer (RS &amp; PO)</t>
        </is>
      </c>
      <c r="T291">
        <v>1</v>
      </c>
      <c r="U291">
        <v>111000</v>
      </c>
      <c r="V291" t="inlineStr">
        <is>
          <t>PHP</t>
        </is>
      </c>
      <c r="W291">
        <v>111000</v>
      </c>
      <c r="X291" s="2" t="str">
        <f>=HYPERLINK("https://www.larksuite.com/approval/admin/previewAttachment?key=PMgxDkIxDAPQK9mJGzdchoWvCgmYEH_r2ZEYWF9NouZgVkPNaHB7KEkpwlRkdXnHpt0wTezjta5Izc-Zj4Fnz5X7vN_W8eZoR8Ap5QTAy9_TkrpL-Dm-AQAA__8", "2 attachment(s)")</f>
        <v>2 attachment(s)</v>
      </c>
      <c r="Y291" t="inlineStr">
        <is>
          <t>Bank Transfer</t>
        </is>
      </c>
      <c r="Z291" t="inlineStr">
        <is>
          <t>Kevin Fernandez</t>
        </is>
      </c>
      <c r="AA291" t="inlineStr">
        <is>
          <t>109323124880</t>
        </is>
      </c>
      <c r="AB291" t="inlineStr">
        <is>
          <t>Union Bank</t>
        </is>
      </c>
      <c r="AC291" t="inlineStr">
        <is>
          <t>B15 L25 Mandarin Homes, Francisco De Castro, General Mariano Alvarez, Cavite</t>
        </is>
      </c>
      <c r="AD291" s="4">
        <v>45889</v>
      </c>
      <c r="AE291" t="inlineStr">
        <is>
          <t>1st payment - Sept. 5, 2025
2nd Payment - Sept. 26, 2025
3rd Payment - Oct. 17, 2025
4th Payment - Nov. 7, 2025
Final Payment - Nov. 21, 2025</t>
        </is>
      </c>
      <c r="AF291" s="2"/>
      <c r="AG291" t="inlineStr">
        <is>
          <t>NzQyNTk5MTgyNzQ4MTg3MDM0MTo4QThCQzRDMC01OTRDLTQ4QjctOTZGQy00N0JGMjAyMTk4MDctMTphMmQ5MjY5MWJlZmEzYzQ0MzdmZmYwZTRjNjQ2ZDRhMTox</t>
        </is>
      </c>
      <c r="AH291" t="inlineStr">
        <is>
          <t>Kevin Fernandez</t>
        </is>
      </c>
      <c r="AI291"/>
      <c r="AJ291"/>
      <c r="AK291"/>
    </row>
    <row r="292" ht="25.5" customHeight="1">
      <c r="A292" s="2" t="str">
        <f>=HYPERLINK("https://applink.larksuite.com/client/mini_program/open?appId=cli_9c7cc8a9a9edd105&amp;mode=appCenter&amp;path_pc=pc/pages/requested/index?instanceId=7543116536278417447&amp;source=bitable&amp;path=pages/detail/index?instanceId=7543116536278417447&amp;source=bitable", "202508270037")</f>
        <v>202508270037</v>
      </c>
      <c r="B292" t="inlineStr">
        <is>
          <t>Approved</t>
        </is>
      </c>
      <c r="C292" t="inlineStr">
        <is>
          <t>Procurement Order</t>
        </is>
      </c>
      <c r="D292" s="3">
        <v>45896.51710648148</v>
      </c>
      <c r="E292" s="3">
        <v>45898.41428240741</v>
      </c>
      <c r="F292" t="inlineStr">
        <is>
          <t>Fatima Kathleen M. FLores</t>
        </is>
      </c>
      <c r="G292" t="inlineStr">
        <is>
          <t>Procurement</t>
        </is>
      </c>
      <c r="H292"/>
      <c r="I292"/>
      <c r="J292" t="inlineStr">
        <is>
          <t>Project</t>
        </is>
      </c>
      <c r="K292" t="inlineStr">
        <is>
          <t>PDEI - Event Service</t>
        </is>
      </c>
      <c r="L292" t="inlineStr">
        <is>
          <t>MPL PH S16 - Regular Season</t>
        </is>
      </c>
      <c r="M292" t="inlineStr">
        <is>
          <t>2025TEG-P0214</t>
        </is>
      </c>
      <c r="N292" t="inlineStr">
        <is>
          <t>Jessica Jane Lor Felicilda</t>
        </is>
      </c>
      <c r="O292" t="inlineStr">
        <is>
          <t>202507280033-Jessica Jane Lor Felicilda-费用报销 - 副本 - 副本 - 副本-2025-07-28 04:21:07</t>
        </is>
      </c>
      <c r="P292" t="inlineStr">
        <is>
          <t>YES</t>
        </is>
      </c>
      <c r="Q292"/>
      <c r="R292" t="inlineStr">
        <is>
          <t>NO</t>
        </is>
      </c>
      <c r="S292" t="inlineStr">
        <is>
          <t>Outsourced Game Director (RS &amp; PO)</t>
        </is>
      </c>
      <c r="T292">
        <v>1</v>
      </c>
      <c r="U292">
        <v>79200</v>
      </c>
      <c r="V292" t="inlineStr">
        <is>
          <t>PHP</t>
        </is>
      </c>
      <c r="W292">
        <v>79200</v>
      </c>
      <c r="X292" s="2" t="str">
        <f>=HYPERLINK("https://www.larksuite.com/approval/admin/previewAttachment?key=PMg9qgMxDATgK2mksUZ6l3nNmiU_GAKB7Xz2QIq0XxYsayCyjQ1vw9ZgADkiXUWI1PYNqU0QbM91_j_W7LqeBfh9vY593Y5zvjFa7qYgo8wMfz8PkexO2tftEwAA__8", "2 attachment(s)")</f>
        <v>2 attachment(s)</v>
      </c>
      <c r="Y292" t="inlineStr">
        <is>
          <t>Bank Transfer</t>
        </is>
      </c>
      <c r="Z292" t="inlineStr">
        <is>
          <t>Ralp Gabriel Garcia</t>
        </is>
      </c>
      <c r="AA292" t="inlineStr">
        <is>
          <t>09569945794</t>
        </is>
      </c>
      <c r="AB292" t="inlineStr">
        <is>
          <t>GCash</t>
        </is>
      </c>
      <c r="AC292" t="inlineStr">
        <is>
          <t>2817 Beata St. Pandacan Manila</t>
        </is>
      </c>
      <c r="AD292" s="4">
        <v>45889</v>
      </c>
      <c r="AE292" t="inlineStr">
        <is>
          <t>1st payment - Sept. 5, 2025
2nd Payment - Sept. 26, 2025
3rd Payment - Oct. 17, 2025
4th Payment - Oct. 31, 2025
5th Payment - Nov. 14, 2025
Final Payment - Nov. 28, 2025</t>
        </is>
      </c>
      <c r="AF292" s="2"/>
      <c r="AG292" t="inlineStr">
        <is>
          <t>NzQyNTk5MTgyNzQ4MTg3MDM0MTpCMjM2NDk1My0yRkJFLTQzQjUtQjI2RC01MTNDOTI2NDJBN0MtMTo1MGMxNTRiMTgwNGUwMjJlMTE2MTFmMGJiNzhmZDZjMjox</t>
        </is>
      </c>
      <c r="AH292" t="inlineStr">
        <is>
          <t>Ralp Gabriel Garcia</t>
        </is>
      </c>
      <c r="AI292"/>
      <c r="AJ292"/>
      <c r="AK292"/>
    </row>
    <row r="293" ht="25.5" customHeight="1">
      <c r="A293" s="2" t="str">
        <f>=HYPERLINK("https://applink.larksuite.com/client/mini_program/open?appId=cli_9c7cc8a9a9edd105&amp;mode=appCenter&amp;path_pc=pc/pages/requested/index?instanceId=7543144007728168998&amp;source=bitable&amp;path=pages/detail/index?instanceId=7543144007728168998&amp;source=bitable", "202508270054")</f>
        <v>202508270054</v>
      </c>
      <c r="B293" t="inlineStr">
        <is>
          <t>Approved</t>
        </is>
      </c>
      <c r="C293" t="inlineStr">
        <is>
          <t>Procurement Order</t>
        </is>
      </c>
      <c r="D293" s="3">
        <v>45896.59113425926</v>
      </c>
      <c r="E293" s="3">
        <v>45904.66425925926</v>
      </c>
      <c r="F293" t="inlineStr">
        <is>
          <t>Fatima Kathleen M. FLores</t>
        </is>
      </c>
      <c r="G293" t="inlineStr">
        <is>
          <t>Procurement</t>
        </is>
      </c>
      <c r="H293"/>
      <c r="I293"/>
      <c r="J293" t="inlineStr">
        <is>
          <t>Project</t>
        </is>
      </c>
      <c r="K293" t="inlineStr">
        <is>
          <t>PDEI - Event Service</t>
        </is>
      </c>
      <c r="L293" t="inlineStr">
        <is>
          <t>MPL PH S16 - Regular Season</t>
        </is>
      </c>
      <c r="M293" t="inlineStr">
        <is>
          <t>2025TEG-P0214</t>
        </is>
      </c>
      <c r="N293" t="inlineStr">
        <is>
          <t>Jessica Jane Lor Felicilda</t>
        </is>
      </c>
      <c r="O293" t="inlineStr">
        <is>
          <t>202507280034-Jessica Jane Lor Felicilda-费用报销 - 副本 - 副本 - 副本-2025-07-28 04:24:17</t>
        </is>
      </c>
      <c r="P293" t="inlineStr">
        <is>
          <t>YES</t>
        </is>
      </c>
      <c r="Q293"/>
      <c r="R293" t="inlineStr">
        <is>
          <t>YES</t>
        </is>
      </c>
      <c r="S293" t="inlineStr">
        <is>
          <t>Outsourced Main Game Observer (RS &amp; PO)</t>
        </is>
      </c>
      <c r="T293">
        <v>1</v>
      </c>
      <c r="U293">
        <v>69300</v>
      </c>
      <c r="V293" t="inlineStr">
        <is>
          <t>PHP</t>
        </is>
      </c>
      <c r="W293">
        <v>69300</v>
      </c>
      <c r="X293" s="2" t="str">
        <f>=HYPERLINK("https://www.larksuite.com/approval/admin/previewAttachment?key=PMhBCgIxDAXQK_3fpP2Jl3HjUAQZEGQKXeTsggu3bwQxotNGwpMtwVJ3ozsgteCIzKhWlBKiyDrOed9rXse-9urvbuer1vMxjw97qjXI3C0A8PZ3k7tnDsfP8Q0AAP__", "2 attachment(s)")</f>
        <v>2 attachment(s)</v>
      </c>
      <c r="Y293" t="inlineStr">
        <is>
          <t>Bank Transfer</t>
        </is>
      </c>
      <c r="Z293" t="inlineStr">
        <is>
          <t>John Troy J. Berris</t>
        </is>
      </c>
      <c r="AA293" t="inlineStr">
        <is>
          <t>010340031670</t>
        </is>
      </c>
      <c r="AB293" t="inlineStr">
        <is>
          <t>BDO</t>
        </is>
      </c>
      <c r="AC293" t="inlineStr">
        <is>
          <t>52 Asheville Street, Santa Rosa, Laguna, Laguna Bel Air 1, Brgy. Don Jose</t>
        </is>
      </c>
      <c r="AD293" s="4">
        <v>45889</v>
      </c>
      <c r="AE293" t="inlineStr">
        <is>
          <t>1st payment - Sept. 12, 2025
2nd Payment - Oct. 3, 2025
3rd Payment - Oct. 24, 2025
4th Payment - Nov. 7, 2025
Final Payment - Nov. 21, 2025</t>
        </is>
      </c>
      <c r="AF293" s="2"/>
      <c r="AG293" t="inlineStr">
        <is>
          <t>NzQyNTk5MTgyNzQ4MTg3MDM0MToyQzFDRDFEOC05NkM1LTQyQkUtQTYyQi0wQTEwNDAwMDg4NDEtMTo3NWU2MmVlNjkxMTVlNDk1YmI1YjQ0YzgxYmFhY2QxYjox</t>
        </is>
      </c>
      <c r="AH293" t="inlineStr">
        <is>
          <t>John Troy J. Berris</t>
        </is>
      </c>
      <c r="AI293"/>
      <c r="AJ293"/>
      <c r="AK293"/>
    </row>
    <row r="294" ht="25.5" customHeight="1">
      <c r="A294" s="2" t="str">
        <f>=HYPERLINK("https://applink.larksuite.com/client/mini_program/open?appId=cli_9c7cc8a9a9edd105&amp;mode=appCenter&amp;path_pc=pc/pages/requested/index?instanceId=7543145440758333478&amp;source=bitable&amp;path=pages/detail/index?instanceId=7543145440758333478&amp;source=bitable", "202508270056")</f>
        <v>202508270056</v>
      </c>
      <c r="B294" t="inlineStr">
        <is>
          <t>Approved</t>
        </is>
      </c>
      <c r="C294" t="inlineStr">
        <is>
          <t>Procurement Order</t>
        </is>
      </c>
      <c r="D294" s="3">
        <v>45896.595</v>
      </c>
      <c r="E294" s="3">
        <v>45898.421273148146</v>
      </c>
      <c r="F294" t="inlineStr">
        <is>
          <t>Fatima Kathleen M. FLores</t>
        </is>
      </c>
      <c r="G294" t="inlineStr">
        <is>
          <t>Procurement</t>
        </is>
      </c>
      <c r="H294"/>
      <c r="I294"/>
      <c r="J294" t="inlineStr">
        <is>
          <t>Project</t>
        </is>
      </c>
      <c r="K294" t="inlineStr">
        <is>
          <t>PDEI - Event Service</t>
        </is>
      </c>
      <c r="L294" t="inlineStr">
        <is>
          <t>MPL PH S16 - Regular Season</t>
        </is>
      </c>
      <c r="M294" t="inlineStr">
        <is>
          <t>2025TEG-P0214</t>
        </is>
      </c>
      <c r="N294" t="inlineStr">
        <is>
          <t>Jessica Jane Lor Felicilda</t>
        </is>
      </c>
      <c r="O294" t="inlineStr">
        <is>
          <t>202507280035-Jessica Jane Lor Felicilda-费用报销 - 副本 - 副本 - 副本-2025-07-28 04:27:30</t>
        </is>
      </c>
      <c r="P294" t="inlineStr">
        <is>
          <t>YES</t>
        </is>
      </c>
      <c r="Q294"/>
      <c r="R294" t="inlineStr">
        <is>
          <t>NO</t>
        </is>
      </c>
      <c r="S294" t="inlineStr">
        <is>
          <t>Outsourced Highlights Operator (RS &amp; PO)</t>
        </is>
      </c>
      <c r="T294">
        <v>1</v>
      </c>
      <c r="U294">
        <v>54450</v>
      </c>
      <c r="V294" t="inlineStr">
        <is>
          <t>PHP</t>
        </is>
      </c>
      <c r="W294">
        <v>54450</v>
      </c>
      <c r="X294" s="2" t="str">
        <f>=HYPERLINK("https://www.larksuite.com/approval/admin/previewAttachment?key=PMgxCsJQEATQK838nf2z62VsDEGQQEAIWPyzCxa2bxYxKxmzoeZocDkVVEpwVkTItcai3TBNrO3Y76Wrzs85jjor47Wu52Pf3sz2GHBIUQB4-3tYUvcUfo5vAAAA__8", "2 attachment(s)")</f>
        <v>2 attachment(s)</v>
      </c>
      <c r="Y294" t="inlineStr">
        <is>
          <t>Bank Transfer</t>
        </is>
      </c>
      <c r="Z294" t="inlineStr">
        <is>
          <t>ALYSSANDRA IVY LAZARO</t>
        </is>
      </c>
      <c r="AA294" t="inlineStr">
        <is>
          <t>008450415166</t>
        </is>
      </c>
      <c r="AB294" t="inlineStr">
        <is>
          <t>BDO</t>
        </is>
      </c>
      <c r="AC294" t="inlineStr">
        <is>
          <t>0524 Purok 2 Caniogan, Calumpit, Bulacan</t>
        </is>
      </c>
      <c r="AD294" s="4">
        <v>45889</v>
      </c>
      <c r="AE294" t="inlineStr">
        <is>
          <t>1st payment - Sept. 12, 2025
2nd Payment - Oct. 3, 2025
3rd Payment - Oct. 24, 2025
4th Payment - Nov. 14, 2025
Final Payment - Nov. 28, 2025</t>
        </is>
      </c>
      <c r="AF294" s="2"/>
      <c r="AG294" t="inlineStr">
        <is>
          <t>NzQyNTk5MTgyNzQ4MTg3MDM0MTo1RUY5REMxOC05RjdELTRFM0QtODhGRC1FQTNFQjlFMTdBQkItMTozOGY0OTU2ZWJhNjI1OGYwZWY5MjRmMzViZWYwYWFhMTox</t>
        </is>
      </c>
      <c r="AH294" t="inlineStr">
        <is>
          <t>ALYSSANDRA IVY LAZARO</t>
        </is>
      </c>
      <c r="AI294"/>
      <c r="AJ294"/>
      <c r="AK294"/>
    </row>
    <row r="295" ht="25.5" customHeight="1">
      <c r="A295" s="2" t="str">
        <f>=HYPERLINK("https://applink.larksuite.com/client/mini_program/open?appId=cli_9c7cc8a9a9edd105&amp;mode=appCenter&amp;path_pc=pc/pages/requested/index?instanceId=7543153643676041254&amp;source=bitable&amp;path=pages/detail/index?instanceId=7543153643676041254&amp;source=bitable", "202508270064")</f>
        <v>202508270064</v>
      </c>
      <c r="B295" t="inlineStr">
        <is>
          <t>Approved</t>
        </is>
      </c>
      <c r="C295" t="inlineStr">
        <is>
          <t>Procurement Order</t>
        </is>
      </c>
      <c r="D295" s="3">
        <v>45896.617106481484</v>
      </c>
      <c r="E295" s="3">
        <v>45904.665185185186</v>
      </c>
      <c r="F295" t="inlineStr">
        <is>
          <t>Fatima Kathleen M. FLores</t>
        </is>
      </c>
      <c r="G295" t="inlineStr">
        <is>
          <t>Procurement</t>
        </is>
      </c>
      <c r="H295"/>
      <c r="I295"/>
      <c r="J295" t="inlineStr">
        <is>
          <t>Project</t>
        </is>
      </c>
      <c r="K295" t="inlineStr">
        <is>
          <t>PDEI - Event Service</t>
        </is>
      </c>
      <c r="L295" t="inlineStr">
        <is>
          <t>MPL PH S16 - Regular Season</t>
        </is>
      </c>
      <c r="M295" t="inlineStr">
        <is>
          <t>2025TEG-P0214</t>
        </is>
      </c>
      <c r="N295" t="inlineStr">
        <is>
          <t>Jessica Jane Lor Felicilda</t>
        </is>
      </c>
      <c r="O295" t="inlineStr">
        <is>
          <t>202507280036-Jessica Jane Lor Felicilda-费用报销 - 副本 - 副本 - 副本-2025-07-28 04:29:30</t>
        </is>
      </c>
      <c r="P295" t="inlineStr">
        <is>
          <t>YES</t>
        </is>
      </c>
      <c r="Q295"/>
      <c r="R295" t="inlineStr">
        <is>
          <t>YES</t>
        </is>
      </c>
      <c r="S295" t="inlineStr">
        <is>
          <t>Outsourced Dynamic CG Operator (RS &amp; PO)</t>
        </is>
      </c>
      <c r="T295">
        <v>1</v>
      </c>
      <c r="U295">
        <v>95200</v>
      </c>
      <c r="V295" t="inlineStr">
        <is>
          <t>PHP</t>
        </is>
      </c>
      <c r="W295">
        <v>95200</v>
      </c>
      <c r="X295" s="2" t="str">
        <f>=HYPERLINK("https://www.larksuite.com/approval/admin/previewAttachment?key=PMgxCkJBDATQK2WSSWbjZWxcPiJ8EYS12rMLFravBqxGIqqNDW_DVjKQUYxSGeHJ7RtSmyBgz_O4Ps7Zw6WVr_6s51732zHfyJa7KcgYZobL30Mku4v2c_sGAAD__w", "2 attachment(s)")</f>
        <v>2 attachment(s)</v>
      </c>
      <c r="Y295" t="inlineStr">
        <is>
          <t>Bank Transfer</t>
        </is>
      </c>
      <c r="Z295" t="inlineStr">
        <is>
          <t>Jan Laurence Antonio</t>
        </is>
      </c>
      <c r="AA295" t="inlineStr">
        <is>
          <t>1094 2724 1990</t>
        </is>
      </c>
      <c r="AB295" t="inlineStr">
        <is>
          <t>Unionbank</t>
        </is>
      </c>
      <c r="AC295" t="inlineStr">
        <is>
          <t>46.F. Ablola St. Tangos North Navotas City</t>
        </is>
      </c>
      <c r="AD295" s="4">
        <v>45889</v>
      </c>
      <c r="AE295" t="inlineStr">
        <is>
          <t>1st payment - Sept. 5, 2025
2nd Payment - Sept. 26, 2025
3rd Payment - Oct. 17, 2025
4th Payment - Oct. 31, 2025
5th Payment - Nov. 14, 2025
Final Payment - Nov. 28, 2025</t>
        </is>
      </c>
      <c r="AF295" s="2"/>
      <c r="AG295" t="inlineStr">
        <is>
          <t>NzQyNTk5MTgyNzQ4MTg3MDM0MTo0MUQwODFERS0yN0RDLTQ3QTYtODE1Ri01QzlEOERCRUQ4NzEtMToyODcwYmExOTRjYWI3NTYyZDdhZDM5ODE2NDYwY2M3Yzox</t>
        </is>
      </c>
      <c r="AH295" t="inlineStr">
        <is>
          <t>Jan Laurence Antonio</t>
        </is>
      </c>
      <c r="AI295"/>
      <c r="AJ295"/>
      <c r="AK295"/>
    </row>
    <row r="296" ht="25.5" customHeight="1">
      <c r="A296" s="2" t="str">
        <f>=HYPERLINK("https://applink.larksuite.com/client/mini_program/open?appId=cli_9c7cc8a9a9edd105&amp;mode=appCenter&amp;path_pc=pc/pages/requested/index?instanceId=7543154924687835175&amp;source=bitable&amp;path=pages/detail/index?instanceId=7543154924687835175&amp;source=bitable", "202508270065")</f>
        <v>202508270065</v>
      </c>
      <c r="B296" t="inlineStr">
        <is>
          <t>Approved</t>
        </is>
      </c>
      <c r="C296" t="inlineStr">
        <is>
          <t>Procurement Order</t>
        </is>
      </c>
      <c r="D296" s="3">
        <v>45896.62055555556</v>
      </c>
      <c r="E296" s="3">
        <v>45904.66677083333</v>
      </c>
      <c r="F296" t="inlineStr">
        <is>
          <t>Fatima Kathleen M. FLores</t>
        </is>
      </c>
      <c r="G296" t="inlineStr">
        <is>
          <t>Procurement</t>
        </is>
      </c>
      <c r="H296"/>
      <c r="I296"/>
      <c r="J296" t="inlineStr">
        <is>
          <t>Project</t>
        </is>
      </c>
      <c r="K296" t="inlineStr">
        <is>
          <t>PDEI - Event Service</t>
        </is>
      </c>
      <c r="L296" t="inlineStr">
        <is>
          <t>MPL PH S16 - Regular Season</t>
        </is>
      </c>
      <c r="M296" t="inlineStr">
        <is>
          <t>2025TEG-P0214</t>
        </is>
      </c>
      <c r="N296" t="inlineStr">
        <is>
          <t>Jessica Jane Lor Felicilda</t>
        </is>
      </c>
      <c r="O296" t="inlineStr">
        <is>
          <t>202507280037-Jessica Jane Lor Felicilda-费用报销 - 副本 - 副本 - 副本-2025-07-28 04:31:24</t>
        </is>
      </c>
      <c r="P296" t="inlineStr">
        <is>
          <t>YES</t>
        </is>
      </c>
      <c r="Q296"/>
      <c r="R296" t="inlineStr">
        <is>
          <t>YES</t>
        </is>
      </c>
      <c r="S296" t="inlineStr">
        <is>
          <t>Outsourced EN Broadcast CG/Director (RS &amp; PO)</t>
        </is>
      </c>
      <c r="T296">
        <v>1</v>
      </c>
      <c r="U296">
        <v>85000</v>
      </c>
      <c r="V296" t="inlineStr">
        <is>
          <t>PHP</t>
        </is>
      </c>
      <c r="W296">
        <v>85000</v>
      </c>
      <c r="X296" s="2" t="str">
        <f>=HYPERLINK("https://www.larksuite.com/approval/admin/previewAttachment?key=PMgxDsJADATAL3nt9a3NZ2iIIhQdaRB093YkirQzCjYqEaONDW_DUjKQbOcoVSSUyxekNkHA2l77nT7rc8Qxzz45sb7Px769kS13U5BRZobb5SGS3YP2d_sFAAD__w", "2 attachment(s)")</f>
        <v>2 attachment(s)</v>
      </c>
      <c r="Y296" t="inlineStr">
        <is>
          <t>Bank Transfer</t>
        </is>
      </c>
      <c r="Z296" t="inlineStr">
        <is>
          <t>JUAN MIGUEL NAVARRO</t>
        </is>
      </c>
      <c r="AA296" t="inlineStr">
        <is>
          <t>1096 7202 2709</t>
        </is>
      </c>
      <c r="AB296" t="inlineStr">
        <is>
          <t>Unionbank</t>
        </is>
      </c>
      <c r="AC296" t="inlineStr">
        <is>
          <t>B33 L1-B, DILIGENCE ST., GOODWILL HOMES 1, SAN BARTOLOME, NOVALICHES, QUEZON CITY</t>
        </is>
      </c>
      <c r="AD296" s="4">
        <v>45889</v>
      </c>
      <c r="AE296" t="inlineStr">
        <is>
          <t>1st payment - Sept. 5, 2025
2nd Payment - Sept. 26, 2025
3rd Payment - Oct. 17, 2025
4th Payment - Nov. 7, 2025
Final Payment - Nov. 21, 2025</t>
        </is>
      </c>
      <c r="AF296" s="2"/>
      <c r="AG296" t="inlineStr">
        <is>
          <t>NzQyNTk5MTgyNzQ4MTg3MDM0MTpCNUQ4RUE4Ny1CQzQ1LTRCMzUtOTQzNS04NkQxRERBNTE5NEUtMTpiNTcxN2YzM2FhYmQwMDMxNjJmYmZlYTA0ZTYxNGQ2Mjox</t>
        </is>
      </c>
      <c r="AH296" t="inlineStr">
        <is>
          <t>JUAN MIGUEL NAVARRO</t>
        </is>
      </c>
      <c r="AI296"/>
      <c r="AJ296"/>
      <c r="AK296"/>
    </row>
    <row r="297" ht="25.5" customHeight="1">
      <c r="A297" s="2" t="str">
        <f>=HYPERLINK("https://applink.larksuite.com/client/mini_program/open?appId=cli_9c7cc8a9a9edd105&amp;mode=appCenter&amp;path_pc=pc/pages/requested/index?instanceId=7543156665118539814&amp;source=bitable&amp;path=pages/detail/index?instanceId=7543156665118539814&amp;source=bitable", "202508270067")</f>
        <v>202508270067</v>
      </c>
      <c r="B297" t="inlineStr">
        <is>
          <t>Approved</t>
        </is>
      </c>
      <c r="C297" t="inlineStr">
        <is>
          <t>Procurement Order</t>
        </is>
      </c>
      <c r="D297" s="3">
        <v>45896.625243055554</v>
      </c>
      <c r="E297" s="3">
        <v>45898.583969907406</v>
      </c>
      <c r="F297" t="inlineStr">
        <is>
          <t>Fatima Kathleen M. FLores</t>
        </is>
      </c>
      <c r="G297" t="inlineStr">
        <is>
          <t>Procurement</t>
        </is>
      </c>
      <c r="H297"/>
      <c r="I297"/>
      <c r="J297" t="inlineStr">
        <is>
          <t>Project</t>
        </is>
      </c>
      <c r="K297" t="inlineStr">
        <is>
          <t>PDEI - Event Service</t>
        </is>
      </c>
      <c r="L297" t="inlineStr">
        <is>
          <t>MPL PH S16 - Regular Season</t>
        </is>
      </c>
      <c r="M297" t="inlineStr">
        <is>
          <t>2025TEG-P0214</t>
        </is>
      </c>
      <c r="N297" t="inlineStr">
        <is>
          <t>Jessica Jane Lor Felicilda</t>
        </is>
      </c>
      <c r="O297" t="inlineStr">
        <is>
          <t>202508260060-Jessica Jane Lor Felicilda-费用报销 - 副本 - 副本 - 副本-2025-08-26 05:39:38</t>
        </is>
      </c>
      <c r="P297" t="inlineStr">
        <is>
          <t>YES</t>
        </is>
      </c>
      <c r="Q297"/>
      <c r="R297" t="inlineStr">
        <is>
          <t>YES</t>
        </is>
      </c>
      <c r="S297" t="inlineStr">
        <is>
          <t>Outsourced HMUA (RS)</t>
        </is>
      </c>
      <c r="T297">
        <v>1</v>
      </c>
      <c r="U297">
        <v>243000</v>
      </c>
      <c r="V297" t="inlineStr">
        <is>
          <t>PHP</t>
        </is>
      </c>
      <c r="W297">
        <v>243000</v>
      </c>
      <c r="X297" s="2" t="str">
        <f>=HYPERLINK("https://www.larksuite.com/approval/admin/previewAttachment?key=PMhBCkIxDATQK800k6TxMm5-KVIofBDc9eyCC7cvOhHdaVFQsRV40mX0iHCyu1WnTjvMLCSTOGPP572m-V6Xxr025_m8rjne9MrWkCZZB8DH3y0lVYXwc3wDAAD__w", "2 attachment(s)")</f>
        <v>2 attachment(s)</v>
      </c>
      <c r="Y297" t="inlineStr">
        <is>
          <t>Bank Transfer</t>
        </is>
      </c>
      <c r="Z297" t="inlineStr">
        <is>
          <t>Grace Filomeno</t>
        </is>
      </c>
      <c r="AA297" t="inlineStr">
        <is>
          <t>007340484415</t>
        </is>
      </c>
      <c r="AB297" t="inlineStr">
        <is>
          <t>BDO</t>
        </is>
      </c>
      <c r="AC297" t="inlineStr">
        <is>
          <t>89 T Santos St. San Jose, Rodriguez, Rizal</t>
        </is>
      </c>
      <c r="AD297" s="4">
        <v>45891</v>
      </c>
      <c r="AE297" t="inlineStr">
        <is>
          <t>1st payment - Aug. 29, 2025
2nd Payment - Sept. 19, 2025
3rd Payment - Oct. 3, 2025
4th Payment - Oct. 31, 2025
Final Payment - Nov. 21, 2025</t>
        </is>
      </c>
      <c r="AF297" s="2"/>
      <c r="AG297" t="inlineStr">
        <is>
          <t>NzQyNTk5MTgyNzQ4MTg3MDM0MTpCNjdGQzZGNS1FRTY1LTQ3RjgtQTE4Ni00NUVDMzA4ODJDOUYtMTo1ZGU4YmU2ODI4NGIzZDc1Zjc4YzZiYTgzMGY5NmY0ZDox</t>
        </is>
      </c>
      <c r="AH297" t="inlineStr">
        <is>
          <t>Grace Filomeno</t>
        </is>
      </c>
      <c r="AI297"/>
      <c r="AJ297"/>
      <c r="AK297"/>
    </row>
    <row r="298" ht="25.5" customHeight="1">
      <c r="A298" s="2" t="str">
        <f>=HYPERLINK("https://applink.larksuite.com/client/mini_program/open?appId=cli_9c7cc8a9a9edd105&amp;mode=appCenter&amp;path_pc=pc/pages/requested/index?instanceId=7543170640233447463&amp;source=bitable&amp;path=pages/detail/index?instanceId=7543170640233447463&amp;source=bitable", "202508270074")</f>
        <v>202508270074</v>
      </c>
      <c r="B298" t="inlineStr">
        <is>
          <t>Approved</t>
        </is>
      </c>
      <c r="C298" t="inlineStr">
        <is>
          <t>Procurement Order</t>
        </is>
      </c>
      <c r="D298" s="3">
        <v>45896.66290509259</v>
      </c>
      <c r="E298" s="3">
        <v>45898.51136574074</v>
      </c>
      <c r="F298" t="inlineStr">
        <is>
          <t>Fatima Kathleen M. FLores</t>
        </is>
      </c>
      <c r="G298" t="inlineStr">
        <is>
          <t>Procurement</t>
        </is>
      </c>
      <c r="H298"/>
      <c r="I298"/>
      <c r="J298" t="inlineStr">
        <is>
          <t>Project</t>
        </is>
      </c>
      <c r="K298" t="inlineStr">
        <is>
          <t>PDEI - Game Marketing</t>
        </is>
      </c>
      <c r="L298" t="inlineStr">
        <is>
          <t>Musso Philippines x PGDX Outpost by Mineski</t>
        </is>
      </c>
      <c r="M298" t="inlineStr">
        <is>
          <t>2025TEG-P0217</t>
        </is>
      </c>
      <c r="N298" t="inlineStr">
        <is>
          <t>Katherine Denise Lee Sy</t>
        </is>
      </c>
      <c r="O298" t="inlineStr">
        <is>
          <t>202508080069-Katherine Denise Lee Sy-费用报销 - 副本 - 副本 - 副本-2025-08-08 08:06:29</t>
        </is>
      </c>
      <c r="P298" t="inlineStr">
        <is>
          <t>YES</t>
        </is>
      </c>
      <c r="Q298"/>
      <c r="R298" t="inlineStr">
        <is>
          <t>YES</t>
        </is>
      </c>
      <c r="S298" t="inlineStr">
        <is>
          <t>Outsourced Talent Provider (Usher / Brand Ambassador)</t>
        </is>
      </c>
      <c r="T298">
        <v>1</v>
      </c>
      <c r="U298">
        <v>5000</v>
      </c>
      <c r="V298" t="inlineStr">
        <is>
          <t>PHP</t>
        </is>
      </c>
      <c r="W298">
        <v>5000</v>
      </c>
      <c r="X298" s="2" t="str">
        <f>=HYPERLINK("https://www.larksuite.com/approval/admin/previewAttachment?key=PMgxCgJBDAXQK_0kf_ITL2PjslgoCLI71ZxdsNj2ZRmyhkU22OYNWxoME5LwCFLMWL5Mashktrb3fvfzqNCcUUfN12edz8e-fW203KEgowDY7fIQye4k_o5fAAAA__8", "2 attachment(s)")</f>
        <v>2 attachment(s)</v>
      </c>
      <c r="Y298" t="inlineStr">
        <is>
          <t>Bank Transfer</t>
        </is>
      </c>
      <c r="Z298" t="inlineStr">
        <is>
          <t>Michael Melchor M. Millendez</t>
        </is>
      </c>
      <c r="AA298" t="inlineStr">
        <is>
          <t>0072 5027 1552</t>
        </is>
      </c>
      <c r="AB298" t="inlineStr">
        <is>
          <t>BDO</t>
        </is>
      </c>
      <c r="AC298" t="inlineStr">
        <is>
          <t>Hampstead Place Nangka, Marikina</t>
        </is>
      </c>
      <c r="AD298" s="4">
        <v>45863</v>
      </c>
      <c r="AE298" t="inlineStr">
        <is>
          <t>100% Full Payment - Aug. 22, 2025</t>
        </is>
      </c>
      <c r="AF298" s="2"/>
      <c r="AG298" t="inlineStr">
        <is>
          <t>NzQyNTk5MTgyNzQ4MTg3MDM0MTpFQzExOUYyMi02NDk3LTQxNzYtOEUxQS04OUQ0MjJBQ0U4MzgtMTpiMzlhMWM2ZjNhNmJiZTU2YmI5MTc5YmQyYTQzNDE1ZTox</t>
        </is>
      </c>
      <c r="AH298" t="inlineStr">
        <is>
          <t>Michael Melchor M. Millendez</t>
        </is>
      </c>
      <c r="AI298"/>
      <c r="AJ298"/>
      <c r="AK298"/>
    </row>
    <row r="299" ht="25.5" customHeight="1">
      <c r="A299" s="2" t="str">
        <f>=HYPERLINK("https://applink.larksuite.com/client/mini_program/open?appId=cli_9c7cc8a9a9edd105&amp;mode=appCenter&amp;path_pc=pc/pages/requested/index?instanceId=7543172884412301350&amp;source=bitable&amp;path=pages/detail/index?instanceId=7543172884412301350&amp;source=bitable", "202508270076")</f>
        <v>202508270076</v>
      </c>
      <c r="B299" t="inlineStr">
        <is>
          <t>Approved</t>
        </is>
      </c>
      <c r="C299" t="inlineStr">
        <is>
          <t>Procurement Order</t>
        </is>
      </c>
      <c r="D299" s="3">
        <v>45896.668958333335</v>
      </c>
      <c r="E299" s="3">
        <v>45898.69532407408</v>
      </c>
      <c r="F299" t="inlineStr">
        <is>
          <t>Fatima Kathleen M. FLores</t>
        </is>
      </c>
      <c r="G299" t="inlineStr">
        <is>
          <t>Procurement</t>
        </is>
      </c>
      <c r="H299"/>
      <c r="I299"/>
      <c r="J299" t="inlineStr">
        <is>
          <t>GAE</t>
        </is>
      </c>
      <c r="K299"/>
      <c r="L299"/>
      <c r="M299"/>
      <c r="N299"/>
      <c r="O299" t="inlineStr">
        <is>
          <t>202507140021-Katherine Denise Lee Sy-费用报销 - 副本 - 副本 - 副本-2025-07-14 03:58:50</t>
        </is>
      </c>
      <c r="P299"/>
      <c r="Q299" t="inlineStr">
        <is>
          <t>Project Management</t>
        </is>
      </c>
      <c r="R299"/>
      <c r="S299" t="inlineStr">
        <is>
          <t>Outsourced Japanese Translator</t>
        </is>
      </c>
      <c r="T299">
        <v>1</v>
      </c>
      <c r="U299">
        <v>13000</v>
      </c>
      <c r="V299" t="inlineStr">
        <is>
          <t>PHP</t>
        </is>
      </c>
      <c r="W299">
        <v>13000</v>
      </c>
      <c r="X299" s="2" t="str">
        <f>=HYPERLINK("https://www.larksuite.com/approval/admin/previewAttachment?key=PMgxCgJBDAXQK_2f_JkkXsZml0UGtpIVLXJ2wcL2zSRmDvosqGgFdgw5wzIlmoM-0NaMKASD6P087tuV51rvD9blh6tfj-3YnxwVZgiXPAHw9ncPSVVT-Dm-AQAA__8", "2 attachment(s)")</f>
        <v>2 attachment(s)</v>
      </c>
      <c r="Y299" t="inlineStr">
        <is>
          <t>Bank Transfer</t>
        </is>
      </c>
      <c r="Z299" t="inlineStr">
        <is>
          <t>Abbiegail Santos</t>
        </is>
      </c>
      <c r="AA299" t="inlineStr">
        <is>
          <t>1093 5625 1739</t>
        </is>
      </c>
      <c r="AB299" t="inlineStr">
        <is>
          <t>Unionbank</t>
        </is>
      </c>
      <c r="AC299" t="inlineStr">
        <is>
          <t>blk 2 lot 2 Tierracon Homes, Brgy Dita, Sta Rosa Laguna</t>
        </is>
      </c>
      <c r="AD299" s="4">
        <v>45853</v>
      </c>
      <c r="AE299" t="inlineStr">
        <is>
          <t>NOTE: THIS PO REPLACES PO 202508120048. Updated contract.
100% Full Payment - July 25, 2025
Total number of hours:
30mins with sir vince - JUL 15 - 1k
1hr with client - JUL 18 - 2k
1hr with Indo team - JUL 18 - 1k
Deck translation - 9k</t>
        </is>
      </c>
      <c r="AF299" s="2"/>
      <c r="AG299" t="inlineStr">
        <is>
          <t>NzQyNTk5MTgyNzQ4MTg3MDM0MTpGMDlBM0VDRS02NTQyLTQzNDAtQjBDNi00QjhDRjI1MTQ3NUEtMTpjYmMzOTZjYjNhMzg3ZjBmNTA1ZjM0OGI4NDI0YWQyNTox</t>
        </is>
      </c>
      <c r="AH299" t="inlineStr">
        <is>
          <t>Abbiegail Santos</t>
        </is>
      </c>
      <c r="AI299"/>
      <c r="AJ299"/>
      <c r="AK299"/>
    </row>
    <row r="300" ht="25.5" customHeight="1">
      <c r="A300" s="2" t="str">
        <f>=HYPERLINK("https://applink.larksuite.com/client/mini_program/open?appId=cli_9c7cc8a9a9edd105&amp;mode=appCenter&amp;path_pc=pc/pages/requested/index?instanceId=7543186735518269471&amp;source=bitable&amp;path=pages/detail/index?instanceId=7543186735518269471&amp;source=bitable", "202508270089")</f>
        <v>202508270089</v>
      </c>
      <c r="B300" t="inlineStr">
        <is>
          <t>Recalled</t>
        </is>
      </c>
      <c r="C300" t="inlineStr">
        <is>
          <t>Procurement Order</t>
        </is>
      </c>
      <c r="D300" s="3">
        <v>45896.70628472222</v>
      </c>
      <c r="E300" s="3">
        <v>45897.42667824074</v>
      </c>
      <c r="F300" t="inlineStr">
        <is>
          <t>Fatima Kathleen M. FLores</t>
        </is>
      </c>
      <c r="G300" t="inlineStr">
        <is>
          <t>Procurement</t>
        </is>
      </c>
      <c r="H300"/>
      <c r="I300"/>
      <c r="J300" t="inlineStr">
        <is>
          <t>Project</t>
        </is>
      </c>
      <c r="K300" t="inlineStr">
        <is>
          <t>PDEI - Game Marketing</t>
        </is>
      </c>
      <c r="L300" t="inlineStr">
        <is>
          <t>PKL Season 2 - Social Media Management</t>
        </is>
      </c>
      <c r="M300" t="inlineStr">
        <is>
          <t>2025TEG-P0239</t>
        </is>
      </c>
      <c r="N300" t="inlineStr">
        <is>
          <t>Maura Aurel Atilano Yap</t>
        </is>
      </c>
      <c r="O300" t="inlineStr">
        <is>
          <t>202508200158-Maura Aurel Atilano Yap-费用报销 - 副本 - 副本 - 副本-2025-08-20 13:56:21</t>
        </is>
      </c>
      <c r="P300" t="inlineStr">
        <is>
          <t>NO</t>
        </is>
      </c>
      <c r="Q300"/>
      <c r="R300" t="inlineStr">
        <is>
          <t>NO</t>
        </is>
      </c>
      <c r="S300" t="inlineStr">
        <is>
          <t>Outsourced Social Media Content Production Team</t>
        </is>
      </c>
      <c r="T300">
        <v>1</v>
      </c>
      <c r="U300">
        <v>380000</v>
      </c>
      <c r="V300" t="inlineStr">
        <is>
          <t>PHP</t>
        </is>
      </c>
      <c r="W300">
        <v>380000</v>
      </c>
      <c r="X300" s="2" t="str">
        <f>=HYPERLINK("https://www.larksuite.com/approval/admin/previewAttachment?key=PMgxCgJBDAXQK_0_yeQnXsZml0EWBUFcbHJ2wcL2RRKRkxYFL44CW9ONGbI5mSPKxR5NqSCK6P2xrs9jmY57fbTe23n2edvW_uIsjQGZuyUAXv5ucveqcPwc3wAAAP__", "2 attachment(s)")</f>
        <v>2 attachment(s)</v>
      </c>
      <c r="Y300" t="inlineStr">
        <is>
          <t>Bank Transfer</t>
        </is>
      </c>
      <c r="Z300" t="inlineStr">
        <is>
          <t>Leo Angelo Zeta Capeding</t>
        </is>
      </c>
      <c r="AA300" t="inlineStr">
        <is>
          <t>0000023005038</t>
        </is>
      </c>
      <c r="AB300" t="inlineStr">
        <is>
          <t>Security Bank</t>
        </is>
      </c>
      <c r="AC300" t="inlineStr">
        <is>
          <t>Unit 5 Purok 6 Paco Manila</t>
        </is>
      </c>
      <c r="AD300" s="4">
        <v>45892</v>
      </c>
      <c r="AE300" t="inlineStr">
        <is>
          <t>50% Down Payment - Aug. 29, 2025
2nd Payment - Sept. 26, 2025
Final payment - Oct. 10, 2025</t>
        </is>
      </c>
      <c r="AF300" s="2"/>
      <c r="AG300" t="inlineStr">
        <is>
          <t>NzQyNTk5MTgyNzQ4MTg3MDM0MToyMDAzNzg2Ni0xODIzLTRCQ0MtOENFQS0yNjFCNjgyM0RBMjgtMTozYTFmM2VlNzFjYTA1ZjVhNmU2OTMyNTQzODY0ZGQwMzox</t>
        </is>
      </c>
      <c r="AH300" t="inlineStr">
        <is>
          <t>TIRADORES MEDIA PRODUCTIONS</t>
        </is>
      </c>
      <c r="AI300"/>
      <c r="AJ300"/>
      <c r="AK300"/>
    </row>
    <row r="301" ht="25.5" customHeight="1">
      <c r="A301" s="2" t="str">
        <f>=HYPERLINK("https://applink.larksuite.com/client/mini_program/open?appId=cli_9c7cc8a9a9edd105&amp;mode=appCenter&amp;path_pc=pc/pages/requested/index?instanceId=7543458203800010790&amp;source=bitable&amp;path=pages/detail/index?instanceId=7543458203800010790&amp;source=bitable", "202508280004")</f>
        <v>202508280004</v>
      </c>
      <c r="B301" t="inlineStr">
        <is>
          <t>Approved</t>
        </is>
      </c>
      <c r="C301" t="inlineStr">
        <is>
          <t>Procurement Order</t>
        </is>
      </c>
      <c r="D301" s="3">
        <v>45897.43783564815</v>
      </c>
      <c r="E301" s="3">
        <v>45897.8527662037</v>
      </c>
      <c r="F301" t="inlineStr">
        <is>
          <t>Fatima Kathleen M. FLores</t>
        </is>
      </c>
      <c r="G301" t="inlineStr">
        <is>
          <t>Procurement</t>
        </is>
      </c>
      <c r="H301"/>
      <c r="I301"/>
      <c r="J301" t="inlineStr">
        <is>
          <t>Project</t>
        </is>
      </c>
      <c r="K301" t="inlineStr">
        <is>
          <t>GG - Event Service</t>
        </is>
      </c>
      <c r="L301" t="inlineStr">
        <is>
          <t>PKL Season 2 - Social Media Management</t>
        </is>
      </c>
      <c r="M301" t="inlineStr">
        <is>
          <t>2025TEG-P0239</t>
        </is>
      </c>
      <c r="N301" t="inlineStr">
        <is>
          <t>Maura Aurel Atilano Yap</t>
        </is>
      </c>
      <c r="O301" t="inlineStr">
        <is>
          <t>202508280001-Maura Aurel Atilano Yap-费用报销 - 副本 - 副本 - 副本-2025-08-28 02:10:39</t>
        </is>
      </c>
      <c r="P301" t="inlineStr">
        <is>
          <t>NO</t>
        </is>
      </c>
      <c r="Q301"/>
      <c r="R301" t="inlineStr">
        <is>
          <t>NO</t>
        </is>
      </c>
      <c r="S301" t="inlineStr">
        <is>
          <t>Outsourced Social Media Content Production Team</t>
        </is>
      </c>
      <c r="T301">
        <v>1</v>
      </c>
      <c r="U301">
        <v>380000</v>
      </c>
      <c r="V301" t="inlineStr">
        <is>
          <t>PHP</t>
        </is>
      </c>
      <c r="W301">
        <v>380000</v>
      </c>
      <c r="X301" s="2" t="str">
        <f>=HYPERLINK("https://www.larksuite.com/approval/admin/previewAttachment?key=PMs9CoIxEATQK83-ZXa9jE3Ch03SCGKzZxcUbB-8kYKRITYKXqIFaYabRyosAQhYaG0hCxQKeu3rvix1xvvYVttn9usxr_WUKKqC5v7Lt78b3b1qOL6OTwAAAP__", "2 attachment(s)")</f>
        <v>2 attachment(s)</v>
      </c>
      <c r="Y301" t="inlineStr">
        <is>
          <t>Bank Transfer</t>
        </is>
      </c>
      <c r="Z301" t="inlineStr">
        <is>
          <t>Leo Angelo Zeta Capeding</t>
        </is>
      </c>
      <c r="AA301" t="inlineStr">
        <is>
          <t>0000023005038</t>
        </is>
      </c>
      <c r="AB301" t="inlineStr">
        <is>
          <t>Security Bank</t>
        </is>
      </c>
      <c r="AC301" t="inlineStr">
        <is>
          <t>Unit 5 Purok 6 Paco Manila</t>
        </is>
      </c>
      <c r="AD301" s="4">
        <v>45892</v>
      </c>
      <c r="AE301" t="inlineStr">
        <is>
          <t>50% Down Payment - Aug. 29, 2025
2nd Payment - Sept. 26, 2025
Final payment - Oct. 10, 2025</t>
        </is>
      </c>
      <c r="AF301" s="2"/>
      <c r="AG301" t="inlineStr">
        <is>
          <t>NzQyNTk5MTgyNzQ4MTg3MDM0MTozRjMzNTZBMS0xNTM0LTRDQjMtOTA1Mi1GRkUzNTZBRjA4MzAtMTo1MTYxNzMxYjk5YTNiOWZjMDMwN2ZkY2Q2NWNiYzJlMjox</t>
        </is>
      </c>
      <c r="AH301" t="inlineStr">
        <is>
          <t>TIRADORES MEDIA PRODUCTIONS</t>
        </is>
      </c>
      <c r="AI301"/>
      <c r="AJ301"/>
      <c r="AK301"/>
    </row>
    <row r="302" ht="25.5" customHeight="1">
      <c r="A302" s="2" t="str">
        <f>=HYPERLINK("https://applink.larksuite.com/client/mini_program/open?appId=cli_9c7cc8a9a9edd105&amp;mode=appCenter&amp;path_pc=pc/pages/requested/index?instanceId=7543518260088569887&amp;source=bitable&amp;path=pages/detail/index?instanceId=7543518260088569887&amp;source=bitable", "202508280036")</f>
        <v>202508280036</v>
      </c>
      <c r="B302" t="inlineStr">
        <is>
          <t>Approved</t>
        </is>
      </c>
      <c r="C302" t="inlineStr">
        <is>
          <t>Procurement Order</t>
        </is>
      </c>
      <c r="D302" s="3">
        <v>45897.59967592593</v>
      </c>
      <c r="E302" s="3">
        <v>45897.84793981481</v>
      </c>
      <c r="F302" t="inlineStr">
        <is>
          <t>Fatima Kathleen M. FLores</t>
        </is>
      </c>
      <c r="G302" t="inlineStr">
        <is>
          <t>Procurement</t>
        </is>
      </c>
      <c r="H302"/>
      <c r="I302"/>
      <c r="J302" t="inlineStr">
        <is>
          <t>Project</t>
        </is>
      </c>
      <c r="K302" t="inlineStr">
        <is>
          <t>GG - Event Service</t>
        </is>
      </c>
      <c r="L302" t="inlineStr">
        <is>
          <t>HOK Philippine Kings League - Fall Season</t>
        </is>
      </c>
      <c r="M302" t="inlineStr">
        <is>
          <t>2025TEG-P0219</t>
        </is>
      </c>
      <c r="N302" t="inlineStr">
        <is>
          <t>Carla Andrea Calma Crespo</t>
        </is>
      </c>
      <c r="O302" t="inlineStr">
        <is>
          <t>202508270035-Carla Andrea Calma Crespo-费用报销 - 副本 - 副本 - 副本-2025-08-27 04:17:22</t>
        </is>
      </c>
      <c r="P302" t="inlineStr">
        <is>
          <t>YES</t>
        </is>
      </c>
      <c r="Q302"/>
      <c r="R302" t="inlineStr">
        <is>
          <t>NO</t>
        </is>
      </c>
      <c r="S302" t="inlineStr">
        <is>
          <t>Outsourced Broadcast Producer</t>
        </is>
      </c>
      <c r="T302">
        <v>1</v>
      </c>
      <c r="U302">
        <v>180000</v>
      </c>
      <c r="V302" t="inlineStr">
        <is>
          <t>PHP</t>
        </is>
      </c>
      <c r="W302">
        <v>180000</v>
      </c>
      <c r="X302" s="2" t="str">
        <f>=HYPERLINK("https://www.larksuite.com/approval/admin/previewAttachment?key=PMg7CsJgEATgK83se72MTX6CoIIgESz27IJF2i-KiHJqNKwpDU66qbMkgCqPrsqRYWYjmeSs5369yzpkbQ_z7yEvmc9t29eb3imCVDMtALycrmlm3WH4O34BAAD__w", "2 attachment(s)")</f>
        <v>2 attachment(s)</v>
      </c>
      <c r="Y302" t="inlineStr">
        <is>
          <t>Bank Transfer</t>
        </is>
      </c>
      <c r="Z302" t="inlineStr">
        <is>
          <t>Karl Kristian C. Durante</t>
        </is>
      </c>
      <c r="AA302" t="inlineStr">
        <is>
          <t>0003 3054 9030</t>
        </is>
      </c>
      <c r="AB302" t="inlineStr">
        <is>
          <t>BDO</t>
        </is>
      </c>
      <c r="AC302" t="inlineStr">
        <is>
          <t>21/23 Emerald Street, Marikit Subdivision, Concepcion Uno, Marikina City</t>
        </is>
      </c>
      <c r="AD302" s="4">
        <v>45898</v>
      </c>
      <c r="AE302" t="inlineStr">
        <is>
          <t>20% Down Payment - Aug. 29, 2025
20% 2nd Payment - Sept. 12, 2025
20% 3rd Payment - Sept. 26, 2025
20% 4th Payment -  Oct. 10, 2025
20% Final Payment - Oct. 24, 2025</t>
        </is>
      </c>
      <c r="AF302" s="2"/>
      <c r="AG302" t="inlineStr">
        <is>
          <t>NzQyNTk5MTgyNzQ4MTg3MDM0MTpBREI4N0RGMC0zRDQwLTREMDUtODU2OC0wNUUzQzAyODQxNTgtMTplNTZhOWQ0NjA1ZTk0NDA5MDQzMzg4YzI2MWMwOWQ4Njox</t>
        </is>
      </c>
      <c r="AH302" t="inlineStr">
        <is>
          <t>Karl Kristian C. Durante</t>
        </is>
      </c>
      <c r="AI302"/>
      <c r="AJ302"/>
      <c r="AK302"/>
    </row>
    <row r="303" ht="25.5" customHeight="1">
      <c r="A303" s="2" t="str">
        <f>=HYPERLINK("https://applink.larksuite.com/client/mini_program/open?appId=cli_9c7cc8a9a9edd105&amp;mode=appCenter&amp;path_pc=pc/pages/requested/index?instanceId=7543545233980555296&amp;source=bitable&amp;path=pages/detail/index?instanceId=7543545233980555296&amp;source=bitable", "202508280048")</f>
        <v>202508280048</v>
      </c>
      <c r="B303" t="inlineStr">
        <is>
          <t>Recalled</t>
        </is>
      </c>
      <c r="C303" t="inlineStr">
        <is>
          <t>Procurement Order</t>
        </is>
      </c>
      <c r="D303" s="3">
        <v>45897.67236111111</v>
      </c>
      <c r="E303" s="3">
        <v>45897.7000462963</v>
      </c>
      <c r="F303" t="inlineStr">
        <is>
          <t>Fatima Kathleen M. FLores</t>
        </is>
      </c>
      <c r="G303" t="inlineStr">
        <is>
          <t>Procurement</t>
        </is>
      </c>
      <c r="H303"/>
      <c r="I303"/>
      <c r="J303" t="inlineStr">
        <is>
          <t>CAPEX</t>
        </is>
      </c>
      <c r="K303"/>
      <c r="L303"/>
      <c r="M303"/>
      <c r="N303"/>
      <c r="O303" t="inlineStr">
        <is>
          <t>202508190093-Bernadeth Español Villaflor-费用报销 - 副本 - 副本 - 副本-2025-08-19 09:35:12</t>
        </is>
      </c>
      <c r="P303"/>
      <c r="Q303" t="inlineStr">
        <is>
          <t>Broadcast</t>
        </is>
      </c>
      <c r="R303"/>
      <c r="S303" t="inlineStr">
        <is>
          <t>Blackmagic Design Micro Converter BiDirectional SDI/HDMI 3G (with Power Supply)</t>
        </is>
      </c>
      <c r="T303">
        <v>4</v>
      </c>
      <c r="U303">
        <v>6000</v>
      </c>
      <c r="V303" t="inlineStr">
        <is>
          <t>PHP</t>
        </is>
      </c>
      <c r="W303">
        <v>24000</v>
      </c>
      <c r="X303" s="2" t="str">
        <f>=HYPERLINK("https://www.larksuite.com/approval/admin/previewAttachment?key=PMgxCsJQEATQK83szv7942VsDEGQVGJI888uWNi-MYkxizkMmWFwdSlLFZmeqKrwWLHYbTSbXNux31-xfU5D5Dyuy-t8PvbtzXJHoFPKCYC3v2dLsofwc3wDAAD__w", "2 attachment(s)")</f>
        <v>2 attachment(s)</v>
      </c>
      <c r="Y303" t="inlineStr">
        <is>
          <t>Bank Transfer</t>
        </is>
      </c>
      <c r="Z303" t="inlineStr">
        <is>
          <t>APERTURE TRADING CORPORATION</t>
        </is>
      </c>
      <c r="AA303" t="inlineStr">
        <is>
          <t>278-327-880-4810</t>
        </is>
      </c>
      <c r="AB303" t="inlineStr">
        <is>
          <t>Metrobank</t>
        </is>
      </c>
      <c r="AC303" t="inlineStr">
        <is>
          <t>#118 Scout Dr. Lazcano St., Brgy Sacred Heart, Quezon City</t>
        </is>
      </c>
      <c r="AD303" s="4">
        <v>45897</v>
      </c>
      <c r="AE303" t="inlineStr">
        <is>
          <t>100% Full Payment</t>
        </is>
      </c>
      <c r="AF303" s="2" t="str">
        <f>=HYPERLINK("https://www.larksuite.com/approval/admin/previewAttachment?key=TMg7CsJgEATgK838-xwvY2MIgqQSQ5o9u2Bl-2UT2UFLwcUlcCrcwmOZqRERSzlrWCUUi5zt2O-vtX1Owck-rktzPh_79ma2JVzhTgHg7c9JqC3t5_gGAAD__w", "1 attachment(s)")</f>
        <v>1 attachment(s)</v>
      </c>
      <c r="AG303" t="inlineStr">
        <is>
          <t>NzQyNTk5MTgyNzQ4MTg3MDM0MTo0QzcyN0UzMC1DRDgzLTQyMTYtODA5Ny1FQkEzMDA0ODZFREYtMTo4N2U1MTY4YWVkOTAxOTU5ZGU5ZWZkODI2MDk4OWU1ZDox</t>
        </is>
      </c>
      <c r="AH303" t="inlineStr">
        <is>
          <t>APERTURE TRADING CORPORATION</t>
        </is>
      </c>
      <c r="AI303"/>
      <c r="AJ303"/>
      <c r="AK303"/>
    </row>
    <row r="304" ht="25.5" customHeight="1">
      <c r="A304" s="2" t="str">
        <f>=HYPERLINK("https://applink.larksuite.com/client/mini_program/open?appId=cli_9c7cc8a9a9edd105&amp;mode=appCenter&amp;path_pc=pc/pages/requested/index?instanceId=7543548092260368423&amp;source=bitable&amp;path=pages/detail/index?instanceId=7543548092260368423&amp;source=bitable", "202508280053")</f>
        <v>202508280053</v>
      </c>
      <c r="B304" t="inlineStr">
        <is>
          <t>Approved</t>
        </is>
      </c>
      <c r="C304" t="inlineStr">
        <is>
          <t>Procurement Order</t>
        </is>
      </c>
      <c r="D304" s="3">
        <v>45897.68005787037</v>
      </c>
      <c r="E304" s="3">
        <v>45898.69497685185</v>
      </c>
      <c r="F304" t="inlineStr">
        <is>
          <t>Fatima Kathleen M. FLores</t>
        </is>
      </c>
      <c r="G304" t="inlineStr">
        <is>
          <t>Procurement</t>
        </is>
      </c>
      <c r="H304"/>
      <c r="I304"/>
      <c r="J304" t="inlineStr">
        <is>
          <t>CAPEX</t>
        </is>
      </c>
      <c r="K304"/>
      <c r="L304"/>
      <c r="M304"/>
      <c r="N304"/>
      <c r="O304" t="inlineStr">
        <is>
          <t>202508270023-Bernadeth Español Villaflor-费用报销 - 副本 - 副本 - 副本-2025-08-27 03:20:52</t>
        </is>
      </c>
      <c r="P304"/>
      <c r="Q304" t="inlineStr">
        <is>
          <t>Broadcast</t>
        </is>
      </c>
      <c r="R304"/>
      <c r="S304" t="inlineStr">
        <is>
          <t>UGREEN CM620/40202US HDMI 1X4 SPLITTERBK</t>
        </is>
      </c>
      <c r="T304">
        <v>2</v>
      </c>
      <c r="U304">
        <v>1351</v>
      </c>
      <c r="V304" t="inlineStr">
        <is>
          <t>PHP</t>
        </is>
      </c>
      <c r="W304">
        <v>2702</v>
      </c>
      <c r="X304" s="2" t="str">
        <f>=HYPERLINK("https://www.larksuite.com/approval/admin/previewAttachment?key=PMhBCkIxDATQK80k06TxMm4sRUVBEOrf9OyCC7cvOhG90aOgohW4s8mbOsos4NFlvm0zs5BMco_nPN_W6_7wo8Y8PmuMva6XOd5slWZIl7wD4OnvnpKqQvg5vgEAAP__", "2 attachment(s)")</f>
        <v>2 attachment(s)</v>
      </c>
      <c r="Y304" t="inlineStr">
        <is>
          <t>Bank Transfer</t>
        </is>
      </c>
      <c r="Z304" t="inlineStr">
        <is>
          <t>Iontech Inc</t>
        </is>
      </c>
      <c r="AA304" t="inlineStr">
        <is>
          <t>004-763-0449-34</t>
        </is>
      </c>
      <c r="AB304" t="inlineStr">
        <is>
          <t>BPI</t>
        </is>
      </c>
      <c r="AC304" t="inlineStr">
        <is>
          <t>Rm 200, Timbol-Singh Building, 915 Aurora Blvd. Cubao, Quezon City</t>
        </is>
      </c>
      <c r="AD304" s="4">
        <v>45897</v>
      </c>
      <c r="AE304" t="inlineStr">
        <is>
          <t>100% Full payment</t>
        </is>
      </c>
      <c r="AF304" s="2" t="str">
        <f>=HYPERLINK("https://www.larksuite.com/approval/admin/previewAttachment?key=TMg7CoJBDATgK81ssnl4GRvDoqIgCOvf5OyCle1nQVhMiiU0ORJsnypTAzmGQSx0SI-me8LpZNdznW_7dX_IkbWOz67qfb2setNCDJpTlQmApz8nkSEmP8c3AAD__w", "1 attachment(s)")</f>
        <v>1 attachment(s)</v>
      </c>
      <c r="AG304" t="inlineStr">
        <is>
          <t>NzQyNTk5MTgyNzQ4MTg3MDM0MTpFNEVFQ0I1Mi1CN0ZGLTQzN0UtOUI0Ri1FNjFGRThCQzY5QTQtMTozOTZmZTVhZTU2MDhkMWVjZWQ5MDE5MDkzNTIyOTViMDox</t>
        </is>
      </c>
      <c r="AH304" t="inlineStr">
        <is>
          <t>Iontech Inc</t>
        </is>
      </c>
      <c r="AI304"/>
      <c r="AJ304"/>
      <c r="AK304"/>
    </row>
    <row r="305" ht="25.5" customHeight="1">
      <c r="A305" s="2" t="str">
        <f>=HYPERLINK("https://applink.larksuite.com/client/mini_program/open?appId=cli_9c7cc8a9a9edd105&amp;mode=appCenter&amp;path_pc=pc/pages/requested/index?instanceId=7543555999068782630&amp;source=bitable&amp;path=pages/detail/index?instanceId=7543555999068782630&amp;source=bitable", "202508280054")</f>
        <v>202508280054</v>
      </c>
      <c r="B305" t="inlineStr">
        <is>
          <t>Approved</t>
        </is>
      </c>
      <c r="C305" t="inlineStr">
        <is>
          <t>Procurement Order</t>
        </is>
      </c>
      <c r="D305" s="3">
        <v>45897.701377314814</v>
      </c>
      <c r="E305" s="3">
        <v>45897.73986111111</v>
      </c>
      <c r="F305" t="inlineStr">
        <is>
          <t>Fatima Kathleen M. FLores</t>
        </is>
      </c>
      <c r="G305" t="inlineStr">
        <is>
          <t>Procurement</t>
        </is>
      </c>
      <c r="H305"/>
      <c r="I305"/>
      <c r="J305" t="inlineStr">
        <is>
          <t>CAPEX</t>
        </is>
      </c>
      <c r="K305"/>
      <c r="L305"/>
      <c r="M305"/>
      <c r="N305"/>
      <c r="O305" t="inlineStr">
        <is>
          <t>202508190093-Bernadeth Español Villaflor-费用报销 - 副本 - 副本 - 副本-2025-08-19 09:35:12</t>
        </is>
      </c>
      <c r="P305"/>
      <c r="Q305" t="inlineStr">
        <is>
          <t>Broadcast</t>
        </is>
      </c>
      <c r="R305"/>
      <c r="S305" t="inlineStr">
        <is>
          <t>Blackmagic Design Micro Converter BiDirectional SDI/HDMI 3G (with Power Supply)</t>
        </is>
      </c>
      <c r="T305">
        <v>4</v>
      </c>
      <c r="U305">
        <v>6000</v>
      </c>
      <c r="V305" t="inlineStr">
        <is>
          <t>PHP</t>
        </is>
      </c>
      <c r="W305">
        <v>24000</v>
      </c>
      <c r="X305" s="2"/>
      <c r="Y305" t="inlineStr">
        <is>
          <t>Bank Transfer</t>
        </is>
      </c>
      <c r="Z305" t="inlineStr">
        <is>
          <t>APERTURE TRADING CORPORATION</t>
        </is>
      </c>
      <c r="AA305" t="inlineStr">
        <is>
          <t>278-327-880-4810</t>
        </is>
      </c>
      <c r="AB305" t="inlineStr">
        <is>
          <t>Metrobank</t>
        </is>
      </c>
      <c r="AC305" t="inlineStr">
        <is>
          <t>#118 Scout Dr. Lazcano St., Brgy Sacred Heart, Quezon City</t>
        </is>
      </c>
      <c r="AD305" s="4">
        <v>45897</v>
      </c>
      <c r="AE305" t="inlineStr">
        <is>
          <t>100% Full Payment
NOTE: PARTICULAR 1 ALREADY PAID.</t>
        </is>
      </c>
      <c r="AF305" s="2" t="str">
        <f>=HYPERLINK("https://www.larksuite.com/approval/admin/previewAttachment?key=TMg7qkJBEATQLVVNT3_qbeYlM1zEDwjizXrtgpHpiSKinBbCFIfATp_m7pIQlTXC0KOZKSST7P04_sf5rtt9rWvt8qf3eVnHfjHKAlM-JwWAfz9OQmVhX8cnAAD__w", "1 attachment(s)")</f>
        <v>1 attachment(s)</v>
      </c>
      <c r="AG305" t="inlineStr">
        <is>
          <t>NzQyNTk5MTgyNzQ4MTg3MDM0MTo0QzY1NThDMy05RkJELTQ4NDUtQkE0RC05NzJCQzAwQjkyMzktMToxMDlhZTQwMTRjNzZmZmE1ZDExMzViYTY3ZDVhMDcwYjox</t>
        </is>
      </c>
      <c r="AH305" t="inlineStr">
        <is>
          <t>APERTURE TRADING CORPORATION</t>
        </is>
      </c>
      <c r="AI305"/>
      <c r="AJ305"/>
      <c r="AK305"/>
    </row>
    <row r="306" ht="25.5" customHeight="1">
      <c r="A306" s="2" t="str">
        <f>=HYPERLINK("https://applink.larksuite.com/client/mini_program/open?appId=cli_9c7cc8a9a9edd105&amp;mode=appCenter&amp;path_pc=pc/pages/requested/index?instanceId=7543555999068782630&amp;source=bitable&amp;path=pages/detail/index?instanceId=7543555999068782630&amp;source=bitable", "202508280054")</f>
        <v>202508280054</v>
      </c>
      <c r="B306" t="inlineStr">
        <is>
          <t>Approved</t>
        </is>
      </c>
      <c r="C306" t="inlineStr">
        <is>
          <t>Procurement Order</t>
        </is>
      </c>
      <c r="D306" s="3">
        <v>45897.701377314814</v>
      </c>
      <c r="E306" s="3">
        <v>45897.73986111111</v>
      </c>
      <c r="F306" t="inlineStr">
        <is>
          <t>Fatima Kathleen M. FLores</t>
        </is>
      </c>
      <c r="G306" t="inlineStr">
        <is>
          <t>Procurement</t>
        </is>
      </c>
      <c r="H306"/>
      <c r="I306"/>
      <c r="J306" t="inlineStr">
        <is>
          <t>CAPEX</t>
        </is>
      </c>
      <c r="K306"/>
      <c r="L306"/>
      <c r="M306"/>
      <c r="N306"/>
      <c r="O306" t="inlineStr">
        <is>
          <t>202508190093-Bernadeth Español Villaflor-费用报销 - 副本 - 副本 - 副本-2025-08-19 09:35:12</t>
        </is>
      </c>
      <c r="P306"/>
      <c r="Q306" t="inlineStr">
        <is>
          <t>Broadcast</t>
        </is>
      </c>
      <c r="R306"/>
      <c r="S306" t="inlineStr">
        <is>
          <t>AVMATRIX Mini SC1112 3G-SDI to HDMI Pocket-Size Broadcast Converter</t>
        </is>
      </c>
      <c r="T306">
        <v>2</v>
      </c>
      <c r="U306">
        <v>4750</v>
      </c>
      <c r="V306" t="inlineStr">
        <is>
          <t>PHP</t>
        </is>
      </c>
      <c r="W306">
        <v>9500</v>
      </c>
      <c r="X306" s="2" t="str">
        <f>=HYPERLINK("https://www.larksuite.com/approval/admin/previewAttachment?key=PMg5ikJREAXQLd1bc_VmOnmPjziAIP6s1i4YmJ4oIsqp0bCmNDjppu7e3YjKklCMDDMbySRnP45_Od91u691rV3-9Dkv69gveqcIUs20APDv55pm1h2Gr_MTAAD__w", "2 attachment(s)")</f>
        <v>2 attachment(s)</v>
      </c>
      <c r="Y306"/>
      <c r="Z306"/>
      <c r="AA306"/>
      <c r="AB306"/>
      <c r="AC306"/>
      <c r="AD306" s="4"/>
      <c r="AE306"/>
      <c r="AF306" s="2"/>
      <c r="AG306" t="inlineStr">
        <is>
          <t>NzQyNTk5MTgyNzQ4MTg3MDM0MTo0QzY1NThDMy05RkJELTQ4NDUtQkE0RC05NzJCQzAwQjkyMzktMjo1NmQxMjJlNzU4ODcwOGNlMjY4YzE4Yjg0Y2I3OTRkZjox</t>
        </is>
      </c>
      <c r="AH306"/>
      <c r="AI306"/>
      <c r="AJ306"/>
      <c r="AK306"/>
    </row>
    <row r="307" ht="25.5" customHeight="1">
      <c r="A307" s="2" t="str">
        <f>=HYPERLINK("https://applink.larksuite.com/client/mini_program/open?appId=cli_9c7cc8a9a9edd105&amp;mode=appCenter&amp;path_pc=pc/pages/requested/index?instanceId=7543572185357500447&amp;source=bitable&amp;path=pages/detail/index?instanceId=7543572185357500447&amp;source=bitable", "202508280061")</f>
        <v>202508280061</v>
      </c>
      <c r="B307" t="inlineStr">
        <is>
          <t>Approved</t>
        </is>
      </c>
      <c r="C307" t="inlineStr">
        <is>
          <t>Procurement Order</t>
        </is>
      </c>
      <c r="D307" s="3">
        <v>45897.744988425926</v>
      </c>
      <c r="E307" s="3">
        <v>45898.62820601852</v>
      </c>
      <c r="F307" t="inlineStr">
        <is>
          <t>Fatima Kathleen M. FLores</t>
        </is>
      </c>
      <c r="G307" t="inlineStr">
        <is>
          <t>Procurement</t>
        </is>
      </c>
      <c r="H307"/>
      <c r="I307"/>
      <c r="J307" t="inlineStr">
        <is>
          <t>Project</t>
        </is>
      </c>
      <c r="K307" t="inlineStr">
        <is>
          <t>GG - Event Service</t>
        </is>
      </c>
      <c r="L307" t="inlineStr">
        <is>
          <t>HOK Philippine Kings League - Fall Season</t>
        </is>
      </c>
      <c r="M307" t="inlineStr">
        <is>
          <t>2025TEG-P0219</t>
        </is>
      </c>
      <c r="N307" t="inlineStr">
        <is>
          <t>Carla Andrea Calma Crespo</t>
        </is>
      </c>
      <c r="O307" t="inlineStr">
        <is>
          <t>202508270030-Carla Andrea Calma Crespo-费用报销 - 副本 - 副本 - 副本-2025-08-27 03:47:13</t>
        </is>
      </c>
      <c r="P307" t="inlineStr">
        <is>
          <t>YES</t>
        </is>
      </c>
      <c r="Q307"/>
      <c r="R307" t="inlineStr">
        <is>
          <t>YES</t>
        </is>
      </c>
      <c r="S307" t="inlineStr">
        <is>
          <t>Outsourced Broadcast Manager</t>
        </is>
      </c>
      <c r="T307">
        <v>1</v>
      </c>
      <c r="U307">
        <v>150000</v>
      </c>
      <c r="V307" t="inlineStr">
        <is>
          <t>PHP</t>
        </is>
      </c>
      <c r="W307">
        <v>150000</v>
      </c>
      <c r="X307" s="2" t="str">
        <f>=HYPERLINK("https://www.larksuite.com/approval/admin/previewAttachment?key=PMg9CkJBDATgK81sJjsbL2Pj4yGiNoI_Rc4uWNh-cxFzJWMWVBwFtlORHlwZ6QQk92jaBdNkb7f9iNDa8bp_3riUrv08n_btwSyPAYcUCwAPfw9LqprCz_ENAAD__w", "2 attachment(s)")</f>
        <v>2 attachment(s)</v>
      </c>
      <c r="Y307" t="inlineStr">
        <is>
          <t>Bank Transfer</t>
        </is>
      </c>
      <c r="Z307" t="inlineStr">
        <is>
          <t>James Aldrin Concepcion</t>
        </is>
      </c>
      <c r="AA307" t="inlineStr">
        <is>
          <t>0000049934438</t>
        </is>
      </c>
      <c r="AB307" t="inlineStr">
        <is>
          <t>Security Bank</t>
        </is>
      </c>
      <c r="AC307" t="inlineStr">
        <is>
          <t>1 Bayanihan st. West Triangle, Quezon City</t>
        </is>
      </c>
      <c r="AD307" s="4">
        <v>45873</v>
      </c>
      <c r="AE307" t="inlineStr">
        <is>
          <t>1st Payment - Aug. 29, 2025
2nd Payment - Sept 12, 2025
3rd Payment - Sept. 26, 2025
4th Payment - Oct. 10, 2025
Final Payment - Nov. 7, 2025</t>
        </is>
      </c>
      <c r="AF307" s="2"/>
      <c r="AG307" t="inlineStr">
        <is>
          <t>NzQyNTk5MTgyNzQ4MTg3MDM0MTpDOENDRDNBNS1CRTQ2LTRENDEtOUY3NS0xRUM4MUY3NDRCNzItMTplYjQzYmU3NmU3OTE4ZGE0NmQzNGY0NmM5M2I4OGMyZDox</t>
        </is>
      </c>
      <c r="AH307" t="inlineStr">
        <is>
          <t>James Aldrin Concepcion</t>
        </is>
      </c>
      <c r="AI307"/>
      <c r="AJ307"/>
      <c r="AK307"/>
    </row>
    <row r="308" ht="25.5" customHeight="1">
      <c r="A308" s="2" t="str">
        <f>=HYPERLINK("https://applink.larksuite.com/client/mini_program/open?appId=cli_9c7cc8a9a9edd105&amp;mode=appCenter&amp;path_pc=pc/pages/requested/index?instanceId=7543811239089143846&amp;source=bitable&amp;path=pages/detail/index?instanceId=7543811239089143846&amp;source=bitable", "202508290002")</f>
        <v>202508290002</v>
      </c>
      <c r="B308" t="inlineStr">
        <is>
          <t>Approved</t>
        </is>
      </c>
      <c r="C308" t="inlineStr">
        <is>
          <t>Procurement Order</t>
        </is>
      </c>
      <c r="D308" s="3">
        <v>45898.389189814814</v>
      </c>
      <c r="E308" s="3">
        <v>45898.42267361111</v>
      </c>
      <c r="F308" t="inlineStr">
        <is>
          <t>Fatima Kathleen M. FLores</t>
        </is>
      </c>
      <c r="G308" t="inlineStr">
        <is>
          <t>Procurement</t>
        </is>
      </c>
      <c r="H308"/>
      <c r="I308"/>
      <c r="J308" t="inlineStr">
        <is>
          <t>Project</t>
        </is>
      </c>
      <c r="K308" t="inlineStr">
        <is>
          <t>PDEI - Event Service</t>
        </is>
      </c>
      <c r="L308" t="inlineStr">
        <is>
          <t>MPL PH S16 - Regular Season</t>
        </is>
      </c>
      <c r="M308" t="inlineStr">
        <is>
          <t>2025TEG-P0214</t>
        </is>
      </c>
      <c r="N308" t="inlineStr">
        <is>
          <t>Jessica Jane Lor Felicilda</t>
        </is>
      </c>
      <c r="O308" t="inlineStr">
        <is>
          <t>202508140029-Jessica Jane Lor Felicilda-费用报销 - 副本 - 副本 - 副本-2025-08-14 05:04:58</t>
        </is>
      </c>
      <c r="P308" t="inlineStr">
        <is>
          <t>YES</t>
        </is>
      </c>
      <c r="Q308"/>
      <c r="R308" t="inlineStr">
        <is>
          <t>NO</t>
        </is>
      </c>
      <c r="S308" t="inlineStr">
        <is>
          <t>Outsourced Broadcast Manager (RS &amp; PO)</t>
        </is>
      </c>
      <c r="T308">
        <v>1</v>
      </c>
      <c r="U308">
        <v>150000</v>
      </c>
      <c r="V308" t="inlineStr">
        <is>
          <t>PHP</t>
        </is>
      </c>
      <c r="W308">
        <v>150000</v>
      </c>
      <c r="X308" s="2" t="str">
        <f>=HYPERLINK("https://www.larksuite.com/approval/admin/previewAttachment?key=PMgxDgIxEAPAL9lZJ7vmMzREJySOCpEub0eiuHZGEaM6Yxgym8GdXVFkC6NMRWnstplpJJPc833cS6vKMc8V33O99no-jvlhd7aGDCkKAG-XR0qyh_B3_AIAAP__", "2 attachment(s)")</f>
        <v>2 attachment(s)</v>
      </c>
      <c r="Y308" t="inlineStr">
        <is>
          <t>Bank Transfer</t>
        </is>
      </c>
      <c r="Z308" t="inlineStr">
        <is>
          <t>Rvin John Infante</t>
        </is>
      </c>
      <c r="AA308" t="inlineStr">
        <is>
          <t>629110003713</t>
        </is>
      </c>
      <c r="AB308" t="inlineStr">
        <is>
          <t>PSBank</t>
        </is>
      </c>
      <c r="AC308" t="inlineStr">
        <is>
          <t>229 Malaya Street U.S.P.S San Pedro Laguna</t>
        </is>
      </c>
      <c r="AD308" s="4">
        <v>45886</v>
      </c>
      <c r="AE308" t="inlineStr">
        <is>
          <t>1st Payment - Aug. 29, 2025
2nd Payment - Sept. 12, 2025
3rd Payment - Sept. 26, 2025
4th Payment - Oct. 17, 2025
5th Payment - Oct. 31, 2025
Final Payment - Nov. 14, 2025</t>
        </is>
      </c>
      <c r="AF308" s="2"/>
      <c r="AG308" t="inlineStr">
        <is>
          <t>NzQyNTk5MTgyNzQ4MTg3MDM0MTpFRUE1MzlBMS0zREZDLTQzMDUtQTkzRC0zNjI0RjQwMzk1RDItMTo2ZjhlYjU5MDUwOTg4YjA0M2Q0ODMxMjFiODEyN2Q4Mjox</t>
        </is>
      </c>
      <c r="AH308" t="inlineStr">
        <is>
          <t>Rvin John Infante</t>
        </is>
      </c>
      <c r="AI308"/>
      <c r="AJ308"/>
      <c r="AK308"/>
    </row>
    <row r="309" ht="25.5" customHeight="1">
      <c r="A309" s="2" t="str">
        <f>=HYPERLINK("https://applink.larksuite.com/client/mini_program/open?appId=cli_9c7cc8a9a9edd105&amp;mode=appCenter&amp;path_pc=pc/pages/requested/index?instanceId=7543815557053710367&amp;source=bitable&amp;path=pages/detail/index?instanceId=7543815557053710367&amp;source=bitable", "202508290004")</f>
        <v>202508290004</v>
      </c>
      <c r="B309" t="inlineStr">
        <is>
          <t>Approved</t>
        </is>
      </c>
      <c r="C309" t="inlineStr">
        <is>
          <t>Procurement Order</t>
        </is>
      </c>
      <c r="D309" s="3">
        <v>45898.400821759256</v>
      </c>
      <c r="E309" s="3">
        <v>45898.4109375</v>
      </c>
      <c r="F309" t="inlineStr">
        <is>
          <t>Fatima Kathleen M. FLores</t>
        </is>
      </c>
      <c r="G309" t="inlineStr">
        <is>
          <t>Procurement</t>
        </is>
      </c>
      <c r="H309"/>
      <c r="I309"/>
      <c r="J309" t="inlineStr">
        <is>
          <t>Project</t>
        </is>
      </c>
      <c r="K309" t="inlineStr">
        <is>
          <t>PDEI - Game Marketing</t>
        </is>
      </c>
      <c r="L309" t="inlineStr">
        <is>
          <t>Phase 2 - Wargaming Computer Shop Activation</t>
        </is>
      </c>
      <c r="M309" t="inlineStr">
        <is>
          <t>2025TEG-P0207</t>
        </is>
      </c>
      <c r="N309" t="inlineStr">
        <is>
          <t>Clifford Markus Ortiz Martinez</t>
        </is>
      </c>
      <c r="O309" t="inlineStr">
        <is>
          <t>202508260101-Clifford Markus Ortiz Martinez-费用报销 - 副本 - 副本 - 副本-2025-08-26 09:03:46</t>
        </is>
      </c>
      <c r="P309" t="inlineStr">
        <is>
          <t>NO</t>
        </is>
      </c>
      <c r="Q309"/>
      <c r="R309" t="inlineStr">
        <is>
          <t>NO</t>
        </is>
      </c>
      <c r="S309" t="inlineStr">
        <is>
          <t>CUSTOMIZED TOTE BAG (12X14)</t>
        </is>
      </c>
      <c r="T309">
        <v>20</v>
      </c>
      <c r="U309">
        <v>120</v>
      </c>
      <c r="V309" t="inlineStr">
        <is>
          <t>PHP</t>
        </is>
      </c>
      <c r="W309">
        <v>2400</v>
      </c>
      <c r="X309" s="2" t="str">
        <f>=HYPERLINK("https://www.larksuite.com/approval/admin/previewAttachment?key=PMhBCsJADAXQK_0_SeYnXsbNlCIVQRDqKmcXXHT7ZhIzgzYLXhwFtsItGRFCmAib6tGUCqLI3l77PWJlvr-HDz6Pdfb5WPv2YZTGgMzdEgBvl5vcvWo6_o5fAAAA__8", "2 attachment(s)")</f>
        <v>2 attachment(s)</v>
      </c>
      <c r="Y309" t="inlineStr">
        <is>
          <t>Bank Transfer</t>
        </is>
      </c>
      <c r="Z309" t="inlineStr">
        <is>
          <t>Charisem Magadia</t>
        </is>
      </c>
      <c r="AA309" t="inlineStr">
        <is>
          <t>1696239289</t>
        </is>
      </c>
      <c r="AB309" t="inlineStr">
        <is>
          <t>Landbank Savings</t>
        </is>
      </c>
      <c r="AC309" t="inlineStr">
        <is>
          <t>C.P. Garcia Ave., UP Diliman, QC</t>
        </is>
      </c>
      <c r="AD309" s="4">
        <v>45898</v>
      </c>
      <c r="AE309" t="inlineStr">
        <is>
          <t>100% Full Payment before delivery</t>
        </is>
      </c>
      <c r="AF309" s="2" t="str">
        <f>=HYPERLINK("https://www.larksuite.com/approval/admin/previewAttachment?key=TMhLCsJAEATQK1VNd_XHy7iZECQiCEJczdkFV9m-KCJKtGh4czS4Um5FSQlZEha5xmJmI5nk2l77XZpV7-_hg89jnut8zH37MMoC3nJnA-Dt4iS6LOzv-AUAAP__", "5 attachment(s)")</f>
        <v>5 attachment(s)</v>
      </c>
      <c r="AG309" t="inlineStr">
        <is>
          <t>NzQyNTk5MTgyNzQ4MTg3MDM0MTowMTNDNjIzOS1ERjY2LTRFQTktOUE0Mi03RTQ2NDg4OTE2RTItMTplODgzNmUyNDVmMzE0YWJmZjQ0NzA5MTM4NWNhYzRjYzox</t>
        </is>
      </c>
      <c r="AH309" t="inlineStr">
        <is>
          <t>TEKUMA PRINTS ‘N THINGS</t>
        </is>
      </c>
      <c r="AI309"/>
      <c r="AJ309"/>
      <c r="AK309"/>
    </row>
    <row r="310" ht="25.5" customHeight="1">
      <c r="A310" s="2" t="str">
        <f>=HYPERLINK("https://applink.larksuite.com/client/mini_program/open?appId=cli_9c7cc8a9a9edd105&amp;mode=appCenter&amp;path_pc=pc/pages/requested/index?instanceId=7543817461280309287&amp;source=bitable&amp;path=pages/detail/index?instanceId=7543817461280309287&amp;source=bitable", "202508290005")</f>
        <v>202508290005</v>
      </c>
      <c r="B310" t="inlineStr">
        <is>
          <t>Approved</t>
        </is>
      </c>
      <c r="C310" t="inlineStr">
        <is>
          <t>Procurement Order</t>
        </is>
      </c>
      <c r="D310" s="3">
        <v>45898.405960648146</v>
      </c>
      <c r="E310" s="3">
        <v>45898.50952546296</v>
      </c>
      <c r="F310" t="inlineStr">
        <is>
          <t>Fatima Kathleen M. FLores</t>
        </is>
      </c>
      <c r="G310" t="inlineStr">
        <is>
          <t>Procurement</t>
        </is>
      </c>
      <c r="H310"/>
      <c r="I310"/>
      <c r="J310" t="inlineStr">
        <is>
          <t>Project</t>
        </is>
      </c>
      <c r="K310" t="inlineStr">
        <is>
          <t>PDEI - Game Marketing</t>
        </is>
      </c>
      <c r="L310" t="inlineStr">
        <is>
          <t>Phase 2 - Wargaming Computer Shop Activation</t>
        </is>
      </c>
      <c r="M310" t="inlineStr">
        <is>
          <t>2025TEG-P0207</t>
        </is>
      </c>
      <c r="N310" t="inlineStr">
        <is>
          <t>Clifford Markus Ortiz Martinez</t>
        </is>
      </c>
      <c r="O310" t="inlineStr">
        <is>
          <t>202508260101-Clifford Markus Ortiz Martinez-费用报销 - 副本 - 副本 - 副本-2025-08-26 09:03:46</t>
        </is>
      </c>
      <c r="P310" t="inlineStr">
        <is>
          <t>NO</t>
        </is>
      </c>
      <c r="Q310"/>
      <c r="R310" t="inlineStr">
        <is>
          <t>NO</t>
        </is>
      </c>
      <c r="S310" t="inlineStr">
        <is>
          <t>Die Cut Stickers - TANK &amp; LOGO (Material: White vinyl, semi- gloss, die cut / Size: 2in x 2in)</t>
        </is>
      </c>
      <c r="T310">
        <v>100</v>
      </c>
      <c r="U310">
        <v>13.44</v>
      </c>
      <c r="V310" t="inlineStr">
        <is>
          <t>PHP</t>
        </is>
      </c>
      <c r="W310">
        <v>1344</v>
      </c>
      <c r="X310" s="2"/>
      <c r="Y310" t="inlineStr">
        <is>
          <t>Bank Transfer</t>
        </is>
      </c>
      <c r="Z310" t="inlineStr">
        <is>
          <t>Bescost Digital Marketing Services Inc.</t>
        </is>
      </c>
      <c r="AA310" t="inlineStr">
        <is>
          <t>00000-5674-8951</t>
        </is>
      </c>
      <c r="AB310" t="inlineStr">
        <is>
          <t>Security Bank</t>
        </is>
      </c>
      <c r="AC310" t="inlineStr">
        <is>
          <t>5105-A Sulok St., Brgy. Ugong, Valenzuela City</t>
        </is>
      </c>
      <c r="AD310" s="4">
        <v>45898</v>
      </c>
      <c r="AE310" t="inlineStr">
        <is>
          <t>100% Full Payment - 15 days upon complete delivery</t>
        </is>
      </c>
      <c r="AF310" s="2"/>
      <c r="AG310" t="inlineStr">
        <is>
          <t>NzQyNTk5MTgyNzQ4MTg3MDM0MTo2OUMxRDlDQy03RTQyLTRGODEtQTcyRi1CQjQ0MDYyMjI5MDQtMTozZjhkOTk0ODRmYmE1ODJiNTA0OTljMDE3MWY2Njc4Nzox</t>
        </is>
      </c>
      <c r="AH310" t="inlineStr">
        <is>
          <t>Bescost Digital Marketing Services Inc.</t>
        </is>
      </c>
      <c r="AI310"/>
      <c r="AJ310"/>
      <c r="AK310"/>
    </row>
    <row r="311" ht="25.5" customHeight="1">
      <c r="A311" s="2" t="str">
        <f>=HYPERLINK("https://applink.larksuite.com/client/mini_program/open?appId=cli_9c7cc8a9a9edd105&amp;mode=appCenter&amp;path_pc=pc/pages/requested/index?instanceId=7543817461280309287&amp;source=bitable&amp;path=pages/detail/index?instanceId=7543817461280309287&amp;source=bitable", "202508290005")</f>
        <v>202508290005</v>
      </c>
      <c r="B311" t="inlineStr">
        <is>
          <t>Approved</t>
        </is>
      </c>
      <c r="C311" t="inlineStr">
        <is>
          <t>Procurement Order</t>
        </is>
      </c>
      <c r="D311" s="3">
        <v>45898.405960648146</v>
      </c>
      <c r="E311" s="3">
        <v>45898.50952546296</v>
      </c>
      <c r="F311" t="inlineStr">
        <is>
          <t>Fatima Kathleen M. FLores</t>
        </is>
      </c>
      <c r="G311" t="inlineStr">
        <is>
          <t>Procurement</t>
        </is>
      </c>
      <c r="H311"/>
      <c r="I311"/>
      <c r="J311" t="inlineStr">
        <is>
          <t>Project</t>
        </is>
      </c>
      <c r="K311" t="inlineStr">
        <is>
          <t>PDEI - Game Marketing</t>
        </is>
      </c>
      <c r="L311" t="inlineStr">
        <is>
          <t>Phase 2 - Wargaming Computer Shop Activation</t>
        </is>
      </c>
      <c r="M311" t="inlineStr">
        <is>
          <t>2025TEG-P0207</t>
        </is>
      </c>
      <c r="N311" t="inlineStr">
        <is>
          <t>Clifford Markus Ortiz Martinez</t>
        </is>
      </c>
      <c r="O311" t="inlineStr">
        <is>
          <t>202508260101-Clifford Markus Ortiz Martinez-费用报销 - 副本 - 副本 - 副本-2025-08-26 09:03:46</t>
        </is>
      </c>
      <c r="P311" t="inlineStr">
        <is>
          <t>NO</t>
        </is>
      </c>
      <c r="Q311"/>
      <c r="R311" t="inlineStr">
        <is>
          <t>NO</t>
        </is>
      </c>
      <c r="S311" t="inlineStr">
        <is>
          <t>Die Cut Stickers - WORLD OF TANKS (Material: White vinyl, semi- gloss, die cut / Size: 2in x 3in)</t>
        </is>
      </c>
      <c r="T311">
        <v>50</v>
      </c>
      <c r="U311">
        <v>20.16</v>
      </c>
      <c r="V311" t="inlineStr">
        <is>
          <t>PHP</t>
        </is>
      </c>
      <c r="W311">
        <v>1008</v>
      </c>
      <c r="X311" s="2" t="str">
        <f>=HYPERLINK("https://www.larksuite.com/approval/admin/previewAttachment?key=PMgxqoJBDATgK80k2Z3kXeY1Lovyo43wo0XOLljYfjOJmYM-C1G0AlsjPKmYtISjLNXWlAqiyF73_X9yH8f7tdJMtwf6vF72enKUzCCP8ATAv5-7IqJqBr7OTwAAAP__", "2 attachment(s)")</f>
        <v>2 attachment(s)</v>
      </c>
      <c r="Y311"/>
      <c r="Z311"/>
      <c r="AA311"/>
      <c r="AB311"/>
      <c r="AC311"/>
      <c r="AD311" s="4"/>
      <c r="AE311"/>
      <c r="AF311" s="2"/>
      <c r="AG311" t="inlineStr">
        <is>
          <t>NzQyNTk5MTgyNzQ4MTg3MDM0MTo2OUMxRDlDQy03RTQyLTRGODEtQTcyRi1CQjQ0MDYyMjI5MDQtMjplMTU5M2I3MGM1YjMxM2MwY2FjZDdiMWNkY2JiMjEwYzox</t>
        </is>
      </c>
      <c r="AH311"/>
      <c r="AI311"/>
      <c r="AJ311"/>
      <c r="AK311"/>
    </row>
    <row r="312" ht="25.5" customHeight="1">
      <c r="A312" s="2" t="str">
        <f>=HYPERLINK("https://applink.larksuite.com/client/mini_program/open?appId=cli_9c7cc8a9a9edd105&amp;mode=appCenter&amp;path_pc=pc/pages/requested/index?instanceId=7543819967557337119&amp;source=bitable&amp;path=pages/detail/index?instanceId=7543819967557337119&amp;source=bitable", "202508290006")</f>
        <v>202508290006</v>
      </c>
      <c r="B312" t="inlineStr">
        <is>
          <t>Approved</t>
        </is>
      </c>
      <c r="C312" t="inlineStr">
        <is>
          <t>Procurement Order</t>
        </is>
      </c>
      <c r="D312" s="3">
        <v>45898.41270833334</v>
      </c>
      <c r="E312" s="3">
        <v>45898.43780092592</v>
      </c>
      <c r="F312" t="inlineStr">
        <is>
          <t>Fatima Kathleen M. FLores</t>
        </is>
      </c>
      <c r="G312" t="inlineStr">
        <is>
          <t>Procurement</t>
        </is>
      </c>
      <c r="H312"/>
      <c r="I312"/>
      <c r="J312" t="inlineStr">
        <is>
          <t>Project</t>
        </is>
      </c>
      <c r="K312" t="inlineStr">
        <is>
          <t>PDEI - Event Service</t>
        </is>
      </c>
      <c r="L312" t="inlineStr">
        <is>
          <t>MPL PH S16 - Regular Season</t>
        </is>
      </c>
      <c r="M312" t="inlineStr">
        <is>
          <t>2025TEG-P0214</t>
        </is>
      </c>
      <c r="N312" t="inlineStr">
        <is>
          <t>Jessica Jane Lor Felicilda</t>
        </is>
      </c>
      <c r="O312" t="inlineStr">
        <is>
          <t>202508220019-Jessica Jane Lor Felicilda-费用报销 - 副本 - 副本 - 副本-2025-08-22 04:09:16</t>
        </is>
      </c>
      <c r="P312" t="inlineStr">
        <is>
          <t>NO</t>
        </is>
      </c>
      <c r="Q312"/>
      <c r="R312" t="inlineStr">
        <is>
          <t>NO</t>
        </is>
      </c>
      <c r="S312" t="inlineStr">
        <is>
          <t>Reserved Parking (15 - 20 - 15 slots / Week 2 - Aug. 29 to 31, 2025)</t>
        </is>
      </c>
      <c r="T312">
        <v>1</v>
      </c>
      <c r="U312">
        <v>15500</v>
      </c>
      <c r="V312" t="inlineStr">
        <is>
          <t>PHP</t>
        </is>
      </c>
      <c r="W312">
        <v>15500</v>
      </c>
      <c r="X312" s="2" t="str">
        <f>=HYPERLINK("https://www.larksuite.com/approval/admin/previewAttachment?key=PMgxCgIxFATQK83k_2T-eBkbl6CIIIjKFjm7YLHtG0WM6oxhpNkMLvWMoj3UuyJEerVFyRBFru0xz-99Vu3Pmt95l27rc73M7cVutQZFZhQAng4PZaY9En_HLwAA__8", "2 attachment(s)")</f>
        <v>2 attachment(s)</v>
      </c>
      <c r="Y312" t="inlineStr">
        <is>
          <t>Bank Transfer</t>
        </is>
      </c>
      <c r="Z312" t="inlineStr">
        <is>
          <t>Ecotechland, Inc.</t>
        </is>
      </c>
      <c r="AA312" t="inlineStr">
        <is>
          <t>001450007951</t>
        </is>
      </c>
      <c r="AB312" t="inlineStr">
        <is>
          <t>BDO</t>
        </is>
      </c>
      <c r="AC312" t="inlineStr">
        <is>
          <t>Mezzanine Floor, Ecoplaza Building, 2305 Don Chino Roces Ave. Extension, Brgy. Magallanes, Makati City</t>
        </is>
      </c>
      <c r="AD312" s="4">
        <v>45898</v>
      </c>
      <c r="AE312" t="inlineStr">
        <is>
          <t>100% Full Payment</t>
        </is>
      </c>
      <c r="AF312" s="2" t="str">
        <f>=HYPERLINK("https://www.larksuite.com/approval/admin/previewAttachment?key=TMgxqgJBEATQK1Vtz3R1_cv8xGVQRBBEZYM-u2Bk-rKIrMlIY5ibwdYcUbRTcypCpHtrSoYosvfb-n8eq-q413qvq3Tp1_m09gezIjE8x6AB8O_HSbgi4-v4BAAA__8", "1 attachment(s)")</f>
        <v>1 attachment(s)</v>
      </c>
      <c r="AG312" t="inlineStr">
        <is>
          <t>NzQyNTk5MTgyNzQ4MTg3MDM0MTo3RTBBNUFEQS0wN0IyLTQxQzctQkY2OC0yM0RGMThENTJCRDYtMTo0YmI0ZGI2NDA2NjQzY2RhYjAyZjU3ODIwOTkzMTgyYjox</t>
        </is>
      </c>
      <c r="AH312" t="inlineStr">
        <is>
          <t>Ecotechland, Inc.</t>
        </is>
      </c>
      <c r="AI312"/>
      <c r="AJ312"/>
      <c r="AK312"/>
    </row>
    <row r="313" ht="25.5" customHeight="1">
      <c r="A313" s="2" t="str">
        <f>=HYPERLINK("https://applink.larksuite.com/client/mini_program/open?appId=cli_9c7cc8a9a9edd105&amp;mode=appCenter&amp;path_pc=pc/pages/requested/index?instanceId=7543888939568873511&amp;source=bitable&amp;path=pages/detail/index?instanceId=7543888939568873511&amp;source=bitable", "202508290039")</f>
        <v>202508290039</v>
      </c>
      <c r="B313" t="inlineStr">
        <is>
          <t>Approved</t>
        </is>
      </c>
      <c r="C313" t="inlineStr">
        <is>
          <t>Procurement Order</t>
        </is>
      </c>
      <c r="D313" s="3">
        <v>45898.59857638889</v>
      </c>
      <c r="E313" s="3">
        <v>45898.69509259259</v>
      </c>
      <c r="F313" t="inlineStr">
        <is>
          <t>Fatima Kathleen M. FLores</t>
        </is>
      </c>
      <c r="G313" t="inlineStr">
        <is>
          <t>Procurement</t>
        </is>
      </c>
      <c r="H313"/>
      <c r="I313"/>
      <c r="J313" t="inlineStr">
        <is>
          <t>CAPEX</t>
        </is>
      </c>
      <c r="K313"/>
      <c r="L313"/>
      <c r="M313"/>
      <c r="N313"/>
      <c r="O313" t="inlineStr">
        <is>
          <t>202508220030-Bernadeth Español Villaflor-费用报销 - 副本 - 副本 - 副本-2025-08-22 07:00:57</t>
        </is>
      </c>
      <c r="P313"/>
      <c r="Q313" t="inlineStr">
        <is>
          <t>Broadcast</t>
        </is>
      </c>
      <c r="R313"/>
      <c r="S313" t="inlineStr">
        <is>
          <t>Ulanzi MT-47 Vlog Tripod Selfie Stick Camera Handle Aluminum Alloy with 90 Degree Vertical Tilt Ball Head, Max 14.6" / 2Kg Height and Load Capacity</t>
        </is>
      </c>
      <c r="T313">
        <v>10</v>
      </c>
      <c r="U313">
        <v>1815</v>
      </c>
      <c r="V313" t="inlineStr">
        <is>
          <t>PHP</t>
        </is>
      </c>
      <c r="W313">
        <v>18150</v>
      </c>
      <c r="X313" s="2"/>
      <c r="Y313" t="inlineStr">
        <is>
          <t>Bank Transfer</t>
        </is>
      </c>
      <c r="Z313" t="inlineStr">
        <is>
          <t>O&amp;J Global Trading</t>
        </is>
      </c>
      <c r="AA313" t="inlineStr">
        <is>
          <t>00 444 802 7346</t>
        </is>
      </c>
      <c r="AB313" t="inlineStr">
        <is>
          <t>BDO</t>
        </is>
      </c>
      <c r="AC313" t="inlineStr">
        <is>
          <t>3F Annapolis Tower, 43 Annapolis St., Greenhills, San Juan City</t>
        </is>
      </c>
      <c r="AD313" s="4">
        <v>45898</v>
      </c>
      <c r="AE313" t="inlineStr">
        <is>
          <t>100% Full Payment before delivery / pick-up.</t>
        </is>
      </c>
      <c r="AF313" s="2"/>
      <c r="AG313" t="inlineStr">
        <is>
          <t>NzQyNTk5MTgyNzQ4MTg3MDM0MTozRjg4MTk2Ni03MEI4LTRDNTgtQTZFRi01QzYxQUYwQTlBNjQtMTo4YTE5YzQyOWE0MDdlMTc1ODRiYTdiOTE1YTVkNGZkYTox</t>
        </is>
      </c>
      <c r="AH313" t="inlineStr">
        <is>
          <t>O&amp;J Global Trading</t>
        </is>
      </c>
      <c r="AI313"/>
      <c r="AJ313"/>
      <c r="AK313"/>
    </row>
    <row r="314" ht="25.5" customHeight="1">
      <c r="A314" s="2" t="str">
        <f>=HYPERLINK("https://applink.larksuite.com/client/mini_program/open?appId=cli_9c7cc8a9a9edd105&amp;mode=appCenter&amp;path_pc=pc/pages/requested/index?instanceId=7544950710215933983&amp;source=bitable&amp;path=pages/detail/index?instanceId=7544950710215933983&amp;source=bitable", "202509010026")</f>
        <v>202509010026</v>
      </c>
      <c r="B314" t="inlineStr">
        <is>
          <t>Approved</t>
        </is>
      </c>
      <c r="C314" t="inlineStr">
        <is>
          <t>Procurement Order</t>
        </is>
      </c>
      <c r="D314" s="3">
        <v>45901.45983796296</v>
      </c>
      <c r="E314" s="3">
        <v>45902.7162962963</v>
      </c>
      <c r="F314" t="inlineStr">
        <is>
          <t>Fatima Kathleen M. FLores</t>
        </is>
      </c>
      <c r="G314" t="inlineStr">
        <is>
          <t>Procurement</t>
        </is>
      </c>
      <c r="H314"/>
      <c r="I314"/>
      <c r="J314" t="inlineStr">
        <is>
          <t>Project</t>
        </is>
      </c>
      <c r="K314" t="inlineStr">
        <is>
          <t>GG - Event Service</t>
        </is>
      </c>
      <c r="L314" t="inlineStr">
        <is>
          <t>HOK Philippine Kings League - Fall Season</t>
        </is>
      </c>
      <c r="M314" t="inlineStr">
        <is>
          <t>2025TEG-P0219</t>
        </is>
      </c>
      <c r="N314" t="inlineStr">
        <is>
          <t>Reign Santos Fortea</t>
        </is>
      </c>
      <c r="O314" t="inlineStr">
        <is>
          <t>202508210070-Reign Santos Fortea-费用报销 - 副本 - 副本 - 副本-2025-08-21 10:43:51</t>
        </is>
      </c>
      <c r="P314" t="inlineStr">
        <is>
          <t>NO</t>
        </is>
      </c>
      <c r="Q314"/>
      <c r="R314" t="inlineStr">
        <is>
          <t>NO</t>
        </is>
      </c>
      <c r="S314" t="inlineStr">
        <is>
          <t>Crew Meals (Aug. 25 to 28, 2025)</t>
        </is>
      </c>
      <c r="T314">
        <v>976</v>
      </c>
      <c r="U314">
        <v>115</v>
      </c>
      <c r="V314" t="inlineStr">
        <is>
          <t>PHP</t>
        </is>
      </c>
      <c r="W314">
        <v>112240</v>
      </c>
      <c r="X314" s="2" t="str">
        <f>=HYPERLINK("https://www.larksuite.com/approval/admin/previewAttachment?key=PMgxDgIhFATQK83wBz7jZWyWELMbKuN2nN3Ewva1TrReGc2QWQzurJIrkiisjnCPXTYzjWSSe6z5PNcYx6W417w-49z365jjzeosBRlSdAB8_D1Skt2En-MbAAD__w", "2 attachment(s)")</f>
        <v>2 attachment(s)</v>
      </c>
      <c r="Y314" t="inlineStr">
        <is>
          <t>Bank Transfer</t>
        </is>
      </c>
      <c r="Z314" t="inlineStr">
        <is>
          <t>Michelle Francine G. Manuntag</t>
        </is>
      </c>
      <c r="AA314" t="inlineStr">
        <is>
          <t>000170292002</t>
        </is>
      </c>
      <c r="AB314" t="inlineStr">
        <is>
          <t>BDO</t>
        </is>
      </c>
      <c r="AC314" t="inlineStr">
        <is>
          <t>Makati City</t>
        </is>
      </c>
      <c r="AD314" s="4">
        <v>45894</v>
      </c>
      <c r="AE314" t="inlineStr">
        <is>
          <t>100% Full Payment</t>
        </is>
      </c>
      <c r="AF314" s="2"/>
      <c r="AG314" t="inlineStr">
        <is>
          <t>NzQyNTk5MTgyNzQ4MTg3MDM0MTo3RUU0Q0MxMy03RkI4LTQwMzQtQkVCMy01MDlDNEMzREIzMDEtMTozODdlMTcyODJiNjA4MmMzOTEzNmUyOTY3Y2FkYjkyYjox</t>
        </is>
      </c>
      <c r="AH314" t="inlineStr">
        <is>
          <t>Michelle Francine G. Manuntag</t>
        </is>
      </c>
      <c r="AI314"/>
      <c r="AJ314"/>
      <c r="AK314"/>
    </row>
    <row r="315" ht="25.5" customHeight="1">
      <c r="A315" s="2" t="str">
        <f>=HYPERLINK("https://applink.larksuite.com/client/mini_program/open?appId=cli_9c7cc8a9a9edd105&amp;mode=appCenter&amp;path_pc=pc/pages/requested/index?instanceId=7544953823484248103&amp;source=bitable&amp;path=pages/detail/index?instanceId=7544953823484248103&amp;source=bitable", "202509010031")</f>
        <v>202509010031</v>
      </c>
      <c r="B315" t="inlineStr">
        <is>
          <t>Approved</t>
        </is>
      </c>
      <c r="C315" t="inlineStr">
        <is>
          <t>Procurement Order</t>
        </is>
      </c>
      <c r="D315" s="3">
        <v>45901.46822916667</v>
      </c>
      <c r="E315" s="3">
        <v>45905.64511574074</v>
      </c>
      <c r="F315" t="inlineStr">
        <is>
          <t>Fatima Kathleen M. FLores</t>
        </is>
      </c>
      <c r="G315" t="inlineStr">
        <is>
          <t>Procurement</t>
        </is>
      </c>
      <c r="H315"/>
      <c r="I315"/>
      <c r="J315" t="inlineStr">
        <is>
          <t>Project</t>
        </is>
      </c>
      <c r="K315" t="inlineStr">
        <is>
          <t>GG - Event Service</t>
        </is>
      </c>
      <c r="L315" t="inlineStr">
        <is>
          <t>HOK Philippine Kings League - Fall Season</t>
        </is>
      </c>
      <c r="M315" t="inlineStr">
        <is>
          <t>2025TEG-P0219</t>
        </is>
      </c>
      <c r="N315" t="inlineStr">
        <is>
          <t>Reign Santos Fortea</t>
        </is>
      </c>
      <c r="O315" t="inlineStr">
        <is>
          <t>202508200133-Reign Santos Fortea-费用报销 - 副本 - 副本 - 副本-2025-08-20 11:19:11</t>
        </is>
      </c>
      <c r="P315" t="inlineStr">
        <is>
          <t>NO</t>
        </is>
      </c>
      <c r="Q315"/>
      <c r="R315" t="inlineStr">
        <is>
          <t>YES</t>
        </is>
      </c>
      <c r="S315" t="inlineStr">
        <is>
          <t>Players' Meals (Aug. 21 to 22, 2025)</t>
        </is>
      </c>
      <c r="T315">
        <v>165</v>
      </c>
      <c r="U315">
        <v>115</v>
      </c>
      <c r="V315" t="inlineStr">
        <is>
          <t>PHP</t>
        </is>
      </c>
      <c r="W315">
        <v>18975</v>
      </c>
      <c r="X315" s="2"/>
      <c r="Y315" t="inlineStr">
        <is>
          <t>Bank Transfer</t>
        </is>
      </c>
      <c r="Z315" t="inlineStr">
        <is>
          <t>Michelle Francine G. Manuntag</t>
        </is>
      </c>
      <c r="AA315" t="inlineStr">
        <is>
          <t>000170292002</t>
        </is>
      </c>
      <c r="AB315" t="inlineStr">
        <is>
          <t>BDO</t>
        </is>
      </c>
      <c r="AC315" t="inlineStr">
        <is>
          <t>Makati City</t>
        </is>
      </c>
      <c r="AD315" s="4">
        <v>45890</v>
      </c>
      <c r="AE315" t="inlineStr">
        <is>
          <t>100% Full Payment</t>
        </is>
      </c>
      <c r="AF315" s="2"/>
      <c r="AG315" t="inlineStr">
        <is>
          <t>NzQyNTk5MTgyNzQ4MTg3MDM0MTpERkEzNDMxMy01MUEwLTRCMEUtQTUyOC02NkU3ODNGNDNGNDItMTpjODIyMmEyZTMyZjMxYTkyZjczMTQ4YzlmZjc2MWM3NDox</t>
        </is>
      </c>
      <c r="AH315" t="inlineStr">
        <is>
          <t>Michelle Francine G. Manuntag</t>
        </is>
      </c>
      <c r="AI315"/>
      <c r="AJ315"/>
      <c r="AK315"/>
    </row>
    <row r="316" ht="25.5" customHeight="1">
      <c r="A316" s="2" t="str">
        <f>=HYPERLINK("https://applink.larksuite.com/client/mini_program/open?appId=cli_9c7cc8a9a9edd105&amp;mode=appCenter&amp;path_pc=pc/pages/requested/index?instanceId=7544953823484248103&amp;source=bitable&amp;path=pages/detail/index?instanceId=7544953823484248103&amp;source=bitable", "202509010031")</f>
        <v>202509010031</v>
      </c>
      <c r="B316" t="inlineStr">
        <is>
          <t>Approved</t>
        </is>
      </c>
      <c r="C316" t="inlineStr">
        <is>
          <t>Procurement Order</t>
        </is>
      </c>
      <c r="D316" s="3">
        <v>45901.46822916667</v>
      </c>
      <c r="E316" s="3">
        <v>45905.64511574074</v>
      </c>
      <c r="F316" t="inlineStr">
        <is>
          <t>Fatima Kathleen M. FLores</t>
        </is>
      </c>
      <c r="G316" t="inlineStr">
        <is>
          <t>Procurement</t>
        </is>
      </c>
      <c r="H316"/>
      <c r="I316"/>
      <c r="J316" t="inlineStr">
        <is>
          <t>Project</t>
        </is>
      </c>
      <c r="K316" t="inlineStr">
        <is>
          <t>GG - Event Service</t>
        </is>
      </c>
      <c r="L316" t="inlineStr">
        <is>
          <t>HOK Philippine Kings League - Fall Season</t>
        </is>
      </c>
      <c r="M316" t="inlineStr">
        <is>
          <t>2025TEG-P0219</t>
        </is>
      </c>
      <c r="N316" t="inlineStr">
        <is>
          <t>Reign Santos Fortea</t>
        </is>
      </c>
      <c r="O316" t="inlineStr">
        <is>
          <t>202508200133-Reign Santos Fortea-费用报销 - 副本 - 副本 - 副本-2025-08-20 11:19:11</t>
        </is>
      </c>
      <c r="P316" t="inlineStr">
        <is>
          <t>NO</t>
        </is>
      </c>
      <c r="Q316"/>
      <c r="R316" t="inlineStr">
        <is>
          <t>YES</t>
        </is>
      </c>
      <c r="S316" t="inlineStr">
        <is>
          <t>Delivery Fee (2 days)</t>
        </is>
      </c>
      <c r="T316">
        <v>1</v>
      </c>
      <c r="U316">
        <v>1181</v>
      </c>
      <c r="V316" t="inlineStr">
        <is>
          <t>PHP</t>
        </is>
      </c>
      <c r="W316">
        <v>1181</v>
      </c>
      <c r="X316" s="2" t="str">
        <f>=HYPERLINK("https://www.larksuite.com/approval/admin/previewAttachment?key=PMhBCkIxDATQK80k0ybxMm5aPir-IgjuenbBhdvXk-jZ6L2gohW4o0nVPM2VMiXh2zYjCsGg7Xke18c554g1Xhy8P9f-3MYx32wVZgiXPAHw8ncPSVVd-Dm_AQAA__8", "2 attachment(s)")</f>
        <v>2 attachment(s)</v>
      </c>
      <c r="Y316"/>
      <c r="Z316"/>
      <c r="AA316"/>
      <c r="AB316"/>
      <c r="AC316"/>
      <c r="AD316" s="4"/>
      <c r="AE316"/>
      <c r="AF316" s="2"/>
      <c r="AG316" t="inlineStr">
        <is>
          <t>NzQyNTk5MTgyNzQ4MTg3MDM0MTpERkEzNDMxMy01MUEwLTRCMEUtQTUyOC02NkU3ODNGNDNGNDItMjoxY2VjYzgwMWNmNzIyODE5OWU3NGI5N2VhYmNiNTA2ZTox</t>
        </is>
      </c>
      <c r="AH316"/>
      <c r="AI316"/>
      <c r="AJ316"/>
      <c r="AK316"/>
    </row>
    <row r="317" ht="25.5" customHeight="1">
      <c r="A317" s="2" t="str">
        <f>=HYPERLINK("https://applink.larksuite.com/client/mini_program/open?appId=cli_9c7cc8a9a9edd105&amp;mode=appCenter&amp;path_pc=pc/pages/requested/index?instanceId=7544968520057061407&amp;source=bitable&amp;path=pages/detail/index?instanceId=7544968520057061407&amp;source=bitable", "202509010049")</f>
        <v>202509010049</v>
      </c>
      <c r="B317" t="inlineStr">
        <is>
          <t>Approved</t>
        </is>
      </c>
      <c r="C317" t="inlineStr">
        <is>
          <t>Procurement Order</t>
        </is>
      </c>
      <c r="D317" s="3">
        <v>45901.507835648146</v>
      </c>
      <c r="E317" s="3">
        <v>45909.60046296296</v>
      </c>
      <c r="F317" t="inlineStr">
        <is>
          <t>Fatima Kathleen M. FLores</t>
        </is>
      </c>
      <c r="G317" t="inlineStr">
        <is>
          <t>Procurement</t>
        </is>
      </c>
      <c r="H317"/>
      <c r="I317"/>
      <c r="J317" t="inlineStr">
        <is>
          <t>Project</t>
        </is>
      </c>
      <c r="K317" t="inlineStr">
        <is>
          <t>PDEI - Event Service</t>
        </is>
      </c>
      <c r="L317" t="inlineStr">
        <is>
          <t>HOK Invitational S3</t>
        </is>
      </c>
      <c r="M317" t="inlineStr">
        <is>
          <t>2025TEG-P0027</t>
        </is>
      </c>
      <c r="N317" t="inlineStr">
        <is>
          <t>Duane Aaron Baret Cadangan</t>
        </is>
      </c>
      <c r="O317" t="inlineStr">
        <is>
          <t>202504030019-Duane Aaron Baret Cadangan-费用报销 - 副本 - 副本 - 副本-2025-04-03 05:39:47</t>
        </is>
      </c>
      <c r="P317" t="inlineStr">
        <is>
          <t>NO</t>
        </is>
      </c>
      <c r="Q317"/>
      <c r="R317" t="inlineStr">
        <is>
          <t>YES</t>
        </is>
      </c>
      <c r="S317" t="inlineStr">
        <is>
          <t>Philcom Dedicated Internet Access 300 Mbps (Feb. 17 to Mar. 1, 2025)</t>
        </is>
      </c>
      <c r="T317">
        <v>1</v>
      </c>
      <c r="U317">
        <v>646678.95</v>
      </c>
      <c r="V317" t="inlineStr">
        <is>
          <t>PHP</t>
        </is>
      </c>
      <c r="W317">
        <v>646678.95</v>
      </c>
      <c r="X317" s="2" t="str">
        <f>=HYPERLINK("https://www.larksuite.com/approval/admin/previewAttachment?key=PMgxqgIwEATQK80kszvZf5nfGIIiVoKxydkFC9uXg8gR7FlQsRV4HFLliAaEkRR82qFdME2d-Vj_W2vxjR0bt5j387pe1nwyyq3BXeoDAP9-3i2pKoWv4xMAAP__", "3 attachment(s)")</f>
        <v>3 attachment(s)</v>
      </c>
      <c r="Y317" t="inlineStr">
        <is>
          <t>Bank Transfer</t>
        </is>
      </c>
      <c r="Z317" t="inlineStr">
        <is>
          <t>AMPVERSE PHILIPPINES INCORPORATED</t>
        </is>
      </c>
      <c r="AA317" t="inlineStr">
        <is>
          <t>001680004934</t>
        </is>
      </c>
      <c r="AB317" t="inlineStr">
        <is>
          <t>UNIONBANK</t>
        </is>
      </c>
      <c r="AC317" t="inlineStr">
        <is>
          <t>Unit 12B Belvedere Tower, San Miguel Ave., Ortigas Center, Pasig City</t>
        </is>
      </c>
      <c r="AD317" s="4">
        <v>45705</v>
      </c>
      <c r="AE317" t="inlineStr">
        <is>
          <t>100% Full Payment
NOTE: THIS SUPERSEDES PO 202504040020. Change in vendor.</t>
        </is>
      </c>
      <c r="AF317" s="2"/>
      <c r="AG317" t="inlineStr">
        <is>
          <t>NzQyNTk5MTgyNzQ4MTg3MDM0MTpFMTM4NkQwMS1CMEU5LTQ5RTYtOUU4Qi01QjhGQTJBQzczQjctMTo4YTdhYTMwNzNiMDBmY2UxZjFlZGRmZGQ2NTZkZjE4Njox</t>
        </is>
      </c>
      <c r="AH317" t="inlineStr">
        <is>
          <t>AMPVERSE PHILIPPINES INCORPORATED</t>
        </is>
      </c>
      <c r="AI317"/>
      <c r="AJ317"/>
      <c r="AK317"/>
    </row>
    <row r="318" ht="25.5" customHeight="1">
      <c r="A318" s="2" t="str">
        <f>=HYPERLINK("https://applink.larksuite.com/client/mini_program/open?appId=cli_9c7cc8a9a9edd105&amp;mode=appCenter&amp;path_pc=pc/pages/requested/index?instanceId=7544973012689338406&amp;source=bitable&amp;path=pages/detail/index?instanceId=7544973012689338406&amp;source=bitable", "202509010052")</f>
        <v>202509010052</v>
      </c>
      <c r="B318" t="inlineStr">
        <is>
          <t>Approved</t>
        </is>
      </c>
      <c r="C318" t="inlineStr">
        <is>
          <t>Procurement Order</t>
        </is>
      </c>
      <c r="D318" s="3">
        <v>45901.51994212963</v>
      </c>
      <c r="E318" s="3">
        <v>45902.72628472222</v>
      </c>
      <c r="F318" t="inlineStr">
        <is>
          <t>Fatima Kathleen M. FLores</t>
        </is>
      </c>
      <c r="G318" t="inlineStr">
        <is>
          <t>Procurement</t>
        </is>
      </c>
      <c r="H318"/>
      <c r="I318"/>
      <c r="J318" t="inlineStr">
        <is>
          <t>Project</t>
        </is>
      </c>
      <c r="K318" t="inlineStr">
        <is>
          <t>PDEI - Event Service</t>
        </is>
      </c>
      <c r="L318" t="inlineStr">
        <is>
          <t>MDL PH S6 - Media Day</t>
        </is>
      </c>
      <c r="M318" t="inlineStr">
        <is>
          <t>2025TEG-P0196</t>
        </is>
      </c>
      <c r="N318" t="inlineStr">
        <is>
          <t>Kervin</t>
        </is>
      </c>
      <c r="O318" t="inlineStr">
        <is>
          <t>202508060118-Kervin-费用报销 - 副本 - 副本 - 副本-2025-08-06 14:49:44</t>
        </is>
      </c>
      <c r="P318" t="inlineStr">
        <is>
          <t>YES</t>
        </is>
      </c>
      <c r="Q318"/>
      <c r="R318" t="inlineStr">
        <is>
          <t>NO</t>
        </is>
      </c>
      <c r="S318" t="inlineStr">
        <is>
          <t>Outsourced Logistics Associate</t>
        </is>
      </c>
      <c r="T318">
        <v>1</v>
      </c>
      <c r="U318">
        <v>4500</v>
      </c>
      <c r="V318" t="inlineStr">
        <is>
          <t>PHP</t>
        </is>
      </c>
      <c r="W318">
        <v>4500</v>
      </c>
      <c r="X318" s="2" t="str">
        <f>=HYPERLINK("https://www.larksuite.com/approval/admin/previewAttachment?key=PMgxCkJBDATQK81s8jOJl7HZ5aPFiiCITc4uWNi-SCLyoEXBi6PA1uFeMnBEllk6okdTKogie-3zuixzfu75pPZ-zH7f5rlePEpjQOZuCYCXv5vcvSocP8c3AAD__w", "2 attachment(s)")</f>
        <v>2 attachment(s)</v>
      </c>
      <c r="Y318" t="inlineStr">
        <is>
          <t>Bank Transfer</t>
        </is>
      </c>
      <c r="Z318" t="inlineStr">
        <is>
          <t>Rizel John Obong</t>
        </is>
      </c>
      <c r="AA318" t="inlineStr">
        <is>
          <t>09709731174</t>
        </is>
      </c>
      <c r="AB318" t="inlineStr">
        <is>
          <t>GCash</t>
        </is>
      </c>
      <c r="AC318" t="inlineStr">
        <is>
          <t>Blk 1j Lot 31 Phase 3 E-1 Dagat Dagatan Caloocan City</t>
        </is>
      </c>
      <c r="AD318" s="4">
        <v>45879</v>
      </c>
      <c r="AE318" t="inlineStr">
        <is>
          <t>100% Full Payment - Aug. 22, 2025</t>
        </is>
      </c>
      <c r="AF318" s="2"/>
      <c r="AG318" t="inlineStr">
        <is>
          <t>NzQyNTk5MTgyNzQ4MTg3MDM0MTozQzNDQjJBQS0wM0U4LTRDMzYtQTNBMS1DOEY2M0ZBRTEyMzgtMTo5MGRlMDZjMjc4YTViNzBiMDMyZGJiMGYzN2NmMDY0YTox</t>
        </is>
      </c>
      <c r="AH318" t="inlineStr">
        <is>
          <t>Rizel John Obong</t>
        </is>
      </c>
      <c r="AI318"/>
      <c r="AJ318"/>
      <c r="AK318"/>
    </row>
    <row r="319" ht="25.5" customHeight="1">
      <c r="A319" s="2" t="str">
        <f>=HYPERLINK("https://applink.larksuite.com/client/mini_program/open?appId=cli_9c7cc8a9a9edd105&amp;mode=appCenter&amp;path_pc=pc/pages/requested/index?instanceId=7544976693635579942&amp;source=bitable&amp;path=pages/detail/index?instanceId=7544976693635579942&amp;source=bitable", "202509010054")</f>
        <v>202509010054</v>
      </c>
      <c r="B319" t="inlineStr">
        <is>
          <t>Approved</t>
        </is>
      </c>
      <c r="C319" t="inlineStr">
        <is>
          <t>Procurement Order</t>
        </is>
      </c>
      <c r="D319" s="3">
        <v>45901.529861111114</v>
      </c>
      <c r="E319" s="3">
        <v>45902.695127314815</v>
      </c>
      <c r="F319" t="inlineStr">
        <is>
          <t>Fatima Kathleen M. FLores</t>
        </is>
      </c>
      <c r="G319" t="inlineStr">
        <is>
          <t>Procurement</t>
        </is>
      </c>
      <c r="H319"/>
      <c r="I319"/>
      <c r="J319" t="inlineStr">
        <is>
          <t>Project</t>
        </is>
      </c>
      <c r="K319" t="inlineStr">
        <is>
          <t>PDEI - Event Service</t>
        </is>
      </c>
      <c r="L319" t="inlineStr">
        <is>
          <t>MDL PH S6 Qualifiers &amp; Regular Season</t>
        </is>
      </c>
      <c r="M319" t="inlineStr">
        <is>
          <t>2025TEG-P0200</t>
        </is>
      </c>
      <c r="N319" t="inlineStr">
        <is>
          <t>Kervin</t>
        </is>
      </c>
      <c r="O319" t="inlineStr">
        <is>
          <t>202508110036-Kervin-费用报销 - 副本 - 副本 - 副本-2025-08-11 06:05:14</t>
        </is>
      </c>
      <c r="P319" t="inlineStr">
        <is>
          <t>YES</t>
        </is>
      </c>
      <c r="Q319"/>
      <c r="R319" t="inlineStr">
        <is>
          <t>NO</t>
        </is>
      </c>
      <c r="S319" t="inlineStr">
        <is>
          <t>Outsourced Talent Caster (Santie)</t>
        </is>
      </c>
      <c r="T319">
        <v>1</v>
      </c>
      <c r="U319">
        <v>90203</v>
      </c>
      <c r="V319" t="inlineStr">
        <is>
          <t>PHP</t>
        </is>
      </c>
      <c r="W319">
        <v>90203</v>
      </c>
      <c r="X319" s="2" t="str">
        <f>=HYPERLINK("https://www.larksuite.com/approval/admin/previewAttachment?key=PMgxCkJBDATQKyWb2UzGy9js8hFBG1FscnbB4rcvyy1reqQM8iHz5gTETEXGnJQwerSTMjrdez-O646qVev5vaP0Xv25rWO_fIpjGAOIMjO_nB4EICXs7_YLAAD__w", "2 attachment(s)")</f>
        <v>2 attachment(s)</v>
      </c>
      <c r="Y319" t="inlineStr">
        <is>
          <t>Bank Transfer</t>
        </is>
      </c>
      <c r="Z319" t="inlineStr">
        <is>
          <t>Arjay Santie Magcalas</t>
        </is>
      </c>
      <c r="AA319" t="inlineStr">
        <is>
          <t>109425585622</t>
        </is>
      </c>
      <c r="AB319" t="inlineStr">
        <is>
          <t>Unionbank</t>
        </is>
      </c>
      <c r="AC319" t="inlineStr">
        <is>
          <t>69 Vista Real Ave Brgy. Matandang Balara Quezon City</t>
        </is>
      </c>
      <c r="AD319" s="4">
        <v>45888</v>
      </c>
      <c r="AE319" t="inlineStr">
        <is>
          <t>1st Payment - Sept. 5, 2025
2nd Payment - Sept. 19, 2025
3rd Payment - Oct. 3, 2025
Final Payment - Oct. 17, 2025</t>
        </is>
      </c>
      <c r="AF319" s="2"/>
      <c r="AG319" t="inlineStr">
        <is>
          <t>NzQyNTk5MTgyNzQ4MTg3MDM0MTo3RDhCMUI2OC0zQzcyLTQ2MzYtOEI3Ri1EQTJDNDBFOUE5MEMtMTo2YTVjNDU2ZmYzNDQ4YTNhYTQ5NmIwNDRkYWVmZGU1Mzox</t>
        </is>
      </c>
      <c r="AH319" t="inlineStr">
        <is>
          <t>Arjay Santie Magcalas</t>
        </is>
      </c>
      <c r="AI319"/>
      <c r="AJ319"/>
      <c r="AK319"/>
    </row>
    <row r="320" ht="25.5" customHeight="1">
      <c r="A320" s="2" t="str">
        <f>=HYPERLINK("https://applink.larksuite.com/client/mini_program/open?appId=cli_9c7cc8a9a9edd105&amp;mode=appCenter&amp;path_pc=pc/pages/requested/index?instanceId=7544977945014616096&amp;source=bitable&amp;path=pages/detail/index?instanceId=7544977945014616096&amp;source=bitable", "202509010055")</f>
        <v>202509010055</v>
      </c>
      <c r="B320" t="inlineStr">
        <is>
          <t>Approved</t>
        </is>
      </c>
      <c r="C320" t="inlineStr">
        <is>
          <t>Procurement Order</t>
        </is>
      </c>
      <c r="D320" s="3">
        <v>45901.533229166664</v>
      </c>
      <c r="E320" s="3">
        <v>45902.70259259259</v>
      </c>
      <c r="F320" t="inlineStr">
        <is>
          <t>Fatima Kathleen M. FLores</t>
        </is>
      </c>
      <c r="G320" t="inlineStr">
        <is>
          <t>Procurement</t>
        </is>
      </c>
      <c r="H320"/>
      <c r="I320"/>
      <c r="J320" t="inlineStr">
        <is>
          <t>Project</t>
        </is>
      </c>
      <c r="K320" t="inlineStr">
        <is>
          <t>PDEI - Event Service</t>
        </is>
      </c>
      <c r="L320" t="inlineStr">
        <is>
          <t>MDL PH S6 Qualifiers &amp; Regular Season</t>
        </is>
      </c>
      <c r="M320" t="inlineStr">
        <is>
          <t>2025TEG-P0200</t>
        </is>
      </c>
      <c r="N320" t="inlineStr">
        <is>
          <t>Kervin</t>
        </is>
      </c>
      <c r="O320" t="inlineStr">
        <is>
          <t>202508110036-Kervin-费用报销 - 副本 - 副本 - 副本-2025-08-11 06:05:14</t>
        </is>
      </c>
      <c r="P320" t="inlineStr">
        <is>
          <t>YES</t>
        </is>
      </c>
      <c r="Q320"/>
      <c r="R320" t="inlineStr">
        <is>
          <t>NO</t>
        </is>
      </c>
      <c r="S320" t="inlineStr">
        <is>
          <t>Outsourced Talent Caster (2Pe)</t>
        </is>
      </c>
      <c r="T320">
        <v>1</v>
      </c>
      <c r="U320">
        <v>99253</v>
      </c>
      <c r="V320" t="inlineStr">
        <is>
          <t>PHP</t>
        </is>
      </c>
      <c r="W320">
        <v>99253</v>
      </c>
      <c r="X320" s="2" t="str">
        <f>=HYPERLINK("https://www.larksuite.com/approval/admin/previewAttachment?key=PMgxCkIxGAPgKyVt-qfxMi4-HiLURXTr2QUH168mUXOwV6CwBdweUuxogCoWUrtt2oFpch_rvOaxllc7jfmGnvtzv53HiyNuDe5SnwB4-Xu3pKSEn-MbAAD__w", "2 attachment(s)")</f>
        <v>2 attachment(s)</v>
      </c>
      <c r="Y320" t="inlineStr">
        <is>
          <t>Bank Transfer</t>
        </is>
      </c>
      <c r="Z320" t="inlineStr">
        <is>
          <t>Cristopher Dizon</t>
        </is>
      </c>
      <c r="AA320" t="inlineStr">
        <is>
          <t>109325385540</t>
        </is>
      </c>
      <c r="AB320" t="inlineStr">
        <is>
          <t>Unionbank</t>
        </is>
      </c>
      <c r="AC320" t="inlineStr">
        <is>
          <t>36 St Edward Homes Subdivision, Control, Colgante, Apalit, Pampanga</t>
        </is>
      </c>
      <c r="AD320" s="4">
        <v>45888</v>
      </c>
      <c r="AE320" t="inlineStr">
        <is>
          <t>1st Payment - Sept. 5, 2025
2nd Payment - Sept. 19, 2025
3rd Payment - Oct. 3, 2025
Final Payment - Oct. 17, 2025</t>
        </is>
      </c>
      <c r="AF320" s="2"/>
      <c r="AG320" t="inlineStr">
        <is>
          <t>NzQyNTk5MTgyNzQ4MTg3MDM0MTo2NzNDNzM4NS01N0I4LTQ3RjktOTNBNC1DQjk0MkVDNkY1RjgtMTozOTRjYTNiYjVhMTg5Y2U5Mjc4Yjk3NDliMTNjNjI5Mjox</t>
        </is>
      </c>
      <c r="AH320" t="inlineStr">
        <is>
          <t>Cristopher Dizon</t>
        </is>
      </c>
      <c r="AI320"/>
      <c r="AJ320"/>
      <c r="AK320"/>
    </row>
    <row r="321" ht="25.5" customHeight="1">
      <c r="A321" s="2" t="str">
        <f>=HYPERLINK("https://applink.larksuite.com/client/mini_program/open?appId=cli_9c7cc8a9a9edd105&amp;mode=appCenter&amp;path_pc=pc/pages/requested/index?instanceId=7544979774637080615&amp;source=bitable&amp;path=pages/detail/index?instanceId=7544979774637080615&amp;source=bitable", "202509010058")</f>
        <v>202509010058</v>
      </c>
      <c r="B321" t="inlineStr">
        <is>
          <t>Approved</t>
        </is>
      </c>
      <c r="C321" t="inlineStr">
        <is>
          <t>Procurement Order</t>
        </is>
      </c>
      <c r="D321" s="3">
        <v>45901.53815972222</v>
      </c>
      <c r="E321" s="3">
        <v>45902.70111111111</v>
      </c>
      <c r="F321" t="inlineStr">
        <is>
          <t>Fatima Kathleen M. FLores</t>
        </is>
      </c>
      <c r="G321" t="inlineStr">
        <is>
          <t>Procurement</t>
        </is>
      </c>
      <c r="H321"/>
      <c r="I321"/>
      <c r="J321" t="inlineStr">
        <is>
          <t>Project</t>
        </is>
      </c>
      <c r="K321" t="inlineStr">
        <is>
          <t>PDEI - Event Service</t>
        </is>
      </c>
      <c r="L321" t="inlineStr">
        <is>
          <t>MDL PH S6 Qualifiers &amp; Regular Season</t>
        </is>
      </c>
      <c r="M321" t="inlineStr">
        <is>
          <t>2025TEG-P0200</t>
        </is>
      </c>
      <c r="N321" t="inlineStr">
        <is>
          <t>Kervin</t>
        </is>
      </c>
      <c r="O321" t="inlineStr">
        <is>
          <t>202508110036-Kervin-费用报销 - 副本 - 副本 - 副本-2025-08-11 06:05:14</t>
        </is>
      </c>
      <c r="P321" t="inlineStr">
        <is>
          <t>YES</t>
        </is>
      </c>
      <c r="Q321"/>
      <c r="R321" t="inlineStr">
        <is>
          <t>NO</t>
        </is>
      </c>
      <c r="S321" t="inlineStr">
        <is>
          <t>Outsourced Talent Caster (Qwerty)</t>
        </is>
      </c>
      <c r="T321">
        <v>1</v>
      </c>
      <c r="U321">
        <v>96670</v>
      </c>
      <c r="V321" t="inlineStr">
        <is>
          <t>PHP</t>
        </is>
      </c>
      <c r="W321">
        <v>96670</v>
      </c>
      <c r="X321" s="2" t="str">
        <f>=HYPERLINK("https://www.larksuite.com/approval/admin/previewAttachment?key=PMgxDgIxEAPAL9mJd53lMzREJwqo0EXX5O1IFLSTg8gR7FlQsRW4HVK5bGU3BpKx26ZdME3u-T7uQ2s5XucsXdcZez0fx_wwyq3BXeoDAG9_75ZUlcLP8Q0AAP__", "2 attachment(s)")</f>
        <v>2 attachment(s)</v>
      </c>
      <c r="Y321" t="inlineStr">
        <is>
          <t>Bank Transfer</t>
        </is>
      </c>
      <c r="Z321" t="inlineStr">
        <is>
          <t>Glez Myant Cruz</t>
        </is>
      </c>
      <c r="AA321" t="inlineStr">
        <is>
          <t>9041188974</t>
        </is>
      </c>
      <c r="AB321" t="inlineStr">
        <is>
          <t>RCBC</t>
        </is>
      </c>
      <c r="AC321" t="inlineStr">
        <is>
          <t>143 Libis St. San Rafael Montalban Rizal</t>
        </is>
      </c>
      <c r="AD321" s="4">
        <v>45888</v>
      </c>
      <c r="AE321" t="inlineStr">
        <is>
          <t>1st Payment - Sept. 5, 2025
2nd Payment - Sept. 19, 2025
3rd Payment - Oct. 3, 2025
Final Payment - Oct. 17, 2025</t>
        </is>
      </c>
      <c r="AF321" s="2"/>
      <c r="AG321" t="inlineStr">
        <is>
          <t>NzQyNTk5MTgyNzQ4MTg3MDM0MTpEQUNBNjdDMi05MkQzLTQwREItOTI2Ni1CODFGQkRENkRCRDItMTphMTA0MGRjZmVlZGNjYjdlMmQ2YjI3MjEyNWFhMGRlYzox</t>
        </is>
      </c>
      <c r="AH321" t="inlineStr">
        <is>
          <t>Glez Myant Cruz</t>
        </is>
      </c>
      <c r="AI321"/>
      <c r="AJ321"/>
      <c r="AK321"/>
    </row>
    <row r="322" ht="25.5" customHeight="1">
      <c r="A322" s="2" t="str">
        <f>=HYPERLINK("https://applink.larksuite.com/client/mini_program/open?appId=cli_9c7cc8a9a9edd105&amp;mode=appCenter&amp;path_pc=pc/pages/requested/index?instanceId=7544981136603086887&amp;source=bitable&amp;path=pages/detail/index?instanceId=7544981136603086887&amp;source=bitable", "202509010060")</f>
        <v>202509010060</v>
      </c>
      <c r="B322" t="inlineStr">
        <is>
          <t>Approved</t>
        </is>
      </c>
      <c r="C322" t="inlineStr">
        <is>
          <t>Procurement Order</t>
        </is>
      </c>
      <c r="D322" s="3">
        <v>45901.5418287037</v>
      </c>
      <c r="E322" s="3">
        <v>45902.70040509259</v>
      </c>
      <c r="F322" t="inlineStr">
        <is>
          <t>Fatima Kathleen M. FLores</t>
        </is>
      </c>
      <c r="G322" t="inlineStr">
        <is>
          <t>Procurement</t>
        </is>
      </c>
      <c r="H322"/>
      <c r="I322"/>
      <c r="J322" t="inlineStr">
        <is>
          <t>Project</t>
        </is>
      </c>
      <c r="K322" t="inlineStr">
        <is>
          <t>PDEI - Event Service</t>
        </is>
      </c>
      <c r="L322" t="inlineStr">
        <is>
          <t>MDL PH S6 Qualifiers &amp; Regular Season</t>
        </is>
      </c>
      <c r="M322" t="inlineStr">
        <is>
          <t>2025TEG-P0200</t>
        </is>
      </c>
      <c r="N322" t="inlineStr">
        <is>
          <t>Kervin</t>
        </is>
      </c>
      <c r="O322" t="inlineStr">
        <is>
          <t>202508110036-Kervin-费用报销 - 副本 - 副本 - 副本-2025-08-11 06:05:14</t>
        </is>
      </c>
      <c r="P322" t="inlineStr">
        <is>
          <t>YES</t>
        </is>
      </c>
      <c r="Q322"/>
      <c r="R322" t="inlineStr">
        <is>
          <t>NO</t>
        </is>
      </c>
      <c r="S322" t="inlineStr">
        <is>
          <t>Outsourced Talent Caster (Greatchen)</t>
        </is>
      </c>
      <c r="T322">
        <v>1</v>
      </c>
      <c r="U322">
        <v>30936</v>
      </c>
      <c r="V322" t="inlineStr">
        <is>
          <t>PHP</t>
        </is>
      </c>
      <c r="W322">
        <v>30936</v>
      </c>
      <c r="X322" s="2" t="str">
        <f>=HYPERLINK("https://www.larksuite.com/approval/admin/previewAttachment?key=PMghjkMxDATQK83EjsfeyyxJFJV8VCnMZ69UUPoiichJi4IXR4Gt6V5JWgQMGZnq0ZQKosjez_mfcy1dO7ybT6nva5395iyNAZm7JQD-_dzk7lXh-Do-AQAA__8", "2 attachment(s)")</f>
        <v>2 attachment(s)</v>
      </c>
      <c r="Y322" t="inlineStr">
        <is>
          <t>Bank Transfer</t>
        </is>
      </c>
      <c r="Z322" t="inlineStr">
        <is>
          <t>Gretchen Alunan</t>
        </is>
      </c>
      <c r="AA322" t="inlineStr">
        <is>
          <t>1093 2551 1122</t>
        </is>
      </c>
      <c r="AB322" t="inlineStr">
        <is>
          <t>Unionbank</t>
        </is>
      </c>
      <c r="AC322" t="inlineStr">
        <is>
          <t>21 Abel Street Metrogate Complex Meycauayan Bulacan</t>
        </is>
      </c>
      <c r="AD322" s="4">
        <v>45888</v>
      </c>
      <c r="AE322" t="inlineStr">
        <is>
          <t>1st Payment - Sept. 19, 2025
2nd Payment - Oct. 3, 2025
Final Payment - Oct. 17, 2025</t>
        </is>
      </c>
      <c r="AF322" s="2"/>
      <c r="AG322" t="inlineStr">
        <is>
          <t>NzQyNTk5MTgyNzQ4MTg3MDM0MTpEQjVCQjY3MC00OThGLTRDODYtQkQ3Mi00NEI4NDkwMkRBNzQtMTo3MzMzMzg0ZGRmOGVjNjcwNzI5MTVmYWNjOTk4ZTA1ZDox</t>
        </is>
      </c>
      <c r="AH322" t="inlineStr">
        <is>
          <t>Gretchen Alunan</t>
        </is>
      </c>
      <c r="AI322"/>
      <c r="AJ322"/>
      <c r="AK322"/>
    </row>
    <row r="323" ht="25.5" customHeight="1">
      <c r="A323" s="2" t="str">
        <f>=HYPERLINK("https://applink.larksuite.com/client/mini_program/open?appId=cli_9c7cc8a9a9edd105&amp;mode=appCenter&amp;path_pc=pc/pages/requested/index?instanceId=7544982309200461862&amp;source=bitable&amp;path=pages/detail/index?instanceId=7544982309200461862&amp;source=bitable", "202509010061")</f>
        <v>202509010061</v>
      </c>
      <c r="B323" t="inlineStr">
        <is>
          <t>Approved</t>
        </is>
      </c>
      <c r="C323" t="inlineStr">
        <is>
          <t>Procurement Order</t>
        </is>
      </c>
      <c r="D323" s="3">
        <v>45901.54498842593</v>
      </c>
      <c r="E323" s="3">
        <v>45902.6997337963</v>
      </c>
      <c r="F323" t="inlineStr">
        <is>
          <t>Fatima Kathleen M. FLores</t>
        </is>
      </c>
      <c r="G323" t="inlineStr">
        <is>
          <t>Procurement</t>
        </is>
      </c>
      <c r="H323"/>
      <c r="I323"/>
      <c r="J323" t="inlineStr">
        <is>
          <t>Project</t>
        </is>
      </c>
      <c r="K323" t="inlineStr">
        <is>
          <t>PDEI - Event Service</t>
        </is>
      </c>
      <c r="L323" t="inlineStr">
        <is>
          <t>MDL PH S6 Qualifiers &amp; Regular Season</t>
        </is>
      </c>
      <c r="M323" t="inlineStr">
        <is>
          <t>2025TEG-P0200</t>
        </is>
      </c>
      <c r="N323" t="inlineStr">
        <is>
          <t>Kervin</t>
        </is>
      </c>
      <c r="O323" t="inlineStr">
        <is>
          <t>202508110036-Kervin-费用报销 - 副本 - 副本 - 副本-2025-08-11 06:05:14</t>
        </is>
      </c>
      <c r="P323" t="inlineStr">
        <is>
          <t>YES</t>
        </is>
      </c>
      <c r="Q323"/>
      <c r="R323" t="inlineStr">
        <is>
          <t>NO</t>
        </is>
      </c>
      <c r="S323" t="inlineStr">
        <is>
          <t>Outsourced Talent Caster (Joshycakes)</t>
        </is>
      </c>
      <c r="T323">
        <v>1</v>
      </c>
      <c r="U323">
        <v>67669</v>
      </c>
      <c r="V323" t="inlineStr">
        <is>
          <t>PHP</t>
        </is>
      </c>
      <c r="W323">
        <v>67669</v>
      </c>
      <c r="X323" s="2" t="str">
        <f>=HYPERLINK("https://www.larksuite.com/approval/admin/previewAttachment?key=PMi7jYIxEATglmbW431cM5fYsgggQvwSwdaORED6eRKek8MLKlqBHVOqtIEyQM50a2tGFIJB9n6c_znXin3wvlu-dPV1W2c_OSvMEEMaCYB_Px8hqcqFr-MTAAD__w", "2 attachment(s)")</f>
        <v>2 attachment(s)</v>
      </c>
      <c r="Y323" t="inlineStr">
        <is>
          <t>Bank Transfer</t>
        </is>
      </c>
      <c r="Z323" t="inlineStr">
        <is>
          <t>Marjosh Amiel A. Valdez</t>
        </is>
      </c>
      <c r="AA323" t="inlineStr">
        <is>
          <t>109327570004</t>
        </is>
      </c>
      <c r="AB323" t="inlineStr">
        <is>
          <t>Unionbank</t>
        </is>
      </c>
      <c r="AC323" t="inlineStr">
        <is>
          <t>Metropolitan Ave Bankers Vil 1 Bagumbong Caloocan City</t>
        </is>
      </c>
      <c r="AD323" s="4">
        <v>45888</v>
      </c>
      <c r="AE323" t="inlineStr">
        <is>
          <t>1st Payment - Sept. 5, 2025
2nd Payment - Sept. 19, 2025
3rd Payment - Oct. 3, 2025
Final Payment - Oct. 17, 2025</t>
        </is>
      </c>
      <c r="AF323" s="2"/>
      <c r="AG323" t="inlineStr">
        <is>
          <t>NzQyNTk5MTgyNzQ4MTg3MDM0MTpBRUM4MDE0NS0xQzE4LTRFRDgtOUE4RS1DNjYxNTUzNzY1QkEtMTpkOTQ1MDgyZmZjNTA1NWI5NmQ1NTNjYjg0MjExNmE0ZTox</t>
        </is>
      </c>
      <c r="AH323" t="inlineStr">
        <is>
          <t>Marjosh Amiel A. Valdez</t>
        </is>
      </c>
      <c r="AI323"/>
      <c r="AJ323"/>
      <c r="AK323"/>
    </row>
    <row r="324" ht="25.5" customHeight="1">
      <c r="A324" s="2" t="str">
        <f>=HYPERLINK("https://applink.larksuite.com/client/mini_program/open?appId=cli_9c7cc8a9a9edd105&amp;mode=appCenter&amp;path_pc=pc/pages/requested/index?instanceId=7544983463141605414&amp;source=bitable&amp;path=pages/detail/index?instanceId=7544983463141605414&amp;source=bitable", "202509010064")</f>
        <v>202509010064</v>
      </c>
      <c r="B324" t="inlineStr">
        <is>
          <t>Approved</t>
        </is>
      </c>
      <c r="C324" t="inlineStr">
        <is>
          <t>Procurement Order</t>
        </is>
      </c>
      <c r="D324" s="3">
        <v>45901.548101851855</v>
      </c>
      <c r="E324" s="3">
        <v>45902.698379629626</v>
      </c>
      <c r="F324" t="inlineStr">
        <is>
          <t>Fatima Kathleen M. FLores</t>
        </is>
      </c>
      <c r="G324" t="inlineStr">
        <is>
          <t>Procurement</t>
        </is>
      </c>
      <c r="H324"/>
      <c r="I324"/>
      <c r="J324" t="inlineStr">
        <is>
          <t>Project</t>
        </is>
      </c>
      <c r="K324" t="inlineStr">
        <is>
          <t>PDEI - Event Service</t>
        </is>
      </c>
      <c r="L324" t="inlineStr">
        <is>
          <t>MDL PH S6 Qualifiers &amp; Regular Season</t>
        </is>
      </c>
      <c r="M324" t="inlineStr">
        <is>
          <t>2025TEG-P0200</t>
        </is>
      </c>
      <c r="N324" t="inlineStr">
        <is>
          <t>Kervin</t>
        </is>
      </c>
      <c r="O324" t="inlineStr">
        <is>
          <t>202508110036-Kervin-费用报销 - 副本 - 副本 - 副本-2025-08-11 06:05:14</t>
        </is>
      </c>
      <c r="P324" t="inlineStr">
        <is>
          <t>YES</t>
        </is>
      </c>
      <c r="Q324"/>
      <c r="R324" t="inlineStr">
        <is>
          <t>NO</t>
        </is>
      </c>
      <c r="S324" t="inlineStr">
        <is>
          <t>Outsourced Talent Caster (Athena)</t>
        </is>
      </c>
      <c r="T324">
        <v>1</v>
      </c>
      <c r="U324">
        <v>67669</v>
      </c>
      <c r="V324" t="inlineStr">
        <is>
          <t>PHP</t>
        </is>
      </c>
      <c r="W324">
        <v>67669</v>
      </c>
      <c r="X324" s="2" t="str">
        <f>=HYPERLINK("https://www.larksuite.com/approval/admin/previewAttachment?key=PMgxCgJBDAXQK_2f_EkmXsbGYRFZRRBEi5xdsNj2xSRiDnoUVLQCO4dU0xVOMTBEtTUzC8kke9238z7Wety--8dkXM9-Xy_benFUmiFd8gmAp8M9JVWF8Hf8AgAA__8", "2 attachment(s)")</f>
        <v>2 attachment(s)</v>
      </c>
      <c r="Y324" t="inlineStr">
        <is>
          <t>Bank Transfer</t>
        </is>
      </c>
      <c r="Z324" t="inlineStr">
        <is>
          <t>Rikaexa Paloma</t>
        </is>
      </c>
      <c r="AA324" t="inlineStr">
        <is>
          <t>4859070642</t>
        </is>
      </c>
      <c r="AB324" t="inlineStr">
        <is>
          <t>BPI</t>
        </is>
      </c>
      <c r="AC324" t="inlineStr">
        <is>
          <t>75 M. Santos St. Santolan Malabon</t>
        </is>
      </c>
      <c r="AD324" s="4">
        <v>45889</v>
      </c>
      <c r="AE324" t="inlineStr">
        <is>
          <t>1st Payment - Sept. 5, 2025
2nd Payment - Sept. 19, 2025
3rd Payment - Oct. 3, 2025
Final Payment - Oct. 17, 2025</t>
        </is>
      </c>
      <c r="AF324" s="2"/>
      <c r="AG324" t="inlineStr">
        <is>
          <t>NzQyNTk5MTgyNzQ4MTg3MDM0MTpENEYwQUZFOC1BODBCLTRFMDUtODE4MC0yNDc1OUIyNUI2NTUtMTowYjMxNGVkNWViZTE0NGQ1MDllODJlOWI4N2NmMTcxZjox</t>
        </is>
      </c>
      <c r="AH324" t="inlineStr">
        <is>
          <t>Rikaexa Paloma</t>
        </is>
      </c>
      <c r="AI324"/>
      <c r="AJ324"/>
      <c r="AK324"/>
    </row>
    <row r="325" ht="25.5" customHeight="1">
      <c r="A325" s="2" t="str">
        <f>=HYPERLINK("https://applink.larksuite.com/client/mini_program/open?appId=cli_9c7cc8a9a9edd105&amp;mode=appCenter&amp;path_pc=pc/pages/requested/index?instanceId=7544985399437885472&amp;source=bitable&amp;path=pages/detail/index?instanceId=7544985399437885472&amp;source=bitable", "202509010070")</f>
        <v>202509010070</v>
      </c>
      <c r="B325" t="inlineStr">
        <is>
          <t>Approved</t>
        </is>
      </c>
      <c r="C325" t="inlineStr">
        <is>
          <t>Procurement Order</t>
        </is>
      </c>
      <c r="D325" s="3">
        <v>45901.55332175926</v>
      </c>
      <c r="E325" s="3">
        <v>45902.69721064815</v>
      </c>
      <c r="F325" t="inlineStr">
        <is>
          <t>Fatima Kathleen M. FLores</t>
        </is>
      </c>
      <c r="G325" t="inlineStr">
        <is>
          <t>Procurement</t>
        </is>
      </c>
      <c r="H325"/>
      <c r="I325"/>
      <c r="J325" t="inlineStr">
        <is>
          <t>Project</t>
        </is>
      </c>
      <c r="K325" t="inlineStr">
        <is>
          <t>PDEI - Event Service</t>
        </is>
      </c>
      <c r="L325" t="inlineStr">
        <is>
          <t>MDL PH S6 Qualifiers &amp; Regular Season</t>
        </is>
      </c>
      <c r="M325" t="inlineStr">
        <is>
          <t>2025TEG-P0200</t>
        </is>
      </c>
      <c r="N325" t="inlineStr">
        <is>
          <t>Kervin</t>
        </is>
      </c>
      <c r="O325" t="inlineStr">
        <is>
          <t>202508150058-Kervin-费用报销 - 副本 - 副本 - 副本-2025-08-15 10:13:22</t>
        </is>
      </c>
      <c r="P325" t="inlineStr">
        <is>
          <t>YES</t>
        </is>
      </c>
      <c r="Q325"/>
      <c r="R325" t="inlineStr">
        <is>
          <t>NO</t>
        </is>
      </c>
      <c r="S325" t="inlineStr">
        <is>
          <t>Outsourced Broadcast Manager / Technical Director / Audio Engineer</t>
        </is>
      </c>
      <c r="T325">
        <v>1</v>
      </c>
      <c r="U325">
        <v>68750</v>
      </c>
      <c r="V325" t="inlineStr">
        <is>
          <t>PHP</t>
        </is>
      </c>
      <c r="W325">
        <v>68750</v>
      </c>
      <c r="X325" s="2" t="str">
        <f>=HYPERLINK("https://www.larksuite.com/approval/admin/previewAttachment?key=PMgxqgJBEATQK1V110x1_8v8xGExUQTZzebsgoHpm0XMGszZUDMa3B5S18hupauGHDs27YZpcq_H8R_XeT7XmVjm4mtf99ux3hztCDilLAD8-3laUvcUvo5PAAAA__8", "2 attachment(s)")</f>
        <v>2 attachment(s)</v>
      </c>
      <c r="Y325" t="inlineStr">
        <is>
          <t>Bank Transfer</t>
        </is>
      </c>
      <c r="Z325" t="inlineStr">
        <is>
          <t>Louie Sebastianne Tangonan Atendido</t>
        </is>
      </c>
      <c r="AA325" t="inlineStr">
        <is>
          <t>011899558880</t>
        </is>
      </c>
      <c r="AB325" t="inlineStr">
        <is>
          <t>GOTYME BANK CORPORATION</t>
        </is>
      </c>
      <c r="AC325" t="inlineStr">
        <is>
          <t>2 Balut St, Brgy Tonsuya, Malabon City</t>
        </is>
      </c>
      <c r="AD325" s="4">
        <v>45884</v>
      </c>
      <c r="AE325" t="inlineStr">
        <is>
          <t>1st Payment - Sept. 5, 2025
2nd Payment - Sept. 19, 2025
3rd Payment - Oct. 10, 2025
4th Payment - Oct. 24, 2025
Final Payment - Nov. 7, 2025</t>
        </is>
      </c>
      <c r="AF325" s="2"/>
      <c r="AG325" t="inlineStr">
        <is>
          <t>NzQyNTk5MTgyNzQ4MTg3MDM0MTo4MTJGNDM2Ni01NTZBLTRDRjgtOUQ5Ni00MEQ2NkM0MzQxRTYtMTphMGQ3NjczMDgyOTQ2NDI5MDEzMTkwZDk5ODU3NjQxOTox</t>
        </is>
      </c>
      <c r="AH325" t="inlineStr">
        <is>
          <t>Louie Sebastianne Tangonan Atendido</t>
        </is>
      </c>
      <c r="AI325"/>
      <c r="AJ325"/>
      <c r="AK325"/>
    </row>
    <row r="326" ht="25.5" customHeight="1">
      <c r="A326" s="2" t="str">
        <f>=HYPERLINK("https://applink.larksuite.com/client/mini_program/open?appId=cli_9c7cc8a9a9edd105&amp;mode=appCenter&amp;path_pc=pc/pages/requested/index?instanceId=7545003570635014175&amp;source=bitable&amp;path=pages/detail/index?instanceId=7545003570635014175&amp;source=bitable", "202509010084")</f>
        <v>202509010084</v>
      </c>
      <c r="B326" t="inlineStr">
        <is>
          <t>Approved</t>
        </is>
      </c>
      <c r="C326" t="inlineStr">
        <is>
          <t>Procurement Order</t>
        </is>
      </c>
      <c r="D326" s="3">
        <v>45901.60228009259</v>
      </c>
      <c r="E326" s="3">
        <v>45904.68592592593</v>
      </c>
      <c r="F326" t="inlineStr">
        <is>
          <t>Fatima Kathleen M. FLores</t>
        </is>
      </c>
      <c r="G326" t="inlineStr">
        <is>
          <t>Procurement</t>
        </is>
      </c>
      <c r="H326"/>
      <c r="I326"/>
      <c r="J326" t="inlineStr">
        <is>
          <t>Project</t>
        </is>
      </c>
      <c r="K326" t="inlineStr">
        <is>
          <t>GG - Event Service</t>
        </is>
      </c>
      <c r="L326" t="inlineStr">
        <is>
          <t>HOK Philippine Kings League - Fall Season</t>
        </is>
      </c>
      <c r="M326" t="inlineStr">
        <is>
          <t>2025TEG-P0219</t>
        </is>
      </c>
      <c r="N326" t="inlineStr">
        <is>
          <t>Carla Andrea Calma Crespo</t>
        </is>
      </c>
      <c r="O326" t="inlineStr">
        <is>
          <t>202508250021-Carla Andrea Calma Crespo-费用报销 - 副本 - 副本 - 副本-2025-08-25 03:33:08</t>
        </is>
      </c>
      <c r="P326" t="inlineStr">
        <is>
          <t>YES</t>
        </is>
      </c>
      <c r="Q326"/>
      <c r="R326" t="inlineStr">
        <is>
          <t>YES</t>
        </is>
      </c>
      <c r="S326" t="inlineStr">
        <is>
          <t>Outsourced HMUA (Talent)</t>
        </is>
      </c>
      <c r="T326">
        <v>1</v>
      </c>
      <c r="U326">
        <v>147777.78</v>
      </c>
      <c r="V326" t="inlineStr">
        <is>
          <t>PHP</t>
        </is>
      </c>
      <c r="W326">
        <v>147777.78</v>
      </c>
      <c r="X326" s="2" t="str">
        <f>=HYPERLINK("https://www.larksuite.com/approval/admin/previewAttachment?key=PMgxDgIxEAPAL9lZb5zlMzR3iiiOCimCIm9HoqCdPog-ktELKrYCt1MJRBo9EhSdu23aBdPkPp_zPrSW3leNK4758V6PY54vZrk1OKQYAHj7e1hSVRd-jm8AAAD__w", "2 attachment(s)")</f>
        <v>2 attachment(s)</v>
      </c>
      <c r="Y326" t="inlineStr">
        <is>
          <t>Bank Transfer</t>
        </is>
      </c>
      <c r="Z326" t="inlineStr">
        <is>
          <t>Hearty Christian Tandayag</t>
        </is>
      </c>
      <c r="AA326" t="inlineStr">
        <is>
          <t>1689024811</t>
        </is>
      </c>
      <c r="AB326" t="inlineStr">
        <is>
          <t>BPI</t>
        </is>
      </c>
      <c r="AC326" t="inlineStr">
        <is>
          <t>7343 J Victor st. Pio del Pilar Makati City</t>
        </is>
      </c>
      <c r="AD326" s="4">
        <v>45898</v>
      </c>
      <c r="AE326" t="inlineStr">
        <is>
          <t>1st Payment - Sept. 5, 2025
2nd Payment - Sept. 26, 2025
3rd Payment - Oct. 3, 2025
Final Payment - Oct. 17, 2025</t>
        </is>
      </c>
      <c r="AF326" s="2"/>
      <c r="AG326" t="inlineStr">
        <is>
          <t>NzQyNTk5MTgyNzQ4MTg3MDM0MTo1QUJGRTg1QS1DOEQyLTRBOUUtQjRFMy01RDFERTJEQTc3OTctMTo5MWRhY2ViZGFlMDcxZmYxODRiNWM2NGYzM2I3ZWRiZjox</t>
        </is>
      </c>
      <c r="AH326" t="inlineStr">
        <is>
          <t>Hearty Christian Tandayag</t>
        </is>
      </c>
      <c r="AI326"/>
      <c r="AJ326"/>
      <c r="AK326"/>
    </row>
    <row r="327" ht="25.5" customHeight="1">
      <c r="A327" s="2" t="str">
        <f>=HYPERLINK("https://applink.larksuite.com/client/mini_program/open?appId=cli_9c7cc8a9a9edd105&amp;mode=appCenter&amp;path_pc=pc/pages/requested/index?instanceId=7545007155263340575&amp;source=bitable&amp;path=pages/detail/index?instanceId=7545007155263340575&amp;source=bitable", "202509010087")</f>
        <v>202509010087</v>
      </c>
      <c r="B327" t="inlineStr">
        <is>
          <t>Approved</t>
        </is>
      </c>
      <c r="C327" t="inlineStr">
        <is>
          <t>Procurement Order</t>
        </is>
      </c>
      <c r="D327" s="3">
        <v>45901.61194444444</v>
      </c>
      <c r="E327" s="3">
        <v>45904.68349537037</v>
      </c>
      <c r="F327" t="inlineStr">
        <is>
          <t>Fatima Kathleen M. FLores</t>
        </is>
      </c>
      <c r="G327" t="inlineStr">
        <is>
          <t>Procurement</t>
        </is>
      </c>
      <c r="H327"/>
      <c r="I327"/>
      <c r="J327" t="inlineStr">
        <is>
          <t>Project</t>
        </is>
      </c>
      <c r="K327" t="inlineStr">
        <is>
          <t>GG - Event Service</t>
        </is>
      </c>
      <c r="L327" t="inlineStr">
        <is>
          <t>HOK Philippine Kings League - Fall Season</t>
        </is>
      </c>
      <c r="M327" t="inlineStr">
        <is>
          <t>2025TEG-P0219</t>
        </is>
      </c>
      <c r="N327" t="inlineStr">
        <is>
          <t>Carla Andrea Calma Crespo</t>
        </is>
      </c>
      <c r="O327" t="inlineStr">
        <is>
          <t>202508250037-Carla Andrea Calma Crespo-费用报销 - 副本 - 副本 - 副本-2025-08-25 04:49:19</t>
        </is>
      </c>
      <c r="P327" t="inlineStr">
        <is>
          <t>YES</t>
        </is>
      </c>
      <c r="Q327"/>
      <c r="R327" t="inlineStr">
        <is>
          <t>YES</t>
        </is>
      </c>
      <c r="S327" t="inlineStr">
        <is>
          <t>Outsourced HMUA (Casters / 5 pax)</t>
        </is>
      </c>
      <c r="T327">
        <v>1</v>
      </c>
      <c r="U327">
        <v>211111.11</v>
      </c>
      <c r="V327" t="inlineStr">
        <is>
          <t>PHP</t>
        </is>
      </c>
      <c r="W327">
        <v>211111.11</v>
      </c>
      <c r="X327" s="2" t="str">
        <f>=HYPERLINK("https://www.larksuite.com/approval/admin/previewAttachment?key=PMg9CsJAEAXgK703P_t2vIxNwmIRQRCFFHN2wSLtNyYxZtJHIYpWYCsjATHThnsglW1NqSCK7P257p9zrXNzP2CvOLK_j23tb2bJDPIInwB4u9wVEVUj8Hf8AgAA__8", "2 attachment(s)")</f>
        <v>2 attachment(s)</v>
      </c>
      <c r="Y327" t="inlineStr">
        <is>
          <t>Bank Transfer</t>
        </is>
      </c>
      <c r="Z327" t="inlineStr">
        <is>
          <t>Hearty Christian Tandayag</t>
        </is>
      </c>
      <c r="AA327" t="inlineStr">
        <is>
          <t>1689024811</t>
        </is>
      </c>
      <c r="AB327" t="inlineStr">
        <is>
          <t>BPI</t>
        </is>
      </c>
      <c r="AC327" t="inlineStr">
        <is>
          <t>7343 J Victor st. Pio del Pilar Makati City</t>
        </is>
      </c>
      <c r="AD327" s="4">
        <v>45898</v>
      </c>
      <c r="AE327" t="inlineStr">
        <is>
          <t>1st Payment - Sept. 5, 2025
2nd Payment - Sept. 26, 2025
3rd Payment - Oct. 3, 2025
Final Payment - Oct. 17, 2025</t>
        </is>
      </c>
      <c r="AF327" s="2"/>
      <c r="AG327" t="inlineStr">
        <is>
          <t>NzQyNTk5MTgyNzQ4MTg3MDM0MTpBMzgyREMwQi1CREQwLTRBMkQtQUFGOS1ERTI4RjY1NTc3MkItMTplODE1YTRhZjFlMjg3OWJhMDExYjRjYzljMzA1MWM1MTox</t>
        </is>
      </c>
      <c r="AH327" t="inlineStr">
        <is>
          <t>Hearty Christian Tandayag</t>
        </is>
      </c>
      <c r="AI327"/>
      <c r="AJ327"/>
      <c r="AK327"/>
    </row>
    <row r="328" ht="25.5" customHeight="1">
      <c r="A328" s="2" t="str">
        <f>=HYPERLINK("https://applink.larksuite.com/client/mini_program/open?appId=cli_9c7cc8a9a9edd105&amp;mode=appCenter&amp;path_pc=pc/pages/requested/index?instanceId=7545062778994769959&amp;source=bitable&amp;path=pages/detail/index?instanceId=7545062778994769959&amp;source=bitable", "202509010120")</f>
        <v>202509010120</v>
      </c>
      <c r="B328" t="inlineStr">
        <is>
          <t>Approved</t>
        </is>
      </c>
      <c r="C328" t="inlineStr">
        <is>
          <t>Procurement Order</t>
        </is>
      </c>
      <c r="D328" s="3">
        <v>45901.76184027778</v>
      </c>
      <c r="E328" s="3">
        <v>45902.70875</v>
      </c>
      <c r="F328" t="inlineStr">
        <is>
          <t>Fatima Kathleen M. FLores</t>
        </is>
      </c>
      <c r="G328" t="inlineStr">
        <is>
          <t>Procurement</t>
        </is>
      </c>
      <c r="H328"/>
      <c r="I328"/>
      <c r="J328" t="inlineStr">
        <is>
          <t>Project</t>
        </is>
      </c>
      <c r="K328" t="inlineStr">
        <is>
          <t>PDEI - Event Service</t>
        </is>
      </c>
      <c r="L328" t="inlineStr">
        <is>
          <t>MDL PH S6 Qualifiers &amp; Regular Season</t>
        </is>
      </c>
      <c r="M328" t="inlineStr">
        <is>
          <t>2025TEG-P0200</t>
        </is>
      </c>
      <c r="N328" t="inlineStr">
        <is>
          <t>Kervin</t>
        </is>
      </c>
      <c r="O328" t="inlineStr">
        <is>
          <t>202507100048-Kervin-费用报销 - 副本 - 副本 - 副本-2025-07-10 05:39:58;202507020091-Kervin-费用报销 - 副本 - 副本 - 副本-2025-07-02 10:23:02</t>
        </is>
      </c>
      <c r="P328" t="inlineStr">
        <is>
          <t>YES</t>
        </is>
      </c>
      <c r="Q328"/>
      <c r="R328" t="inlineStr">
        <is>
          <t>NO</t>
        </is>
      </c>
      <c r="S328" t="inlineStr">
        <is>
          <t>Outsourced Lead Stream Engineer / Moderator</t>
        </is>
      </c>
      <c r="T328">
        <v>1</v>
      </c>
      <c r="U328">
        <v>53500</v>
      </c>
      <c r="V328" t="inlineStr">
        <is>
          <t>PHP</t>
        </is>
      </c>
      <c r="W328">
        <v>53500</v>
      </c>
      <c r="X328" s="2" t="str">
        <f>=HYPERLINK("https://www.larksuite.com/approval/admin/previewAttachment?key=PMgxDsJQDAPQK9n5SfzNZVioKhDthGD7Z0diYH09iZ7F0UaaYXCpstAhTTvVdnnFomSIItd27teM4wjWm8_H6YPrc7_t24tlRUAjc0wAvPx9KDPtTvwc3wAAAP__", "3 attachment(s)")</f>
        <v>3 attachment(s)</v>
      </c>
      <c r="Y328" t="inlineStr">
        <is>
          <t>Bank Transfer</t>
        </is>
      </c>
      <c r="Z328" t="inlineStr">
        <is>
          <t>SEAN JHONAS A. ARAGO</t>
        </is>
      </c>
      <c r="AA328" t="inlineStr">
        <is>
          <t>011880108133</t>
        </is>
      </c>
      <c r="AB328" t="inlineStr">
        <is>
          <t>BDO</t>
        </is>
      </c>
      <c r="AC328" t="inlineStr">
        <is>
          <t>7 SUNFLOWER ST. LUMANG BAYAN EXECUTIVE VILLAGE, BRGY. MAYAMOT, ANTIPOLO CITY</t>
        </is>
      </c>
      <c r="AD328" s="4">
        <v>45887</v>
      </c>
      <c r="AE328" t="inlineStr">
        <is>
          <t>1st Payment - Aug. 29, 2025
2nd Payment - Sept. 12, 2025
3rd Payment - Sept. 26, 2025
4th Payment - Oct. 10, 2025
Final Payment - Oct. 31, 2025</t>
        </is>
      </c>
      <c r="AF328" s="2"/>
      <c r="AG328" t="inlineStr">
        <is>
          <t>NzQyNTk5MTgyNzQ4MTg3MDM0MTo1REE4Q0I2QS1GRUM2LTRFQzUtOUM4Ri0wRERDQ0RGRjI5RkEtMToyZGMzOGJlOThkZThmOWUyNjIxMzU5OTNhZmE5MDg2MDox</t>
        </is>
      </c>
      <c r="AH328" t="inlineStr">
        <is>
          <t>SEAN JHONAS A. ARAGO</t>
        </is>
      </c>
      <c r="AI328"/>
      <c r="AJ328"/>
      <c r="AK328"/>
    </row>
    <row r="329" ht="25.5" customHeight="1">
      <c r="A329" s="2" t="str">
        <f>=HYPERLINK("https://applink.larksuite.com/client/mini_program/open?appId=cli_9c7cc8a9a9edd105&amp;mode=appCenter&amp;path_pc=pc/pages/requested/index?instanceId=7545397378589655078&amp;source=bitable&amp;path=pages/detail/index?instanceId=7545397378589655078&amp;source=bitable", "202509020060")</f>
        <v>202509020060</v>
      </c>
      <c r="B329" t="inlineStr">
        <is>
          <t>Approved</t>
        </is>
      </c>
      <c r="C329" t="inlineStr">
        <is>
          <t>Procurement Order</t>
        </is>
      </c>
      <c r="D329" s="3">
        <v>45902.663518518515</v>
      </c>
      <c r="E329" s="3">
        <v>45903.44861111111</v>
      </c>
      <c r="F329" t="inlineStr">
        <is>
          <t>Fatima Kathleen M. FLores</t>
        </is>
      </c>
      <c r="G329" t="inlineStr">
        <is>
          <t>Procurement</t>
        </is>
      </c>
      <c r="H329"/>
      <c r="I329"/>
      <c r="J329" t="inlineStr">
        <is>
          <t>Project</t>
        </is>
      </c>
      <c r="K329" t="inlineStr">
        <is>
          <t>PDEI - Game Marketing</t>
        </is>
      </c>
      <c r="L329" t="inlineStr">
        <is>
          <t>1xbet VEEWISE watch party</t>
        </is>
      </c>
      <c r="M329" t="inlineStr">
        <is>
          <t>2025TEG-P0181</t>
        </is>
      </c>
      <c r="N329" t="inlineStr">
        <is>
          <t>Katherine Denise Lee Sy</t>
        </is>
      </c>
      <c r="O329" t="inlineStr">
        <is>
          <t>202507310033-Katherine Denise Lee Sy-费用报销 - 副本 - 副本 - 副本-2025-07-31 04:27:07</t>
        </is>
      </c>
      <c r="P329" t="inlineStr">
        <is>
          <t>NO</t>
        </is>
      </c>
      <c r="Q329"/>
      <c r="R329" t="inlineStr">
        <is>
          <t>NO</t>
        </is>
      </c>
      <c r="S329" t="inlineStr">
        <is>
          <t>Supply of Plates and Gel (for buffet trays)</t>
        </is>
      </c>
      <c r="T329">
        <v>1</v>
      </c>
      <c r="U329">
        <v>1000</v>
      </c>
      <c r="V329" t="inlineStr">
        <is>
          <t>PHP</t>
        </is>
      </c>
      <c r="W329">
        <v>1000</v>
      </c>
      <c r="X329" s="2" t="str">
        <f>=HYPERLINK("https://www.larksuite.com/approval/admin/previewAttachment?key=PMgxCgJBDAXQK_1Mkvn5XsbGZRFlQBAXLHJ2wWLbN8swK82nELIhWDMjXXRWlmYmWD3aSIFGs97WftVjrfUMfD98HSv7uN_27W0pjgF6hBcAu5zujAhpBv6OXwAAAP__", "2 attachment(s)")</f>
        <v>2 attachment(s)</v>
      </c>
      <c r="Y329" t="inlineStr">
        <is>
          <t>Bank Transfer</t>
        </is>
      </c>
      <c r="Z329" t="inlineStr">
        <is>
          <t>Michelle Francine G. Manuntag</t>
        </is>
      </c>
      <c r="AA329" t="inlineStr">
        <is>
          <t>000170292002</t>
        </is>
      </c>
      <c r="AB329" t="inlineStr">
        <is>
          <t>BDO</t>
        </is>
      </c>
      <c r="AC329" t="inlineStr">
        <is>
          <t>Makati City</t>
        </is>
      </c>
      <c r="AD329" s="4">
        <v>45870</v>
      </c>
      <c r="AE329" t="inlineStr">
        <is>
          <t>100% Full Payment</t>
        </is>
      </c>
      <c r="AF329" s="2"/>
      <c r="AG329" t="inlineStr">
        <is>
          <t>NzQyNTk5MTgyNzQ4MTg3MDM0MTpBRURDNTE0MC1DODkwLTQ1RjgtQTBBOS0zQTQ1MDg2REFCRjMtMTo5ZjQ5NDM0YjczOTVlYWQxZThlZmMwZTdjM2Q2ZTZmOTox</t>
        </is>
      </c>
      <c r="AH329" t="inlineStr">
        <is>
          <t>Michelle Francine G. Manuntag</t>
        </is>
      </c>
      <c r="AI329"/>
      <c r="AJ329"/>
      <c r="AK329"/>
    </row>
    <row r="330" ht="25.5" customHeight="1">
      <c r="A330" s="2" t="str">
        <f>=HYPERLINK("https://applink.larksuite.com/client/mini_program/open?appId=cli_9c7cc8a9a9edd105&amp;mode=appCenter&amp;path_pc=pc/pages/requested/index?instanceId=7545407285724512294&amp;source=bitable&amp;path=pages/detail/index?instanceId=7545407285724512294&amp;source=bitable", "202509020067")</f>
        <v>202509020067</v>
      </c>
      <c r="B330" t="inlineStr">
        <is>
          <t>Approved</t>
        </is>
      </c>
      <c r="C330" t="inlineStr">
        <is>
          <t>Procurement Order</t>
        </is>
      </c>
      <c r="D330" s="3">
        <v>45902.69021990741</v>
      </c>
      <c r="E330" s="3">
        <v>45903.44362268518</v>
      </c>
      <c r="F330" t="inlineStr">
        <is>
          <t>Fatima Kathleen M. FLores</t>
        </is>
      </c>
      <c r="G330" t="inlineStr">
        <is>
          <t>Procurement</t>
        </is>
      </c>
      <c r="H330"/>
      <c r="I330"/>
      <c r="J330" t="inlineStr">
        <is>
          <t>Project</t>
        </is>
      </c>
      <c r="K330" t="inlineStr">
        <is>
          <t>PDEI - Event Service</t>
        </is>
      </c>
      <c r="L330" t="inlineStr">
        <is>
          <t>MDL PH S6 Qualifiers &amp; Regular Season</t>
        </is>
      </c>
      <c r="M330" t="inlineStr">
        <is>
          <t>2025TEG-P0200</t>
        </is>
      </c>
      <c r="N330" t="inlineStr">
        <is>
          <t>Kervin</t>
        </is>
      </c>
      <c r="O330" t="inlineStr">
        <is>
          <t>202508110035-Kervin-费用报销 - 副本 - 副本 - 副本-2025-08-11 05:59:07</t>
        </is>
      </c>
      <c r="P330" t="inlineStr">
        <is>
          <t>YES</t>
        </is>
      </c>
      <c r="Q330"/>
      <c r="R330" t="inlineStr">
        <is>
          <t>NO</t>
        </is>
      </c>
      <c r="S330" t="inlineStr">
        <is>
          <t>Outsourced Talent Host</t>
        </is>
      </c>
      <c r="T330">
        <v>1</v>
      </c>
      <c r="U330">
        <v>153391</v>
      </c>
      <c r="V330" t="inlineStr">
        <is>
          <t>PHP</t>
        </is>
      </c>
      <c r="W330">
        <v>153391</v>
      </c>
      <c r="X330" s="2" t="str">
        <f>=HYPERLINK("https://www.larksuite.com/approval/admin/previewAttachment?key=PMgxCkIxEATQK81sZjNZL2PjJ9goguCv9uyChe2bi5grOWZBxSiwnUrBsdKhZESpo2kXTJN9PPYVQ9J2nj4rn6_-3G_7eDPLEfCQxgLAy9-HJVVN4ef4BgAA__8", "2 attachment(s)")</f>
        <v>2 attachment(s)</v>
      </c>
      <c r="Y330" t="inlineStr">
        <is>
          <t>Bank Transfer</t>
        </is>
      </c>
      <c r="Z330" t="inlineStr">
        <is>
          <t>Lanna Bea Miranda Olalia</t>
        </is>
      </c>
      <c r="AA330" t="inlineStr">
        <is>
          <t>1093 4016 0196</t>
        </is>
      </c>
      <c r="AB330" t="inlineStr">
        <is>
          <t>Unionbank</t>
        </is>
      </c>
      <c r="AC330" t="inlineStr">
        <is>
          <t>Metropolitan Ave Bankers Vil 1 Bagumbong Caloocan City</t>
        </is>
      </c>
      <c r="AD330" s="4">
        <v>45888</v>
      </c>
      <c r="AE330" t="inlineStr">
        <is>
          <t>1st Payment - Sept. 5, 2025
2nd Payment - Sept. 19, 2025
3rd Payment - Oct. 3, 2025
Final Payment - Oct. 17, 2025</t>
        </is>
      </c>
      <c r="AF330" s="2"/>
      <c r="AG330" t="inlineStr">
        <is>
          <t>NzQyNTk5MTgyNzQ4MTg3MDM0MTozQjlGNjgyNC0xMzEwLTQyNTEtODRDMC0xMUJBMzg1MUY0NkEtMTpiODk5Y2NlODZiZGQxNjZiNWE3ZTFhMjBkNTUxOTk1OTox</t>
        </is>
      </c>
      <c r="AH330" t="inlineStr">
        <is>
          <t>Lanna Bea Miranda Olalia</t>
        </is>
      </c>
      <c r="AI330"/>
      <c r="AJ330"/>
      <c r="AK330"/>
    </row>
    <row r="331" ht="25.5" customHeight="1">
      <c r="A331" s="2" t="str">
        <f>=HYPERLINK("https://applink.larksuite.com/client/mini_program/open?appId=cli_9c7cc8a9a9edd105&amp;mode=appCenter&amp;path_pc=pc/pages/requested/index?instanceId=7545409677698285607&amp;source=bitable&amp;path=pages/detail/index?instanceId=7545409677698285607&amp;source=bitable", "202509020069")</f>
        <v>202509020069</v>
      </c>
      <c r="B331" t="inlineStr">
        <is>
          <t>Approved</t>
        </is>
      </c>
      <c r="C331" t="inlineStr">
        <is>
          <t>Procurement Order</t>
        </is>
      </c>
      <c r="D331" s="3">
        <v>45902.69666666666</v>
      </c>
      <c r="E331" s="3">
        <v>45903.44189814815</v>
      </c>
      <c r="F331" t="inlineStr">
        <is>
          <t>Fatima Kathleen M. FLores</t>
        </is>
      </c>
      <c r="G331" t="inlineStr">
        <is>
          <t>Procurement</t>
        </is>
      </c>
      <c r="H331"/>
      <c r="I331"/>
      <c r="J331" t="inlineStr">
        <is>
          <t>Project</t>
        </is>
      </c>
      <c r="K331" t="inlineStr">
        <is>
          <t>PDEI - Event Service</t>
        </is>
      </c>
      <c r="L331" t="inlineStr">
        <is>
          <t>MDL PH S6 Qualifiers &amp; Regular Season</t>
        </is>
      </c>
      <c r="M331" t="inlineStr">
        <is>
          <t>2025TEG-P0200</t>
        </is>
      </c>
      <c r="N331" t="inlineStr">
        <is>
          <t>Kervin</t>
        </is>
      </c>
      <c r="O331" t="inlineStr">
        <is>
          <t>202508110036-Kervin-费用报销 - 副本 - 副本 - 副本-2025-08-11 06:05:14</t>
        </is>
      </c>
      <c r="P331" t="inlineStr">
        <is>
          <t>YES</t>
        </is>
      </c>
      <c r="Q331"/>
      <c r="R331" t="inlineStr">
        <is>
          <t>NO</t>
        </is>
      </c>
      <c r="S331" t="inlineStr">
        <is>
          <t>Outsourced Talent Caster (Santie)</t>
        </is>
      </c>
      <c r="T331">
        <v>1</v>
      </c>
      <c r="U331">
        <v>90230</v>
      </c>
      <c r="V331" t="inlineStr">
        <is>
          <t>PHP</t>
        </is>
      </c>
      <c r="W331">
        <v>90230</v>
      </c>
      <c r="X331" s="2" t="str">
        <f>=HYPERLINK("https://www.larksuite.com/approval/admin/previewAttachment?key=PMgxCgIxFATQK81P5v_JeBmbXYKI2Uawy9kFC9tXI1Ajo5dBRzNiK5mESyqPNrKg3XZIhkIR-1zz7udaax6rX_kir_15HPN8R1qtQZ3sA0Dc_t5F0i7i5_gGAAD__w", "2 attachment(s)")</f>
        <v>2 attachment(s)</v>
      </c>
      <c r="Y331" t="inlineStr">
        <is>
          <t>Bank Transfer</t>
        </is>
      </c>
      <c r="Z331" t="inlineStr">
        <is>
          <t>Arjay Santie Magcalas</t>
        </is>
      </c>
      <c r="AA331" t="inlineStr">
        <is>
          <t>109425585622</t>
        </is>
      </c>
      <c r="AB331" t="inlineStr">
        <is>
          <t>Unionbank</t>
        </is>
      </c>
      <c r="AC331" t="inlineStr">
        <is>
          <t>69 Vista Real Ave Brgy. Matandang Balara Quezon City</t>
        </is>
      </c>
      <c r="AD331" s="4">
        <v>45888</v>
      </c>
      <c r="AE331" t="inlineStr">
        <is>
          <t>1st Payment - Sept. 5, 2025
2nd Payment - Sept. 19, 2025
3rd Payment - Oct. 3, 2025
Final Payment - Oct. 17, 2025</t>
        </is>
      </c>
      <c r="AF331" s="2"/>
      <c r="AG331" t="inlineStr">
        <is>
          <t>NzQyNTk5MTgyNzQ4MTg3MDM0MTo3QjZEMzAwQi05MDUwLTQ3RTUtOUQ4MS05RjdENDAxNUMzQjItMTo3OTVjNDc1OGM0MTYyMmMwN2FiZDY1MTFmNzQ1MDlhYzox</t>
        </is>
      </c>
      <c r="AH331" t="inlineStr">
        <is>
          <t>Arjay Santie Magcalas</t>
        </is>
      </c>
      <c r="AI331"/>
      <c r="AJ331"/>
      <c r="AK331"/>
    </row>
    <row r="332" ht="25.5" customHeight="1">
      <c r="A332" s="2" t="str">
        <f>=HYPERLINK("https://applink.larksuite.com/client/mini_program/open?appId=cli_9c7cc8a9a9edd105&amp;mode=appCenter&amp;path_pc=pc/pages/requested/index?instanceId=7545414623357403167&amp;source=bitable&amp;path=pages/detail/index?instanceId=7545414623357403167&amp;source=bitable", "202509020072")</f>
        <v>202509020072</v>
      </c>
      <c r="B332" t="inlineStr">
        <is>
          <t>Approved</t>
        </is>
      </c>
      <c r="C332" t="inlineStr">
        <is>
          <t>Procurement Order</t>
        </is>
      </c>
      <c r="D332" s="3">
        <v>45902.70998842592</v>
      </c>
      <c r="E332" s="3">
        <v>45909.72862268519</v>
      </c>
      <c r="F332" t="inlineStr">
        <is>
          <t>Fatima Kathleen M. FLores</t>
        </is>
      </c>
      <c r="G332" t="inlineStr">
        <is>
          <t>Procurement</t>
        </is>
      </c>
      <c r="H332"/>
      <c r="I332"/>
      <c r="J332" t="inlineStr">
        <is>
          <t>Project</t>
        </is>
      </c>
      <c r="K332" t="inlineStr">
        <is>
          <t>PDEI - Event Service</t>
        </is>
      </c>
      <c r="L332" t="inlineStr">
        <is>
          <t>MPL PH S15</t>
        </is>
      </c>
      <c r="M332" t="inlineStr">
        <is>
          <t>2024TEG-P0430</t>
        </is>
      </c>
      <c r="N332" t="inlineStr">
        <is>
          <t>JP dela Peña</t>
        </is>
      </c>
      <c r="O332" t="inlineStr">
        <is>
          <t>202502180015-Tiny-费用报销 - 副本 - 副本 - 副本-2025-02-18 02:59:18</t>
        </is>
      </c>
      <c r="P332" t="inlineStr">
        <is>
          <t>NO</t>
        </is>
      </c>
      <c r="Q332"/>
      <c r="R332" t="inlineStr">
        <is>
          <t>YES</t>
        </is>
      </c>
      <c r="S332" t="inlineStr">
        <is>
          <t>Outsourced Safety Officers, Medical Officers and Event Marshals (Playoffs)</t>
        </is>
      </c>
      <c r="T332">
        <v>1</v>
      </c>
      <c r="U332">
        <v>206000</v>
      </c>
      <c r="V332" t="inlineStr">
        <is>
          <t>PHP</t>
        </is>
      </c>
      <c r="W332">
        <v>206000</v>
      </c>
      <c r="X332" s="2" t="str">
        <f>=HYPERLINK("https://www.larksuite.com/approval/admin/previewAttachment?key=PMgxCgJBDAXQK_2f_CQTL2PjMgiyNuJ0c3bBYtuXg8gR9GyoaQ3uCoWoNPcowZm1bbOqUSxqH-e8D621-OU8I-z92uv5mMeH0WWGcskHAN4u95LUncLf8QsAAP__", "2 attachment(s)")</f>
        <v>2 attachment(s)</v>
      </c>
      <c r="Y332" t="inlineStr">
        <is>
          <t>Bank Transfer</t>
        </is>
      </c>
      <c r="Z332" t="inlineStr">
        <is>
          <t>JEROME T. CAPOQUIAN</t>
        </is>
      </c>
      <c r="AA332" t="inlineStr">
        <is>
          <t>9599094366</t>
        </is>
      </c>
      <c r="AB332" t="inlineStr">
        <is>
          <t>BPI</t>
        </is>
      </c>
      <c r="AC332" t="inlineStr">
        <is>
          <t>BLOCK 5 LOT 7 PHASE 2 SHINEVILL MAMBUGAN ANTIPOLO CITY</t>
        </is>
      </c>
      <c r="AD332" s="4">
        <v>45710</v>
      </c>
      <c r="AE332" t="inlineStr">
        <is>
          <t>100% Full Payment</t>
        </is>
      </c>
      <c r="AF332" s="2"/>
      <c r="AG332" t="inlineStr">
        <is>
          <t>NzQyNTk5MTgyNzQ4MTg3MDM0MToyQkQ3Qjc0Ri00OERDLTRGODUtOTIwQy02M0REMTBDMzUwRDctMTo0ZjNiY2NiYzE5YWU4MDlkYzcwOGU3MTZhYTY3YzdmMTox</t>
        </is>
      </c>
      <c r="AH332" t="inlineStr">
        <is>
          <t>JEROME T. CAPOQUIAN</t>
        </is>
      </c>
      <c r="AI332"/>
      <c r="AJ332"/>
      <c r="AK332"/>
    </row>
    <row r="333" ht="25.5" customHeight="1">
      <c r="A333" s="2" t="str">
        <f>=HYPERLINK("https://applink.larksuite.com/client/mini_program/open?appId=cli_9c7cc8a9a9edd105&amp;mode=appCenter&amp;path_pc=pc/pages/requested/index?instanceId=7545423490019622951&amp;source=bitable&amp;path=pages/detail/index?instanceId=7545423490019622951&amp;source=bitable", "202509020087")</f>
        <v>202509020087</v>
      </c>
      <c r="B333" t="inlineStr">
        <is>
          <t>Approved</t>
        </is>
      </c>
      <c r="C333" t="inlineStr">
        <is>
          <t>Procurement Order</t>
        </is>
      </c>
      <c r="D333" s="3">
        <v>45902.73388888889</v>
      </c>
      <c r="E333" s="3">
        <v>45905.654340277775</v>
      </c>
      <c r="F333" t="inlineStr">
        <is>
          <t>Fatima Kathleen M. FLores</t>
        </is>
      </c>
      <c r="G333" t="inlineStr">
        <is>
          <t>Procurement</t>
        </is>
      </c>
      <c r="H333"/>
      <c r="I333"/>
      <c r="J333" t="inlineStr">
        <is>
          <t>Project</t>
        </is>
      </c>
      <c r="K333" t="inlineStr">
        <is>
          <t>GG - Event Service</t>
        </is>
      </c>
      <c r="L333" t="inlineStr">
        <is>
          <t>HOK Philippine Kings League - Fall Season</t>
        </is>
      </c>
      <c r="M333" t="inlineStr">
        <is>
          <t>2025TEG-P0219</t>
        </is>
      </c>
      <c r="N333" t="inlineStr">
        <is>
          <t>Reign Santos Fortea</t>
        </is>
      </c>
      <c r="O333" t="inlineStr">
        <is>
          <t>202508210079-Reign Santos Fortea-费用报销 - 副本 - 副本 - 副本-2025-08-21 11:08:05</t>
        </is>
      </c>
      <c r="P333" t="inlineStr">
        <is>
          <t>NO</t>
        </is>
      </c>
      <c r="Q333"/>
      <c r="R333" t="inlineStr">
        <is>
          <t>YES</t>
        </is>
      </c>
      <c r="S333" t="inlineStr">
        <is>
          <t>Rental of Monoblock Chairs (5 days)</t>
        </is>
      </c>
      <c r="T333">
        <v>100</v>
      </c>
      <c r="U333">
        <v>65</v>
      </c>
      <c r="V333" t="inlineStr">
        <is>
          <t>PHP</t>
        </is>
      </c>
      <c r="W333">
        <v>6500</v>
      </c>
      <c r="X333" s="2"/>
      <c r="Y333" t="inlineStr">
        <is>
          <t>Bank Transfer</t>
        </is>
      </c>
      <c r="Z333" t="inlineStr">
        <is>
          <t>SPE Events Management And Services Party Needs Rental</t>
        </is>
      </c>
      <c r="AA333" t="inlineStr">
        <is>
          <t>141102017588</t>
        </is>
      </c>
      <c r="AB333" t="inlineStr">
        <is>
          <t>China Bank Corporation</t>
        </is>
      </c>
      <c r="AC333" t="inlineStr">
        <is>
          <t>10A St. Benedict, Paradise Village, Sangandaan, QC</t>
        </is>
      </c>
      <c r="AD333" s="4">
        <v>45870</v>
      </c>
      <c r="AE333" t="inlineStr">
        <is>
          <t>100% Full Payment</t>
        </is>
      </c>
      <c r="AF333" s="2"/>
      <c r="AG333" t="inlineStr">
        <is>
          <t>NzQyNTk5MTgyNzQ4MTg3MDM0MTo5MjYyQzNGMS00NTM3LTRBMzMtOUVDOC0zNTcwMkI1OTQyMjctMTpmZmNlMTcwZjJiZDEzODUyNzE4N2I2OWVmNjVmMWRkODox</t>
        </is>
      </c>
      <c r="AH333" t="inlineStr">
        <is>
          <t>SPE Events Management And Services Party Needs Rental</t>
        </is>
      </c>
      <c r="AI333"/>
      <c r="AJ333"/>
      <c r="AK333"/>
    </row>
    <row r="334" ht="25.5" customHeight="1">
      <c r="A334" s="2" t="str">
        <f>=HYPERLINK("https://applink.larksuite.com/client/mini_program/open?appId=cli_9c7cc8a9a9edd105&amp;mode=appCenter&amp;path_pc=pc/pages/requested/index?instanceId=7545423490019622951&amp;source=bitable&amp;path=pages/detail/index?instanceId=7545423490019622951&amp;source=bitable", "202509020087")</f>
        <v>202509020087</v>
      </c>
      <c r="B334" t="inlineStr">
        <is>
          <t>Approved</t>
        </is>
      </c>
      <c r="C334" t="inlineStr">
        <is>
          <t>Procurement Order</t>
        </is>
      </c>
      <c r="D334" s="3">
        <v>45902.73388888889</v>
      </c>
      <c r="E334" s="3">
        <v>45905.654340277775</v>
      </c>
      <c r="F334" t="inlineStr">
        <is>
          <t>Fatima Kathleen M. FLores</t>
        </is>
      </c>
      <c r="G334" t="inlineStr">
        <is>
          <t>Procurement</t>
        </is>
      </c>
      <c r="H334"/>
      <c r="I334"/>
      <c r="J334" t="inlineStr">
        <is>
          <t>Project</t>
        </is>
      </c>
      <c r="K334" t="inlineStr">
        <is>
          <t>GG - Event Service</t>
        </is>
      </c>
      <c r="L334" t="inlineStr">
        <is>
          <t>HOK Philippine Kings League - Fall Season</t>
        </is>
      </c>
      <c r="M334" t="inlineStr">
        <is>
          <t>2025TEG-P0219</t>
        </is>
      </c>
      <c r="N334" t="inlineStr">
        <is>
          <t>Reign Santos Fortea</t>
        </is>
      </c>
      <c r="O334" t="inlineStr">
        <is>
          <t>202508210079-Reign Santos Fortea-费用报销 - 副本 - 副本 - 副本-2025-08-21 11:08:05</t>
        </is>
      </c>
      <c r="P334" t="inlineStr">
        <is>
          <t>NO</t>
        </is>
      </c>
      <c r="Q334"/>
      <c r="R334" t="inlineStr">
        <is>
          <t>YES</t>
        </is>
      </c>
      <c r="S334" t="inlineStr">
        <is>
          <t>Rental of Black Chair Covers (4 days)</t>
        </is>
      </c>
      <c r="T334">
        <v>100</v>
      </c>
      <c r="U334">
        <v>48</v>
      </c>
      <c r="V334" t="inlineStr">
        <is>
          <t>PHP</t>
        </is>
      </c>
      <c r="W334">
        <v>4800</v>
      </c>
      <c r="X334" s="2"/>
      <c r="Y334"/>
      <c r="Z334"/>
      <c r="AA334"/>
      <c r="AB334"/>
      <c r="AC334"/>
      <c r="AD334" s="4"/>
      <c r="AE334"/>
      <c r="AF334" s="2"/>
      <c r="AG334" t="inlineStr">
        <is>
          <t>NzQyNTk5MTgyNzQ4MTg3MDM0MTo5MjYyQzNGMS00NTM3LTRBMzMtOUVDOC0zNTcwMkI1OTQyMjctMjo0YmMxNDJiMWU1NDljYmRiNjJhMDRmODA5OWVlNDFiMzox</t>
        </is>
      </c>
      <c r="AH334"/>
      <c r="AI334"/>
      <c r="AJ334"/>
      <c r="AK334"/>
    </row>
    <row r="335" ht="25.5" customHeight="1">
      <c r="A335" s="2" t="str">
        <f>=HYPERLINK("https://applink.larksuite.com/client/mini_program/open?appId=cli_9c7cc8a9a9edd105&amp;mode=appCenter&amp;path_pc=pc/pages/requested/index?instanceId=7545423490019622951&amp;source=bitable&amp;path=pages/detail/index?instanceId=7545423490019622951&amp;source=bitable", "202509020087")</f>
        <v>202509020087</v>
      </c>
      <c r="B335" t="inlineStr">
        <is>
          <t>Approved</t>
        </is>
      </c>
      <c r="C335" t="inlineStr">
        <is>
          <t>Procurement Order</t>
        </is>
      </c>
      <c r="D335" s="3">
        <v>45902.73388888889</v>
      </c>
      <c r="E335" s="3">
        <v>45905.654340277775</v>
      </c>
      <c r="F335" t="inlineStr">
        <is>
          <t>Fatima Kathleen M. FLores</t>
        </is>
      </c>
      <c r="G335" t="inlineStr">
        <is>
          <t>Procurement</t>
        </is>
      </c>
      <c r="H335"/>
      <c r="I335"/>
      <c r="J335" t="inlineStr">
        <is>
          <t>Project</t>
        </is>
      </c>
      <c r="K335" t="inlineStr">
        <is>
          <t>GG - Event Service</t>
        </is>
      </c>
      <c r="L335" t="inlineStr">
        <is>
          <t>HOK Philippine Kings League - Fall Season</t>
        </is>
      </c>
      <c r="M335" t="inlineStr">
        <is>
          <t>2025TEG-P0219</t>
        </is>
      </c>
      <c r="N335" t="inlineStr">
        <is>
          <t>Reign Santos Fortea</t>
        </is>
      </c>
      <c r="O335" t="inlineStr">
        <is>
          <t>202508210079-Reign Santos Fortea-费用报销 - 副本 - 副本 - 副本-2025-08-21 11:08:05</t>
        </is>
      </c>
      <c r="P335" t="inlineStr">
        <is>
          <t>NO</t>
        </is>
      </c>
      <c r="Q335"/>
      <c r="R335" t="inlineStr">
        <is>
          <t>YES</t>
        </is>
      </c>
      <c r="S335" t="inlineStr">
        <is>
          <t>Rental of Monoblock Chairs (3 days)</t>
        </is>
      </c>
      <c r="T335">
        <v>50</v>
      </c>
      <c r="U335">
        <v>45</v>
      </c>
      <c r="V335" t="inlineStr">
        <is>
          <t>PHP</t>
        </is>
      </c>
      <c r="W335">
        <v>2250</v>
      </c>
      <c r="X335" s="2"/>
      <c r="Y335"/>
      <c r="Z335"/>
      <c r="AA335"/>
      <c r="AB335"/>
      <c r="AC335"/>
      <c r="AD335" s="4"/>
      <c r="AE335"/>
      <c r="AF335" s="2"/>
      <c r="AG335" t="inlineStr">
        <is>
          <t>NzQyNTk5MTgyNzQ4MTg3MDM0MTo5MjYyQzNGMS00NTM3LTRBMzMtOUVDOC0zNTcwMkI1OTQyMjctMzphMDdiMjY4OGMxYzRkYThjMDIzOTlkZWExODA2MjBkYTox</t>
        </is>
      </c>
      <c r="AH335"/>
      <c r="AI335"/>
      <c r="AJ335"/>
      <c r="AK335"/>
    </row>
    <row r="336" ht="25.5" customHeight="1">
      <c r="A336" s="2" t="str">
        <f>=HYPERLINK("https://applink.larksuite.com/client/mini_program/open?appId=cli_9c7cc8a9a9edd105&amp;mode=appCenter&amp;path_pc=pc/pages/requested/index?instanceId=7545423490019622951&amp;source=bitable&amp;path=pages/detail/index?instanceId=7545423490019622951&amp;source=bitable", "202509020087")</f>
        <v>202509020087</v>
      </c>
      <c r="B336" t="inlineStr">
        <is>
          <t>Approved</t>
        </is>
      </c>
      <c r="C336" t="inlineStr">
        <is>
          <t>Procurement Order</t>
        </is>
      </c>
      <c r="D336" s="3">
        <v>45902.73388888889</v>
      </c>
      <c r="E336" s="3">
        <v>45905.654340277775</v>
      </c>
      <c r="F336" t="inlineStr">
        <is>
          <t>Fatima Kathleen M. FLores</t>
        </is>
      </c>
      <c r="G336" t="inlineStr">
        <is>
          <t>Procurement</t>
        </is>
      </c>
      <c r="H336"/>
      <c r="I336"/>
      <c r="J336" t="inlineStr">
        <is>
          <t>Project</t>
        </is>
      </c>
      <c r="K336" t="inlineStr">
        <is>
          <t>GG - Event Service</t>
        </is>
      </c>
      <c r="L336" t="inlineStr">
        <is>
          <t>HOK Philippine Kings League - Fall Season</t>
        </is>
      </c>
      <c r="M336" t="inlineStr">
        <is>
          <t>2025TEG-P0219</t>
        </is>
      </c>
      <c r="N336" t="inlineStr">
        <is>
          <t>Reign Santos Fortea</t>
        </is>
      </c>
      <c r="O336" t="inlineStr">
        <is>
          <t>202508210079-Reign Santos Fortea-费用报销 - 副本 - 副本 - 副本-2025-08-21 11:08:05</t>
        </is>
      </c>
      <c r="P336" t="inlineStr">
        <is>
          <t>NO</t>
        </is>
      </c>
      <c r="Q336"/>
      <c r="R336" t="inlineStr">
        <is>
          <t>YES</t>
        </is>
      </c>
      <c r="S336" t="inlineStr">
        <is>
          <t>Rental of Black Chair Covers (3 days)</t>
        </is>
      </c>
      <c r="T336">
        <v>50</v>
      </c>
      <c r="U336">
        <v>36</v>
      </c>
      <c r="V336" t="inlineStr">
        <is>
          <t>PHP</t>
        </is>
      </c>
      <c r="W336">
        <v>1800</v>
      </c>
      <c r="X336" s="2"/>
      <c r="Y336"/>
      <c r="Z336"/>
      <c r="AA336"/>
      <c r="AB336"/>
      <c r="AC336"/>
      <c r="AD336" s="4"/>
      <c r="AE336"/>
      <c r="AF336" s="2"/>
      <c r="AG336" t="inlineStr">
        <is>
          <t>NzQyNTk5MTgyNzQ4MTg3MDM0MTo5MjYyQzNGMS00NTM3LTRBMzMtOUVDOC0zNTcwMkI1OTQyMjctNDoyZmNiZDU3NmQzNzA2MzA3YWIyZDIwM2ZiNTk5Nzg2Njox</t>
        </is>
      </c>
      <c r="AH336"/>
      <c r="AI336"/>
      <c r="AJ336"/>
      <c r="AK336"/>
    </row>
    <row r="337" ht="25.5" customHeight="1">
      <c r="A337" s="2" t="str">
        <f>=HYPERLINK("https://applink.larksuite.com/client/mini_program/open?appId=cli_9c7cc8a9a9edd105&amp;mode=appCenter&amp;path_pc=pc/pages/requested/index?instanceId=7545423490019622951&amp;source=bitable&amp;path=pages/detail/index?instanceId=7545423490019622951&amp;source=bitable", "202509020087")</f>
        <v>202509020087</v>
      </c>
      <c r="B337" t="inlineStr">
        <is>
          <t>Approved</t>
        </is>
      </c>
      <c r="C337" t="inlineStr">
        <is>
          <t>Procurement Order</t>
        </is>
      </c>
      <c r="D337" s="3">
        <v>45902.73388888889</v>
      </c>
      <c r="E337" s="3">
        <v>45905.654340277775</v>
      </c>
      <c r="F337" t="inlineStr">
        <is>
          <t>Fatima Kathleen M. FLores</t>
        </is>
      </c>
      <c r="G337" t="inlineStr">
        <is>
          <t>Procurement</t>
        </is>
      </c>
      <c r="H337"/>
      <c r="I337"/>
      <c r="J337" t="inlineStr">
        <is>
          <t>Project</t>
        </is>
      </c>
      <c r="K337" t="inlineStr">
        <is>
          <t>GG - Event Service</t>
        </is>
      </c>
      <c r="L337" t="inlineStr">
        <is>
          <t>HOK Philippine Kings League - Fall Season</t>
        </is>
      </c>
      <c r="M337" t="inlineStr">
        <is>
          <t>2025TEG-P0219</t>
        </is>
      </c>
      <c r="N337" t="inlineStr">
        <is>
          <t>Reign Santos Fortea</t>
        </is>
      </c>
      <c r="O337" t="inlineStr">
        <is>
          <t>202508210079-Reign Santos Fortea-费用报销 - 副本 - 副本 - 副本-2025-08-21 11:08:05</t>
        </is>
      </c>
      <c r="P337" t="inlineStr">
        <is>
          <t>NO</t>
        </is>
      </c>
      <c r="Q337"/>
      <c r="R337" t="inlineStr">
        <is>
          <t>YES</t>
        </is>
      </c>
      <c r="S337" t="inlineStr">
        <is>
          <t>Rental of 6ft Lifetime Tables with Black Cover (3 days)</t>
        </is>
      </c>
      <c r="T337">
        <v>5</v>
      </c>
      <c r="U337">
        <v>750</v>
      </c>
      <c r="V337" t="inlineStr">
        <is>
          <t>PHP</t>
        </is>
      </c>
      <c r="W337">
        <v>3750</v>
      </c>
      <c r="X337" s="2"/>
      <c r="Y337"/>
      <c r="Z337"/>
      <c r="AA337"/>
      <c r="AB337"/>
      <c r="AC337"/>
      <c r="AD337" s="4"/>
      <c r="AE337"/>
      <c r="AF337" s="2"/>
      <c r="AG337" t="inlineStr">
        <is>
          <t>NzQyNTk5MTgyNzQ4MTg3MDM0MTo5MjYyQzNGMS00NTM3LTRBMzMtOUVDOC0zNTcwMkI1OTQyMjctNTozNjJlNTIxMzU5MTM0ZGRhNjBlY2NjYWNhOGEzMjVmZjox</t>
        </is>
      </c>
      <c r="AH337"/>
      <c r="AI337"/>
      <c r="AJ337"/>
      <c r="AK337"/>
    </row>
    <row r="338" ht="25.5" customHeight="1">
      <c r="A338" s="2" t="str">
        <f>=HYPERLINK("https://applink.larksuite.com/client/mini_program/open?appId=cli_9c7cc8a9a9edd105&amp;mode=appCenter&amp;path_pc=pc/pages/requested/index?instanceId=7545423490019622951&amp;source=bitable&amp;path=pages/detail/index?instanceId=7545423490019622951&amp;source=bitable", "202509020087")</f>
        <v>202509020087</v>
      </c>
      <c r="B338" t="inlineStr">
        <is>
          <t>Approved</t>
        </is>
      </c>
      <c r="C338" t="inlineStr">
        <is>
          <t>Procurement Order</t>
        </is>
      </c>
      <c r="D338" s="3">
        <v>45902.73388888889</v>
      </c>
      <c r="E338" s="3">
        <v>45905.654340277775</v>
      </c>
      <c r="F338" t="inlineStr">
        <is>
          <t>Fatima Kathleen M. FLores</t>
        </is>
      </c>
      <c r="G338" t="inlineStr">
        <is>
          <t>Procurement</t>
        </is>
      </c>
      <c r="H338"/>
      <c r="I338"/>
      <c r="J338" t="inlineStr">
        <is>
          <t>Project</t>
        </is>
      </c>
      <c r="K338" t="inlineStr">
        <is>
          <t>GG - Event Service</t>
        </is>
      </c>
      <c r="L338" t="inlineStr">
        <is>
          <t>HOK Philippine Kings League - Fall Season</t>
        </is>
      </c>
      <c r="M338" t="inlineStr">
        <is>
          <t>2025TEG-P0219</t>
        </is>
      </c>
      <c r="N338" t="inlineStr">
        <is>
          <t>Reign Santos Fortea</t>
        </is>
      </c>
      <c r="O338" t="inlineStr">
        <is>
          <t>202508210079-Reign Santos Fortea-费用报销 - 副本 - 副本 - 副本-2025-08-21 11:08:05</t>
        </is>
      </c>
      <c r="P338" t="inlineStr">
        <is>
          <t>NO</t>
        </is>
      </c>
      <c r="Q338"/>
      <c r="R338" t="inlineStr">
        <is>
          <t>YES</t>
        </is>
      </c>
      <c r="S338" t="inlineStr">
        <is>
          <t>Delivery Fee</t>
        </is>
      </c>
      <c r="T338">
        <v>2</v>
      </c>
      <c r="U338">
        <v>1000</v>
      </c>
      <c r="V338" t="inlineStr">
        <is>
          <t>PHP</t>
        </is>
      </c>
      <c r="W338">
        <v>2000</v>
      </c>
      <c r="X338" s="2" t="str">
        <f>=HYPERLINK("https://www.larksuite.com/approval/admin/previewAttachment?key=PMg9CkIxEATgK83sTzbjZWx8BAWFgPDAYs8uWNh-YxJjJn0IIZrArowM8xBADTMl25pVQrFofbzW9XHuvQX_kM-Vu8_7bR1vpsoM5RE-AfDyd6-IkEbg5_kNAAD__w", "2 attachment(s)")</f>
        <v>2 attachment(s)</v>
      </c>
      <c r="Y338"/>
      <c r="Z338"/>
      <c r="AA338"/>
      <c r="AB338"/>
      <c r="AC338"/>
      <c r="AD338" s="4"/>
      <c r="AE338"/>
      <c r="AF338" s="2"/>
      <c r="AG338" t="inlineStr">
        <is>
          <t>NzQyNTk5MTgyNzQ4MTg3MDM0MTo5MjYyQzNGMS00NTM3LTRBMzMtOUVDOC0zNTcwMkI1OTQyMjctNjpiODYyMjY2NzE1ZTE1MzlkNGY5ZWVmMDA1ZjBlYjgwMDox</t>
        </is>
      </c>
      <c r="AH338"/>
      <c r="AI338"/>
      <c r="AJ338"/>
      <c r="AK338"/>
    </row>
    <row r="339" ht="25.5" customHeight="1">
      <c r="A339" s="2" t="str">
        <f>=HYPERLINK("https://applink.larksuite.com/client/mini_program/open?appId=cli_9c7cc8a9a9edd105&amp;mode=appCenter&amp;path_pc=pc/pages/requested/index?instanceId=7545446399777783839&amp;source=bitable&amp;path=pages/detail/index?instanceId=7545446399777783839&amp;source=bitable", "202509020096")</f>
        <v>202509020096</v>
      </c>
      <c r="B339" t="inlineStr">
        <is>
          <t>Approved</t>
        </is>
      </c>
      <c r="C339" t="inlineStr">
        <is>
          <t>Procurement Order</t>
        </is>
      </c>
      <c r="D339" s="3">
        <v>45902.795625</v>
      </c>
      <c r="E339" s="3">
        <v>45903.4497337963</v>
      </c>
      <c r="F339" t="inlineStr">
        <is>
          <t>Fatima Kathleen M. FLores</t>
        </is>
      </c>
      <c r="G339" t="inlineStr">
        <is>
          <t>Procurement</t>
        </is>
      </c>
      <c r="H339"/>
      <c r="I339"/>
      <c r="J339" t="inlineStr">
        <is>
          <t>Project</t>
        </is>
      </c>
      <c r="K339" t="inlineStr">
        <is>
          <t>GG - Event Service</t>
        </is>
      </c>
      <c r="L339" t="inlineStr">
        <is>
          <t>HOK Philippine Kings League - Fall Season</t>
        </is>
      </c>
      <c r="M339" t="inlineStr">
        <is>
          <t>2025TEG-P0219</t>
        </is>
      </c>
      <c r="N339" t="inlineStr">
        <is>
          <t>Carla Andrea Calma Crespo</t>
        </is>
      </c>
      <c r="O339" t="inlineStr">
        <is>
          <t>202508250003-Carla Andrea Calma Crespo-费用报销 - 副本 - 副本 - 副本-2025-08-25 02:05:00</t>
        </is>
      </c>
      <c r="P339" t="inlineStr">
        <is>
          <t>YES</t>
        </is>
      </c>
      <c r="Q339"/>
      <c r="R339" t="inlineStr">
        <is>
          <t>NO</t>
        </is>
      </c>
      <c r="S339" t="inlineStr">
        <is>
          <t>Outsourced IT Support</t>
        </is>
      </c>
      <c r="T339">
        <v>1</v>
      </c>
      <c r="U339">
        <v>37950</v>
      </c>
      <c r="V339" t="inlineStr">
        <is>
          <t>PHP</t>
        </is>
      </c>
      <c r="W339">
        <v>37950</v>
      </c>
      <c r="X339" s="2" t="str">
        <f>=HYPERLINK("https://www.larksuite.com/approval/admin/previewAttachment?key=PMgxikJBEATQK1VN10x172U22eazoIIgfjCYswsGpm8lsXIyVkHFUeD21JRWVNl2RkbtsWkXTJO7b8fvdXY_8wK9zmbf9_n_d_SDszwGHFIkAP58PSypagkfxzsAAP__", "2 attachment(s)")</f>
        <v>2 attachment(s)</v>
      </c>
      <c r="Y339" t="inlineStr">
        <is>
          <t>Bank Transfer</t>
        </is>
      </c>
      <c r="Z339" t="inlineStr">
        <is>
          <t>Jose Andrew A. Mazaredo</t>
        </is>
      </c>
      <c r="AA339" t="inlineStr">
        <is>
          <t>09166309613</t>
        </is>
      </c>
      <c r="AB339" t="inlineStr">
        <is>
          <t>GCash</t>
        </is>
      </c>
      <c r="AC339" t="inlineStr">
        <is>
          <t>20 P. Ladia St. Project 4, Quezon City</t>
        </is>
      </c>
      <c r="AD339" s="4">
        <v>45894</v>
      </c>
      <c r="AE339" t="inlineStr">
        <is>
          <t>1st Payment - Sept. 12, 2025
2nd Payment - Sept. 26, 2025
3rd Payment - Oct. 10, 2025
Final Payment - Oct. 31, 2025</t>
        </is>
      </c>
      <c r="AF339" s="2"/>
      <c r="AG339" t="inlineStr">
        <is>
          <t>NzQyNTk5MTgyNzQ4MTg3MDM0MTowMEYzNkNBNC1GRUE5LTRCNjgtQjdBOC04QzFFRDBDNkZGMUYtMTo1OTg4NzEzMzIyZjA1NDI2MjQzZTIwNmMwMjY1ODNiNjox</t>
        </is>
      </c>
      <c r="AH339" t="inlineStr">
        <is>
          <t>Jose Andrew A. Mazaredo</t>
        </is>
      </c>
      <c r="AI339"/>
      <c r="AJ339"/>
      <c r="AK339"/>
    </row>
    <row r="340" ht="25.5" customHeight="1">
      <c r="A340" s="2" t="str">
        <f>=HYPERLINK("https://applink.larksuite.com/client/mini_program/open?appId=cli_9c7cc8a9a9edd105&amp;mode=appCenter&amp;path_pc=pc/pages/requested/index?instanceId=7545453814917365799&amp;source=bitable&amp;path=pages/detail/index?instanceId=7545453814917365799&amp;source=bitable", "202509020100")</f>
        <v>202509020100</v>
      </c>
      <c r="B340" t="inlineStr">
        <is>
          <t>Approved</t>
        </is>
      </c>
      <c r="C340" t="inlineStr">
        <is>
          <t>Procurement Order</t>
        </is>
      </c>
      <c r="D340" s="3">
        <v>45902.81560185185</v>
      </c>
      <c r="E340" s="3">
        <v>45904.686886574076</v>
      </c>
      <c r="F340" t="inlineStr">
        <is>
          <t>Fatima Kathleen M. FLores</t>
        </is>
      </c>
      <c r="G340" t="inlineStr">
        <is>
          <t>Procurement</t>
        </is>
      </c>
      <c r="H340"/>
      <c r="I340"/>
      <c r="J340" t="inlineStr">
        <is>
          <t>Project</t>
        </is>
      </c>
      <c r="K340" t="inlineStr">
        <is>
          <t>GG - Event Service</t>
        </is>
      </c>
      <c r="L340" t="inlineStr">
        <is>
          <t>HOK Philippine Kings League - Fall Season</t>
        </is>
      </c>
      <c r="M340" t="inlineStr">
        <is>
          <t>2025TEG-P0219</t>
        </is>
      </c>
      <c r="N340" t="inlineStr">
        <is>
          <t>Carla Andrea Calma Crespo</t>
        </is>
      </c>
      <c r="O340" t="inlineStr">
        <is>
          <t>202508250003-Carla Andrea Calma Crespo-费用报销 - 副本 - 副本 - 副本-2025-08-25 02:05:00</t>
        </is>
      </c>
      <c r="P340" t="inlineStr">
        <is>
          <t>YES</t>
        </is>
      </c>
      <c r="Q340"/>
      <c r="R340" t="inlineStr">
        <is>
          <t>YES</t>
        </is>
      </c>
      <c r="S340" t="inlineStr">
        <is>
          <t>Outsourced IT Support</t>
        </is>
      </c>
      <c r="T340">
        <v>1</v>
      </c>
      <c r="U340">
        <v>37950</v>
      </c>
      <c r="V340" t="inlineStr">
        <is>
          <t>PHP</t>
        </is>
      </c>
      <c r="W340">
        <v>37950</v>
      </c>
      <c r="X340" s="2" t="str">
        <f>=HYPERLINK("https://www.larksuite.com/approval/admin/previewAttachment?key=PMgxikJBEATQK3VNV0917WU22eGzCv8ngkZzdsHA9M1GzC7kdNAYDmwVi5UNGspZsvfYkByCgL3O4_d-rnX1zexSvq79_P871gNljRFKMjsi8PP1FEl7Mj4e7wAAAP__", "2 attachment(s)")</f>
        <v>2 attachment(s)</v>
      </c>
      <c r="Y340" t="inlineStr">
        <is>
          <t>Bank Transfer</t>
        </is>
      </c>
      <c r="Z340" t="inlineStr">
        <is>
          <t>Wilson Mazaredo</t>
        </is>
      </c>
      <c r="AA340" t="inlineStr">
        <is>
          <t>09662375484</t>
        </is>
      </c>
      <c r="AB340" t="inlineStr">
        <is>
          <t>GCash</t>
        </is>
      </c>
      <c r="AC340" t="inlineStr">
        <is>
          <t>20 P. Ladia St. Project 4, Quezon City</t>
        </is>
      </c>
      <c r="AD340" s="4">
        <v>45894</v>
      </c>
      <c r="AE340" t="inlineStr">
        <is>
          <t>1st Payment - Sept. 12, 2025
2nd Payment - Sept. 26, 2025
3rd Payment - Oct. 10, 2025
Final Payment - Oct. 31, 2025</t>
        </is>
      </c>
      <c r="AF340" s="2"/>
      <c r="AG340" t="inlineStr">
        <is>
          <t>NzQyNTk5MTgyNzQ4MTg3MDM0MTo0RkZFMjc4NC1ENDlDLTQ1RTMtOTdDMi01MzlBREIxNzdBOUEtMTo4MTQ0OTU2ODE5ZGJlYmZiNjM5NWQ4N2NmOWM2MTYwMDox</t>
        </is>
      </c>
      <c r="AH340" t="inlineStr">
        <is>
          <t>Wilson Mazaredo</t>
        </is>
      </c>
      <c r="AI340"/>
      <c r="AJ340"/>
      <c r="AK340"/>
    </row>
    <row r="341" ht="25.5" customHeight="1">
      <c r="A341" s="2" t="str">
        <f>=HYPERLINK("https://applink.larksuite.com/client/mini_program/open?appId=cli_9c7cc8a9a9edd105&amp;mode=appCenter&amp;path_pc=pc/pages/requested/index?instanceId=7545455430055559206&amp;source=bitable&amp;path=pages/detail/index?instanceId=7545455430055559206&amp;source=bitable", "202509020103")</f>
        <v>202509020103</v>
      </c>
      <c r="B341" t="inlineStr">
        <is>
          <t>Approved</t>
        </is>
      </c>
      <c r="C341" t="inlineStr">
        <is>
          <t>Procurement Order</t>
        </is>
      </c>
      <c r="D341" s="3">
        <v>45902.81995370371</v>
      </c>
      <c r="E341" s="3">
        <v>45904.68753472222</v>
      </c>
      <c r="F341" t="inlineStr">
        <is>
          <t>Fatima Kathleen M. FLores</t>
        </is>
      </c>
      <c r="G341" t="inlineStr">
        <is>
          <t>Procurement</t>
        </is>
      </c>
      <c r="H341"/>
      <c r="I341"/>
      <c r="J341" t="inlineStr">
        <is>
          <t>Project</t>
        </is>
      </c>
      <c r="K341" t="inlineStr">
        <is>
          <t>GG - Event Service</t>
        </is>
      </c>
      <c r="L341" t="inlineStr">
        <is>
          <t>HOK Philippine Kings League - Fall Season</t>
        </is>
      </c>
      <c r="M341" t="inlineStr">
        <is>
          <t>2025TEG-P0219</t>
        </is>
      </c>
      <c r="N341" t="inlineStr">
        <is>
          <t>Carla Andrea Calma Crespo</t>
        </is>
      </c>
      <c r="O341" t="inlineStr">
        <is>
          <t>202508250003-Carla Andrea Calma Crespo-费用报销 - 副本 - 副本 - 副本-2025-08-25 02:05:00</t>
        </is>
      </c>
      <c r="P341" t="inlineStr">
        <is>
          <t>YES</t>
        </is>
      </c>
      <c r="Q341"/>
      <c r="R341" t="inlineStr">
        <is>
          <t>YES</t>
        </is>
      </c>
      <c r="S341" t="inlineStr">
        <is>
          <t>Outsourced IT Support</t>
        </is>
      </c>
      <c r="T341">
        <v>1</v>
      </c>
      <c r="U341">
        <v>4950</v>
      </c>
      <c r="V341" t="inlineStr">
        <is>
          <t>PHP</t>
        </is>
      </c>
      <c r="W341">
        <v>4950</v>
      </c>
      <c r="X341" s="2" t="str">
        <f>=HYPERLINK("https://www.larksuite.com/approval/admin/previewAttachment?key=PMg7joIxEAPgK9kTO5PZy2xDFAESFeLxFzk7EgXt1wfRh9l6QcUocKdl2WqAbVeg79jMLCST3PO2_h_HWpe4vtb7cE3v5_m05p2ujEA2qQ0A_Pt5S0lVXfg6PgEAAP__", "2 attachment(s)")</f>
        <v>2 attachment(s)</v>
      </c>
      <c r="Y341" t="inlineStr">
        <is>
          <t>Bank Transfer</t>
        </is>
      </c>
      <c r="Z341" t="inlineStr">
        <is>
          <t>Lawrence Yaco</t>
        </is>
      </c>
      <c r="AA341" t="inlineStr">
        <is>
          <t>09062522647</t>
        </is>
      </c>
      <c r="AB341" t="inlineStr">
        <is>
          <t>GCash</t>
        </is>
      </c>
      <c r="AC341" t="inlineStr">
        <is>
          <t>B4 L10 J Abad Santos st Liamson Subdivision Guitnang Bayan 1 San Mateo Rizal</t>
        </is>
      </c>
      <c r="AD341" s="4">
        <v>45894</v>
      </c>
      <c r="AE341" t="inlineStr">
        <is>
          <t>100% Full Payment - Sept. 5, 2025</t>
        </is>
      </c>
      <c r="AF341" s="2"/>
      <c r="AG341" t="inlineStr">
        <is>
          <t>NzQyNTk5MTgyNzQ4MTg3MDM0MTo5RDQyRTZCOC02OEJELTQwMDEtQTdGQi0yMUE1MTM1OEVCMkItMTozMjFlYjYyZmUyZDM4ZmY2NDRmMWJkYzBiZDI2YzUyNDox</t>
        </is>
      </c>
      <c r="AH341" t="inlineStr">
        <is>
          <t>Lawrence Yaco</t>
        </is>
      </c>
      <c r="AI341"/>
      <c r="AJ341"/>
      <c r="AK341"/>
    </row>
    <row r="342" ht="25.5" customHeight="1">
      <c r="A342" s="2" t="str">
        <f>=HYPERLINK("https://applink.larksuite.com/client/mini_program/open?appId=cli_9c7cc8a9a9edd105&amp;mode=appCenter&amp;path_pc=pc/pages/requested/index?instanceId=7545745513530933279&amp;source=bitable&amp;path=pages/detail/index?instanceId=7545745513530933279&amp;source=bitable", "202509030037")</f>
        <v>202509030037</v>
      </c>
      <c r="B342" t="inlineStr">
        <is>
          <t>Approved</t>
        </is>
      </c>
      <c r="C342" t="inlineStr">
        <is>
          <t>Procurement Order</t>
        </is>
      </c>
      <c r="D342" s="3">
        <v>45903.60166666667</v>
      </c>
      <c r="E342" s="3">
        <v>45903.73841435185</v>
      </c>
      <c r="F342" t="inlineStr">
        <is>
          <t>Fatima Kathleen M. FLores</t>
        </is>
      </c>
      <c r="G342" t="inlineStr">
        <is>
          <t>Procurement</t>
        </is>
      </c>
      <c r="H342"/>
      <c r="I342"/>
      <c r="J342" t="inlineStr">
        <is>
          <t>Project</t>
        </is>
      </c>
      <c r="K342" t="inlineStr">
        <is>
          <t>PDEI - Event Service</t>
        </is>
      </c>
      <c r="L342" t="inlineStr">
        <is>
          <t>MPL PH S16 - Regular Season</t>
        </is>
      </c>
      <c r="M342" t="inlineStr">
        <is>
          <t>2025TEG-P0214</t>
        </is>
      </c>
      <c r="N342" t="inlineStr">
        <is>
          <t>Jessica Jane Lor Felicilda</t>
        </is>
      </c>
      <c r="O342" t="inlineStr">
        <is>
          <t>202508220019-Jessica Jane Lor Felicilda-费用报销 - 副本 - 副本 - 副本-2025-08-22 04:09:16</t>
        </is>
      </c>
      <c r="P342" t="inlineStr">
        <is>
          <t>NO</t>
        </is>
      </c>
      <c r="Q342"/>
      <c r="R342" t="inlineStr">
        <is>
          <t>NO</t>
        </is>
      </c>
      <c r="S342" t="inlineStr">
        <is>
          <t>Reserved Parking (15 - 20 - 15 slots / Week 3 - Sept. 5 to 7, 2025)</t>
        </is>
      </c>
      <c r="T342">
        <v>1</v>
      </c>
      <c r="U342">
        <v>15500</v>
      </c>
      <c r="V342" t="inlineStr">
        <is>
          <t>PHP</t>
        </is>
      </c>
      <c r="W342">
        <v>15500</v>
      </c>
      <c r="X342" s="2" t="str">
        <f>=HYPERLINK("https://www.larksuite.com/approval/admin/previewAttachment?key=PMi7DcJAEATQlmb2c3NLMyQ-WchgEiSyrR2JwOkbkxgz6aMQRSuwlZGKTHo6yt1UbU2pIIrsde735XM-12bH-bbXkf19bPv6MEtmkEf4BMDb5a6IqBqBv-MXAAD__w", "2 attachment(s)")</f>
        <v>2 attachment(s)</v>
      </c>
      <c r="Y342" t="inlineStr">
        <is>
          <t>Bank Transfer</t>
        </is>
      </c>
      <c r="Z342" t="inlineStr">
        <is>
          <t>Ecotechland, Inc.</t>
        </is>
      </c>
      <c r="AA342" t="inlineStr">
        <is>
          <t>001450007951</t>
        </is>
      </c>
      <c r="AB342" t="inlineStr">
        <is>
          <t>BDO</t>
        </is>
      </c>
      <c r="AC342" t="inlineStr">
        <is>
          <t>Mezzanine Floor, Ecoplaza Building, 2305 Don Chino Roces Ave. Extension, Brgy. Magallanes, Makati City</t>
        </is>
      </c>
      <c r="AD342" s="4">
        <v>45905</v>
      </c>
      <c r="AE342" t="inlineStr">
        <is>
          <t>100% Full Payment</t>
        </is>
      </c>
      <c r="AF342" s="2" t="str">
        <f>=HYPERLINK("https://www.larksuite.com/approval/admin/previewAttachment?key=TMg7CsJgEATgK83se72MTX6CRGMj2O3ZBau0XxQR5dRoWFManHTzNHeqK1pVskeGmY1kkrPO_b606rk2Oc63vA6f72Pb14dRGrB2MzYA3i5OoktD_45fAAAA__8", "1 attachment(s)")</f>
        <v>1 attachment(s)</v>
      </c>
      <c r="AG342" t="inlineStr">
        <is>
          <t>NzQyNTk5MTgyNzQ4MTg3MDM0MTpGMUQ2Q0RENS0zREJFLTQxOEQtODUzNy1BM0QzMDFDMkYzMEYtMTpjNzNlNWM4ZjJiNDhlMjE5N2RlOTc0NDhjZmM1MWFmYjox</t>
        </is>
      </c>
      <c r="AH342" t="inlineStr">
        <is>
          <t>Ecotechland, Inc.</t>
        </is>
      </c>
      <c r="AI342"/>
      <c r="AJ342"/>
      <c r="AK342"/>
    </row>
    <row r="343" ht="25.5" customHeight="1">
      <c r="A343" s="2" t="str">
        <f>=HYPERLINK("https://applink.larksuite.com/client/mini_program/open?appId=cli_9c7cc8a9a9edd105&amp;mode=appCenter&amp;path_pc=pc/pages/requested/index?instanceId=7545774709481291807&amp;source=bitable&amp;path=pages/detail/index?instanceId=7545774709481291807&amp;source=bitable", "202509030060")</f>
        <v>202509030060</v>
      </c>
      <c r="B343" t="inlineStr">
        <is>
          <t>Approved</t>
        </is>
      </c>
      <c r="C343" t="inlineStr">
        <is>
          <t>Procurement Order</t>
        </is>
      </c>
      <c r="D343" s="3">
        <v>45903.680347222224</v>
      </c>
      <c r="E343" s="3">
        <v>45904.65547453704</v>
      </c>
      <c r="F343" t="inlineStr">
        <is>
          <t>Fatima Kathleen M. FLores</t>
        </is>
      </c>
      <c r="G343" t="inlineStr">
        <is>
          <t>Procurement</t>
        </is>
      </c>
      <c r="H343"/>
      <c r="I343"/>
      <c r="J343" t="inlineStr">
        <is>
          <t>Project</t>
        </is>
      </c>
      <c r="K343" t="inlineStr">
        <is>
          <t>PDEI - Event Service</t>
        </is>
      </c>
      <c r="L343" t="inlineStr">
        <is>
          <t>MPL PH S16 - Regular Season</t>
        </is>
      </c>
      <c r="M343" t="inlineStr">
        <is>
          <t>2025TEG-P0214</t>
        </is>
      </c>
      <c r="N343" t="inlineStr">
        <is>
          <t>Jessica Jane Lor Felicilda</t>
        </is>
      </c>
      <c r="O343" t="inlineStr">
        <is>
          <t>202507280018-Jessica Jane Lor Felicilda-费用报销 - 副本 - 副本 - 副本-2025-07-28 03:20:42</t>
        </is>
      </c>
      <c r="P343" t="inlineStr">
        <is>
          <t>YES</t>
        </is>
      </c>
      <c r="Q343"/>
      <c r="R343" t="inlineStr">
        <is>
          <t>NO</t>
        </is>
      </c>
      <c r="S343" t="inlineStr">
        <is>
          <t>Outsourced Teleprompter (RS &amp; PO)</t>
        </is>
      </c>
      <c r="T343">
        <v>1</v>
      </c>
      <c r="U343">
        <v>54450</v>
      </c>
      <c r="V343" t="inlineStr">
        <is>
          <t>PHP</t>
        </is>
      </c>
      <c r="W343">
        <v>54450</v>
      </c>
      <c r="X343" s="2" t="str">
        <f>=HYPERLINK("https://www.larksuite.com/approval/admin/previewAttachment?key=PMgxCgIxFATQK838_GT-eBmbXRZZjAiC2OTsgoXtG0WM6mzDSDMMLvXsUgrOYpgFrViUDFGMtc_j6nNObGfct_o88Vjv23bsL3YrAmqZrQDw8vemzLRH4uf4BgAA__8", "2 attachment(s)")</f>
        <v>2 attachment(s)</v>
      </c>
      <c r="Y343" t="inlineStr">
        <is>
          <t>Bank Transfer</t>
        </is>
      </c>
      <c r="Z343" t="inlineStr">
        <is>
          <t>Mc Kenneth R. Esteban</t>
        </is>
      </c>
      <c r="AA343" t="inlineStr">
        <is>
          <t>9619212212</t>
        </is>
      </c>
      <c r="AB343" t="inlineStr">
        <is>
          <t>BPI</t>
        </is>
      </c>
      <c r="AC343" t="inlineStr">
        <is>
          <t>10 Kasoy St. Pasong Tamo Quezon City</t>
        </is>
      </c>
      <c r="AD343" s="4">
        <v>45889</v>
      </c>
      <c r="AE343" t="inlineStr">
        <is>
          <t>1st Payment - Sept. 12, 2025
2nd Payment - Oct. 3, 2025
3rd Payment - Oct. 24, 2025
4th Payment - Nov. 14, 2025
Final Payment - Nov. 28, 2025</t>
        </is>
      </c>
      <c r="AF343" s="2"/>
      <c r="AG343" t="inlineStr">
        <is>
          <t>NzQyNTk5MTgyNzQ4MTg3MDM0MToxOUE5QTVDOC1DNTY4LTQ2NTQtOEJEQi1FMDBGQzJGMDE2NTgtMTpkMzU1M2MwNmFhNTZlZTRjZWJhMzBkNzg4YzdhYTIwZTox</t>
        </is>
      </c>
      <c r="AH343" t="inlineStr">
        <is>
          <t>Mc Kenneth R. Esteban</t>
        </is>
      </c>
      <c r="AI343"/>
      <c r="AJ343"/>
      <c r="AK343"/>
    </row>
    <row r="344" ht="25.5" customHeight="1">
      <c r="A344" s="2" t="str">
        <f>=HYPERLINK("https://applink.larksuite.com/client/mini_program/open?appId=cli_9c7cc8a9a9edd105&amp;mode=appCenter&amp;path_pc=pc/pages/requested/index?instanceId=7545779217032560672&amp;source=bitable&amp;path=pages/detail/index?instanceId=7545779217032560672&amp;source=bitable", "202509030066")</f>
        <v>202509030066</v>
      </c>
      <c r="B344" t="inlineStr">
        <is>
          <t>Approved</t>
        </is>
      </c>
      <c r="C344" t="inlineStr">
        <is>
          <t>Procurement Order</t>
        </is>
      </c>
      <c r="D344" s="3">
        <v>45903.6925</v>
      </c>
      <c r="E344" s="3">
        <v>45911.73365740741</v>
      </c>
      <c r="F344" t="inlineStr">
        <is>
          <t>Fatima Kathleen M. FLores</t>
        </is>
      </c>
      <c r="G344" t="inlineStr">
        <is>
          <t>Procurement</t>
        </is>
      </c>
      <c r="H344"/>
      <c r="I344"/>
      <c r="J344" t="inlineStr">
        <is>
          <t>Project</t>
        </is>
      </c>
      <c r="K344" t="inlineStr">
        <is>
          <t>PDEI - Event Service</t>
        </is>
      </c>
      <c r="L344" t="inlineStr">
        <is>
          <t>MPL PH S16 - Regular Season</t>
        </is>
      </c>
      <c r="M344" t="inlineStr">
        <is>
          <t>2025TEG-P0214</t>
        </is>
      </c>
      <c r="N344" t="inlineStr">
        <is>
          <t>Jessica Jane Lor Felicilda</t>
        </is>
      </c>
      <c r="O344" t="inlineStr">
        <is>
          <t>202507280040-Jessica Jane Lor Felicilda-费用报销 - 副本 - 副本 - 副本-2025-07-28 04:41:22</t>
        </is>
      </c>
      <c r="P344" t="inlineStr">
        <is>
          <t>YES</t>
        </is>
      </c>
      <c r="Q344"/>
      <c r="R344" t="inlineStr">
        <is>
          <t>YES</t>
        </is>
      </c>
      <c r="S344" t="inlineStr">
        <is>
          <t>Outsourced Stream Engineer (RS &amp; PO)</t>
        </is>
      </c>
      <c r="T344">
        <v>1</v>
      </c>
      <c r="U344">
        <v>66000</v>
      </c>
      <c r="V344" t="inlineStr">
        <is>
          <t>PHP</t>
        </is>
      </c>
      <c r="W344">
        <v>66000</v>
      </c>
      <c r="X344" s="2" t="str">
        <f>=HYPERLINK("https://www.larksuite.com/approval/admin/previewAttachment?key=PMg7jsJAEATQK1X1r6b3Mpt4ZJEQISMnfXYkAtJXi6iV9GpE0xocZaTURsEtCyUbG0oNUfTZz_MfHpHifVy5r9vn_TjO_WK2zCCP8AWAfz93RUR3Bb6OTwAAAP__", "2 attachment(s)")</f>
        <v>2 attachment(s)</v>
      </c>
      <c r="Y344" t="inlineStr">
        <is>
          <t>Bank Transfer</t>
        </is>
      </c>
      <c r="Z344" t="inlineStr">
        <is>
          <t>SEAN JHONAS A. ARAGO</t>
        </is>
      </c>
      <c r="AA344" t="inlineStr">
        <is>
          <t>011880108133</t>
        </is>
      </c>
      <c r="AB344" t="inlineStr">
        <is>
          <t>BDO</t>
        </is>
      </c>
      <c r="AC344" t="inlineStr">
        <is>
          <t>7 SUNFLOWER ST. LUMANG BAYAN EXECUTIVE VILLAGE, BRGY. MAYAMOT, ANTIPOLO CITY</t>
        </is>
      </c>
      <c r="AD344" s="4">
        <v>45889</v>
      </c>
      <c r="AE344" t="inlineStr">
        <is>
          <t>1st Payment - Sept. 12, 2025
2nd Payment - Oct. 3, 2025
3rd Payment - Oct. 24, 2025
4th Payment - Nov. 14, 2025
Final Payment - Nov. 28, 2025</t>
        </is>
      </c>
      <c r="AF344" s="2"/>
      <c r="AG344" t="inlineStr">
        <is>
          <t>NzQyNTk5MTgyNzQ4MTg3MDM0MTowNkYxOUQ2Ri05MDU0LTRFOTUtOThFQy05MzlGOUJCNEQ0QjEtMToxNzQ0OGY2ZTdkYjEzOTUyN2VkYzJlNzMxMDY3YzE2YTox</t>
        </is>
      </c>
      <c r="AH344" t="inlineStr">
        <is>
          <t>SEAN JHONAS A. ARAGO</t>
        </is>
      </c>
      <c r="AI344"/>
      <c r="AJ344"/>
      <c r="AK344"/>
    </row>
    <row r="345" ht="25.5" customHeight="1">
      <c r="A345" s="2" t="str">
        <f>=HYPERLINK("https://applink.larksuite.com/client/mini_program/open?appId=cli_9c7cc8a9a9edd105&amp;mode=appCenter&amp;path_pc=pc/pages/requested/index?instanceId=7545779484247539751&amp;source=bitable&amp;path=pages/detail/index?instanceId=7545779484247539751&amp;source=bitable", "202509030067")</f>
        <v>202509030067</v>
      </c>
      <c r="B345" t="inlineStr">
        <is>
          <t>Approved</t>
        </is>
      </c>
      <c r="C345" t="inlineStr">
        <is>
          <t>Procurement Order</t>
        </is>
      </c>
      <c r="D345" s="3">
        <v>45903.69321759259</v>
      </c>
      <c r="E345" s="3">
        <v>45904.65385416667</v>
      </c>
      <c r="F345" t="inlineStr">
        <is>
          <t>Fatima Kathleen M. FLores</t>
        </is>
      </c>
      <c r="G345" t="inlineStr">
        <is>
          <t>Procurement</t>
        </is>
      </c>
      <c r="H345"/>
      <c r="I345"/>
      <c r="J345" t="inlineStr">
        <is>
          <t>Project</t>
        </is>
      </c>
      <c r="K345" t="inlineStr">
        <is>
          <t>PDEI - Event Service</t>
        </is>
      </c>
      <c r="L345" t="inlineStr">
        <is>
          <t>MPL PH S16 - Regular Season</t>
        </is>
      </c>
      <c r="M345" t="inlineStr">
        <is>
          <t>2025TEG-P0214</t>
        </is>
      </c>
      <c r="N345" t="inlineStr">
        <is>
          <t>Jessica Jane Lor Felicilda</t>
        </is>
      </c>
      <c r="O345" t="inlineStr">
        <is>
          <t>202507280039-Jessica Jane Lor Felicilda-费用报销 - 副本 - 副本 - 副本-2025-07-28 04:36:05</t>
        </is>
      </c>
      <c r="P345" t="inlineStr">
        <is>
          <t>YES</t>
        </is>
      </c>
      <c r="Q345"/>
      <c r="R345" t="inlineStr">
        <is>
          <t>NO</t>
        </is>
      </c>
      <c r="S345" t="inlineStr">
        <is>
          <t>Outsourced Lead Stream Engineer (RS &amp; PO)</t>
        </is>
      </c>
      <c r="T345">
        <v>1</v>
      </c>
      <c r="U345">
        <v>89100</v>
      </c>
      <c r="V345" t="inlineStr">
        <is>
          <t>PHP</t>
        </is>
      </c>
      <c r="W345">
        <v>89100</v>
      </c>
      <c r="X345" s="2" t="str">
        <f>=HYPERLINK("https://www.larksuite.com/approval/admin/previewAttachment?key=PMgxCgJBDAXQK-UnP_MTL2OzwyCClbhWc3bBYts3CjYqEaONDW_DVjKlZtGpjFZi-4bUJgi-52vdj0_VRD6_K5ZO7vNxrPlGttxNQUaZGW6Xh0h2D9rf7RcAAP__", "2 attachment(s)")</f>
        <v>2 attachment(s)</v>
      </c>
      <c r="Y345" t="inlineStr">
        <is>
          <t>Bank Transfer</t>
        </is>
      </c>
      <c r="Z345" t="inlineStr">
        <is>
          <t>Ernesto L. Senedrin III</t>
        </is>
      </c>
      <c r="AA345" t="inlineStr">
        <is>
          <t>109425334198</t>
        </is>
      </c>
      <c r="AB345" t="inlineStr">
        <is>
          <t>Unionbank</t>
        </is>
      </c>
      <c r="AC345" t="inlineStr">
        <is>
          <t>North Tower, Unit 23D, The Radiance Manila Bay, Roxas Blvd, Pasay</t>
        </is>
      </c>
      <c r="AD345" s="4">
        <v>45889</v>
      </c>
      <c r="AE345" t="inlineStr">
        <is>
          <t>1st Payment - Sept. 12, 2025
2nd Payment - Oct. 3, 2025
3rd Payment - Oct. 24, 2025
4th Payment - Nov. 14, 2025
Final Payment - Nov. 28, 2025</t>
        </is>
      </c>
      <c r="AF345" s="2"/>
      <c r="AG345" t="inlineStr">
        <is>
          <t>NzQyNTk5MTgyNzQ4MTg3MDM0MToyMDVFM0Y1NS0xNDg4LTQ3QzQtODE2Ni02NDg5Q0QyRUEwQ0EtMTphMDg5ODllNzM5MjUwMjdkYWQ2ZjM4MTc5MWY2MTllYTox</t>
        </is>
      </c>
      <c r="AH345" t="inlineStr">
        <is>
          <t>Ernesto L. Senedrin III</t>
        </is>
      </c>
      <c r="AI345"/>
      <c r="AJ345"/>
      <c r="AK345"/>
    </row>
    <row r="346" ht="25.5" customHeight="1">
      <c r="A346" s="2" t="str">
        <f>=HYPERLINK("https://applink.larksuite.com/client/mini_program/open?appId=cli_9c7cc8a9a9edd105&amp;mode=appCenter&amp;path_pc=pc/pages/requested/index?instanceId=7545782879205310502&amp;source=bitable&amp;path=pages/detail/index?instanceId=7545782879205310502&amp;source=bitable", "202509030071")</f>
        <v>202509030071</v>
      </c>
      <c r="B346" t="inlineStr">
        <is>
          <t>Approved</t>
        </is>
      </c>
      <c r="C346" t="inlineStr">
        <is>
          <t>Procurement Order</t>
        </is>
      </c>
      <c r="D346" s="3">
        <v>45903.702361111114</v>
      </c>
      <c r="E346" s="3">
        <v>45904.65027777778</v>
      </c>
      <c r="F346" t="inlineStr">
        <is>
          <t>Fatima Kathleen M. FLores</t>
        </is>
      </c>
      <c r="G346" t="inlineStr">
        <is>
          <t>Procurement</t>
        </is>
      </c>
      <c r="H346"/>
      <c r="I346"/>
      <c r="J346" t="inlineStr">
        <is>
          <t>Project</t>
        </is>
      </c>
      <c r="K346" t="inlineStr">
        <is>
          <t>PDEI - Event Service</t>
        </is>
      </c>
      <c r="L346" t="inlineStr">
        <is>
          <t>MPL PH S16 - Regular Season</t>
        </is>
      </c>
      <c r="M346" t="inlineStr">
        <is>
          <t>2025TEG-P0214</t>
        </is>
      </c>
      <c r="N346" t="inlineStr">
        <is>
          <t>Jessica Jane Lor Felicilda</t>
        </is>
      </c>
      <c r="O346" t="inlineStr">
        <is>
          <t>202507280041-Jessica Jane Lor Felicilda-费用报销 - 副本 - 副本 - 副本-2025-07-28 04:43:29</t>
        </is>
      </c>
      <c r="P346" t="inlineStr">
        <is>
          <t>YES</t>
        </is>
      </c>
      <c r="Q346"/>
      <c r="R346" t="inlineStr">
        <is>
          <t>NO</t>
        </is>
      </c>
      <c r="S346" t="inlineStr">
        <is>
          <t>Outsourced Floor Director (RS &amp; PO)</t>
        </is>
      </c>
      <c r="T346">
        <v>1</v>
      </c>
      <c r="U346">
        <v>77000</v>
      </c>
      <c r="V346" t="inlineStr">
        <is>
          <t>PHP</t>
        </is>
      </c>
      <c r="W346">
        <v>77000</v>
      </c>
      <c r="X346" s="2" t="str">
        <f>=HYPERLINK("https://www.larksuite.com/approval/admin/previewAttachment?key=PMg9qkJRDATgLc3k50zyNvOac7mIIAii2GTtgoXtt4pYlfTViKY1OMpIlZXakE4kbGwoNUTR5rid_5l7t65P6v5OaF6XfR4PZssM8ggvAPz7uSsiulfg6_gEAAD__w", "2 attachment(s)")</f>
        <v>2 attachment(s)</v>
      </c>
      <c r="Y346" t="inlineStr">
        <is>
          <t>Bank Transfer</t>
        </is>
      </c>
      <c r="Z346" t="inlineStr">
        <is>
          <t>Ralph Renzo V. Desamparado</t>
        </is>
      </c>
      <c r="AA346" t="inlineStr">
        <is>
          <t>0968-222-2986</t>
        </is>
      </c>
      <c r="AB346" t="inlineStr">
        <is>
          <t>GCash</t>
        </is>
      </c>
      <c r="AC346" t="inlineStr">
        <is>
          <t>Blk 8 lot 9 Valencia St. Phase 1 Avida Santa Catalina Barangay Salawag City of Dasmariñas Cavite</t>
        </is>
      </c>
      <c r="AD346" s="4">
        <v>45889</v>
      </c>
      <c r="AE346" t="inlineStr">
        <is>
          <t>1st Payment - Sept. 5, 2025
2nd Payment - Sept. 26, 2025
3rd Payment - Oct. 17, 2025
4th Payment - Nov. 7, 2025
Final Payment - Nov. 21, 2025</t>
        </is>
      </c>
      <c r="AF346" s="2"/>
      <c r="AG346" t="inlineStr">
        <is>
          <t>NzQyNTk5MTgyNzQ4MTg3MDM0MTo4MzREMzVFMC0xMTRCLTQ0NjItQjk2OC0yRTlBQzVCNkI4QTAtMTozZjM0YzNlZDc4YWZkMTE0YjJkY2Q1NmY4MmQ3MWZmYjox</t>
        </is>
      </c>
      <c r="AH346" t="inlineStr">
        <is>
          <t>Ralph Renzo V. Desamparado</t>
        </is>
      </c>
      <c r="AI346"/>
      <c r="AJ346"/>
      <c r="AK346"/>
    </row>
    <row r="347" ht="25.5" customHeight="1">
      <c r="A347" s="2" t="str">
        <f>=HYPERLINK("https://applink.larksuite.com/client/mini_program/open?appId=cli_9c7cc8a9a9edd105&amp;mode=appCenter&amp;path_pc=pc/pages/requested/index?instanceId=7545784558055129119&amp;source=bitable&amp;path=pages/detail/index?instanceId=7545784558055129119&amp;source=bitable", "202509030075")</f>
        <v>202509030075</v>
      </c>
      <c r="B347" t="inlineStr">
        <is>
          <t>Approved</t>
        </is>
      </c>
      <c r="C347" t="inlineStr">
        <is>
          <t>Procurement Order</t>
        </is>
      </c>
      <c r="D347" s="3">
        <v>45903.70688657407</v>
      </c>
      <c r="E347" s="3">
        <v>45904.64871527778</v>
      </c>
      <c r="F347" t="inlineStr">
        <is>
          <t>Fatima Kathleen M. FLores</t>
        </is>
      </c>
      <c r="G347" t="inlineStr">
        <is>
          <t>Procurement</t>
        </is>
      </c>
      <c r="H347"/>
      <c r="I347"/>
      <c r="J347" t="inlineStr">
        <is>
          <t>Project</t>
        </is>
      </c>
      <c r="K347" t="inlineStr">
        <is>
          <t>PDEI - Event Service</t>
        </is>
      </c>
      <c r="L347" t="inlineStr">
        <is>
          <t>MPL PH S16 - Regular Season</t>
        </is>
      </c>
      <c r="M347" t="inlineStr">
        <is>
          <t>2025TEG-P0214</t>
        </is>
      </c>
      <c r="N347" t="inlineStr">
        <is>
          <t>Jessica Jane Lor Felicilda</t>
        </is>
      </c>
      <c r="O347" t="inlineStr">
        <is>
          <t>202507280042-Jessica Jane Lor Felicilda-费用报销 - 副本 - 副本 - 副本-2025-07-28 04:47:45</t>
        </is>
      </c>
      <c r="P347" t="inlineStr">
        <is>
          <t>YES</t>
        </is>
      </c>
      <c r="Q347"/>
      <c r="R347" t="inlineStr">
        <is>
          <t>NO</t>
        </is>
      </c>
      <c r="S347" t="inlineStr">
        <is>
          <t>Outsourced Stage Hands (RS &amp; PO)</t>
        </is>
      </c>
      <c r="T347">
        <v>1</v>
      </c>
      <c r="U347">
        <v>50000</v>
      </c>
      <c r="V347" t="inlineStr">
        <is>
          <t>PHP</t>
        </is>
      </c>
      <c r="W347">
        <v>50000</v>
      </c>
      <c r="X347" s="2" t="str">
        <f>=HYPERLINK("https://www.larksuite.com/approval/admin/previewAttachment?key=PMgxrgIxEAPQK9mTmTj-l_nNriIoqFAQW-TsSBS0rw-ij2LrRpphcKuyNLJqoIph0js2JUMUY5-P-b-uOd-XpWMt8L5ft2OeT5YVAbXMNgDw7-dNmWn3xNfxCQAA__8", "2 attachment(s)")</f>
        <v>2 attachment(s)</v>
      </c>
      <c r="Y347" t="inlineStr">
        <is>
          <t>Bank Transfer</t>
        </is>
      </c>
      <c r="Z347" t="inlineStr">
        <is>
          <t>Jant Lloyd Quinto</t>
        </is>
      </c>
      <c r="AA347" t="inlineStr">
        <is>
          <t>09288619950</t>
        </is>
      </c>
      <c r="AB347" t="inlineStr">
        <is>
          <t>GCash</t>
        </is>
      </c>
      <c r="AC347" t="inlineStr">
        <is>
          <t>5 Col. Ozamis Street, Santa Cruz San Francisco Del Monte Quezon city</t>
        </is>
      </c>
      <c r="AD347" s="4">
        <v>45889</v>
      </c>
      <c r="AE347" t="inlineStr">
        <is>
          <t>1st Payment - Sept. 5, 2025
2nd Payment - Sept. 26, 2025
3rd Payment - Oct. 17, 2025
4th Payment - Nov. 7, 2025
Final Payment - Nov. 21, 2025</t>
        </is>
      </c>
      <c r="AF347" s="2"/>
      <c r="AG347" t="inlineStr">
        <is>
          <t>NzQyNTk5MTgyNzQ4MTg3MDM0MTo0MjU5NkQzQS1EMEJELTRDNzYtQjk0RC03RjNBOEJFQjBFQTUtMTo0MmQ0YjM1Njc0MTkxOWRhNDExNmIzYjU4ZjQ2Y2U3MTox</t>
        </is>
      </c>
      <c r="AH347" t="inlineStr">
        <is>
          <t>Jant Lloyd Quinto</t>
        </is>
      </c>
      <c r="AI347"/>
      <c r="AJ347"/>
      <c r="AK347"/>
    </row>
    <row r="348" ht="25.5" customHeight="1">
      <c r="A348" s="2" t="str">
        <f>=HYPERLINK("https://applink.larksuite.com/client/mini_program/open?appId=cli_9c7cc8a9a9edd105&amp;mode=appCenter&amp;path_pc=pc/pages/requested/index?instanceId=7545808082308235296&amp;source=bitable&amp;path=pages/detail/index?instanceId=7545808082308235296&amp;source=bitable", "202509030083")</f>
        <v>202509030083</v>
      </c>
      <c r="B348" t="inlineStr">
        <is>
          <t>Approved</t>
        </is>
      </c>
      <c r="C348" t="inlineStr">
        <is>
          <t>Procurement Order</t>
        </is>
      </c>
      <c r="D348" s="3">
        <v>45903.77027777778</v>
      </c>
      <c r="E348" s="3">
        <v>45904.646886574075</v>
      </c>
      <c r="F348" t="inlineStr">
        <is>
          <t>Fatima Kathleen M. FLores</t>
        </is>
      </c>
      <c r="G348" t="inlineStr">
        <is>
          <t>Procurement</t>
        </is>
      </c>
      <c r="H348"/>
      <c r="I348"/>
      <c r="J348" t="inlineStr">
        <is>
          <t>Project</t>
        </is>
      </c>
      <c r="K348" t="inlineStr">
        <is>
          <t>PDEI - Event Service</t>
        </is>
      </c>
      <c r="L348" t="inlineStr">
        <is>
          <t>MPL PH S16 - Regular Season</t>
        </is>
      </c>
      <c r="M348" t="inlineStr">
        <is>
          <t>2025TEG-P0214</t>
        </is>
      </c>
      <c r="N348" t="inlineStr">
        <is>
          <t>Jessica Jane Lor Felicilda</t>
        </is>
      </c>
      <c r="O348" t="inlineStr">
        <is>
          <t>202507280060-Jessica Jane Lor Felicilda-费用报销 - 副本 - 副本 - 副本-2025-07-28 06:44:28</t>
        </is>
      </c>
      <c r="P348" t="inlineStr">
        <is>
          <t>YES</t>
        </is>
      </c>
      <c r="Q348"/>
      <c r="R348" t="inlineStr">
        <is>
          <t>NO</t>
        </is>
      </c>
      <c r="S348" t="inlineStr">
        <is>
          <t>Outsourced Liaison Officer (RS &amp; PO)</t>
        </is>
      </c>
      <c r="T348">
        <v>1</v>
      </c>
      <c r="U348">
        <v>46500</v>
      </c>
      <c r="V348" t="inlineStr">
        <is>
          <t>PHP</t>
        </is>
      </c>
      <c r="W348">
        <v>46500</v>
      </c>
      <c r="X348" s="2" t="str">
        <f>=HYPERLINK("https://www.larksuite.com/approval/admin/previewAttachment?key=PMg7DsJQDATAK63t9Y_L0BA9USQVIql8dgQFxTQTJYhysWiwRRsy6fRCodS-XDtGRzIbKSk627HuF9fadN_f53GZc87nY20v8U5VpJFWAOT2f0uS3UH8Hp8AAAD__w", "2 attachment(s)")</f>
        <v>2 attachment(s)</v>
      </c>
      <c r="Y348" t="inlineStr">
        <is>
          <t>Bank Transfer</t>
        </is>
      </c>
      <c r="Z348" t="inlineStr">
        <is>
          <t>Marc Kevin Serrano</t>
        </is>
      </c>
      <c r="AA348" t="inlineStr">
        <is>
          <t>1519218972</t>
        </is>
      </c>
      <c r="AB348" t="inlineStr">
        <is>
          <t>BPI</t>
        </is>
      </c>
      <c r="AC348" t="inlineStr">
        <is>
          <t>3 Don Guillermo Street, Barangay Holy Spirit, Commonwealth, Quezon City, Metro Manila</t>
        </is>
      </c>
      <c r="AD348" s="4">
        <v>45889</v>
      </c>
      <c r="AE348" t="inlineStr">
        <is>
          <t>1st Payment - Sept. 5, 2025
2nd Payment - Sept. 26, 2025
3rd Payment - Oct. 17, 2025
4th Payment - Nov. 7, 2025
Final Payment - Nov. 21, 2025</t>
        </is>
      </c>
      <c r="AF348" s="2"/>
      <c r="AG348" t="inlineStr">
        <is>
          <t>NzQyNTk5MTgyNzQ4MTg3MDM0MTpBMTdEOUFCNC1FM0IzLTRDMDYtOTVDQy05MDYwN0MzN0VCMTEtMTowZGE0Y2VlOGVjZjk3ZDM1N2E0YjM0NWMyNjEyZjMxZjox</t>
        </is>
      </c>
      <c r="AH348" t="inlineStr">
        <is>
          <t>Marc Kevin Serrano</t>
        </is>
      </c>
      <c r="AI348"/>
      <c r="AJ348"/>
      <c r="AK348"/>
    </row>
    <row r="349" ht="25.5" customHeight="1">
      <c r="A349" s="2" t="str">
        <f>=HYPERLINK("https://applink.larksuite.com/client/mini_program/open?appId=cli_9c7cc8a9a9edd105&amp;mode=appCenter&amp;path_pc=pc/pages/requested/index?instanceId=7545809814354427943&amp;source=bitable&amp;path=pages/detail/index?instanceId=7545809814354427943&amp;source=bitable", "202509030085")</f>
        <v>202509030085</v>
      </c>
      <c r="B349" t="inlineStr">
        <is>
          <t>Approved</t>
        </is>
      </c>
      <c r="C349" t="inlineStr">
        <is>
          <t>Procurement Order</t>
        </is>
      </c>
      <c r="D349" s="3">
        <v>45903.7749537037</v>
      </c>
      <c r="E349" s="3">
        <v>45904.645416666666</v>
      </c>
      <c r="F349" t="inlineStr">
        <is>
          <t>Fatima Kathleen M. FLores</t>
        </is>
      </c>
      <c r="G349" t="inlineStr">
        <is>
          <t>Procurement</t>
        </is>
      </c>
      <c r="H349"/>
      <c r="I349"/>
      <c r="J349" t="inlineStr">
        <is>
          <t>Project</t>
        </is>
      </c>
      <c r="K349" t="inlineStr">
        <is>
          <t>PDEI - Event Service</t>
        </is>
      </c>
      <c r="L349" t="inlineStr">
        <is>
          <t>MPL PH S16 - Regular Season</t>
        </is>
      </c>
      <c r="M349" t="inlineStr">
        <is>
          <t>2025TEG-P0214</t>
        </is>
      </c>
      <c r="N349" t="inlineStr">
        <is>
          <t>Jessica Jane Lor Felicilda</t>
        </is>
      </c>
      <c r="O349" t="inlineStr">
        <is>
          <t>202507280060-Jessica Jane Lor Felicilda-费用报销 - 副本 - 副本 - 副本-2025-07-28 06:44:28</t>
        </is>
      </c>
      <c r="P349" t="inlineStr">
        <is>
          <t>YES</t>
        </is>
      </c>
      <c r="Q349"/>
      <c r="R349" t="inlineStr">
        <is>
          <t>NO</t>
        </is>
      </c>
      <c r="S349" t="inlineStr">
        <is>
          <t>Outsourced Liaison Officer (RS &amp; PO)</t>
        </is>
      </c>
      <c r="T349">
        <v>1</v>
      </c>
      <c r="U349">
        <v>46500</v>
      </c>
      <c r="V349" t="inlineStr">
        <is>
          <t>PHP</t>
        </is>
      </c>
      <c r="W349">
        <v>46500</v>
      </c>
      <c r="X349" s="2" t="str">
        <f>=HYPERLINK("https://www.larksuite.com/approval/admin/previewAttachment?key=PMgxDsIwFAPQK9n5Tn7MZVioIhjKgminf3Ykhq5vTGLMzhiGzGawsqtPeFLRpZZWVCtmGskka9vX_eBacb52-fs-A3U8H2v7sDtbQ4YUEwBvl0dKsofwd_wCAAD__w", "2 attachment(s)")</f>
        <v>2 attachment(s)</v>
      </c>
      <c r="Y349" t="inlineStr">
        <is>
          <t>Bank Transfer</t>
        </is>
      </c>
      <c r="Z349" t="inlineStr">
        <is>
          <t>Kyne-kyne Lalaine S. Lao</t>
        </is>
      </c>
      <c r="AA349" t="inlineStr">
        <is>
          <t>0626081293</t>
        </is>
      </c>
      <c r="AB349" t="inlineStr">
        <is>
          <t>BPI</t>
        </is>
      </c>
      <c r="AC349" t="inlineStr">
        <is>
          <t>117 Pacheco St. Tondo Manila</t>
        </is>
      </c>
      <c r="AD349" s="4">
        <v>45889</v>
      </c>
      <c r="AE349" t="inlineStr">
        <is>
          <t>1st Payment - Sept. 5, 2025
2nd Payment - Sept. 26, 2025
3rd Payment - Oct. 17, 2025
4th Payment - Nov. 7, 2025
Final Payment - Nov. 21, 2025</t>
        </is>
      </c>
      <c r="AF349" s="2"/>
      <c r="AG349" t="inlineStr">
        <is>
          <t>NzQyNTk5MTgyNzQ4MTg3MDM0MTo4RTFCRjRGQy0wNjU4LTRBNDctODk4My1BQkYyNEIyOEVFRjItMTo5NWJkODMzMmQ3ODhkMTE0OTFjZmQyYmI0ZGY4YThlODox</t>
        </is>
      </c>
      <c r="AH349" t="inlineStr">
        <is>
          <t>Kyne-kyne Lalaine S. Lao</t>
        </is>
      </c>
      <c r="AI349"/>
      <c r="AJ349"/>
      <c r="AK349"/>
    </row>
    <row r="350" ht="25.5" customHeight="1">
      <c r="A350" s="2" t="str">
        <f>=HYPERLINK("https://applink.larksuite.com/client/mini_program/open?appId=cli_9c7cc8a9a9edd105&amp;mode=appCenter&amp;path_pc=pc/pages/requested/index?instanceId=7545811105961050151&amp;source=bitable&amp;path=pages/detail/index?instanceId=7545811105961050151&amp;source=bitable", "202509030086")</f>
        <v>202509030086</v>
      </c>
      <c r="B350" t="inlineStr">
        <is>
          <t>Approved</t>
        </is>
      </c>
      <c r="C350" t="inlineStr">
        <is>
          <t>Procurement Order</t>
        </is>
      </c>
      <c r="D350" s="3">
        <v>45903.77842592593</v>
      </c>
      <c r="E350" s="3">
        <v>45904.644108796296</v>
      </c>
      <c r="F350" t="inlineStr">
        <is>
          <t>Fatima Kathleen M. FLores</t>
        </is>
      </c>
      <c r="G350" t="inlineStr">
        <is>
          <t>Procurement</t>
        </is>
      </c>
      <c r="H350"/>
      <c r="I350"/>
      <c r="J350" t="inlineStr">
        <is>
          <t>Project</t>
        </is>
      </c>
      <c r="K350" t="inlineStr">
        <is>
          <t>PDEI - Event Service</t>
        </is>
      </c>
      <c r="L350" t="inlineStr">
        <is>
          <t>MPL PH S16 - Regular Season</t>
        </is>
      </c>
      <c r="M350" t="inlineStr">
        <is>
          <t>2025TEG-P0214</t>
        </is>
      </c>
      <c r="N350" t="inlineStr">
        <is>
          <t>Jessica Jane Lor Felicilda</t>
        </is>
      </c>
      <c r="O350" t="inlineStr">
        <is>
          <t>202507280060-Jessica Jane Lor Felicilda-费用报销 - 副本 - 副本 - 副本-2025-07-28 06:44:28</t>
        </is>
      </c>
      <c r="P350" t="inlineStr">
        <is>
          <t>YES</t>
        </is>
      </c>
      <c r="Q350"/>
      <c r="R350" t="inlineStr">
        <is>
          <t>NO</t>
        </is>
      </c>
      <c r="S350" t="inlineStr">
        <is>
          <t>Outsourced Liaison Officer (RS &amp; PO)</t>
        </is>
      </c>
      <c r="T350">
        <v>1</v>
      </c>
      <c r="U350">
        <v>46500</v>
      </c>
      <c r="V350" t="inlineStr">
        <is>
          <t>PHP</t>
        </is>
      </c>
      <c r="W350">
        <v>46500</v>
      </c>
      <c r="X350" s="2" t="str">
        <f>=HYPERLINK("https://www.larksuite.com/approval/admin/previewAttachment?key=PMg5CkJBEATQK1VN717GxGYw8IMguAR9dsHA9HkSnkbxghZXgROmliRh5YSBxlnDiEIwyOljn1syX_uDdx-U232e18vuB61iLYSoSgLg6e8Sqlrlip_jGwAA__8", "2 attachment(s)")</f>
        <v>2 attachment(s)</v>
      </c>
      <c r="Y350" t="inlineStr">
        <is>
          <t>Bank Transfer</t>
        </is>
      </c>
      <c r="Z350" t="inlineStr">
        <is>
          <t>Bryan Ivan M. Reyes</t>
        </is>
      </c>
      <c r="AA350" t="inlineStr">
        <is>
          <t>09914553898</t>
        </is>
      </c>
      <c r="AB350" t="inlineStr">
        <is>
          <t>PayMaya Wallet</t>
        </is>
      </c>
      <c r="AC350" t="inlineStr">
        <is>
          <t>388 H. Lopez Balut, Tondo Manila</t>
        </is>
      </c>
      <c r="AD350" s="4">
        <v>45889</v>
      </c>
      <c r="AE350" t="inlineStr">
        <is>
          <t>1st Payment - Sept. 5, 2025
2nd Payment - Sept. 26, 2025
3rd Payment - Oct. 17, 2025
4th Payment - Nov. 7, 2025
Final Payment - Nov. 21, 2025</t>
        </is>
      </c>
      <c r="AF350" s="2"/>
      <c r="AG350" t="inlineStr">
        <is>
          <t>NzQyNTk5MTgyNzQ4MTg3MDM0MTo5NThDNEJFRi01QzBELTREQzUtQTM4MC1ENjQ5QzhGODU2OTEtMTpiZWI5M2EwMmE0ODUwN2QyNzI5MGI1ODA3MmMxMDMwNjox</t>
        </is>
      </c>
      <c r="AH350" t="inlineStr">
        <is>
          <t>Bryan Ivan M. Reyes</t>
        </is>
      </c>
      <c r="AI350"/>
      <c r="AJ350"/>
      <c r="AK350"/>
    </row>
    <row r="351" ht="25.5" customHeight="1">
      <c r="A351" s="2" t="str">
        <f>=HYPERLINK("https://applink.larksuite.com/client/mini_program/open?appId=cli_9c7cc8a9a9edd105&amp;mode=appCenter&amp;path_pc=pc/pages/requested/index?instanceId=7545811814739656743&amp;source=bitable&amp;path=pages/detail/index?instanceId=7545811814739656743&amp;source=bitable", "202509030087")</f>
        <v>202509030087</v>
      </c>
      <c r="B351" t="inlineStr">
        <is>
          <t>Approved</t>
        </is>
      </c>
      <c r="C351" t="inlineStr">
        <is>
          <t>Procurement Order</t>
        </is>
      </c>
      <c r="D351" s="3">
        <v>45903.780335648145</v>
      </c>
      <c r="E351" s="3">
        <v>45904.64275462963</v>
      </c>
      <c r="F351" t="inlineStr">
        <is>
          <t>Fatima Kathleen M. FLores</t>
        </is>
      </c>
      <c r="G351" t="inlineStr">
        <is>
          <t>Procurement</t>
        </is>
      </c>
      <c r="H351"/>
      <c r="I351"/>
      <c r="J351" t="inlineStr">
        <is>
          <t>Project</t>
        </is>
      </c>
      <c r="K351" t="inlineStr">
        <is>
          <t>PDEI - Event Service</t>
        </is>
      </c>
      <c r="L351" t="inlineStr">
        <is>
          <t>MPL PH S16 - Regular Season</t>
        </is>
      </c>
      <c r="M351" t="inlineStr">
        <is>
          <t>2025TEG-P0214</t>
        </is>
      </c>
      <c r="N351" t="inlineStr">
        <is>
          <t>Jessica Jane Lor Felicilda</t>
        </is>
      </c>
      <c r="O351" t="inlineStr">
        <is>
          <t>202507280060-Jessica Jane Lor Felicilda-费用报销 - 副本 - 副本 - 副本-2025-07-28 06:44:28</t>
        </is>
      </c>
      <c r="P351" t="inlineStr">
        <is>
          <t>YES</t>
        </is>
      </c>
      <c r="Q351"/>
      <c r="R351" t="inlineStr">
        <is>
          <t>NO</t>
        </is>
      </c>
      <c r="S351" t="inlineStr">
        <is>
          <t>Outsourced Liaison Officer (RS &amp; PO)</t>
        </is>
      </c>
      <c r="T351">
        <v>1</v>
      </c>
      <c r="U351">
        <v>46500</v>
      </c>
      <c r="V351" t="inlineStr">
        <is>
          <t>PHP</t>
        </is>
      </c>
      <c r="W351">
        <v>46500</v>
      </c>
      <c r="X351" s="2" t="str">
        <f>=HYPERLINK("https://www.larksuite.com/approval/admin/previewAttachment?key=PMhBCsJADAXQK_0_-UkmXsZNyyDYgiAILnJ2wUW3LyYR02lRUHEU2OnySU4qrcIjZT2amYVkkr2f6w6TfFtPjtf3OI_-PLa1v-mVYyBNsgmAt8stJVWF8Hf8AgAA__8", "2 attachment(s)")</f>
        <v>2 attachment(s)</v>
      </c>
      <c r="Y351" t="inlineStr">
        <is>
          <t>Bank Transfer</t>
        </is>
      </c>
      <c r="Z351" t="inlineStr">
        <is>
          <t>Molines Lord JC</t>
        </is>
      </c>
      <c r="AA351" t="inlineStr">
        <is>
          <t>00005 8448 372</t>
        </is>
      </c>
      <c r="AB351" t="inlineStr">
        <is>
          <t>Security Bank</t>
        </is>
      </c>
      <c r="AC351" t="inlineStr">
        <is>
          <t>B7 L11 Kingston St. Greenland Ph.1 Nangka Marikina City</t>
        </is>
      </c>
      <c r="AD351" s="4">
        <v>45889</v>
      </c>
      <c r="AE351" t="inlineStr">
        <is>
          <t>1st Payment - Sept. 5, 2025
2nd Payment - Sept. 26, 2025
3rd Payment - Oct. 17, 2025
4th Payment - Nov. 7, 2025
Final Payment - Nov. 21, 2025</t>
        </is>
      </c>
      <c r="AF351" s="2"/>
      <c r="AG351" t="inlineStr">
        <is>
          <t>NzQyNTk5MTgyNzQ4MTg3MDM0MTpGMkM3MDE0OC1BRjJCLTQwNzgtQkZFQi05QTc3RTQ5Q0ZFMUEtMTpkOTcyMDI0ZDJkNTI1MGEyOGU4NWExMGE1NzZiYmRjZjox</t>
        </is>
      </c>
      <c r="AH351" t="inlineStr">
        <is>
          <t>Molines Lord JC</t>
        </is>
      </c>
      <c r="AI351"/>
      <c r="AJ351"/>
      <c r="AK351"/>
    </row>
    <row r="352" ht="25.5" customHeight="1">
      <c r="A352" s="2" t="str">
        <f>=HYPERLINK("https://applink.larksuite.com/client/mini_program/open?appId=cli_9c7cc8a9a9edd105&amp;mode=appCenter&amp;path_pc=pc/pages/requested/index?instanceId=7545813268372193312&amp;source=bitable&amp;path=pages/detail/index?instanceId=7545813268372193312&amp;source=bitable", "202509030089")</f>
        <v>202509030089</v>
      </c>
      <c r="B352" t="inlineStr">
        <is>
          <t>Approved</t>
        </is>
      </c>
      <c r="C352" t="inlineStr">
        <is>
          <t>Procurement Order</t>
        </is>
      </c>
      <c r="D352" s="3">
        <v>45903.78425925926</v>
      </c>
      <c r="E352" s="3">
        <v>45904.64171296296</v>
      </c>
      <c r="F352" t="inlineStr">
        <is>
          <t>Fatima Kathleen M. FLores</t>
        </is>
      </c>
      <c r="G352" t="inlineStr">
        <is>
          <t>Procurement</t>
        </is>
      </c>
      <c r="H352"/>
      <c r="I352"/>
      <c r="J352" t="inlineStr">
        <is>
          <t>Project</t>
        </is>
      </c>
      <c r="K352" t="inlineStr">
        <is>
          <t>PDEI - Event Service</t>
        </is>
      </c>
      <c r="L352" t="inlineStr">
        <is>
          <t>MPL PH S16 - Regular Season</t>
        </is>
      </c>
      <c r="M352" t="inlineStr">
        <is>
          <t>2025TEG-P0214</t>
        </is>
      </c>
      <c r="N352" t="inlineStr">
        <is>
          <t>Jessica Jane Lor Felicilda</t>
        </is>
      </c>
      <c r="O352" t="inlineStr">
        <is>
          <t>202507280060-Jessica Jane Lor Felicilda-费用报销 - 副本 - 副本 - 副本-2025-07-28 06:44:28</t>
        </is>
      </c>
      <c r="P352" t="inlineStr">
        <is>
          <t>YES</t>
        </is>
      </c>
      <c r="Q352"/>
      <c r="R352" t="inlineStr">
        <is>
          <t>NO</t>
        </is>
      </c>
      <c r="S352" t="inlineStr">
        <is>
          <t>Outsourced Liaison Officer (RS &amp; PO)</t>
        </is>
      </c>
      <c r="T352">
        <v>1</v>
      </c>
      <c r="U352">
        <v>46500</v>
      </c>
      <c r="V352" t="inlineStr">
        <is>
          <t>PHP</t>
        </is>
      </c>
      <c r="W352">
        <v>46500</v>
      </c>
      <c r="X352" s="2" t="str">
        <f>=HYPERLINK("https://www.larksuite.com/approval/admin/previewAttachment?key=PMgxDsJADATAL-3ae-czn6FJZFEADQqCwm9Hokg7cxFzDfpMKGkJdgyNRbe5PIzpTmtrRiSCQfb-qOvxrfo8teng3Ur9vm21vzgyzBAu-QLAy-kekjKn8Hf8AgAA__8", "2 attachment(s)")</f>
        <v>2 attachment(s)</v>
      </c>
      <c r="Y352" t="inlineStr">
        <is>
          <t>Bank Transfer</t>
        </is>
      </c>
      <c r="Z352" t="inlineStr">
        <is>
          <t>Justine Cerezo</t>
        </is>
      </c>
      <c r="AA352" t="inlineStr">
        <is>
          <t>4856020938</t>
        </is>
      </c>
      <c r="AB352" t="inlineStr">
        <is>
          <t>Landbank</t>
        </is>
      </c>
      <c r="AC352" t="inlineStr">
        <is>
          <t>7a Sto Tomas St Bagumbayan Quezon City</t>
        </is>
      </c>
      <c r="AD352" s="4">
        <v>45889</v>
      </c>
      <c r="AE352" t="inlineStr">
        <is>
          <t>1st Payment - Sept. 5, 2025
2nd Payment - Sept. 26, 2025
3rd Payment - Oct. 17, 2025
4th Payment - Nov. 7, 2025
Final Payment - Nov. 21, 2025</t>
        </is>
      </c>
      <c r="AF352" s="2"/>
      <c r="AG352" t="inlineStr">
        <is>
          <t>NzQyNTk5MTgyNzQ4MTg3MDM0MTo0MzZDOEUxOS0zNDBELTQ4RkItOEY5MS00QTRCOTRGNzk3NzctMTo5ZmIzZjNkZmY2NGVlM2U2NjEzODZhZWEwYWJjZWU2ZDox</t>
        </is>
      </c>
      <c r="AH352" t="inlineStr">
        <is>
          <t>Justine Cerezo</t>
        </is>
      </c>
      <c r="AI352"/>
      <c r="AJ352"/>
      <c r="AK352"/>
    </row>
    <row r="353" ht="25.5" customHeight="1">
      <c r="A353" s="2" t="str">
        <f>=HYPERLINK("https://applink.larksuite.com/client/mini_program/open?appId=cli_9c7cc8a9a9edd105&amp;mode=appCenter&amp;path_pc=pc/pages/requested/index?instanceId=7545813922947940384&amp;source=bitable&amp;path=pages/detail/index?instanceId=7545813922947940384&amp;source=bitable", "202509030090")</f>
        <v>202509030090</v>
      </c>
      <c r="B353" t="inlineStr">
        <is>
          <t>Approved</t>
        </is>
      </c>
      <c r="C353" t="inlineStr">
        <is>
          <t>Procurement Order</t>
        </is>
      </c>
      <c r="D353" s="3">
        <v>45903.78601851852</v>
      </c>
      <c r="E353" s="3">
        <v>45905.63269675926</v>
      </c>
      <c r="F353" t="inlineStr">
        <is>
          <t>Fatima Kathleen M. FLores</t>
        </is>
      </c>
      <c r="G353" t="inlineStr">
        <is>
          <t>Procurement</t>
        </is>
      </c>
      <c r="H353"/>
      <c r="I353"/>
      <c r="J353" t="inlineStr">
        <is>
          <t>Project</t>
        </is>
      </c>
      <c r="K353" t="inlineStr">
        <is>
          <t>PDEI - Event Service</t>
        </is>
      </c>
      <c r="L353" t="inlineStr">
        <is>
          <t>MPL PH S16 - Regular Season</t>
        </is>
      </c>
      <c r="M353" t="inlineStr">
        <is>
          <t>2025TEG-P0214</t>
        </is>
      </c>
      <c r="N353" t="inlineStr">
        <is>
          <t>Jessica Jane Lor Felicilda</t>
        </is>
      </c>
      <c r="O353" t="inlineStr">
        <is>
          <t>202507280060-Jessica Jane Lor Felicilda-费用报销 - 副本 - 副本 - 副本-2025-07-28 06:44:28</t>
        </is>
      </c>
      <c r="P353" t="inlineStr">
        <is>
          <t>YES</t>
        </is>
      </c>
      <c r="Q353"/>
      <c r="R353" t="inlineStr">
        <is>
          <t>YES</t>
        </is>
      </c>
      <c r="S353" t="inlineStr">
        <is>
          <t>Outsourced Liaison Officer (RS &amp; PO)</t>
        </is>
      </c>
      <c r="T353">
        <v>1</v>
      </c>
      <c r="U353">
        <v>46500</v>
      </c>
      <c r="V353" t="inlineStr">
        <is>
          <t>PHP</t>
        </is>
      </c>
      <c r="W353">
        <v>46500</v>
      </c>
      <c r="X353" s="2" t="str">
        <f>=HYPERLINK("https://www.larksuite.com/approval/admin/previewAttachment?key=PMgxrgIxDATQK43tSez5l_nNRitA2gop0PjsSBS0b5Zh1rCYAmUuWOfgKAu5iykiiu1tmUJaWvS6zv_i3sdd78sXH6_sfTvO9bShdEcGGQXA_n4eSVKaxNfxCQAA__8", "2 attachment(s)")</f>
        <v>2 attachment(s)</v>
      </c>
      <c r="Y353" t="inlineStr">
        <is>
          <t>Bank Transfer</t>
        </is>
      </c>
      <c r="Z353" t="inlineStr">
        <is>
          <t>Honey Jane Vertudes</t>
        </is>
      </c>
      <c r="AA353" t="inlineStr">
        <is>
          <t>109324861046</t>
        </is>
      </c>
      <c r="AB353" t="inlineStr">
        <is>
          <t>Unionbank</t>
        </is>
      </c>
      <c r="AC353" t="inlineStr">
        <is>
          <t>9 sto.thomas street bagumbayan Quezon City</t>
        </is>
      </c>
      <c r="AD353" s="4">
        <v>45889</v>
      </c>
      <c r="AE353" t="inlineStr">
        <is>
          <t>1st Payment - Sept. 5, 2025
2nd Payment - Sept. 26, 2025
3rd Payment - Oct. 17, 2025
4th Payment - Nov. 7, 2025
Final Payment - Nov. 21, 2025</t>
        </is>
      </c>
      <c r="AF353" s="2"/>
      <c r="AG353" t="inlineStr">
        <is>
          <t>NzQyNTk5MTgyNzQ4MTg3MDM0MTo2OEM5RTk4OC04RTZDLTQzNUUtODE2Ri04ODQ2NzM3NTE0RjQtMTo0NjI1ZWU3OTkyNTcyYzJjMmJmMzkxZDQ1NmJjMTRjYzox</t>
        </is>
      </c>
      <c r="AH353" t="inlineStr">
        <is>
          <t>Honey Jane Vertudes</t>
        </is>
      </c>
      <c r="AI353"/>
      <c r="AJ353"/>
      <c r="AK353"/>
    </row>
    <row r="354" ht="25.5" customHeight="1">
      <c r="A354" s="2" t="str">
        <f>=HYPERLINK("https://applink.larksuite.com/client/mini_program/open?appId=cli_9c7cc8a9a9edd105&amp;mode=appCenter&amp;path_pc=pc/pages/requested/index?instanceId=7545814876245983271&amp;source=bitable&amp;path=pages/detail/index?instanceId=7545814876245983271&amp;source=bitable", "202509030092")</f>
        <v>202509030092</v>
      </c>
      <c r="B354" t="inlineStr">
        <is>
          <t>Approved</t>
        </is>
      </c>
      <c r="C354" t="inlineStr">
        <is>
          <t>Procurement Order</t>
        </is>
      </c>
      <c r="D354" s="3">
        <v>45903.78858796296</v>
      </c>
      <c r="E354" s="3">
        <v>45905.63391203704</v>
      </c>
      <c r="F354" t="inlineStr">
        <is>
          <t>Fatima Kathleen M. FLores</t>
        </is>
      </c>
      <c r="G354" t="inlineStr">
        <is>
          <t>Procurement</t>
        </is>
      </c>
      <c r="H354"/>
      <c r="I354"/>
      <c r="J354" t="inlineStr">
        <is>
          <t>Project</t>
        </is>
      </c>
      <c r="K354" t="inlineStr">
        <is>
          <t>PDEI - Event Service</t>
        </is>
      </c>
      <c r="L354" t="inlineStr">
        <is>
          <t>MPL PH S16 - Regular Season</t>
        </is>
      </c>
      <c r="M354" t="inlineStr">
        <is>
          <t>2025TEG-P0214</t>
        </is>
      </c>
      <c r="N354" t="inlineStr">
        <is>
          <t>Jessica Jane Lor Felicilda</t>
        </is>
      </c>
      <c r="O354" t="inlineStr">
        <is>
          <t>202507280060-Jessica Jane Lor Felicilda-费用报销 - 副本 - 副本 - 副本-2025-07-28 06:44:28</t>
        </is>
      </c>
      <c r="P354" t="inlineStr">
        <is>
          <t>YES</t>
        </is>
      </c>
      <c r="Q354"/>
      <c r="R354" t="inlineStr">
        <is>
          <t>YES</t>
        </is>
      </c>
      <c r="S354" t="inlineStr">
        <is>
          <t>Outsourced Liaison Officer (RS &amp; PO)</t>
        </is>
      </c>
      <c r="T354">
        <v>1</v>
      </c>
      <c r="U354">
        <v>46500</v>
      </c>
      <c r="V354" t="inlineStr">
        <is>
          <t>PHP</t>
        </is>
      </c>
      <c r="W354">
        <v>46500</v>
      </c>
      <c r="X354" s="2" t="str">
        <f>=HYPERLINK("https://www.larksuite.com/approval/admin/previewAttachment?key=PMgxqkJRDATQLWWSyZ3kb-Y37_JQRBtBq6xdsLA9q2CrErHa2PA2jJJZYGk5sytcGB9IbYIQs-_n_46q981Vj7wmj3ldjnM_kS13U5BRZoa_n4dIdi_a1-0TAAD__w", "2 attachment(s)")</f>
        <v>2 attachment(s)</v>
      </c>
      <c r="Y354" t="inlineStr">
        <is>
          <t>Bank Transfer</t>
        </is>
      </c>
      <c r="Z354" t="inlineStr">
        <is>
          <t>Lorenzo S. Joaquin</t>
        </is>
      </c>
      <c r="AA354" t="inlineStr">
        <is>
          <t>09670566726</t>
        </is>
      </c>
      <c r="AB354" t="inlineStr">
        <is>
          <t>GCash</t>
        </is>
      </c>
      <c r="AC354" t="inlineStr">
        <is>
          <t>31a Allajur St Zone 3 Nia Npc Fairview Q.C</t>
        </is>
      </c>
      <c r="AD354" s="4">
        <v>45889</v>
      </c>
      <c r="AE354" t="inlineStr">
        <is>
          <t>1st Payment - Sept. 5, 2025
2nd Payment - Sept. 26, 2025
3rd Payment - Oct. 17, 2025
4th Payment - Nov. 7, 2025
Final Payment - Nov. 21, 2025</t>
        </is>
      </c>
      <c r="AF354" s="2"/>
      <c r="AG354" t="inlineStr">
        <is>
          <t>NzQyNTk5MTgyNzQ4MTg3MDM0MTpDMjA0MzY0Ni02RTc1LTQ5NkEtODNGNS00QjdGNkQ2NTg1QzItMTpjMWVjZTAxYmM4NGE5M2JiYTczODIxMzgwYWVkYmI0Yzox</t>
        </is>
      </c>
      <c r="AH354" t="inlineStr">
        <is>
          <t>Lorenzo S. Joaquin</t>
        </is>
      </c>
      <c r="AI354"/>
      <c r="AJ354"/>
      <c r="AK354"/>
    </row>
    <row r="355" ht="25.5" customHeight="1">
      <c r="A355" s="2" t="str">
        <f>=HYPERLINK("https://applink.larksuite.com/client/mini_program/open?appId=cli_9c7cc8a9a9edd105&amp;mode=appCenter&amp;path_pc=pc/pages/requested/index?instanceId=7545815644227256358&amp;source=bitable&amp;path=pages/detail/index?instanceId=7545815644227256358&amp;source=bitable", "202509030094")</f>
        <v>202509030094</v>
      </c>
      <c r="B355" t="inlineStr">
        <is>
          <t>Approved</t>
        </is>
      </c>
      <c r="C355" t="inlineStr">
        <is>
          <t>Procurement Order</t>
        </is>
      </c>
      <c r="D355" s="3">
        <v>45903.790659722225</v>
      </c>
      <c r="E355" s="3">
        <v>45905.639872685184</v>
      </c>
      <c r="F355" t="inlineStr">
        <is>
          <t>Fatima Kathleen M. FLores</t>
        </is>
      </c>
      <c r="G355" t="inlineStr">
        <is>
          <t>Procurement</t>
        </is>
      </c>
      <c r="H355"/>
      <c r="I355"/>
      <c r="J355" t="inlineStr">
        <is>
          <t>Project</t>
        </is>
      </c>
      <c r="K355" t="inlineStr">
        <is>
          <t>PDEI - Event Service</t>
        </is>
      </c>
      <c r="L355" t="inlineStr">
        <is>
          <t>MPL PH S16 - Regular Season</t>
        </is>
      </c>
      <c r="M355" t="inlineStr">
        <is>
          <t>2025TEG-P0214</t>
        </is>
      </c>
      <c r="N355" t="inlineStr">
        <is>
          <t>Jessica Jane Lor Felicilda</t>
        </is>
      </c>
      <c r="O355" t="inlineStr">
        <is>
          <t>202507280060-Jessica Jane Lor Felicilda-费用报销 - 副本 - 副本 - 副本-2025-07-28 06:44:28</t>
        </is>
      </c>
      <c r="P355" t="inlineStr">
        <is>
          <t>YES</t>
        </is>
      </c>
      <c r="Q355"/>
      <c r="R355" t="inlineStr">
        <is>
          <t>YES</t>
        </is>
      </c>
      <c r="S355" t="inlineStr">
        <is>
          <t>Outsourced Liaison Officer (RS &amp; PO)</t>
        </is>
      </c>
      <c r="T355">
        <v>1</v>
      </c>
      <c r="U355">
        <v>46500</v>
      </c>
      <c r="V355" t="inlineStr">
        <is>
          <t>PHP</t>
        </is>
      </c>
      <c r="W355">
        <v>46500</v>
      </c>
      <c r="X355" s="2" t="str">
        <f>=HYPERLINK("https://www.larksuite.com/approval/admin/previewAttachment?key=PMg9qgJRDAXgLeXk7yRvM6_xMgjDgCB4bbJ2wcL2y4JkBSxbvKEtGIZHIdJdlRppUaMDsoUgbNZ1_C-r2ufm9cZe52Ne99uxnoimqtDcrUQEfz83unt3unxdPgEAAP__", "2 attachment(s)")</f>
        <v>2 attachment(s)</v>
      </c>
      <c r="Y355" t="inlineStr">
        <is>
          <t>Bank Transfer</t>
        </is>
      </c>
      <c r="Z355" t="inlineStr">
        <is>
          <t>Renzo E. Lacsamana</t>
        </is>
      </c>
      <c r="AA355" t="inlineStr">
        <is>
          <t>109664387317</t>
        </is>
      </c>
      <c r="AB355" t="inlineStr">
        <is>
          <t>Unionbank</t>
        </is>
      </c>
      <c r="AC355" t="inlineStr">
        <is>
          <t>#19 Paris St. Greenland village Nangka, Marikina City</t>
        </is>
      </c>
      <c r="AD355" s="4">
        <v>45889</v>
      </c>
      <c r="AE355" t="inlineStr">
        <is>
          <t>1st Payment - Sept. 5, 2025
2nd Payment - Sept. 26, 2025
3rd Payment - Oct. 17, 2025
4th Payment - Nov. 7, 2025
Final Payment - Nov. 21, 2025</t>
        </is>
      </c>
      <c r="AF355" s="2"/>
      <c r="AG355" t="inlineStr">
        <is>
          <t>NzQyNTk5MTgyNzQ4MTg3MDM0MTo5RkNDQjIwOS1BQUZCLTRGMUMtQkI2RC1EQzcwRDg3NjhBNzQtMTowMmYxOWU1MDFkNmE1MjA4YmY0MGEwOGUwZjI5N2RmMjox</t>
        </is>
      </c>
      <c r="AH355" t="inlineStr">
        <is>
          <t>Renzo E. Lacsamana</t>
        </is>
      </c>
      <c r="AI355"/>
      <c r="AJ355"/>
      <c r="AK355"/>
    </row>
    <row r="356" ht="25.5" customHeight="1">
      <c r="A356" s="2" t="str">
        <f>=HYPERLINK("https://applink.larksuite.com/client/mini_program/open?appId=cli_9c7cc8a9a9edd105&amp;mode=appCenter&amp;path_pc=pc/pages/requested/index?instanceId=7545821208407703583&amp;source=bitable&amp;path=pages/detail/index?instanceId=7545821208407703583&amp;source=bitable", "202509030099")</f>
        <v>202509030099</v>
      </c>
      <c r="B356" t="inlineStr">
        <is>
          <t>Approved</t>
        </is>
      </c>
      <c r="C356" t="inlineStr">
        <is>
          <t>Procurement Order</t>
        </is>
      </c>
      <c r="D356" s="3">
        <v>45903.80564814815</v>
      </c>
      <c r="E356" s="3">
        <v>45904.64040509259</v>
      </c>
      <c r="F356" t="inlineStr">
        <is>
          <t>Fatima Kathleen M. FLores</t>
        </is>
      </c>
      <c r="G356" t="inlineStr">
        <is>
          <t>Procurement</t>
        </is>
      </c>
      <c r="H356"/>
      <c r="I356"/>
      <c r="J356" t="inlineStr">
        <is>
          <t>Project</t>
        </is>
      </c>
      <c r="K356" t="inlineStr">
        <is>
          <t>PDEI - Event Service</t>
        </is>
      </c>
      <c r="L356" t="inlineStr">
        <is>
          <t>MPL PH S16 - Regular Season</t>
        </is>
      </c>
      <c r="M356" t="inlineStr">
        <is>
          <t>2025TEG-P0214</t>
        </is>
      </c>
      <c r="N356" t="inlineStr">
        <is>
          <t>Jessica Jane Lor Felicilda</t>
        </is>
      </c>
      <c r="O356" t="inlineStr">
        <is>
          <t>202507280044-Jessica Jane Lor Felicilda-费用报销 - 副本 - 副本 - 副本-2025-07-28 04:52:27</t>
        </is>
      </c>
      <c r="P356" t="inlineStr">
        <is>
          <t>YES</t>
        </is>
      </c>
      <c r="Q356"/>
      <c r="R356" t="inlineStr">
        <is>
          <t>NO</t>
        </is>
      </c>
      <c r="S356" t="inlineStr">
        <is>
          <t>Outsourced Main/Asst. Graphic Dynamic Designer (RS &amp; PO)</t>
        </is>
      </c>
      <c r="T356">
        <v>1</v>
      </c>
      <c r="U356">
        <v>120000</v>
      </c>
      <c r="V356" t="inlineStr">
        <is>
          <t>PHP</t>
        </is>
      </c>
      <c r="W356">
        <v>120000</v>
      </c>
      <c r="X356" s="2" t="str">
        <f>=HYPERLINK("https://www.larksuite.com/approval/admin/previewAttachment?key=PMg9igJREATgK1X1z6vuvcwmbxgEmUgQDfrsgoHpt4pYlfTViKY1OMrIMhoqIMGzfGwoNUSRc1znf-be_fYX77uv1jxv-zwezJYZ5BFeAPj3c1dEdK_A1_EJAAD__w", "2 attachment(s)")</f>
        <v>2 attachment(s)</v>
      </c>
      <c r="Y356" t="inlineStr">
        <is>
          <t>Bank Transfer</t>
        </is>
      </c>
      <c r="Z356" t="inlineStr">
        <is>
          <t>Jeremiah Cubacub</t>
        </is>
      </c>
      <c r="AA356" t="inlineStr">
        <is>
          <t>4559604882</t>
        </is>
      </c>
      <c r="AB356" t="inlineStr">
        <is>
          <t>BPI</t>
        </is>
      </c>
      <c r="AC356" t="inlineStr">
        <is>
          <t>Hacienda Balai, Zabarte Rd. Brgy. Kaligayahan, Novaliches, Quezon City</t>
        </is>
      </c>
      <c r="AD356" s="4">
        <v>45889</v>
      </c>
      <c r="AE356" t="inlineStr">
        <is>
          <t>1st Payment - Sept. 5, 2025
2nd Payment - Sept. 26, 2025
3rd Payment - Oct. 17, 2025
4th Payment - Nov. 7, 2025
Final Payment - Nov. 21, 2025</t>
        </is>
      </c>
      <c r="AF356" s="2"/>
      <c r="AG356" t="inlineStr">
        <is>
          <t>NzQyNTk5MTgyNzQ4MTg3MDM0MTo4MTYwRjgzOC00QzlBLTQxOTMtQjBGNC01MTY4MzAzMUFGN0EtMTpmNDA0NDlmY2Y3NjViODQ4OGM5NDhlM2VlNTQ3MDU2Njox</t>
        </is>
      </c>
      <c r="AH356" t="inlineStr">
        <is>
          <t>Jeremiah Cubacub</t>
        </is>
      </c>
      <c r="AI356"/>
      <c r="AJ356"/>
      <c r="AK356"/>
    </row>
    <row r="357" ht="25.5" customHeight="1">
      <c r="A357" s="2" t="str">
        <f>=HYPERLINK("https://applink.larksuite.com/client/mini_program/open?appId=cli_9c7cc8a9a9edd105&amp;mode=appCenter&amp;path_pc=pc/pages/requested/index?instanceId=7545822660039786528&amp;source=bitable&amp;path=pages/detail/index?instanceId=7545822660039786528&amp;source=bitable", "202509030100")</f>
        <v>202509030100</v>
      </c>
      <c r="B357" t="inlineStr">
        <is>
          <t>Approved</t>
        </is>
      </c>
      <c r="C357" t="inlineStr">
        <is>
          <t>Procurement Order</t>
        </is>
      </c>
      <c r="D357" s="3">
        <v>45903.80956018518</v>
      </c>
      <c r="E357" s="3">
        <v>45904.66332175926</v>
      </c>
      <c r="F357" t="inlineStr">
        <is>
          <t>Fatima Kathleen M. FLores</t>
        </is>
      </c>
      <c r="G357" t="inlineStr">
        <is>
          <t>Procurement</t>
        </is>
      </c>
      <c r="H357"/>
      <c r="I357"/>
      <c r="J357" t="inlineStr">
        <is>
          <t>Project</t>
        </is>
      </c>
      <c r="K357" t="inlineStr">
        <is>
          <t>PDEI - Event Service</t>
        </is>
      </c>
      <c r="L357" t="inlineStr">
        <is>
          <t>MPL PH S16 - Regular Season</t>
        </is>
      </c>
      <c r="M357" t="inlineStr">
        <is>
          <t>2025TEG-P0214</t>
        </is>
      </c>
      <c r="N357" t="inlineStr">
        <is>
          <t>Jessica Jane Lor Felicilda</t>
        </is>
      </c>
      <c r="O357" t="inlineStr">
        <is>
          <t>202508010010-Jessica Jane Lor Felicilda-费用报销 - 副本 - 副本 - 副本-2025-08-01 02:30:31</t>
        </is>
      </c>
      <c r="P357" t="inlineStr">
        <is>
          <t>YES</t>
        </is>
      </c>
      <c r="Q357"/>
      <c r="R357" t="inlineStr">
        <is>
          <t>NO</t>
        </is>
      </c>
      <c r="S357" t="inlineStr">
        <is>
          <t>Outsourced Content Producer (RS &amp; PO)</t>
        </is>
      </c>
      <c r="T357">
        <v>1</v>
      </c>
      <c r="U357">
        <v>105000</v>
      </c>
      <c r="V357" t="inlineStr">
        <is>
          <t>PHP</t>
        </is>
      </c>
      <c r="W357">
        <v>105000</v>
      </c>
      <c r="X357" s="2" t="str">
        <f>=HYPERLINK("https://www.larksuite.com/approval/admin/previewAttachment?key=PMg7CsJgEATgK83se72MTX6CiKlETbNnFyxsvygiyqnRsKY0OOnmJRIBaGeFS40MMxvJJGcd-_V-rCWf80H4S85t3rdtX096pwhSzbQA8PJ3TTPrDsPP8Q0AAP__", "2 attachment(s)")</f>
        <v>2 attachment(s)</v>
      </c>
      <c r="Y357" t="inlineStr">
        <is>
          <t>Bank Transfer</t>
        </is>
      </c>
      <c r="Z357" t="inlineStr">
        <is>
          <t>Caisam Yvez F. Nopueto</t>
        </is>
      </c>
      <c r="AA357" t="inlineStr">
        <is>
          <t>12130019206</t>
        </is>
      </c>
      <c r="AB357" t="inlineStr">
        <is>
          <t>BDO</t>
        </is>
      </c>
      <c r="AC357" t="inlineStr">
        <is>
          <t>#72 Carmen Street, Brgy. San Carlos, Binangonan, Rizal</t>
        </is>
      </c>
      <c r="AD357" s="4">
        <v>45889</v>
      </c>
      <c r="AE357" t="inlineStr">
        <is>
          <t>1st Payment - Sept. 5, 2025
2nd Payment - Sept. 26, 2025
3rd Payment - Oct. 17, 2025
4th Payment - Oct. 31, 2025
5th Payment - Nov. 14, 2025
Final Payment - Nov. 28, 2025</t>
        </is>
      </c>
      <c r="AF357" s="2"/>
      <c r="AG357" t="inlineStr">
        <is>
          <t>NzQyNTk5MTgyNzQ4MTg3MDM0MTpGMUIwNDhENC1BREQyLTQ3ODktQUU2My02NzI4MEFFNjhCQ0YtMTpmZDAwMmFkYTk2MmZmYjcyM2E2MzAzNjJmODYzYjc0NTox</t>
        </is>
      </c>
      <c r="AH357" t="inlineStr">
        <is>
          <t>Caisam Yvez F. Nopueto</t>
        </is>
      </c>
      <c r="AI357"/>
      <c r="AJ357"/>
      <c r="AK357"/>
    </row>
    <row r="358" ht="25.5" customHeight="1">
      <c r="A358" s="2" t="str">
        <f>=HYPERLINK("https://applink.larksuite.com/client/mini_program/open?appId=cli_9c7cc8a9a9edd105&amp;mode=appCenter&amp;path_pc=pc/pages/requested/index?instanceId=7545823753280684071&amp;source=bitable&amp;path=pages/detail/index?instanceId=7545823753280684071&amp;source=bitable", "202509030101")</f>
        <v>202509030101</v>
      </c>
      <c r="B358" t="inlineStr">
        <is>
          <t>Approved</t>
        </is>
      </c>
      <c r="C358" t="inlineStr">
        <is>
          <t>Procurement Order</t>
        </is>
      </c>
      <c r="D358" s="3">
        <v>45903.81251157408</v>
      </c>
      <c r="E358" s="3">
        <v>45904.63880787037</v>
      </c>
      <c r="F358" t="inlineStr">
        <is>
          <t>Fatima Kathleen M. FLores</t>
        </is>
      </c>
      <c r="G358" t="inlineStr">
        <is>
          <t>Procurement</t>
        </is>
      </c>
      <c r="H358"/>
      <c r="I358"/>
      <c r="J358" t="inlineStr">
        <is>
          <t>Project</t>
        </is>
      </c>
      <c r="K358" t="inlineStr">
        <is>
          <t>PDEI - Event Service</t>
        </is>
      </c>
      <c r="L358" t="inlineStr">
        <is>
          <t>MPL PH S16 - Regular Season</t>
        </is>
      </c>
      <c r="M358" t="inlineStr">
        <is>
          <t>2025TEG-P0214</t>
        </is>
      </c>
      <c r="N358" t="inlineStr">
        <is>
          <t>Jessica Jane Lor Felicilda</t>
        </is>
      </c>
      <c r="O358" t="inlineStr">
        <is>
          <t>202508010012-Jessica Jane Lor Felicilda-费用报销 - 副本 - 副本 - 副本-2025-08-01 02:40:08</t>
        </is>
      </c>
      <c r="P358" t="inlineStr">
        <is>
          <t>YES</t>
        </is>
      </c>
      <c r="Q358"/>
      <c r="R358" t="inlineStr">
        <is>
          <t>NO</t>
        </is>
      </c>
      <c r="S358" t="inlineStr">
        <is>
          <t>Outsourced Main CG Xpression Operator (RS &amp; PO)</t>
        </is>
      </c>
      <c r="T358">
        <v>1</v>
      </c>
      <c r="U358">
        <v>97800</v>
      </c>
      <c r="V358" t="inlineStr">
        <is>
          <t>PHP</t>
        </is>
      </c>
      <c r="W358">
        <v>97800</v>
      </c>
      <c r="X358" s="2" t="str">
        <f>=HYPERLINK("https://www.larksuite.com/approval/admin/previewAttachment?key=PMgxqsMwEATQK83sjjS7_zK_sREp4ipgSKGzB1KkfbOIWYM5G2pGg9tDoyI9MgqzBHPHpt0wTe7zWv8310qJx3s9qWvfj2OdL452BJxSFgD-_TwtqXsKX8cnAAD__w", "2 attachment(s)")</f>
        <v>2 attachment(s)</v>
      </c>
      <c r="Y358" t="inlineStr">
        <is>
          <t>Bank Transfer</t>
        </is>
      </c>
      <c r="Z358" t="inlineStr">
        <is>
          <t>Alec Roi Dolorso</t>
        </is>
      </c>
      <c r="AA358" t="inlineStr">
        <is>
          <t>0000049934563</t>
        </is>
      </c>
      <c r="AB358" t="inlineStr">
        <is>
          <t>Security Bank</t>
        </is>
      </c>
      <c r="AC358" t="inlineStr">
        <is>
          <t>22B Virginia Drive. Rodriguez Subd. Baesa Quezon City</t>
        </is>
      </c>
      <c r="AD358" s="4">
        <v>45889</v>
      </c>
      <c r="AE358" t="inlineStr">
        <is>
          <t>1st Payment - Sept. 12, 2025
2nd Payment - Oct. 3, 2025
3rd Payment - Oct. 24, 2025
4th Payment - Nov. 14, 2025
Final Payment - Nov. 28, 2025</t>
        </is>
      </c>
      <c r="AF358" s="2"/>
      <c r="AG358" t="inlineStr">
        <is>
          <t>NzQyNTk5MTgyNzQ4MTg3MDM0MTo3RUZBOTM4My1FNkU3LTRCMDUtODc4Qi0zMzVENDRGMzUyRDEtMTo0Y2U4ZDc3OTg1YTI4MTk2OWZlOGU0NjcwY2QzMDUwZTox</t>
        </is>
      </c>
      <c r="AH358" t="inlineStr">
        <is>
          <t>Alec Roi Dolorso</t>
        </is>
      </c>
      <c r="AI358"/>
      <c r="AJ358"/>
      <c r="AK358"/>
    </row>
    <row r="359" ht="25.5" customHeight="1">
      <c r="A359" s="2" t="str">
        <f>=HYPERLINK("https://applink.larksuite.com/client/mini_program/open?appId=cli_9c7cc8a9a9edd105&amp;mode=appCenter&amp;path_pc=pc/pages/requested/index?instanceId=7545826691076145184&amp;source=bitable&amp;path=pages/detail/index?instanceId=7545826691076145184&amp;source=bitable", "202509030102")</f>
        <v>202509030102</v>
      </c>
      <c r="B359" t="inlineStr">
        <is>
          <t>Approved</t>
        </is>
      </c>
      <c r="C359" t="inlineStr">
        <is>
          <t>Procurement Order</t>
        </is>
      </c>
      <c r="D359" s="3">
        <v>45903.82042824074</v>
      </c>
      <c r="E359" s="3">
        <v>45904.66140046297</v>
      </c>
      <c r="F359" t="inlineStr">
        <is>
          <t>Fatima Kathleen M. FLores</t>
        </is>
      </c>
      <c r="G359" t="inlineStr">
        <is>
          <t>Procurement</t>
        </is>
      </c>
      <c r="H359"/>
      <c r="I359"/>
      <c r="J359" t="inlineStr">
        <is>
          <t>Project</t>
        </is>
      </c>
      <c r="K359" t="inlineStr">
        <is>
          <t>PDEI - Event Service</t>
        </is>
      </c>
      <c r="L359" t="inlineStr">
        <is>
          <t>MPL PH S16 - Regular Season</t>
        </is>
      </c>
      <c r="M359" t="inlineStr">
        <is>
          <t>2025TEG-P0214</t>
        </is>
      </c>
      <c r="N359" t="inlineStr">
        <is>
          <t>Katherine Denise Lee Sy</t>
        </is>
      </c>
      <c r="O359" t="inlineStr">
        <is>
          <t>202509010119-Katherine Denise Lee Sy-费用报销 - 副本 - 副本 - 副本-2025-09-01 10:11:57</t>
        </is>
      </c>
      <c r="P359" t="inlineStr">
        <is>
          <t>NO</t>
        </is>
      </c>
      <c r="Q359"/>
      <c r="R359" t="inlineStr">
        <is>
          <t>NO</t>
        </is>
      </c>
      <c r="S359" t="inlineStr">
        <is>
          <t>24ft x 8ft Backdrop (Tarp on Wood)</t>
        </is>
      </c>
      <c r="T359">
        <v>1</v>
      </c>
      <c r="U359">
        <v>18500</v>
      </c>
      <c r="V359" t="inlineStr">
        <is>
          <t>PHP</t>
        </is>
      </c>
      <c r="W359">
        <v>18500</v>
      </c>
      <c r="X359" s="2"/>
      <c r="Y359" t="inlineStr">
        <is>
          <t>Bank Transfer</t>
        </is>
      </c>
      <c r="Z359" t="inlineStr">
        <is>
          <t>iLIGHT PRODUCTION</t>
        </is>
      </c>
      <c r="AA359" t="inlineStr">
        <is>
          <t>007960010274</t>
        </is>
      </c>
      <c r="AB359" t="inlineStr">
        <is>
          <t>BDO</t>
        </is>
      </c>
      <c r="AC359" t="inlineStr">
        <is>
          <t>3791 Mascardo St., Brgy. Sta. Cruz, Makati City</t>
        </is>
      </c>
      <c r="AD359" s="4">
        <v>45904</v>
      </c>
      <c r="AE359" t="inlineStr">
        <is>
          <t>100% Full Payment upon completion</t>
        </is>
      </c>
      <c r="AF359" s="2"/>
      <c r="AG359" t="inlineStr">
        <is>
          <t>NzQyNTk5MTgyNzQ4MTg3MDM0MTozMzUzNDAzMy03M0ZCLTQzNjAtODQxQS0xRURBQjI4RTYyQzktMTo1YjMwOGVmNWVmZWFkZjM4MjBlMThmMDVlNjllZTU0NTox</t>
        </is>
      </c>
      <c r="AH359" t="inlineStr">
        <is>
          <t>iLIGHT PRODUCTION</t>
        </is>
      </c>
      <c r="AI359"/>
      <c r="AJ359"/>
      <c r="AK359"/>
    </row>
    <row r="360" ht="25.5" customHeight="1">
      <c r="A360" s="2" t="str">
        <f>=HYPERLINK("https://applink.larksuite.com/client/mini_program/open?appId=cli_9c7cc8a9a9edd105&amp;mode=appCenter&amp;path_pc=pc/pages/requested/index?instanceId=7545826691076145184&amp;source=bitable&amp;path=pages/detail/index?instanceId=7545826691076145184&amp;source=bitable", "202509030102")</f>
        <v>202509030102</v>
      </c>
      <c r="B360" t="inlineStr">
        <is>
          <t>Approved</t>
        </is>
      </c>
      <c r="C360" t="inlineStr">
        <is>
          <t>Procurement Order</t>
        </is>
      </c>
      <c r="D360" s="3">
        <v>45903.82042824074</v>
      </c>
      <c r="E360" s="3">
        <v>45904.66140046297</v>
      </c>
      <c r="F360" t="inlineStr">
        <is>
          <t>Fatima Kathleen M. FLores</t>
        </is>
      </c>
      <c r="G360" t="inlineStr">
        <is>
          <t>Procurement</t>
        </is>
      </c>
      <c r="H360"/>
      <c r="I360"/>
      <c r="J360" t="inlineStr">
        <is>
          <t>Project</t>
        </is>
      </c>
      <c r="K360" t="inlineStr">
        <is>
          <t>PDEI - Event Service</t>
        </is>
      </c>
      <c r="L360" t="inlineStr">
        <is>
          <t>MPL PH S16 - Regular Season</t>
        </is>
      </c>
      <c r="M360" t="inlineStr">
        <is>
          <t>2025TEG-P0214</t>
        </is>
      </c>
      <c r="N360" t="inlineStr">
        <is>
          <t>Katherine Denise Lee Sy</t>
        </is>
      </c>
      <c r="O360" t="inlineStr">
        <is>
          <t>202509010119-Katherine Denise Lee Sy-费用报销 - 副本 - 副本 - 副本-2025-09-01 10:11:57</t>
        </is>
      </c>
      <c r="P360" t="inlineStr">
        <is>
          <t>NO</t>
        </is>
      </c>
      <c r="Q360"/>
      <c r="R360" t="inlineStr">
        <is>
          <t>NO</t>
        </is>
      </c>
      <c r="S360" t="inlineStr">
        <is>
          <t>16ft x 8ft Backdrop (Tarp on Wood)</t>
        </is>
      </c>
      <c r="T360">
        <v>1</v>
      </c>
      <c r="U360">
        <v>14500</v>
      </c>
      <c r="V360" t="inlineStr">
        <is>
          <t>PHP</t>
        </is>
      </c>
      <c r="W360">
        <v>14500</v>
      </c>
      <c r="X360" s="2"/>
      <c r="Y360"/>
      <c r="Z360"/>
      <c r="AA360"/>
      <c r="AB360"/>
      <c r="AC360"/>
      <c r="AD360" s="4"/>
      <c r="AE360"/>
      <c r="AF360" s="2"/>
      <c r="AG360" t="inlineStr">
        <is>
          <t>NzQyNTk5MTgyNzQ4MTg3MDM0MTozMzUzNDAzMy03M0ZCLTQzNjAtODQxQS0xRURBQjI4RTYyQzktMjplMTllZDQ0NWI1MDYwNTdkZTNjM2MwZDNjZDVlMWE0MTox</t>
        </is>
      </c>
      <c r="AH360"/>
      <c r="AI360"/>
      <c r="AJ360"/>
      <c r="AK360"/>
    </row>
    <row r="361" ht="25.5" customHeight="1">
      <c r="A361" s="2" t="str">
        <f>=HYPERLINK("https://applink.larksuite.com/client/mini_program/open?appId=cli_9c7cc8a9a9edd105&amp;mode=appCenter&amp;path_pc=pc/pages/requested/index?instanceId=7545826691076145184&amp;source=bitable&amp;path=pages/detail/index?instanceId=7545826691076145184&amp;source=bitable", "202509030102")</f>
        <v>202509030102</v>
      </c>
      <c r="B361" t="inlineStr">
        <is>
          <t>Approved</t>
        </is>
      </c>
      <c r="C361" t="inlineStr">
        <is>
          <t>Procurement Order</t>
        </is>
      </c>
      <c r="D361" s="3">
        <v>45903.82042824074</v>
      </c>
      <c r="E361" s="3">
        <v>45904.66140046297</v>
      </c>
      <c r="F361" t="inlineStr">
        <is>
          <t>Fatima Kathleen M. FLores</t>
        </is>
      </c>
      <c r="G361" t="inlineStr">
        <is>
          <t>Procurement</t>
        </is>
      </c>
      <c r="H361"/>
      <c r="I361"/>
      <c r="J361" t="inlineStr">
        <is>
          <t>Project</t>
        </is>
      </c>
      <c r="K361" t="inlineStr">
        <is>
          <t>PDEI - Event Service</t>
        </is>
      </c>
      <c r="L361" t="inlineStr">
        <is>
          <t>MPL PH S16 - Regular Season</t>
        </is>
      </c>
      <c r="M361" t="inlineStr">
        <is>
          <t>2025TEG-P0214</t>
        </is>
      </c>
      <c r="N361" t="inlineStr">
        <is>
          <t>Katherine Denise Lee Sy</t>
        </is>
      </c>
      <c r="O361" t="inlineStr">
        <is>
          <t>202509010119-Katherine Denise Lee Sy-费用报销 - 副本 - 副本 - 副本-2025-09-01 10:11:57</t>
        </is>
      </c>
      <c r="P361" t="inlineStr">
        <is>
          <t>NO</t>
        </is>
      </c>
      <c r="Q361"/>
      <c r="R361" t="inlineStr">
        <is>
          <t>NO</t>
        </is>
      </c>
      <c r="S361" t="inlineStr">
        <is>
          <t>Installation</t>
        </is>
      </c>
      <c r="T361">
        <v>1</v>
      </c>
      <c r="U361">
        <v>7000</v>
      </c>
      <c r="V361" t="inlineStr">
        <is>
          <t>PHP</t>
        </is>
      </c>
      <c r="W361">
        <v>7000</v>
      </c>
      <c r="X361" s="2" t="str">
        <f>=HYPERLINK("https://www.larksuite.com/approval/admin/previewAttachment?key=PMgxDsJADATAL-361vaZz9BcFFGECgVE4bcjUaSdmERM54iCilZgp8unRRSRQTmn2pqZhWSSvT33u_ta3xPnOj481uj3Y-3bi15phhzSmAB4u3ykpKoQ_m6_AAAA__8", "2 attachment(s)")</f>
        <v>2 attachment(s)</v>
      </c>
      <c r="Y361"/>
      <c r="Z361"/>
      <c r="AA361"/>
      <c r="AB361"/>
      <c r="AC361"/>
      <c r="AD361" s="4"/>
      <c r="AE361"/>
      <c r="AF361" s="2"/>
      <c r="AG361" t="inlineStr">
        <is>
          <t>NzQyNTk5MTgyNzQ4MTg3MDM0MTozMzUzNDAzMy03M0ZCLTQzNjAtODQxQS0xRURBQjI4RTYyQzktMzo2MGM4N2RkNDdlYjQ5NTk3ZTBiMGIxYTgzNDdkOTVhNzox</t>
        </is>
      </c>
      <c r="AH361"/>
      <c r="AI361"/>
      <c r="AJ361"/>
      <c r="AK361"/>
    </row>
    <row r="362" ht="25.5" customHeight="1">
      <c r="A362" s="2" t="str">
        <f>=HYPERLINK("https://applink.larksuite.com/client/mini_program/open?appId=cli_9c7cc8a9a9edd105&amp;mode=appCenter&amp;path_pc=pc/pages/requested/index?instanceId=7546084573562568742&amp;source=bitable&amp;path=pages/detail/index?instanceId=7546084573562568742&amp;source=bitable", "202509040020")</f>
        <v>202509040020</v>
      </c>
      <c r="B362" t="inlineStr">
        <is>
          <t>Approved</t>
        </is>
      </c>
      <c r="C362" t="inlineStr">
        <is>
          <t>Procurement Order</t>
        </is>
      </c>
      <c r="D362" s="3">
        <v>45904.51537037037</v>
      </c>
      <c r="E362" s="3">
        <v>45905.391493055555</v>
      </c>
      <c r="F362" t="inlineStr">
        <is>
          <t>Fatima Kathleen M. FLores</t>
        </is>
      </c>
      <c r="G362" t="inlineStr">
        <is>
          <t>Procurement</t>
        </is>
      </c>
      <c r="H362"/>
      <c r="I362"/>
      <c r="J362" t="inlineStr">
        <is>
          <t>Project</t>
        </is>
      </c>
      <c r="K362" t="inlineStr">
        <is>
          <t>GG - Event Service</t>
        </is>
      </c>
      <c r="L362" t="inlineStr">
        <is>
          <t>HOK Philippine Kings League - Fall Season</t>
        </is>
      </c>
      <c r="M362" t="inlineStr">
        <is>
          <t>2025TEG-P0219</t>
        </is>
      </c>
      <c r="N362" t="inlineStr">
        <is>
          <t>Reign Santos Fortea</t>
        </is>
      </c>
      <c r="O362" t="inlineStr">
        <is>
          <t>202508210079-Reign Santos Fortea-费用报销 - 副本 - 副本 - 副本-2025-08-21 11:08:05</t>
        </is>
      </c>
      <c r="P362" t="inlineStr">
        <is>
          <t>NO</t>
        </is>
      </c>
      <c r="Q362"/>
      <c r="R362" t="inlineStr">
        <is>
          <t>YES</t>
        </is>
      </c>
      <c r="S362" t="inlineStr">
        <is>
          <t>Rental of Folding Chairs (16 days)</t>
        </is>
      </c>
      <c r="T362">
        <v>250</v>
      </c>
      <c r="U362">
        <v>1280</v>
      </c>
      <c r="V362" t="inlineStr">
        <is>
          <t>PHP</t>
        </is>
      </c>
      <c r="W362">
        <v>320000</v>
      </c>
      <c r="X362" s="2"/>
      <c r="Y362" t="inlineStr">
        <is>
          <t>Bank Transfer</t>
        </is>
      </c>
      <c r="Z362" t="inlineStr">
        <is>
          <t>SPE Events Management And Services Party Needs Rental</t>
        </is>
      </c>
      <c r="AA362" t="inlineStr">
        <is>
          <t>141102017588</t>
        </is>
      </c>
      <c r="AB362" t="inlineStr">
        <is>
          <t>China Bank Corporation</t>
        </is>
      </c>
      <c r="AC362" t="inlineStr">
        <is>
          <t>10A St. Benedict, Paradise Village, Sangandaan, QC</t>
        </is>
      </c>
      <c r="AD362" s="4">
        <v>45905</v>
      </c>
      <c r="AE362" t="inlineStr">
        <is>
          <t>20% Down Payment upon confirmation
40% 2nd Payment - Sept. 26, 2025
40% Final Payment - Oct. 10, 2025</t>
        </is>
      </c>
      <c r="AF362" s="2"/>
      <c r="AG362" t="inlineStr">
        <is>
          <t>NzQyNTk5MTgyNzQ4MTg3MDM0MTo2ODI5M0ZBMC1GN0NGLTQ4RTQtQjM3RC04QzZGMTU1MzBDMzktMTo3YjI2OTMxZTYxN2Y3OGVhZTA3ZDllZjVmOWE3NGVmZTox</t>
        </is>
      </c>
      <c r="AH362" t="inlineStr">
        <is>
          <t>SPE Events Management And Services Party Needs Rental</t>
        </is>
      </c>
      <c r="AI362"/>
      <c r="AJ362"/>
      <c r="AK362"/>
    </row>
    <row r="363" ht="25.5" customHeight="1">
      <c r="A363" s="2" t="str">
        <f>=HYPERLINK("https://applink.larksuite.com/client/mini_program/open?appId=cli_9c7cc8a9a9edd105&amp;mode=appCenter&amp;path_pc=pc/pages/requested/index?instanceId=7546084573562568742&amp;source=bitable&amp;path=pages/detail/index?instanceId=7546084573562568742&amp;source=bitable", "202509040020")</f>
        <v>202509040020</v>
      </c>
      <c r="B363" t="inlineStr">
        <is>
          <t>Approved</t>
        </is>
      </c>
      <c r="C363" t="inlineStr">
        <is>
          <t>Procurement Order</t>
        </is>
      </c>
      <c r="D363" s="3">
        <v>45904.51537037037</v>
      </c>
      <c r="E363" s="3">
        <v>45905.391493055555</v>
      </c>
      <c r="F363" t="inlineStr">
        <is>
          <t>Fatima Kathleen M. FLores</t>
        </is>
      </c>
      <c r="G363" t="inlineStr">
        <is>
          <t>Procurement</t>
        </is>
      </c>
      <c r="H363"/>
      <c r="I363"/>
      <c r="J363" t="inlineStr">
        <is>
          <t>Project</t>
        </is>
      </c>
      <c r="K363" t="inlineStr">
        <is>
          <t>GG - Event Service</t>
        </is>
      </c>
      <c r="L363" t="inlineStr">
        <is>
          <t>HOK Philippine Kings League - Fall Season</t>
        </is>
      </c>
      <c r="M363" t="inlineStr">
        <is>
          <t>2025TEG-P0219</t>
        </is>
      </c>
      <c r="N363" t="inlineStr">
        <is>
          <t>Reign Santos Fortea</t>
        </is>
      </c>
      <c r="O363" t="inlineStr">
        <is>
          <t>202508210079-Reign Santos Fortea-费用报销 - 副本 - 副本 - 副本-2025-08-21 11:08:05</t>
        </is>
      </c>
      <c r="P363" t="inlineStr">
        <is>
          <t>NO</t>
        </is>
      </c>
      <c r="Q363"/>
      <c r="R363" t="inlineStr">
        <is>
          <t>YES</t>
        </is>
      </c>
      <c r="S363" t="inlineStr">
        <is>
          <t>Delivery Fee</t>
        </is>
      </c>
      <c r="T363">
        <v>6</v>
      </c>
      <c r="U363">
        <v>1000</v>
      </c>
      <c r="V363" t="inlineStr">
        <is>
          <t>PHP</t>
        </is>
      </c>
      <c r="W363">
        <v>6000</v>
      </c>
      <c r="X363" s="2" t="str">
        <f>=HYPERLINK("https://www.larksuite.com/approval/admin/previewAttachment?key=PMixrQJBDATQlsb22LP-zfyE1QkOjgSBRLC1IxGQvhqGGmlRDbZ5w5aShcFUZHnWEH35Mqkhk_max_Yfx137rsu137g953qdT9t8WLbcoSBjALC_n4dIdhfxdfsEAAD__w", "2 attachment(s)")</f>
        <v>2 attachment(s)</v>
      </c>
      <c r="Y363"/>
      <c r="Z363"/>
      <c r="AA363"/>
      <c r="AB363"/>
      <c r="AC363"/>
      <c r="AD363" s="4"/>
      <c r="AE363"/>
      <c r="AF363" s="2"/>
      <c r="AG363" t="inlineStr">
        <is>
          <t>NzQyNTk5MTgyNzQ4MTg3MDM0MTo2ODI5M0ZBMC1GN0NGLTQ4RTQtQjM3RC04QzZGMTU1MzBDMzktMjpiNWMxNmNlMjA2NDk0ZDI4Mzk3YzE4MzZlMDFjY2YxZjox</t>
        </is>
      </c>
      <c r="AH363"/>
      <c r="AI363"/>
      <c r="AJ363"/>
      <c r="AK363"/>
    </row>
    <row r="364" ht="25.5" customHeight="1">
      <c r="A364" s="2" t="str">
        <f>=HYPERLINK("https://applink.larksuite.com/client/mini_program/open?appId=cli_9c7cc8a9a9edd105&amp;mode=appCenter&amp;path_pc=pc/pages/requested/index?instanceId=7546088778119168031&amp;source=bitable&amp;path=pages/detail/index?instanceId=7546088778119168031&amp;source=bitable", "202509040023")</f>
        <v>202509040023</v>
      </c>
      <c r="B364" t="inlineStr">
        <is>
          <t>Approved</t>
        </is>
      </c>
      <c r="C364" t="inlineStr">
        <is>
          <t>Procurement Order</t>
        </is>
      </c>
      <c r="D364" s="3">
        <v>45904.52670138889</v>
      </c>
      <c r="E364" s="3">
        <v>45904.65759259259</v>
      </c>
      <c r="F364" t="inlineStr">
        <is>
          <t>Fatima Kathleen M. FLores</t>
        </is>
      </c>
      <c r="G364" t="inlineStr">
        <is>
          <t>Procurement</t>
        </is>
      </c>
      <c r="H364"/>
      <c r="I364"/>
      <c r="J364" t="inlineStr">
        <is>
          <t>Project</t>
        </is>
      </c>
      <c r="K364" t="inlineStr">
        <is>
          <t>PDEI - Event Service</t>
        </is>
      </c>
      <c r="L364" t="inlineStr">
        <is>
          <t>MPL PH S16 - Regular Season</t>
        </is>
      </c>
      <c r="M364" t="inlineStr">
        <is>
          <t>2025TEG-P0214</t>
        </is>
      </c>
      <c r="N364" t="inlineStr">
        <is>
          <t>Jessica Jane Lor Felicilda</t>
        </is>
      </c>
      <c r="O364" t="inlineStr">
        <is>
          <t>202508060016-Jessica Jane Lor Felicilda-费用报销 - 副本 - 副本 - 副本-2025-08-06 03:41:11</t>
        </is>
      </c>
      <c r="P364" t="inlineStr">
        <is>
          <t>YES</t>
        </is>
      </c>
      <c r="Q364"/>
      <c r="R364" t="inlineStr">
        <is>
          <t>NO</t>
        </is>
      </c>
      <c r="S364" t="inlineStr">
        <is>
          <t>Outsourced Head Referee (RS &amp; PO)</t>
        </is>
      </c>
      <c r="T364">
        <v>1</v>
      </c>
      <c r="U364">
        <v>62000</v>
      </c>
      <c r="V364" t="inlineStr">
        <is>
          <t>PHP</t>
        </is>
      </c>
      <c r="W364">
        <v>62000</v>
      </c>
      <c r="X364" s="2" t="str">
        <f>=HYPERLINK("https://www.larksuite.com/approval/admin/previewAttachment?key=PMgxCkJBDATQK80k2UziZWxcFhUUQdBqzy5Y_PZlEVmDno1oWoNbIxJVUpHNLDi3bUoNUbQ9H-v8uq8bNL-y-XSu_ble1nxztMwgj_ACwNPhrojozsDf8QsAAP__", "2 attachment(s)")</f>
        <v>2 attachment(s)</v>
      </c>
      <c r="Y364" t="inlineStr">
        <is>
          <t>Bank Transfer</t>
        </is>
      </c>
      <c r="Z364" t="inlineStr">
        <is>
          <t>Rinzcent Gueco</t>
        </is>
      </c>
      <c r="AA364" t="inlineStr">
        <is>
          <t>160610012764</t>
        </is>
      </c>
      <c r="AB364" t="inlineStr">
        <is>
          <t>PNB</t>
        </is>
      </c>
      <c r="AC364" t="inlineStr">
        <is>
          <t>1347-G Lardizabal St. Sampaloc Manila</t>
        </is>
      </c>
      <c r="AD364" s="4">
        <v>45889</v>
      </c>
      <c r="AE364" t="inlineStr">
        <is>
          <t>1st Payment - Sept. 5, 2025
2nd Payment - Sept. 26, 2025
3rd Payment - Oct. 17, 2025
4th Payment - Nov. 7, 2025
Final Payment - Nov. 21, 2025</t>
        </is>
      </c>
      <c r="AF364" s="2"/>
      <c r="AG364" t="inlineStr">
        <is>
          <t>NzQyNTk5MTgyNzQ4MTg3MDM0MTowQ0JBOTcwNS01RUZELTRFRkUtOTdEQS0wMEE1RjhFOTgyOUEtMTphYjI0Y2EwNjdkMTk0YzQzZDE5MTRhNjRlYzEwYWRkMzox</t>
        </is>
      </c>
      <c r="AH364" t="inlineStr">
        <is>
          <t>Rinzcent Gueco</t>
        </is>
      </c>
      <c r="AI364"/>
      <c r="AJ364"/>
      <c r="AK364"/>
    </row>
    <row r="365" ht="25.5" customHeight="1">
      <c r="A365" s="2" t="str">
        <f>=HYPERLINK("https://applink.larksuite.com/client/mini_program/open?appId=cli_9c7cc8a9a9edd105&amp;mode=appCenter&amp;path_pc=pc/pages/requested/index?instanceId=7546092741906677799&amp;source=bitable&amp;path=pages/detail/index?instanceId=7546092741906677799&amp;source=bitable", "202509040026")</f>
        <v>202509040026</v>
      </c>
      <c r="B365" t="inlineStr">
        <is>
          <t>Approved</t>
        </is>
      </c>
      <c r="C365" t="inlineStr">
        <is>
          <t>Procurement Order</t>
        </is>
      </c>
      <c r="D365" s="3">
        <v>45904.53738425926</v>
      </c>
      <c r="E365" s="3">
        <v>45905.62883101852</v>
      </c>
      <c r="F365" t="inlineStr">
        <is>
          <t>Fatima Kathleen M. FLores</t>
        </is>
      </c>
      <c r="G365" t="inlineStr">
        <is>
          <t>Procurement</t>
        </is>
      </c>
      <c r="H365"/>
      <c r="I365"/>
      <c r="J365" t="inlineStr">
        <is>
          <t>Project</t>
        </is>
      </c>
      <c r="K365" t="inlineStr">
        <is>
          <t>PDEI - Event Service</t>
        </is>
      </c>
      <c r="L365" t="inlineStr">
        <is>
          <t>MPL PH S16 - Regular Season</t>
        </is>
      </c>
      <c r="M365" t="inlineStr">
        <is>
          <t>2025TEG-P0214</t>
        </is>
      </c>
      <c r="N365" t="inlineStr">
        <is>
          <t>Anteaus Villena</t>
        </is>
      </c>
      <c r="O365" t="inlineStr">
        <is>
          <t>202508060016-Jessica Jane Lor Felicilda-费用报销 - 副本 - 副本 - 副本-2025-08-06 03:41:11</t>
        </is>
      </c>
      <c r="P365" t="inlineStr">
        <is>
          <t>YES</t>
        </is>
      </c>
      <c r="Q365"/>
      <c r="R365" t="inlineStr">
        <is>
          <t>YES</t>
        </is>
      </c>
      <c r="S365" t="inlineStr">
        <is>
          <t>Outsourced Stage Referee (RS &amp; PO)</t>
        </is>
      </c>
      <c r="T365">
        <v>1</v>
      </c>
      <c r="U365">
        <v>52500</v>
      </c>
      <c r="V365" t="inlineStr">
        <is>
          <t>PHP</t>
        </is>
      </c>
      <c r="W365">
        <v>52500</v>
      </c>
      <c r="X365" s="2" t="str">
        <f>=HYPERLINK("https://www.larksuite.com/approval/admin/previewAttachment?key=PMhBCsIwFATQK83Pn_zJeBk3LUEphYLQXc4uuHD7agRq9Mgy6GhGLHUW3MQwqiTZq62QDIUi137O5_u-nMfkduaBfq37tc39E91qDUoyB4B4_D1F0i7i5_gGAAD__w", "2 attachment(s)")</f>
        <v>2 attachment(s)</v>
      </c>
      <c r="Y365" t="inlineStr">
        <is>
          <t>Bank Transfer</t>
        </is>
      </c>
      <c r="Z365" t="inlineStr">
        <is>
          <t>Juvin Daryl L. Chico</t>
        </is>
      </c>
      <c r="AA365" t="inlineStr">
        <is>
          <t>2486264929</t>
        </is>
      </c>
      <c r="AB365" t="inlineStr">
        <is>
          <t>Landbank</t>
        </is>
      </c>
      <c r="AC365" t="inlineStr">
        <is>
          <t>Blk 1 lot 27 Amethyst st. Saint Francis Homes III. San Pedro Laguna</t>
        </is>
      </c>
      <c r="AD365" s="4">
        <v>45887</v>
      </c>
      <c r="AE365" t="inlineStr">
        <is>
          <t>1st Payment - Sept. 5, 2025
2nd Payment - Sept. 26, 2025
3rd Payment - Oct. 17, 2025
4th Payment - Nov. 7, 2025
Final Payment - Nov. 21, 2025</t>
        </is>
      </c>
      <c r="AF365" s="2"/>
      <c r="AG365" t="inlineStr">
        <is>
          <t>NzQyNTk5MTgyNzQ4MTg3MDM0MToxQUM1RTlFMi0xRTVGLTQ4NzgtQkI3MS1FMjk2NTFGRjlGQTQtMTpmZGMxMzA3N2YwMDc4Y2NlNWE1NjgyZWJiMzBiOGExYjox</t>
        </is>
      </c>
      <c r="AH365" t="inlineStr">
        <is>
          <t>Juvin Daryl L. Chico</t>
        </is>
      </c>
      <c r="AI365"/>
      <c r="AJ365"/>
      <c r="AK365"/>
    </row>
    <row r="366" ht="25.5" customHeight="1">
      <c r="A366" s="2" t="str">
        <f>=HYPERLINK("https://applink.larksuite.com/client/mini_program/open?appId=cli_9c7cc8a9a9edd105&amp;mode=appCenter&amp;path_pc=pc/pages/requested/index?instanceId=7546097172895252518&amp;source=bitable&amp;path=pages/detail/index?instanceId=7546097172895252518&amp;source=bitable", "202509040027")</f>
        <v>202509040027</v>
      </c>
      <c r="B366" t="inlineStr">
        <is>
          <t>Approved</t>
        </is>
      </c>
      <c r="C366" t="inlineStr">
        <is>
          <t>Procurement Order</t>
        </is>
      </c>
      <c r="D366" s="3">
        <v>45904.54931712963</v>
      </c>
      <c r="E366" s="3">
        <v>45905.62829861111</v>
      </c>
      <c r="F366" t="inlineStr">
        <is>
          <t>Fatima Kathleen M. FLores</t>
        </is>
      </c>
      <c r="G366" t="inlineStr">
        <is>
          <t>Procurement</t>
        </is>
      </c>
      <c r="H366"/>
      <c r="I366"/>
      <c r="J366" t="inlineStr">
        <is>
          <t>Project</t>
        </is>
      </c>
      <c r="K366" t="inlineStr">
        <is>
          <t>PDEI - Event Service</t>
        </is>
      </c>
      <c r="L366" t="inlineStr">
        <is>
          <t>MPL PH S16 - Regular Season</t>
        </is>
      </c>
      <c r="M366" t="inlineStr">
        <is>
          <t>2025TEG-P0214</t>
        </is>
      </c>
      <c r="N366" t="inlineStr">
        <is>
          <t>Anteaus Villena</t>
        </is>
      </c>
      <c r="O366" t="inlineStr">
        <is>
          <t>202508060016-Jessica Jane Lor Felicilda-费用报销 - 副本 - 副本 - 副本-2025-08-06 03:41:11</t>
        </is>
      </c>
      <c r="P366" t="inlineStr">
        <is>
          <t>YES</t>
        </is>
      </c>
      <c r="Q366"/>
      <c r="R366" t="inlineStr">
        <is>
          <t>YES</t>
        </is>
      </c>
      <c r="S366" t="inlineStr">
        <is>
          <t>Outsourced Stage Referee (RS &amp; PO)</t>
        </is>
      </c>
      <c r="T366">
        <v>1</v>
      </c>
      <c r="U366">
        <v>53000</v>
      </c>
      <c r="V366" t="inlineStr">
        <is>
          <t>PHP</t>
        </is>
      </c>
      <c r="W366">
        <v>53000</v>
      </c>
      <c r="X366" s="2" t="str">
        <f>=HYPERLINK("https://www.larksuite.com/approval/admin/previewAttachment?key=PMhNCgIxDAXgK72XJn2Nl3FjGfwrCOK4ytkFF7P9-iD6CLae8KQlWArvSFE2MiwsOMqKUkIUW821nR82n6-Fhe_t_tmt9utlm29Gygxq7m0A4OnwJnfP7I6_4xcAAP__", "2 attachment(s)")</f>
        <v>2 attachment(s)</v>
      </c>
      <c r="Y366" t="inlineStr">
        <is>
          <t>Bank Transfer</t>
        </is>
      </c>
      <c r="Z366" t="inlineStr">
        <is>
          <t>Joshua Gabriel J. Huerta</t>
        </is>
      </c>
      <c r="AA366" t="inlineStr">
        <is>
          <t>1156 1223 31</t>
        </is>
      </c>
      <c r="AB366" t="inlineStr">
        <is>
          <t>Landbank</t>
        </is>
      </c>
      <c r="AC366" t="inlineStr">
        <is>
          <t>1317c Lardizabal St. Sampaloc Manila</t>
        </is>
      </c>
      <c r="AD366" s="4">
        <v>45887</v>
      </c>
      <c r="AE366" t="inlineStr">
        <is>
          <t>1st Payment - Sept. 5, 2025
2nd Payment - Sept. 26, 2025
3rd Payment - Oct. 17, 2025
4th Payment - Nov. 7, 2025
Final Payment - Nov. 21, 2025</t>
        </is>
      </c>
      <c r="AF366" s="2"/>
      <c r="AG366" t="inlineStr">
        <is>
          <t>NzQyNTk5MTgyNzQ4MTg3MDM0MTo5QkM1QUM1QS1BQ0NCLTRFMUYtQjU3RC05QTA4MjVBMDcxNEItMTo0ODIzNzFjZGI3MDA5ODQ5YjA2NWE5ZGQ2MzFmYzA2NDox</t>
        </is>
      </c>
      <c r="AH366" t="inlineStr">
        <is>
          <t>Joshua Gabriel J. Huerta</t>
        </is>
      </c>
      <c r="AI366"/>
      <c r="AJ366"/>
      <c r="AK366"/>
    </row>
    <row r="367" ht="25.5" customHeight="1">
      <c r="A367" s="2" t="str">
        <f>=HYPERLINK("https://applink.larksuite.com/client/mini_program/open?appId=cli_9c7cc8a9a9edd105&amp;mode=appCenter&amp;path_pc=pc/pages/requested/index?instanceId=7546098108380233759&amp;source=bitable&amp;path=pages/detail/index?instanceId=7546098108380233759&amp;source=bitable", "202509040028")</f>
        <v>202509040028</v>
      </c>
      <c r="B367" t="inlineStr">
        <is>
          <t>Approved</t>
        </is>
      </c>
      <c r="C367" t="inlineStr">
        <is>
          <t>Procurement Order</t>
        </is>
      </c>
      <c r="D367" s="3">
        <v>45904.551840277774</v>
      </c>
      <c r="E367" s="3">
        <v>45904.65692129629</v>
      </c>
      <c r="F367" t="inlineStr">
        <is>
          <t>Fatima Kathleen M. FLores</t>
        </is>
      </c>
      <c r="G367" t="inlineStr">
        <is>
          <t>Procurement</t>
        </is>
      </c>
      <c r="H367"/>
      <c r="I367"/>
      <c r="J367" t="inlineStr">
        <is>
          <t>Project</t>
        </is>
      </c>
      <c r="K367" t="inlineStr">
        <is>
          <t>PDEI - Event Service</t>
        </is>
      </c>
      <c r="L367" t="inlineStr">
        <is>
          <t>MPL PH S16 - Regular Season</t>
        </is>
      </c>
      <c r="M367" t="inlineStr">
        <is>
          <t>2025TEG-P0214</t>
        </is>
      </c>
      <c r="N367" t="inlineStr">
        <is>
          <t>Anteaus Villena</t>
        </is>
      </c>
      <c r="O367" t="inlineStr">
        <is>
          <t>202508060016-Jessica Jane Lor Felicilda-费用报销 - 副本 - 副本 - 副本-2025-08-06 03:41:11</t>
        </is>
      </c>
      <c r="P367" t="inlineStr">
        <is>
          <t>YES</t>
        </is>
      </c>
      <c r="Q367"/>
      <c r="R367" t="inlineStr">
        <is>
          <t>NO</t>
        </is>
      </c>
      <c r="S367" t="inlineStr">
        <is>
          <t>Outsourced Stage Referee (RS &amp; PO)</t>
        </is>
      </c>
      <c r="T367">
        <v>1</v>
      </c>
      <c r="U367">
        <v>49600</v>
      </c>
      <c r="V367" t="inlineStr">
        <is>
          <t>PHP</t>
        </is>
      </c>
      <c r="W367">
        <v>49600</v>
      </c>
      <c r="X367" s="2" t="str">
        <f>=HYPERLINK("https://www.larksuite.com/approval/admin/previewAttachment?key=PMhBCsIwEAXQK_0_M8mf8TJuGoKILYJQ3OTsgotuX0-iZ6P3QhStwKUWHZVEesLc1WrZolQQRVtjn_fnPo73OefrULPvts7HNseHrWQGeYQnAN4ud0VEVQ_8Hb8AAAD__w", "2 attachment(s)")</f>
        <v>2 attachment(s)</v>
      </c>
      <c r="Y367" t="inlineStr">
        <is>
          <t>Bank Transfer</t>
        </is>
      </c>
      <c r="Z367" t="inlineStr">
        <is>
          <t>Jefferson Serrano</t>
        </is>
      </c>
      <c r="AA367" t="inlineStr">
        <is>
          <t>109325419981</t>
        </is>
      </c>
      <c r="AB367" t="inlineStr">
        <is>
          <t>UnionBank</t>
        </is>
      </c>
      <c r="AC367" t="inlineStr">
        <is>
          <t>1308 Casañas Street Sampaloc Manila</t>
        </is>
      </c>
      <c r="AD367" s="4">
        <v>45891</v>
      </c>
      <c r="AE367" t="inlineStr">
        <is>
          <t>1st Payment - Sept. 5, 2025
2nd Payment - Sept. 26, 2025
3rd Payment - Oct. 17, 2025
4th Payment - Nov. 7, 2025
Final Payment - Nov. 21, 2025</t>
        </is>
      </c>
      <c r="AF367" s="2"/>
      <c r="AG367" t="inlineStr">
        <is>
          <t>NzQyNTk5MTgyNzQ4MTg3MDM0MTo2MUMxNjAwNy1BNjI2LTRDNjMtQUU5OS02MjMxMEE5NTAwNUQtMTo1MGJjMWE3MTkxMmM4YTEzZjc4OGE4Yzk5Y2Q1ZGFlOTox</t>
        </is>
      </c>
      <c r="AH367" t="inlineStr">
        <is>
          <t>Jefferson Serrano</t>
        </is>
      </c>
      <c r="AI367"/>
      <c r="AJ367"/>
      <c r="AK367"/>
    </row>
    <row r="368" ht="25.5" customHeight="1">
      <c r="A368" s="2" t="str">
        <f>=HYPERLINK("https://applink.larksuite.com/client/mini_program/open?appId=cli_9c7cc8a9a9edd105&amp;mode=appCenter&amp;path_pc=pc/pages/requested/index?instanceId=7546099825285038118&amp;source=bitable&amp;path=pages/detail/index?instanceId=7546099825285038118&amp;source=bitable", "202509040030")</f>
        <v>202509040030</v>
      </c>
      <c r="B368" t="inlineStr">
        <is>
          <t>Approved</t>
        </is>
      </c>
      <c r="C368" t="inlineStr">
        <is>
          <t>Procurement Order</t>
        </is>
      </c>
      <c r="D368" s="3">
        <v>45904.55646990741</v>
      </c>
      <c r="E368" s="3">
        <v>45904.65630787037</v>
      </c>
      <c r="F368" t="inlineStr">
        <is>
          <t>Fatima Kathleen M. FLores</t>
        </is>
      </c>
      <c r="G368" t="inlineStr">
        <is>
          <t>Procurement</t>
        </is>
      </c>
      <c r="H368"/>
      <c r="I368"/>
      <c r="J368" t="inlineStr">
        <is>
          <t>Project</t>
        </is>
      </c>
      <c r="K368" t="inlineStr">
        <is>
          <t>PDEI - Event Service</t>
        </is>
      </c>
      <c r="L368" t="inlineStr">
        <is>
          <t>MPL PH S16 - Regular Season</t>
        </is>
      </c>
      <c r="M368" t="inlineStr">
        <is>
          <t>2025TEG-P0214</t>
        </is>
      </c>
      <c r="N368" t="inlineStr">
        <is>
          <t>Anteaus Villena</t>
        </is>
      </c>
      <c r="O368" t="inlineStr">
        <is>
          <t>202508060016-Jessica Jane Lor Felicilda-费用报销 - 副本 - 副本 - 副本-2025-08-06 03:41:11</t>
        </is>
      </c>
      <c r="P368" t="inlineStr">
        <is>
          <t>YES</t>
        </is>
      </c>
      <c r="Q368"/>
      <c r="R368" t="inlineStr">
        <is>
          <t>NO</t>
        </is>
      </c>
      <c r="S368" t="inlineStr">
        <is>
          <t>Outsourced Stage Referee (RS &amp; PO)</t>
        </is>
      </c>
      <c r="T368">
        <v>1</v>
      </c>
      <c r="U368">
        <v>49500</v>
      </c>
      <c r="V368" t="inlineStr">
        <is>
          <t>PHP</t>
        </is>
      </c>
      <c r="W368">
        <v>49500</v>
      </c>
      <c r="X368" s="2" t="str">
        <f>=HYPERLINK("https://www.larksuite.com/approval/admin/previewAttachment?key=PMgrDoIxEATgK83so7PLZTA0DQIwBAKiZydB_PYbRYxK-mhE0xrcyhjoLkurhBdZ2zalhijanvd1vuV8-WNlpPT92H5fL2s-mS0zyCO8APB0uCsiukfg7_gFAAD__w", "2 attachment(s)")</f>
        <v>2 attachment(s)</v>
      </c>
      <c r="Y368" t="inlineStr">
        <is>
          <t>Bank Transfer</t>
        </is>
      </c>
      <c r="Z368" t="inlineStr">
        <is>
          <t>Patrick B. Pablico</t>
        </is>
      </c>
      <c r="AA368" t="inlineStr">
        <is>
          <t>09153186869</t>
        </is>
      </c>
      <c r="AB368" t="inlineStr">
        <is>
          <t>GCash</t>
        </is>
      </c>
      <c r="AC368" t="inlineStr">
        <is>
          <t>50 St. Fuentebella St. Brgy. Laging Handa, Quezon City</t>
        </is>
      </c>
      <c r="AD368" s="4">
        <v>45891</v>
      </c>
      <c r="AE368" t="inlineStr">
        <is>
          <t>1st Payment - Sept. 5, 2025
2nd Payment - Sept. 26, 2025
3rd Payment - Oct. 17, 2025
4th Payment - Nov. 7, 2025
Final Payment - Nov. 21, 2025</t>
        </is>
      </c>
      <c r="AF368" s="2"/>
      <c r="AG368" t="inlineStr">
        <is>
          <t>NzQyNTk5MTgyNzQ4MTg3MDM0MToxNjZCMTgzNy04OEQyLTRFMDUtQTk4NC0yRjU1RDI5RjVDREEtMTplOTE2NTQ2ZTcyMWYwNmEzNDhkNDViZGE2NGE5M2JiZTox</t>
        </is>
      </c>
      <c r="AH368" t="inlineStr">
        <is>
          <t>Patrick B. Pablico</t>
        </is>
      </c>
      <c r="AI368"/>
      <c r="AJ368"/>
      <c r="AK368"/>
    </row>
    <row r="369" ht="25.5" customHeight="1">
      <c r="A369" s="2" t="str">
        <f>=HYPERLINK("https://applink.larksuite.com/client/mini_program/open?appId=cli_9c7cc8a9a9edd105&amp;mode=appCenter&amp;path_pc=pc/pages/requested/index?instanceId=7546124066449539103&amp;source=bitable&amp;path=pages/detail/index?instanceId=7546124066449539103&amp;source=bitable", "202509040043")</f>
        <v>202509040043</v>
      </c>
      <c r="B369" t="inlineStr">
        <is>
          <t>Approved</t>
        </is>
      </c>
      <c r="C369" t="inlineStr">
        <is>
          <t>Procurement Order</t>
        </is>
      </c>
      <c r="D369" s="3">
        <v>45904.62179398148</v>
      </c>
      <c r="E369" s="3">
        <v>45904.672488425924</v>
      </c>
      <c r="F369" t="inlineStr">
        <is>
          <t>Fatima Kathleen M. FLores</t>
        </is>
      </c>
      <c r="G369" t="inlineStr">
        <is>
          <t>Procurement</t>
        </is>
      </c>
      <c r="H369"/>
      <c r="I369"/>
      <c r="J369" t="inlineStr">
        <is>
          <t>Project</t>
        </is>
      </c>
      <c r="K369" t="inlineStr">
        <is>
          <t>PDEI - Event Service</t>
        </is>
      </c>
      <c r="L369" t="inlineStr">
        <is>
          <t>MPL PH S16 - Regular Season</t>
        </is>
      </c>
      <c r="M369" t="inlineStr">
        <is>
          <t>2025TEG-P0214</t>
        </is>
      </c>
      <c r="N369" t="inlineStr">
        <is>
          <t>Jessica Jane Lor Felicilda</t>
        </is>
      </c>
      <c r="O369" t="inlineStr">
        <is>
          <t>202508060017-Jessica Jane Lor Felicilda-费用报销 - 副本 - 副本 - 副本-2025-08-06 03:44:59</t>
        </is>
      </c>
      <c r="P369" t="inlineStr">
        <is>
          <t>YES</t>
        </is>
      </c>
      <c r="Q369"/>
      <c r="R369" t="inlineStr">
        <is>
          <t>NO</t>
        </is>
      </c>
      <c r="S369" t="inlineStr">
        <is>
          <t>Outsourced Stage Assistant (RS &amp; PO)</t>
        </is>
      </c>
      <c r="T369">
        <v>1</v>
      </c>
      <c r="U369">
        <v>46500</v>
      </c>
      <c r="V369" t="inlineStr">
        <is>
          <t>PHP</t>
        </is>
      </c>
      <c r="W369">
        <v>46500</v>
      </c>
      <c r="X369" s="2" t="str">
        <f>=HYPERLINK("https://www.larksuite.com/approval/admin/previewAttachment?key=PMgxCkJBDATQK80ks8nGy9gYFlE_CKLdnl2wsH0xiZiDHgUVrcCdQ0ETIqQaXoRv28wsJJO--1jnx-i337rvx5ptz_25Xla_OCrNkC75BMDT3z0lVYXwc3wDAAD__w", "2 attachment(s)")</f>
        <v>2 attachment(s)</v>
      </c>
      <c r="Y369" t="inlineStr">
        <is>
          <t>Bank Transfer</t>
        </is>
      </c>
      <c r="Z369" t="inlineStr">
        <is>
          <t>JOHN JOSEPH SANCHEZ</t>
        </is>
      </c>
      <c r="AA369" t="inlineStr">
        <is>
          <t>2487023763</t>
        </is>
      </c>
      <c r="AB369" t="inlineStr">
        <is>
          <t>Landbank</t>
        </is>
      </c>
      <c r="AC369" t="inlineStr">
        <is>
          <t>50 St. Fuentebella St. Brgy. Laging Handa, Quezon City</t>
        </is>
      </c>
      <c r="AD369" s="4">
        <v>45889</v>
      </c>
      <c r="AE369" t="inlineStr">
        <is>
          <t>1st Payment - Sept. 5, 2025
2nd Payment - Sept. 26, 2025
3rd Payment - Oct. 17, 2025
4th Payment - Nov. 7, 2025
Final Payment - Nov. 21, 2025</t>
        </is>
      </c>
      <c r="AF369" s="2"/>
      <c r="AG369" t="inlineStr">
        <is>
          <t>NzQyNTk5MTgyNzQ4MTg3MDM0MTpCNTRCQzcwRS02RjE5LTRGNjUtOEYxOS1EOUMzNDdDMUZGRDEtMTo0OGU1N2I1YjJjNmUyNzQxMzQ4OWNmMjUxOTI5MTc3MDox</t>
        </is>
      </c>
      <c r="AH369" t="inlineStr">
        <is>
          <t>JOHN JOSEPH SANCHEZ</t>
        </is>
      </c>
      <c r="AI369"/>
      <c r="AJ369"/>
      <c r="AK369"/>
    </row>
    <row r="370" ht="25.5" customHeight="1">
      <c r="A370" s="2" t="str">
        <f>=HYPERLINK("https://applink.larksuite.com/client/mini_program/open?appId=cli_9c7cc8a9a9edd105&amp;mode=appCenter&amp;path_pc=pc/pages/requested/index?instanceId=7546125008943267879&amp;source=bitable&amp;path=pages/detail/index?instanceId=7546125008943267879&amp;source=bitable", "202509040044")</f>
        <v>202509040044</v>
      </c>
      <c r="B370" t="inlineStr">
        <is>
          <t>Approved</t>
        </is>
      </c>
      <c r="C370" t="inlineStr">
        <is>
          <t>Procurement Order</t>
        </is>
      </c>
      <c r="D370" s="3">
        <v>45904.624340277776</v>
      </c>
      <c r="E370" s="3">
        <v>45904.67202546296</v>
      </c>
      <c r="F370" t="inlineStr">
        <is>
          <t>Fatima Kathleen M. FLores</t>
        </is>
      </c>
      <c r="G370" t="inlineStr">
        <is>
          <t>Procurement</t>
        </is>
      </c>
      <c r="H370"/>
      <c r="I370"/>
      <c r="J370" t="inlineStr">
        <is>
          <t>Project</t>
        </is>
      </c>
      <c r="K370" t="inlineStr">
        <is>
          <t>PDEI - Event Service</t>
        </is>
      </c>
      <c r="L370" t="inlineStr">
        <is>
          <t>MPL PH S16 - Regular Season</t>
        </is>
      </c>
      <c r="M370" t="inlineStr">
        <is>
          <t>2025TEG-P0214</t>
        </is>
      </c>
      <c r="N370" t="inlineStr">
        <is>
          <t>Jessica Jane Lor Felicilda</t>
        </is>
      </c>
      <c r="O370" t="inlineStr">
        <is>
          <t>202508060017-Jessica Jane Lor Felicilda-费用报销 - 副本 - 副本 - 副本-2025-08-06 03:44:59</t>
        </is>
      </c>
      <c r="P370" t="inlineStr">
        <is>
          <t>YES</t>
        </is>
      </c>
      <c r="Q370"/>
      <c r="R370" t="inlineStr">
        <is>
          <t>NO</t>
        </is>
      </c>
      <c r="S370" t="inlineStr">
        <is>
          <t>Outsourced Stage Assistant (RS &amp; PO)</t>
        </is>
      </c>
      <c r="T370">
        <v>1</v>
      </c>
      <c r="U370">
        <v>51150</v>
      </c>
      <c r="V370" t="inlineStr">
        <is>
          <t>PHP</t>
        </is>
      </c>
      <c r="W370">
        <v>51150</v>
      </c>
      <c r="X370" s="2" t="str">
        <f>=HYPERLINK("https://www.larksuite.com/approval/admin/previewAttachment?key=PMg9qgJBEATgK1X_TNfUu8xLHBZZnE0EMemzCwamX01DzWFRQspcsObIMh_AVIYXJ9XeRgo0mvfax3_si-f7Ia7t-7z6db8d62lDdAcjMyYA-_t5MDOlSnwdnwAAAP__", "2 attachment(s)")</f>
        <v>2 attachment(s)</v>
      </c>
      <c r="Y370" t="inlineStr">
        <is>
          <t>Bank Transfer</t>
        </is>
      </c>
      <c r="Z370" t="inlineStr">
        <is>
          <t>Mico Tabernilla</t>
        </is>
      </c>
      <c r="AA370" t="inlineStr">
        <is>
          <t>303-900-2977</t>
        </is>
      </c>
      <c r="AB370" t="inlineStr">
        <is>
          <t>BPI</t>
        </is>
      </c>
      <c r="AC370" t="inlineStr">
        <is>
          <t>4004 Yague St. Brgy Tejeros, Makati City</t>
        </is>
      </c>
      <c r="AD370" s="4">
        <v>45889</v>
      </c>
      <c r="AE370" t="inlineStr">
        <is>
          <t>1st Payment - Sept. 5, 2025
2nd Payment - Sept. 26, 2025
3rd Payment - Oct. 17, 2025
4th Payment - Nov. 7, 2025
Final Payment - Nov. 21, 2025</t>
        </is>
      </c>
      <c r="AF370" s="2"/>
      <c r="AG370" t="inlineStr">
        <is>
          <t>NzQyNTk5MTgyNzQ4MTg3MDM0MTo2QzE4QTQwMi04NzFGLTQ0MkYtOTNDRS04OTQ1NzAwQUU0M0EtMTo0YjNkZDIwM2UwYjY1NGVmMDIzNmEwMjQ4YzhiNzgxODox</t>
        </is>
      </c>
      <c r="AH370" t="inlineStr">
        <is>
          <t>Mico Tabernilla</t>
        </is>
      </c>
      <c r="AI370"/>
      <c r="AJ370"/>
      <c r="AK370"/>
    </row>
    <row r="371" ht="25.5" customHeight="1">
      <c r="A371" s="2" t="str">
        <f>=HYPERLINK("https://applink.larksuite.com/client/mini_program/open?appId=cli_9c7cc8a9a9edd105&amp;mode=appCenter&amp;path_pc=pc/pages/requested/index?instanceId=7546127204099358751&amp;source=bitable&amp;path=pages/detail/index?instanceId=7546127204099358751&amp;source=bitable", "202509040046")</f>
        <v>202509040046</v>
      </c>
      <c r="B371" t="inlineStr">
        <is>
          <t>Approved</t>
        </is>
      </c>
      <c r="C371" t="inlineStr">
        <is>
          <t>Procurement Order</t>
        </is>
      </c>
      <c r="D371" s="3">
        <v>45904.63025462963</v>
      </c>
      <c r="E371" s="3">
        <v>45904.67017361111</v>
      </c>
      <c r="F371" t="inlineStr">
        <is>
          <t>Fatima Kathleen M. FLores</t>
        </is>
      </c>
      <c r="G371" t="inlineStr">
        <is>
          <t>Procurement</t>
        </is>
      </c>
      <c r="H371"/>
      <c r="I371"/>
      <c r="J371" t="inlineStr">
        <is>
          <t>Project</t>
        </is>
      </c>
      <c r="K371" t="inlineStr">
        <is>
          <t>PDEI - Event Service</t>
        </is>
      </c>
      <c r="L371" t="inlineStr">
        <is>
          <t>MPL PH S16 - Regular Season</t>
        </is>
      </c>
      <c r="M371" t="inlineStr">
        <is>
          <t>2025TEG-P0214</t>
        </is>
      </c>
      <c r="N371" t="inlineStr">
        <is>
          <t>Jessica Jane Lor Felicilda</t>
        </is>
      </c>
      <c r="O371" t="inlineStr">
        <is>
          <t>202508110084-Jessica Jane Lor Felicilda-费用报销 - 副本 - 副本 - 副本-2025-08-11 10:58:21</t>
        </is>
      </c>
      <c r="P371" t="inlineStr">
        <is>
          <t>YES</t>
        </is>
      </c>
      <c r="Q371"/>
      <c r="R371" t="inlineStr">
        <is>
          <t>NO</t>
        </is>
      </c>
      <c r="S371" t="inlineStr">
        <is>
          <t>Outsourced IT Support (RS &amp; PO)</t>
        </is>
      </c>
      <c r="T371">
        <v>1</v>
      </c>
      <c r="U371">
        <v>70140</v>
      </c>
      <c r="V371" t="inlineStr">
        <is>
          <t>PHP</t>
        </is>
      </c>
      <c r="W371">
        <v>70140</v>
      </c>
      <c r="X371" s="2" t="str">
        <f>=HYPERLINK("https://www.larksuite.com/approval/admin/previewAttachment?key=PMi5DUIxEATQlmb28HhphgTri-uTICDa2pEISN-YxJhJH4UoWoGtjEGTIVDlOZVsa0oFUfRe-3a853p58PbB43rZV7_Pp209mSUzyCN8AuDh766IqBqBn-MbAAD__w", "2 attachment(s)")</f>
        <v>2 attachment(s)</v>
      </c>
      <c r="Y371" t="inlineStr">
        <is>
          <t>Bank Transfer</t>
        </is>
      </c>
      <c r="Z371" t="inlineStr">
        <is>
          <t>Elton John Lee</t>
        </is>
      </c>
      <c r="AA371" t="inlineStr">
        <is>
          <t>1993906533791</t>
        </is>
      </c>
      <c r="AB371" t="inlineStr">
        <is>
          <t>Metrobank</t>
        </is>
      </c>
      <c r="AC371" t="inlineStr">
        <is>
          <t>22 St. Joseph St. Dela Costa Homes 1, Barangka, Marikina City</t>
        </is>
      </c>
      <c r="AD371" s="4">
        <v>45886</v>
      </c>
      <c r="AE371" t="inlineStr">
        <is>
          <t>1st Payment - Sept. 5, 2025
2nd Payment - Sept. 26, 2025
3rd Payment - Oct. 17, 2025
4th Payment - Oct. 31, 2025
5th Payment - Nov. 14, 2025
Final Payment - Nov. 28, 2025</t>
        </is>
      </c>
      <c r="AF371" s="2"/>
      <c r="AG371" t="inlineStr">
        <is>
          <t>NzQyNTk5MTgyNzQ4MTg3MDM0MTpGN0FDNjZCOC1DOTc1LTQwRDMtQUFCQS0yMDU3NjZCRDM1NEUtMToxZjhkMGRjNzE3MGUzOTExMzU0N2M5MjcwYzE0NTU2MTox</t>
        </is>
      </c>
      <c r="AH371" t="inlineStr">
        <is>
          <t>Elton John Lee</t>
        </is>
      </c>
      <c r="AI371"/>
      <c r="AJ371"/>
      <c r="AK371"/>
    </row>
    <row r="372" ht="25.5" customHeight="1">
      <c r="A372" s="2" t="str">
        <f>=HYPERLINK("https://applink.larksuite.com/client/mini_program/open?appId=cli_9c7cc8a9a9edd105&amp;mode=appCenter&amp;path_pc=pc/pages/requested/index?instanceId=7546128999374684191&amp;source=bitable&amp;path=pages/detail/index?instanceId=7546128999374684191&amp;source=bitable", "202509040049")</f>
        <v>202509040049</v>
      </c>
      <c r="B372" t="inlineStr">
        <is>
          <t>Approved</t>
        </is>
      </c>
      <c r="C372" t="inlineStr">
        <is>
          <t>Procurement Order</t>
        </is>
      </c>
      <c r="D372" s="3">
        <v>45904.635092592594</v>
      </c>
      <c r="E372" s="3">
        <v>45904.66855324074</v>
      </c>
      <c r="F372" t="inlineStr">
        <is>
          <t>Fatima Kathleen M. FLores</t>
        </is>
      </c>
      <c r="G372" t="inlineStr">
        <is>
          <t>Procurement</t>
        </is>
      </c>
      <c r="H372"/>
      <c r="I372"/>
      <c r="J372" t="inlineStr">
        <is>
          <t>Project</t>
        </is>
      </c>
      <c r="K372" t="inlineStr">
        <is>
          <t>PDEI - Event Service</t>
        </is>
      </c>
      <c r="L372" t="inlineStr">
        <is>
          <t>MPL PH S16 - Regular Season</t>
        </is>
      </c>
      <c r="M372" t="inlineStr">
        <is>
          <t>2025TEG-P0214</t>
        </is>
      </c>
      <c r="N372" t="inlineStr">
        <is>
          <t>Jessica Jane Lor Felicilda</t>
        </is>
      </c>
      <c r="O372" t="inlineStr">
        <is>
          <t>202508110084-Jessica Jane Lor Felicilda-费用报销 - 副本 - 副本 - 副本-2025-08-11 10:58:21</t>
        </is>
      </c>
      <c r="P372" t="inlineStr">
        <is>
          <t>YES</t>
        </is>
      </c>
      <c r="Q372"/>
      <c r="R372" t="inlineStr">
        <is>
          <t>NO</t>
        </is>
      </c>
      <c r="S372" t="inlineStr">
        <is>
          <t>Outsourced IT Support (RS &amp; PO)</t>
        </is>
      </c>
      <c r="T372">
        <v>1</v>
      </c>
      <c r="U372">
        <v>8350</v>
      </c>
      <c r="V372" t="inlineStr">
        <is>
          <t>PHP</t>
        </is>
      </c>
      <c r="W372">
        <v>8350</v>
      </c>
      <c r="X372" s="2" t="str">
        <f>=HYPERLINK("https://www.larksuite.com/approval/admin/previewAttachment?key=PMgxCgJBDAXQK-Unf5L5XsbGYbHYBUF2rXJ2wcL25YTlHIiUUXAZugYTPiVFMSchtDeqZIWC9zq2-z7WGZeOc_9Q69XX87GtN4bK3SrImGaG29-jSEpJ-7l9AwAA__8", "2 attachment(s)")</f>
        <v>2 attachment(s)</v>
      </c>
      <c r="Y372" t="inlineStr">
        <is>
          <t>Bank Transfer</t>
        </is>
      </c>
      <c r="Z372" t="inlineStr">
        <is>
          <t>Wilson Mazaredo</t>
        </is>
      </c>
      <c r="AA372" t="inlineStr">
        <is>
          <t>09662375484</t>
        </is>
      </c>
      <c r="AB372" t="inlineStr">
        <is>
          <t>GCash</t>
        </is>
      </c>
      <c r="AC372" t="inlineStr">
        <is>
          <t>20 P. Ladia St. Proj 4. Quezon City</t>
        </is>
      </c>
      <c r="AD372" s="4">
        <v>45886</v>
      </c>
      <c r="AE372" t="inlineStr">
        <is>
          <t>100% Full Payment - Sept. 5, 2025</t>
        </is>
      </c>
      <c r="AF372" s="2"/>
      <c r="AG372" t="inlineStr">
        <is>
          <t>NzQyNTk5MTgyNzQ4MTg3MDM0MTo2NDUyQUNDNi0zMjQ4LTRCRTgtODNCMy1DMEFGMDgzMjNFNUItMTo4MDk1MTkyMTMzZjllNDI5MDBhNTUxOWJlM2RmMjhiNjox</t>
        </is>
      </c>
      <c r="AH372" t="inlineStr">
        <is>
          <t>Wilson Mazaredo</t>
        </is>
      </c>
      <c r="AI372"/>
      <c r="AJ372"/>
      <c r="AK372"/>
    </row>
    <row r="373" ht="25.5" customHeight="1">
      <c r="A373" s="2" t="str">
        <f>=HYPERLINK("https://applink.larksuite.com/client/mini_program/open?appId=cli_9c7cc8a9a9edd105&amp;mode=appCenter&amp;path_pc=pc/pages/requested/index?instanceId=7546130922450452518&amp;source=bitable&amp;path=pages/detail/index?instanceId=7546130922450452518&amp;source=bitable", "202509040050")</f>
        <v>202509040050</v>
      </c>
      <c r="B373" t="inlineStr">
        <is>
          <t>Approved</t>
        </is>
      </c>
      <c r="C373" t="inlineStr">
        <is>
          <t>Procurement Order</t>
        </is>
      </c>
      <c r="D373" s="3">
        <v>45904.64026620371</v>
      </c>
      <c r="E373" s="3">
        <v>45904.667719907404</v>
      </c>
      <c r="F373" t="inlineStr">
        <is>
          <t>Fatima Kathleen M. FLores</t>
        </is>
      </c>
      <c r="G373" t="inlineStr">
        <is>
          <t>Procurement</t>
        </is>
      </c>
      <c r="H373"/>
      <c r="I373"/>
      <c r="J373" t="inlineStr">
        <is>
          <t>Project</t>
        </is>
      </c>
      <c r="K373" t="inlineStr">
        <is>
          <t>PDEI - Event Service</t>
        </is>
      </c>
      <c r="L373" t="inlineStr">
        <is>
          <t>MPL PH S16 - Regular Season</t>
        </is>
      </c>
      <c r="M373" t="inlineStr">
        <is>
          <t>2025TEG-P0214</t>
        </is>
      </c>
      <c r="N373" t="inlineStr">
        <is>
          <t>Jessica Jane Lor Felicilda</t>
        </is>
      </c>
      <c r="O373" t="inlineStr">
        <is>
          <t>202508110084-Jessica Jane Lor Felicilda-费用报销 - 副本 - 副本 - 副本-2025-08-11 10:58:21</t>
        </is>
      </c>
      <c r="P373" t="inlineStr">
        <is>
          <t>YES</t>
        </is>
      </c>
      <c r="Q373"/>
      <c r="R373" t="inlineStr">
        <is>
          <t>NO</t>
        </is>
      </c>
      <c r="S373" t="inlineStr">
        <is>
          <t>Outsourced IT Support (RS &amp; PO)</t>
        </is>
      </c>
      <c r="T373">
        <v>1</v>
      </c>
      <c r="U373">
        <v>40080</v>
      </c>
      <c r="V373" t="inlineStr">
        <is>
          <t>PHP</t>
        </is>
      </c>
      <c r="W373">
        <v>40080</v>
      </c>
      <c r="X373" s="2" t="str">
        <f>=HYPERLINK("https://www.larksuite.com/approval/admin/previewAttachment?key=PMhBCsJADAXQK_2f_EwmXsaNZVBKpSB0l7MLLty-MYkxgz4KKlqBnaFBR5kpoLDgbGtmFpJJ6-1Y99d1ltt-bKcW93dfz8faPoxKM6RLPgHw9ndPSVVD-Dm-AQAA__8", "2 attachment(s)")</f>
        <v>2 attachment(s)</v>
      </c>
      <c r="Y373" t="inlineStr">
        <is>
          <t>Bank Transfer</t>
        </is>
      </c>
      <c r="Z373" t="inlineStr">
        <is>
          <t>Adrian Joseph Bernal</t>
        </is>
      </c>
      <c r="AA373" t="inlineStr">
        <is>
          <t>120902024374</t>
        </is>
      </c>
      <c r="AB373" t="inlineStr">
        <is>
          <t>Chinabank</t>
        </is>
      </c>
      <c r="AC373" t="inlineStr">
        <is>
          <t>Unit 6, Sampaloc St., Pagrai Hills, Brgy. Cupang, Antipolo City</t>
        </is>
      </c>
      <c r="AD373" s="4">
        <v>45891</v>
      </c>
      <c r="AE373" t="inlineStr">
        <is>
          <t>1st Payment - Sept. 5, 2025
2nd Payment - Sept. 26, 2025
3rd Payment - Oct. 17, 2025
Final Payment - Nov. 7, 2025</t>
        </is>
      </c>
      <c r="AF373" s="2"/>
      <c r="AG373" t="inlineStr">
        <is>
          <t>NzQyNTk5MTgyNzQ4MTg3MDM0MTozNTk1RUMxQy0xRkEwLTQ5QzctQTlBQS1COUE3RTMyRjQ3QTMtMTpkY2M4N2QxMDBjMDdhYjJlODFiZjE5N2RkMTlhMGQwZjox</t>
        </is>
      </c>
      <c r="AH373" t="inlineStr">
        <is>
          <t>Adrian Joseph Bernal</t>
        </is>
      </c>
      <c r="AI373"/>
      <c r="AJ373"/>
      <c r="AK373"/>
    </row>
    <row r="374" ht="25.5" customHeight="1">
      <c r="A374" s="2" t="str">
        <f>=HYPERLINK("https://applink.larksuite.com/client/mini_program/open?appId=cli_9c7cc8a9a9edd105&amp;mode=appCenter&amp;path_pc=pc/pages/requested/index?instanceId=7546148602113015839&amp;source=bitable&amp;path=pages/detail/index?instanceId=7546148602113015839&amp;source=bitable", "202509040059")</f>
        <v>202509040059</v>
      </c>
      <c r="B374" t="inlineStr">
        <is>
          <t>Approved</t>
        </is>
      </c>
      <c r="C374" t="inlineStr">
        <is>
          <t>Procurement Order</t>
        </is>
      </c>
      <c r="D374" s="3">
        <v>45904.68791666667</v>
      </c>
      <c r="E374" s="3">
        <v>45916.43607638889</v>
      </c>
      <c r="F374" t="inlineStr">
        <is>
          <t>Fatima Kathleen M. FLores</t>
        </is>
      </c>
      <c r="G374" t="inlineStr">
        <is>
          <t>Procurement</t>
        </is>
      </c>
      <c r="H374"/>
      <c r="I374"/>
      <c r="J374" t="inlineStr">
        <is>
          <t>Project</t>
        </is>
      </c>
      <c r="K374" t="inlineStr">
        <is>
          <t>PDEI - Event Service</t>
        </is>
      </c>
      <c r="L374" t="inlineStr">
        <is>
          <t>MPL PH S16 - Regular Season</t>
        </is>
      </c>
      <c r="M374" t="inlineStr">
        <is>
          <t>2025TEG-P0214</t>
        </is>
      </c>
      <c r="N374" t="inlineStr">
        <is>
          <t>Anteaus Villena</t>
        </is>
      </c>
      <c r="O374" t="inlineStr">
        <is>
          <t>202507310074-Jessica Jane Lor Felicilda-费用报销 - 副本 - 副本 - 副本-2025-07-31 07:31:17</t>
        </is>
      </c>
      <c r="P374" t="inlineStr">
        <is>
          <t>NO</t>
        </is>
      </c>
      <c r="Q374"/>
      <c r="R374" t="inlineStr">
        <is>
          <t>YES</t>
        </is>
      </c>
      <c r="S374" t="inlineStr">
        <is>
          <t>Outsourced Camera Crew with Equipment</t>
        </is>
      </c>
      <c r="T374">
        <v>1</v>
      </c>
      <c r="U374">
        <v>990724</v>
      </c>
      <c r="V374" t="inlineStr">
        <is>
          <t>PHP</t>
        </is>
      </c>
      <c r="W374">
        <v>990724</v>
      </c>
      <c r="X374" s="2" t="str">
        <f>=HYPERLINK("https://www.larksuite.com/approval/admin/previewAttachment?key=PMg7CgJBEATQK1VN1_THy5jssLjiiiCY9dkFA9PnSXhOmhdUHAV2TDmVjkEaONOqRzOiEAxar3O_3s_1zNchpng8tv7ctn29OSvGQJhkCYCXv1tIqnLh5_gGAAD__w", "2 attachment(s)")</f>
        <v>2 attachment(s)</v>
      </c>
      <c r="Y374" t="inlineStr">
        <is>
          <t>Bank Transfer</t>
        </is>
      </c>
      <c r="Z374" t="inlineStr">
        <is>
          <t>APEX FRANCHISE VENTURES OPC</t>
        </is>
      </c>
      <c r="AA374" t="inlineStr">
        <is>
          <t>102000005344</t>
        </is>
      </c>
      <c r="AB374" t="inlineStr">
        <is>
          <t>China Banking Corporation</t>
        </is>
      </c>
      <c r="AC374" t="inlineStr">
        <is>
          <t>San Juan</t>
        </is>
      </c>
      <c r="AD374" s="4">
        <v>45891</v>
      </c>
      <c r="AE374" t="inlineStr">
        <is>
          <t>100% Full Payment - Nov. 3, 2025</t>
        </is>
      </c>
      <c r="AF374" s="2"/>
      <c r="AG374" t="inlineStr">
        <is>
          <t>NzQyNTk5MTgyNzQ4MTg3MDM0MTpGMUY1N0I4RC1FNUE4LTQ2NDMtOTAzQS01OUIyMEI5ODUwQkYtMTo5YzMxYzRiODg3MDQ2NTBmMGFiODY0OTUwZTkyN2RiODox</t>
        </is>
      </c>
      <c r="AH374" t="inlineStr">
        <is>
          <t>APEX FRANCHISE VENTURES OPC</t>
        </is>
      </c>
      <c r="AI374"/>
      <c r="AJ374"/>
      <c r="AK374"/>
    </row>
    <row r="375" ht="25.5" customHeight="1">
      <c r="A375" s="2" t="str">
        <f>=HYPERLINK("https://applink.larksuite.com/client/mini_program/open?appId=cli_9c7cc8a9a9edd105&amp;mode=appCenter&amp;path_pc=pc/pages/requested/index?instanceId=7546152984787337247&amp;source=bitable&amp;path=pages/detail/index?instanceId=7546152984787337247&amp;source=bitable", "202509040062")</f>
        <v>202509040062</v>
      </c>
      <c r="B375" t="inlineStr">
        <is>
          <t>Approved</t>
        </is>
      </c>
      <c r="C375" t="inlineStr">
        <is>
          <t>Procurement Order</t>
        </is>
      </c>
      <c r="D375" s="3">
        <v>45904.69972222222</v>
      </c>
      <c r="E375" s="3">
        <v>45909.72675925926</v>
      </c>
      <c r="F375" t="inlineStr">
        <is>
          <t>Fatima Kathleen M. FLores</t>
        </is>
      </c>
      <c r="G375" t="inlineStr">
        <is>
          <t>Procurement</t>
        </is>
      </c>
      <c r="H375"/>
      <c r="I375"/>
      <c r="J375" t="inlineStr">
        <is>
          <t>Project</t>
        </is>
      </c>
      <c r="K375" t="inlineStr">
        <is>
          <t>PDEI - Event Service</t>
        </is>
      </c>
      <c r="L375" t="inlineStr">
        <is>
          <t>MPL PH S16 - Regular Season</t>
        </is>
      </c>
      <c r="M375" t="inlineStr">
        <is>
          <t>2025TEG-P0214</t>
        </is>
      </c>
      <c r="N375" t="inlineStr">
        <is>
          <t>Jessica Jane Lor Felicilda</t>
        </is>
      </c>
      <c r="O375" t="inlineStr">
        <is>
          <t>202508200152-Jessica Jane Lor Felicilda-费用报销 - 副本 - 副本 - 副本-2025-08-20 12:30:38</t>
        </is>
      </c>
      <c r="P375" t="inlineStr">
        <is>
          <t>YES</t>
        </is>
      </c>
      <c r="Q375"/>
      <c r="R375" t="inlineStr">
        <is>
          <t>NO</t>
        </is>
      </c>
      <c r="S375" t="inlineStr">
        <is>
          <t>Outsourced Stream Moderator (RS &amp; PO)</t>
        </is>
      </c>
      <c r="T375">
        <v>1</v>
      </c>
      <c r="U375">
        <v>52800</v>
      </c>
      <c r="V375" t="inlineStr">
        <is>
          <t>PHP</t>
        </is>
      </c>
      <c r="W375">
        <v>52800</v>
      </c>
      <c r="X375" s="2" t="str">
        <f>=HYPERLINK("https://www.larksuite.com/approval/admin/previewAttachment?key=PMgxqgJBEATQK1V110x1_8v8xGUx0EUQ12jOLhiYvlnErMGcDTWjweWhyRFdcjnTIa9YtBummWu77_9xvt7OOqIDx-2xzutl354c7Qg4pSwA_Pt5WlL3FL6OTwAAAP__", "2 attachment(s)")</f>
        <v>2 attachment(s)</v>
      </c>
      <c r="Y375" t="inlineStr">
        <is>
          <t>Bank Transfer</t>
        </is>
      </c>
      <c r="Z375" t="inlineStr">
        <is>
          <t>Ian Israel Galope</t>
        </is>
      </c>
      <c r="AA375" t="inlineStr">
        <is>
          <t>09760580016</t>
        </is>
      </c>
      <c r="AB375" t="inlineStr">
        <is>
          <t>GCash</t>
        </is>
      </c>
      <c r="AC375" t="inlineStr">
        <is>
          <t>30 Robert Street, Pleasant View Subdivision, Tandang Sora Quezon City</t>
        </is>
      </c>
      <c r="AD375" s="4">
        <v>45889</v>
      </c>
      <c r="AE375" t="inlineStr">
        <is>
          <t>1st Payment - Sept. 12, 2025
2nd Payment - Oct. 3, 2025
3rd Payment - Oct. 24, 2025
4th Payment - Mov. 14, 2025
Final Payment - Nov. 28, 2025</t>
        </is>
      </c>
      <c r="AF375" s="2"/>
      <c r="AG375" t="inlineStr">
        <is>
          <t>NzQyNTk5MTgyNzQ4MTg3MDM0MTowQTY5MzA2OC0yNkRGLTRDMzAtOEI3MC1ENDlGMTk4NjVDQTUtMTowY2MzMWE2ZTBmY2EzZmY2YWI0NTk1Yjg4ODJiYmU1Njox</t>
        </is>
      </c>
      <c r="AH375" t="inlineStr">
        <is>
          <t>Ian Israel Galope</t>
        </is>
      </c>
      <c r="AI375"/>
      <c r="AJ375"/>
      <c r="AK375"/>
    </row>
    <row r="376" ht="25.5" customHeight="1">
      <c r="A376" s="2" t="str">
        <f>=HYPERLINK("https://applink.larksuite.com/client/mini_program/open?appId=cli_9c7cc8a9a9edd105&amp;mode=appCenter&amp;path_pc=pc/pages/requested/index?instanceId=7546154799423553574&amp;source=bitable&amp;path=pages/detail/index?instanceId=7546154799423553574&amp;source=bitable", "202509040067")</f>
        <v>202509040067</v>
      </c>
      <c r="B376" t="inlineStr">
        <is>
          <t>Approved</t>
        </is>
      </c>
      <c r="C376" t="inlineStr">
        <is>
          <t>Procurement Order</t>
        </is>
      </c>
      <c r="D376" s="3">
        <v>45904.704618055555</v>
      </c>
      <c r="E376" s="3">
        <v>45904.86020833333</v>
      </c>
      <c r="F376" t="inlineStr">
        <is>
          <t>Fatima Kathleen M. FLores</t>
        </is>
      </c>
      <c r="G376" t="inlineStr">
        <is>
          <t>Procurement</t>
        </is>
      </c>
      <c r="H376"/>
      <c r="I376"/>
      <c r="J376" t="inlineStr">
        <is>
          <t>Project</t>
        </is>
      </c>
      <c r="K376" t="inlineStr">
        <is>
          <t>PDEI - Event Service</t>
        </is>
      </c>
      <c r="L376" t="inlineStr">
        <is>
          <t>MPL PH S16 - Regular Season</t>
        </is>
      </c>
      <c r="M376" t="inlineStr">
        <is>
          <t>2025TEG-P0214</t>
        </is>
      </c>
      <c r="N376" t="inlineStr">
        <is>
          <t>Jessica Jane Lor Felicilda</t>
        </is>
      </c>
      <c r="O376" t="inlineStr">
        <is>
          <t>202508200152-Jessica Jane Lor Felicilda-费用报销 - 副本 - 副本 - 副本-2025-08-20 12:30:38</t>
        </is>
      </c>
      <c r="P376" t="inlineStr">
        <is>
          <t>YES</t>
        </is>
      </c>
      <c r="Q376"/>
      <c r="R376" t="inlineStr">
        <is>
          <t>NO</t>
        </is>
      </c>
      <c r="S376" t="inlineStr">
        <is>
          <t>Outsourced Lighting Operator</t>
        </is>
      </c>
      <c r="T376">
        <v>1</v>
      </c>
      <c r="U376">
        <v>168000</v>
      </c>
      <c r="V376" t="inlineStr">
        <is>
          <t>PHP</t>
        </is>
      </c>
      <c r="W376">
        <v>168000</v>
      </c>
      <c r="X376" s="2" t="str">
        <f>=HYPERLINK("https://www.larksuite.com/approval/admin/previewAttachment?key=PMgxDsIwDAXQK_nH3_kxl2FpFYFoJqQCg8-OxMD6-oD1EfCexkRLQynYEVQmm0d4iNUKUpogeO1rXj_nvO_r9T6ONbQ96rxtc38iUq2ZnPRhZrj83UUys9N-bt8AAAD__w", "2 attachment(s)")</f>
        <v>2 attachment(s)</v>
      </c>
      <c r="Y376" t="inlineStr">
        <is>
          <t>Bank Transfer</t>
        </is>
      </c>
      <c r="Z376" t="inlineStr">
        <is>
          <t>Mark Anthony Flor</t>
        </is>
      </c>
      <c r="AA376" t="inlineStr">
        <is>
          <t>09199712271</t>
        </is>
      </c>
      <c r="AB376" t="inlineStr">
        <is>
          <t>GCash</t>
        </is>
      </c>
      <c r="AC376" t="inlineStr">
        <is>
          <t>Blk179 Lot44 St. Cecilia Street, Deca Homes Loma de Gato, Marilao, Bulacan</t>
        </is>
      </c>
      <c r="AD376" s="4">
        <v>45889</v>
      </c>
      <c r="AE376" t="inlineStr">
        <is>
          <t>1st Payment - Sept. 5, 2025
2nd Payment - Sept. 26, 2025
3rd Payment - Oct. 17, 2025
4th Payment - Nov. 7, 2025
Final Payment - Nov. 28, 2025</t>
        </is>
      </c>
      <c r="AF376" s="2"/>
      <c r="AG376" t="inlineStr">
        <is>
          <t>NzQyNTk5MTgyNzQ4MTg3MDM0MTo1MDcyOUM5RC1GMkZGLTQ2MzQtQUZCRi1FQzA0RkMxNTRFNUYtMTo4YzU0MmQxZTM1ZmZlYTY5MzNmMDkxYTYxMWQwOTQzMzox</t>
        </is>
      </c>
      <c r="AH376" t="inlineStr">
        <is>
          <t>Mark Anthony Flor</t>
        </is>
      </c>
      <c r="AI376"/>
      <c r="AJ376"/>
      <c r="AK376"/>
    </row>
    <row r="377" ht="25.5" customHeight="1">
      <c r="A377" s="2" t="str">
        <f>=HYPERLINK("https://applink.larksuite.com/client/mini_program/open?appId=cli_9c7cc8a9a9edd105&amp;mode=appCenter&amp;path_pc=pc/pages/requested/index?instanceId=7546425338725711910&amp;source=bitable&amp;path=pages/detail/index?instanceId=7546425338725711910&amp;source=bitable", "202509050006")</f>
        <v>202509050006</v>
      </c>
      <c r="B377" t="inlineStr">
        <is>
          <t>Approved</t>
        </is>
      </c>
      <c r="C377" t="inlineStr">
        <is>
          <t>Procurement Order</t>
        </is>
      </c>
      <c r="D377" s="3">
        <v>45905.43366898148</v>
      </c>
      <c r="E377" s="3">
        <v>45905.638287037036</v>
      </c>
      <c r="F377" t="inlineStr">
        <is>
          <t>Fatima Kathleen M. FLores</t>
        </is>
      </c>
      <c r="G377" t="inlineStr">
        <is>
          <t>Procurement</t>
        </is>
      </c>
      <c r="H377"/>
      <c r="I377"/>
      <c r="J377" t="inlineStr">
        <is>
          <t>Project</t>
        </is>
      </c>
      <c r="K377" t="inlineStr">
        <is>
          <t>PDEI - Event Service</t>
        </is>
      </c>
      <c r="L377" t="inlineStr">
        <is>
          <t>MPL PH S16 - Regular Season</t>
        </is>
      </c>
      <c r="M377" t="inlineStr">
        <is>
          <t>2025TEG-P0214</t>
        </is>
      </c>
      <c r="N377" t="inlineStr">
        <is>
          <t>Anteaus Villena</t>
        </is>
      </c>
      <c r="O377" t="inlineStr">
        <is>
          <t>202508240006-Jessica Jane Lor Felicilda-费用报销 - 副本 - 副本 - 副本-2025-08-24 07:20:11</t>
        </is>
      </c>
      <c r="P377" t="inlineStr">
        <is>
          <t>YES</t>
        </is>
      </c>
      <c r="Q377"/>
      <c r="R377" t="inlineStr">
        <is>
          <t>YES</t>
        </is>
      </c>
      <c r="S377" t="inlineStr">
        <is>
          <t>Outsourced Motion Graphics Artist</t>
        </is>
      </c>
      <c r="T377">
        <v>1</v>
      </c>
      <c r="U377">
        <v>70000</v>
      </c>
      <c r="V377" t="inlineStr">
        <is>
          <t>PHP</t>
        </is>
      </c>
      <c r="W377">
        <v>70000</v>
      </c>
      <c r="X377" s="2" t="str">
        <f>=HYPERLINK("https://www.larksuite.com/approval/admin/previewAttachment?key=PMi7jYJBDATglmb82LGvmUtYrUggQfqJXDsSAem3iliV9NWIpjU4ylhh6V6yFNnE2FBqiKLPfpz_iiv3ydrPfoOa6347-8VsmUEe4QWAfz93RUT3CnwdnwAAAP__", "2 attachment(s)")</f>
        <v>2 attachment(s)</v>
      </c>
      <c r="Y377" t="inlineStr">
        <is>
          <t>Bank Transfer</t>
        </is>
      </c>
      <c r="Z377" t="inlineStr">
        <is>
          <t>Jimwell Peña</t>
        </is>
      </c>
      <c r="AA377" t="inlineStr">
        <is>
          <t>109485910678</t>
        </is>
      </c>
      <c r="AB377" t="inlineStr">
        <is>
          <t>Unionbank</t>
        </is>
      </c>
      <c r="AC377" t="inlineStr">
        <is>
          <t>6 Trinidad Ave San Antonio Subdivision Novaliches Quezon City</t>
        </is>
      </c>
      <c r="AD377" s="4">
        <v>45888</v>
      </c>
      <c r="AE377" t="inlineStr">
        <is>
          <t>1st Payment - Sept. 5, 2025
Final Payment - Sept. 19, 2025</t>
        </is>
      </c>
      <c r="AF377" s="2"/>
      <c r="AG377" t="inlineStr">
        <is>
          <t>NzQyNTk5MTgyNzQ4MTg3MDM0MTpCQTZEQUJFNi05RkEwLTQ3MDItQUM3Ri1GM0Q1ODk5QUY1OUYtMTpiY2M3M2JhMGVkN2Q2OThjNGUyMzU0NDBlMzE1MDJjYjox</t>
        </is>
      </c>
      <c r="AH377" t="inlineStr">
        <is>
          <t>Jimwell Peña</t>
        </is>
      </c>
      <c r="AI377"/>
      <c r="AJ377"/>
      <c r="AK377"/>
    </row>
    <row r="378" ht="25.5" customHeight="1">
      <c r="A378" s="2" t="str">
        <f>=HYPERLINK("https://applink.larksuite.com/client/mini_program/open?appId=cli_9c7cc8a9a9edd105&amp;mode=appCenter&amp;path_pc=pc/pages/requested/index?instanceId=7546427156096647206&amp;source=bitable&amp;path=pages/detail/index?instanceId=7546427156096647206&amp;source=bitable", "202509050009")</f>
        <v>202509050009</v>
      </c>
      <c r="B378" t="inlineStr">
        <is>
          <t>Approved</t>
        </is>
      </c>
      <c r="C378" t="inlineStr">
        <is>
          <t>Procurement Order</t>
        </is>
      </c>
      <c r="D378" s="3">
        <v>45905.438564814816</v>
      </c>
      <c r="E378" s="3">
        <v>45905.627604166664</v>
      </c>
      <c r="F378" t="inlineStr">
        <is>
          <t>Fatima Kathleen M. FLores</t>
        </is>
      </c>
      <c r="G378" t="inlineStr">
        <is>
          <t>Procurement</t>
        </is>
      </c>
      <c r="H378"/>
      <c r="I378"/>
      <c r="J378" t="inlineStr">
        <is>
          <t>Project</t>
        </is>
      </c>
      <c r="K378" t="inlineStr">
        <is>
          <t>PDEI - Event Service</t>
        </is>
      </c>
      <c r="L378" t="inlineStr">
        <is>
          <t>MPL PH S16 - Regular Season</t>
        </is>
      </c>
      <c r="M378" t="inlineStr">
        <is>
          <t>2025TEG-P0214</t>
        </is>
      </c>
      <c r="N378" t="inlineStr">
        <is>
          <t>Anteaus Villena</t>
        </is>
      </c>
      <c r="O378" t="inlineStr">
        <is>
          <t>202508270107-Jessica Jane Lor Felicilda-费用报销 - 副本 - 副本 - 副本-2025-08-27 10:51:43</t>
        </is>
      </c>
      <c r="P378" t="inlineStr">
        <is>
          <t>YES</t>
        </is>
      </c>
      <c r="Q378"/>
      <c r="R378" t="inlineStr">
        <is>
          <t>NO</t>
        </is>
      </c>
      <c r="S378" t="inlineStr">
        <is>
          <t>Outsourced Logistics Associate (Ingress)</t>
        </is>
      </c>
      <c r="T378">
        <v>1</v>
      </c>
      <c r="U378">
        <v>33750</v>
      </c>
      <c r="V378" t="inlineStr">
        <is>
          <t>PHP</t>
        </is>
      </c>
      <c r="W378">
        <v>33750</v>
      </c>
      <c r="X378" s="2" t="str">
        <f>=HYPERLINK("https://www.larksuite.com/approval/admin/previewAttachment?key=PMgxCgJRDATQK83kz8_8eBkbl0VBK3HRImcXLGxfLiLX5MiCilFgeyoV5kxUphzIjqZdMM3R22M_Lx1zu-vFz-1tuI_rZd-enOUIeEhjAeDp78OSqlL4Ob4BAAD__w", "2 attachment(s)")</f>
        <v>2 attachment(s)</v>
      </c>
      <c r="Y378" t="inlineStr">
        <is>
          <t>Bank Transfer</t>
        </is>
      </c>
      <c r="Z378" t="inlineStr">
        <is>
          <t>Marc Kevin Serrano</t>
        </is>
      </c>
      <c r="AA378" t="inlineStr">
        <is>
          <t>1519218972</t>
        </is>
      </c>
      <c r="AB378" t="inlineStr">
        <is>
          <t>BPI</t>
        </is>
      </c>
      <c r="AC378" t="inlineStr">
        <is>
          <t>3 Don Guillermo Street, Barangay Holy Spirit, Commonwealth, Quezon City, Metro Manila</t>
        </is>
      </c>
      <c r="AD378" s="4">
        <v>45886</v>
      </c>
      <c r="AE378" t="inlineStr">
        <is>
          <t>100% Full Payment - Sept. 12, 2025</t>
        </is>
      </c>
      <c r="AF378" s="2"/>
      <c r="AG378" t="inlineStr">
        <is>
          <t>NzQyNTk5MTgyNzQ4MTg3MDM0MTpDM0RDQUYxRC0xMjVBLTRGQjctQTU4NS1DNTlBOTA4RUZBREEtMTozNzI3Mzg5MTI1YjNmZDkzNjM3YzE2MmEyZTE1ZjIzZTox</t>
        </is>
      </c>
      <c r="AH378" t="inlineStr">
        <is>
          <t>Marc Kevin Serrano</t>
        </is>
      </c>
      <c r="AI378"/>
      <c r="AJ378"/>
      <c r="AK378"/>
    </row>
    <row r="379" ht="25.5" customHeight="1">
      <c r="A379" s="2" t="str">
        <f>=HYPERLINK("https://applink.larksuite.com/client/mini_program/open?appId=cli_9c7cc8a9a9edd105&amp;mode=appCenter&amp;path_pc=pc/pages/requested/index?instanceId=7546429435155578918&amp;source=bitable&amp;path=pages/detail/index?instanceId=7546429435155578918&amp;source=bitable", "202509050012")</f>
        <v>202509050012</v>
      </c>
      <c r="B379" t="inlineStr">
        <is>
          <t>Approved</t>
        </is>
      </c>
      <c r="C379" t="inlineStr">
        <is>
          <t>Procurement Order</t>
        </is>
      </c>
      <c r="D379" s="3">
        <v>45905.444699074076</v>
      </c>
      <c r="E379" s="3">
        <v>45905.63652777778</v>
      </c>
      <c r="F379" t="inlineStr">
        <is>
          <t>Fatima Kathleen M. FLores</t>
        </is>
      </c>
      <c r="G379" t="inlineStr">
        <is>
          <t>Procurement</t>
        </is>
      </c>
      <c r="H379"/>
      <c r="I379"/>
      <c r="J379" t="inlineStr">
        <is>
          <t>Project</t>
        </is>
      </c>
      <c r="K379" t="inlineStr">
        <is>
          <t>PDEI - Event Service</t>
        </is>
      </c>
      <c r="L379" t="inlineStr">
        <is>
          <t>MPL PH S16 - Regular Season</t>
        </is>
      </c>
      <c r="M379" t="inlineStr">
        <is>
          <t>2025TEG-P0214</t>
        </is>
      </c>
      <c r="N379" t="inlineStr">
        <is>
          <t>Anteaus Villena</t>
        </is>
      </c>
      <c r="O379" t="inlineStr">
        <is>
          <t>202508270107-Jessica Jane Lor Felicilda-费用报销 - 副本 - 副本 - 副本-2025-08-27 10:51:43</t>
        </is>
      </c>
      <c r="P379" t="inlineStr">
        <is>
          <t>YES</t>
        </is>
      </c>
      <c r="Q379"/>
      <c r="R379" t="inlineStr">
        <is>
          <t>YES</t>
        </is>
      </c>
      <c r="S379" t="inlineStr">
        <is>
          <t>Outsourced Logistics Associate (Ingress)</t>
        </is>
      </c>
      <c r="T379">
        <v>1</v>
      </c>
      <c r="U379">
        <v>27000</v>
      </c>
      <c r="V379" t="inlineStr">
        <is>
          <t>PHP</t>
        </is>
      </c>
      <c r="W379">
        <v>27000</v>
      </c>
      <c r="X379" s="2" t="str">
        <f>=HYPERLINK("https://www.larksuite.com/approval/admin/previewAttachment?key=PMgxDsIwDAXQK_0ff8cxl2FpFIFEWRDt5LMjMXR9fRB9OK0nlGwJVri6Wsqc7h4jOaoVIxLBoNXc1_3Uen7f2Px8zf1QHY9tzQ89ozWESTYA8Ha5haTMLvwdvwAAAP__", "2 attachment(s)")</f>
        <v>2 attachment(s)</v>
      </c>
      <c r="Y379" t="inlineStr">
        <is>
          <t>Bank Transfer</t>
        </is>
      </c>
      <c r="Z379" t="inlineStr">
        <is>
          <t>RIC JACA</t>
        </is>
      </c>
      <c r="AA379" t="inlineStr">
        <is>
          <t>09509516216</t>
        </is>
      </c>
      <c r="AB379" t="inlineStr">
        <is>
          <t>GCash</t>
        </is>
      </c>
      <c r="AC379" t="inlineStr">
        <is>
          <t>321 Sitio Langhaya Brgy. Dela Paz Antipolo Rizal</t>
        </is>
      </c>
      <c r="AD379" s="4">
        <v>45886</v>
      </c>
      <c r="AE379" t="inlineStr">
        <is>
          <t>100% Full Payment - Sept. 5, 2025</t>
        </is>
      </c>
      <c r="AF379" s="2"/>
      <c r="AG379" t="inlineStr">
        <is>
          <t>NzQyNTk5MTgyNzQ4MTg3MDM0MTpDNDhGNjY2NC1BNkMxLTRDOTEtQkJBOC1DMTY3OTZDMDQ2MUQtMToyMmExNTY5YmIwMWI4NDM5NWQ0OTU3MWUwYTFjMDhmMjox</t>
        </is>
      </c>
      <c r="AH379" t="inlineStr">
        <is>
          <t>RIC JACA</t>
        </is>
      </c>
      <c r="AI379"/>
      <c r="AJ379"/>
      <c r="AK379"/>
    </row>
    <row r="380" ht="25.5" customHeight="1">
      <c r="A380" s="2" t="str">
        <f>=HYPERLINK("https://applink.larksuite.com/client/mini_program/open?appId=cli_9c7cc8a9a9edd105&amp;mode=appCenter&amp;path_pc=pc/pages/requested/index?instanceId=7546443008124698662&amp;source=bitable&amp;path=pages/detail/index?instanceId=7546443008124698662&amp;source=bitable", "202509050016")</f>
        <v>202509050016</v>
      </c>
      <c r="B380" t="inlineStr">
        <is>
          <t>Approved</t>
        </is>
      </c>
      <c r="C380" t="inlineStr">
        <is>
          <t>Procurement Order</t>
        </is>
      </c>
      <c r="D380" s="3">
        <v>45905.48128472222</v>
      </c>
      <c r="E380" s="3">
        <v>45905.63490740741</v>
      </c>
      <c r="F380" t="inlineStr">
        <is>
          <t>Fatima Kathleen M. FLores</t>
        </is>
      </c>
      <c r="G380" t="inlineStr">
        <is>
          <t>Procurement</t>
        </is>
      </c>
      <c r="H380"/>
      <c r="I380"/>
      <c r="J380" t="inlineStr">
        <is>
          <t>Project</t>
        </is>
      </c>
      <c r="K380" t="inlineStr">
        <is>
          <t>PDEI - Event Service</t>
        </is>
      </c>
      <c r="L380" t="inlineStr">
        <is>
          <t>MPL PH S16 - Regular Season</t>
        </is>
      </c>
      <c r="M380" t="inlineStr">
        <is>
          <t>2025TEG-P0214</t>
        </is>
      </c>
      <c r="N380" t="inlineStr">
        <is>
          <t>Anteaus Villena</t>
        </is>
      </c>
      <c r="O380" t="inlineStr">
        <is>
          <t>202509020015-Jessica Jane Lor Felicilda-费用报销 - 副本 - 副本 - 副本-2025-09-02 04:13:09</t>
        </is>
      </c>
      <c r="P380" t="inlineStr">
        <is>
          <t>YES</t>
        </is>
      </c>
      <c r="Q380"/>
      <c r="R380" t="inlineStr">
        <is>
          <t>YES</t>
        </is>
      </c>
      <c r="S380" t="inlineStr">
        <is>
          <t>Outsourced Production Assistant</t>
        </is>
      </c>
      <c r="T380">
        <v>1</v>
      </c>
      <c r="U380">
        <v>51000</v>
      </c>
      <c r="V380" t="inlineStr">
        <is>
          <t>PHP</t>
        </is>
      </c>
      <c r="W380">
        <v>51000</v>
      </c>
      <c r="X380" s="2" t="str">
        <f>=HYPERLINK("https://www.larksuite.com/approval/admin/previewAttachment?key=PMhBqgJBDATQK1Ul1UnnX-ZvHBpFXAnNzCJnF1y4fTGJmIMeBRWtwM6hkByYNEXNCGtrZhaSSe_jtf6vvR6wrTPP58LV-35bx5uj0gzpkk8A_Pu5p6SqEL6OTwAAAP__", "2 attachment(s)")</f>
        <v>2 attachment(s)</v>
      </c>
      <c r="Y380" t="inlineStr">
        <is>
          <t>Bank Transfer</t>
        </is>
      </c>
      <c r="Z380" t="inlineStr">
        <is>
          <t>Patrick Adam Peralta</t>
        </is>
      </c>
      <c r="AA380" t="inlineStr">
        <is>
          <t>109330391917</t>
        </is>
      </c>
      <c r="AB380" t="inlineStr">
        <is>
          <t>Unionbank</t>
        </is>
      </c>
      <c r="AC380" t="inlineStr">
        <is>
          <t>Blk 71 lot 20 Milflores St Rizal Makati City</t>
        </is>
      </c>
      <c r="AD380" s="4">
        <v>45891</v>
      </c>
      <c r="AE380" t="inlineStr">
        <is>
          <t>1st Payment - Sept. 5, 2025
2nd Payment - Sept. 19, 2025
3rd Payment - Oct. 3, 2025
4th Payment - Oct. 31, 2025
Final Payment - Nov. 21, 2025</t>
        </is>
      </c>
      <c r="AF380" s="2"/>
      <c r="AG380" t="inlineStr">
        <is>
          <t>NzQyNTk5MTgyNzQ4MTg3MDM0MTo5NTE1QkE4Ni1ENDc3LTQ0MDUtODRCMi0yQkY0QTRCN0Y2NzgtMTpiNDYyYmEyMjNmZTdiY2QzNjc3MTc2NjVhOTJiZjBkMDox</t>
        </is>
      </c>
      <c r="AH380" t="inlineStr">
        <is>
          <t>Patrick Adam Peralta</t>
        </is>
      </c>
      <c r="AI380"/>
      <c r="AJ380"/>
      <c r="AK380"/>
    </row>
    <row r="381" ht="25.5" customHeight="1">
      <c r="A381" s="2" t="str">
        <f>=HYPERLINK("https://applink.larksuite.com/client/mini_program/open?appId=cli_9c7cc8a9a9edd105&amp;mode=appCenter&amp;path_pc=pc/pages/requested/index?instanceId=7546445255005028391&amp;source=bitable&amp;path=pages/detail/index?instanceId=7546445255005028391&amp;source=bitable", "202509050017")</f>
        <v>202509050017</v>
      </c>
      <c r="B381" t="inlineStr">
        <is>
          <t>Approved</t>
        </is>
      </c>
      <c r="C381" t="inlineStr">
        <is>
          <t>Procurement Order</t>
        </is>
      </c>
      <c r="D381" s="3">
        <v>45905.487337962964</v>
      </c>
      <c r="E381" s="3">
        <v>45905.643171296295</v>
      </c>
      <c r="F381" t="inlineStr">
        <is>
          <t>Fatima Kathleen M. FLores</t>
        </is>
      </c>
      <c r="G381" t="inlineStr">
        <is>
          <t>Procurement</t>
        </is>
      </c>
      <c r="H381"/>
      <c r="I381"/>
      <c r="J381" t="inlineStr">
        <is>
          <t>Project</t>
        </is>
      </c>
      <c r="K381" t="inlineStr">
        <is>
          <t>PDEI - Event Service</t>
        </is>
      </c>
      <c r="L381" t="inlineStr">
        <is>
          <t>MDL PH S6 Qualifiers &amp; Regular Season</t>
        </is>
      </c>
      <c r="M381" t="inlineStr">
        <is>
          <t>2025TEG-P0200</t>
        </is>
      </c>
      <c r="N381" t="inlineStr">
        <is>
          <t>Kervin</t>
        </is>
      </c>
      <c r="O381" t="inlineStr">
        <is>
          <t>202509020019-Kervin-费用报销 - 副本 - 副本 - 副本-2025-09-02 04:42:41</t>
        </is>
      </c>
      <c r="P381" t="inlineStr">
        <is>
          <t>YES</t>
        </is>
      </c>
      <c r="Q381"/>
      <c r="R381" t="inlineStr">
        <is>
          <t>NO</t>
        </is>
      </c>
      <c r="S381" t="inlineStr">
        <is>
          <t>Outsourced Highlights / Replay Operator</t>
        </is>
      </c>
      <c r="T381">
        <v>1</v>
      </c>
      <c r="U381">
        <v>7200</v>
      </c>
      <c r="V381" t="inlineStr">
        <is>
          <t>PHP</t>
        </is>
      </c>
      <c r="W381">
        <v>7200</v>
      </c>
      <c r="X381" s="2" t="str">
        <f>=HYPERLINK("https://www.larksuite.com/approval/admin/previewAttachment?key=PMhBqgIxEATQK1V1V6fT_zJ_4xAcUBmQiW5ydsGF29c60XrQW0FFK3BlqElhEUDAuheXLWYWkklf2338T479uD3e-2se54k1r5exPRmVZkiXvAPg3889JVU14ev4BAAA__8", "3 attachment(s)")</f>
        <v>3 attachment(s)</v>
      </c>
      <c r="Y381" t="inlineStr">
        <is>
          <t>Bank Transfer</t>
        </is>
      </c>
      <c r="Z381" t="inlineStr">
        <is>
          <t>Avin Francis Melendres Kais</t>
        </is>
      </c>
      <c r="AA381" t="inlineStr">
        <is>
          <t>120602031077</t>
        </is>
      </c>
      <c r="AB381" t="inlineStr">
        <is>
          <t>ChinaBank</t>
        </is>
      </c>
      <c r="AC381" t="inlineStr">
        <is>
          <t>30 Robert Street, Pleasant View Subdivision, Tandang Sora Quezon City</t>
        </is>
      </c>
      <c r="AD381" s="4">
        <v>45887</v>
      </c>
      <c r="AE381" t="inlineStr">
        <is>
          <t>100% Full Payment - Sept. 5, 2025</t>
        </is>
      </c>
      <c r="AF381" s="2"/>
      <c r="AG381" t="inlineStr">
        <is>
          <t>NzQyNTk5MTgyNzQ4MTg3MDM0MTo1MTI5RTdFNi03MzI3LTQwNEYtQjQ1QS1GOUNBN0Y1QjBGRDUtMTpmMzJjY2QwYmU2Y2U4MmM5ZTkwYzQ3YjU0ODljZTNkMzox</t>
        </is>
      </c>
      <c r="AH381" t="inlineStr">
        <is>
          <t>Avin Francis Melendres Kais</t>
        </is>
      </c>
      <c r="AI381"/>
      <c r="AJ381"/>
      <c r="AK381"/>
    </row>
    <row r="382" ht="25.5" customHeight="1">
      <c r="A382" s="2" t="str">
        <f>=HYPERLINK("https://applink.larksuite.com/client/mini_program/open?appId=cli_9c7cc8a9a9edd105&amp;mode=appCenter&amp;path_pc=pc/pages/requested/index?instanceId=7546451807615057958&amp;source=bitable&amp;path=pages/detail/index?instanceId=7546451807615057958&amp;source=bitable", "202509050021")</f>
        <v>202509050021</v>
      </c>
      <c r="B382" t="inlineStr">
        <is>
          <t>Approved</t>
        </is>
      </c>
      <c r="C382" t="inlineStr">
        <is>
          <t>Procurement Order</t>
        </is>
      </c>
      <c r="D382" s="3">
        <v>45905.50498842593</v>
      </c>
      <c r="E382" s="3">
        <v>45905.62954861111</v>
      </c>
      <c r="F382" t="inlineStr">
        <is>
          <t>Fatima Kathleen M. FLores</t>
        </is>
      </c>
      <c r="G382" t="inlineStr">
        <is>
          <t>Procurement</t>
        </is>
      </c>
      <c r="H382"/>
      <c r="I382"/>
      <c r="J382" t="inlineStr">
        <is>
          <t>Project</t>
        </is>
      </c>
      <c r="K382" t="inlineStr">
        <is>
          <t>PDEI - Event Service</t>
        </is>
      </c>
      <c r="L382" t="inlineStr">
        <is>
          <t>MPL PH S16 - Regular Season</t>
        </is>
      </c>
      <c r="M382" t="inlineStr">
        <is>
          <t>2025TEG-P0214</t>
        </is>
      </c>
      <c r="N382" t="inlineStr">
        <is>
          <t>Jessica Jane Lor Felicilda</t>
        </is>
      </c>
      <c r="O382" t="inlineStr">
        <is>
          <t>202508270107-Jessica Jane Lor Felicilda-费用报销 - 副本 - 副本 - 副本-2025-08-27 10:51:43</t>
        </is>
      </c>
      <c r="P382" t="inlineStr">
        <is>
          <t>YES</t>
        </is>
      </c>
      <c r="Q382"/>
      <c r="R382" t="inlineStr">
        <is>
          <t>NO</t>
        </is>
      </c>
      <c r="S382" t="inlineStr">
        <is>
          <t>Outsourced Logistics Associate (Ingress)</t>
        </is>
      </c>
      <c r="T382">
        <v>1</v>
      </c>
      <c r="U382">
        <v>45000</v>
      </c>
      <c r="V382" t="inlineStr">
        <is>
          <t>PHP</t>
        </is>
      </c>
      <c r="W382">
        <v>45000</v>
      </c>
      <c r="X382" s="2" t="str">
        <f>=HYPERLINK("https://www.larksuite.com/approval/admin/previewAttachment?key=PMgxCsJQEATQK83sn93562VsDEGIqYRg888uWNi-mkTN5KiGmtHgcqqUnHAxke6cKxbthmmOtZ37_YjtdaY6PtcBxrqej317M9sR8JDGBMDb34cldZfwc3wDAAD__w", "2 attachment(s)")</f>
        <v>2 attachment(s)</v>
      </c>
      <c r="Y382" t="inlineStr">
        <is>
          <t>Bank Transfer</t>
        </is>
      </c>
      <c r="Z382" t="inlineStr">
        <is>
          <t>Rizel John Obong</t>
        </is>
      </c>
      <c r="AA382" t="inlineStr">
        <is>
          <t>09709731174</t>
        </is>
      </c>
      <c r="AB382" t="inlineStr">
        <is>
          <t>GCash</t>
        </is>
      </c>
      <c r="AC382" t="inlineStr">
        <is>
          <t>Blk 1j Lot 31 Phase 3 E-1 Dagat Dagatan Caloocan City</t>
        </is>
      </c>
      <c r="AD382" s="4">
        <v>45886</v>
      </c>
      <c r="AE382" t="inlineStr">
        <is>
          <t>100% Full Payment - Sept. 5, 2025</t>
        </is>
      </c>
      <c r="AF382" s="2"/>
      <c r="AG382" t="inlineStr">
        <is>
          <t>NzQyNTk5MTgyNzQ4MTg3MDM0MToyMDJERTU5Qy04NUM0LTQ1RUYtQjJDOC02M0Q0QjJBMkIyRUQtMTplNzdkODZmNDVjYjIyYzc0MzcwYWFkN2ZhNDFkY2Y0MDox</t>
        </is>
      </c>
      <c r="AH382" t="inlineStr">
        <is>
          <t>Rizel John Obong</t>
        </is>
      </c>
      <c r="AI382"/>
      <c r="AJ382"/>
      <c r="AK382"/>
    </row>
    <row r="383" ht="25.5" customHeight="1">
      <c r="A383" s="2" t="str">
        <f>=HYPERLINK("https://applink.larksuite.com/client/mini_program/open?appId=cli_9c7cc8a9a9edd105&amp;mode=appCenter&amp;path_pc=pc/pages/requested/index?instanceId=7546464598962995231&amp;source=bitable&amp;path=pages/detail/index?instanceId=7546464598962995231&amp;source=bitable", "202509050026")</f>
        <v>202509050026</v>
      </c>
      <c r="B383" t="inlineStr">
        <is>
          <t>Approved</t>
        </is>
      </c>
      <c r="C383" t="inlineStr">
        <is>
          <t>Procurement Order</t>
        </is>
      </c>
      <c r="D383" s="3">
        <v>45905.53946759259</v>
      </c>
      <c r="E383" s="3">
        <v>45905.749814814815</v>
      </c>
      <c r="F383" t="inlineStr">
        <is>
          <t>Fatima Kathleen M. FLores</t>
        </is>
      </c>
      <c r="G383" t="inlineStr">
        <is>
          <t>Procurement</t>
        </is>
      </c>
      <c r="H383"/>
      <c r="I383"/>
      <c r="J383" t="inlineStr">
        <is>
          <t>Project</t>
        </is>
      </c>
      <c r="K383" t="inlineStr">
        <is>
          <t>GG - Event Service</t>
        </is>
      </c>
      <c r="L383" t="inlineStr">
        <is>
          <t>HOK Philippine Kings League - Fall Season</t>
        </is>
      </c>
      <c r="M383" t="inlineStr">
        <is>
          <t>2025TEG-P0219</t>
        </is>
      </c>
      <c r="N383" t="inlineStr">
        <is>
          <t>Carla Andrea Calma Crespo</t>
        </is>
      </c>
      <c r="O383" t="inlineStr">
        <is>
          <t>202509030046-Carla Andrea Calma Crespo-费用报销 - 副本 - 副本 - 副本-2025-09-03 07:08:57</t>
        </is>
      </c>
      <c r="P383" t="inlineStr">
        <is>
          <t>NO</t>
        </is>
      </c>
      <c r="Q383"/>
      <c r="R383" t="inlineStr">
        <is>
          <t>YES</t>
        </is>
      </c>
      <c r="S383" t="inlineStr">
        <is>
          <t>Customized Hoodie with 4 Colors Print &amp; Embossed Design</t>
        </is>
      </c>
      <c r="T383">
        <v>15</v>
      </c>
      <c r="U383">
        <v>1110</v>
      </c>
      <c r="V383" t="inlineStr">
        <is>
          <t>PHP</t>
        </is>
      </c>
      <c r="W383">
        <v>16650</v>
      </c>
      <c r="X383" s="2"/>
      <c r="Y383" t="inlineStr">
        <is>
          <t>Bank Transfer</t>
        </is>
      </c>
      <c r="Z383" t="inlineStr">
        <is>
          <t>Get-Wrecked Prod Co</t>
        </is>
      </c>
      <c r="AA383" t="inlineStr">
        <is>
          <t>9055058933</t>
        </is>
      </c>
      <c r="AB383" t="inlineStr">
        <is>
          <t>RCBC</t>
        </is>
      </c>
      <c r="AC383" t="inlineStr">
        <is>
          <t>17 North Polytech, Potrero, Malabon city</t>
        </is>
      </c>
      <c r="AD383" s="4">
        <v>45911</v>
      </c>
      <c r="AE383" t="inlineStr">
        <is>
          <t>50% Down Payment (full for the rush fee)
50% Balance upon completion of services</t>
        </is>
      </c>
      <c r="AF383" s="2" t="str">
        <f>=HYPERLINK("https://www.larksuite.com/approval/admin/previewAttachment?key=TMg7CsJAGATgK83s_xwvY7NLsDGNIGn27IJV2i-byA5aCi4OgbvC09NDrRxSDOMem1VCsWh7vY_nso55Xpp-oc7Y39c81ofZlnCFOwWAj5uTUFva3_ELAAD__w", "2 attachment(s)")</f>
        <v>2 attachment(s)</v>
      </c>
      <c r="AG383" t="inlineStr">
        <is>
          <t>NzQyNTk5MTgyNzQ4MTg3MDM0MTo1OERCM0U1NS0yODAyLTQyN0EtOEVGOC0zMTcxQjA1QUU2QkYtMTpkMTE5NzVhODliMTlhZWNkMTI5Zjc2NjFkYTdiNzhmYjox</t>
        </is>
      </c>
      <c r="AH383" t="inlineStr">
        <is>
          <t>KH Styles Apparel and Printing Services</t>
        </is>
      </c>
      <c r="AI383"/>
      <c r="AJ383"/>
      <c r="AK383"/>
    </row>
    <row r="384" ht="25.5" customHeight="1">
      <c r="A384" s="2" t="str">
        <f>=HYPERLINK("https://applink.larksuite.com/client/mini_program/open?appId=cli_9c7cc8a9a9edd105&amp;mode=appCenter&amp;path_pc=pc/pages/requested/index?instanceId=7546464598962995231&amp;source=bitable&amp;path=pages/detail/index?instanceId=7546464598962995231&amp;source=bitable", "202509050026")</f>
        <v>202509050026</v>
      </c>
      <c r="B384" t="inlineStr">
        <is>
          <t>Approved</t>
        </is>
      </c>
      <c r="C384" t="inlineStr">
        <is>
          <t>Procurement Order</t>
        </is>
      </c>
      <c r="D384" s="3">
        <v>45905.53946759259</v>
      </c>
      <c r="E384" s="3">
        <v>45905.749814814815</v>
      </c>
      <c r="F384" t="inlineStr">
        <is>
          <t>Fatima Kathleen M. FLores</t>
        </is>
      </c>
      <c r="G384" t="inlineStr">
        <is>
          <t>Procurement</t>
        </is>
      </c>
      <c r="H384"/>
      <c r="I384"/>
      <c r="J384" t="inlineStr">
        <is>
          <t>Project</t>
        </is>
      </c>
      <c r="K384" t="inlineStr">
        <is>
          <t>GG - Event Service</t>
        </is>
      </c>
      <c r="L384" t="inlineStr">
        <is>
          <t>HOK Philippine Kings League - Fall Season</t>
        </is>
      </c>
      <c r="M384" t="inlineStr">
        <is>
          <t>2025TEG-P0219</t>
        </is>
      </c>
      <c r="N384" t="inlineStr">
        <is>
          <t>Carla Andrea Calma Crespo</t>
        </is>
      </c>
      <c r="O384" t="inlineStr">
        <is>
          <t>202509030046-Carla Andrea Calma Crespo-费用报销 - 副本 - 副本 - 副本-2025-09-03 07:08:57</t>
        </is>
      </c>
      <c r="P384" t="inlineStr">
        <is>
          <t>NO</t>
        </is>
      </c>
      <c r="Q384"/>
      <c r="R384" t="inlineStr">
        <is>
          <t>YES</t>
        </is>
      </c>
      <c r="S384" t="inlineStr">
        <is>
          <t>Rush Fee</t>
        </is>
      </c>
      <c r="T384">
        <v>1</v>
      </c>
      <c r="U384">
        <v>1665</v>
      </c>
      <c r="V384" t="inlineStr">
        <is>
          <t>PHP</t>
        </is>
      </c>
      <c r="W384">
        <v>1665</v>
      </c>
      <c r="X384" s="2" t="str">
        <f>=HYPERLINK("https://www.larksuite.com/approval/admin/previewAttachment?key=PMgxDsIwDAXQK_nb33Y-l2FJVLHQBQl1ydmRGLq-GrAaiSgZBZdhd7JYTA2VS-mB7RvdskYj9nofzxUj53lp8rI-c39f81gfpNrdOsgYZobH7dEkpaL9Hb8AAAD__w", "2 attachment(s)")</f>
        <v>2 attachment(s)</v>
      </c>
      <c r="Y384"/>
      <c r="Z384"/>
      <c r="AA384"/>
      <c r="AB384"/>
      <c r="AC384"/>
      <c r="AD384" s="4"/>
      <c r="AE384"/>
      <c r="AF384" s="2"/>
      <c r="AG384" t="inlineStr">
        <is>
          <t>NzQyNTk5MTgyNzQ4MTg3MDM0MTo1OERCM0U1NS0yODAyLTQyN0EtOEVGOC0zMTcxQjA1QUU2QkYtMjowMTk0YTA0OGNlN2FiZGUwYTk1OWM4MzA5YTgzODU2ODox</t>
        </is>
      </c>
      <c r="AH384"/>
      <c r="AI384"/>
      <c r="AJ384"/>
      <c r="AK384"/>
    </row>
    <row r="385" ht="25.5" customHeight="1">
      <c r="A385" s="2" t="str">
        <f>=HYPERLINK("https://applink.larksuite.com/client/mini_program/open?appId=cli_9c7cc8a9a9edd105&amp;mode=appCenter&amp;path_pc=pc/pages/requested/index?instanceId=7547562105914802215&amp;source=bitable&amp;path=pages/detail/index?instanceId=7547562105914802215&amp;source=bitable", "202509080026")</f>
        <v>202509080026</v>
      </c>
      <c r="B385" t="inlineStr">
        <is>
          <t>Approved</t>
        </is>
      </c>
      <c r="C385" t="inlineStr">
        <is>
          <t>Procurement Order</t>
        </is>
      </c>
      <c r="D385" s="3">
        <v>45908.497025462966</v>
      </c>
      <c r="E385" s="3">
        <v>45909.63762731481</v>
      </c>
      <c r="F385" t="inlineStr">
        <is>
          <t>Fatima Kathleen M. FLores</t>
        </is>
      </c>
      <c r="G385" t="inlineStr">
        <is>
          <t>Procurement</t>
        </is>
      </c>
      <c r="H385"/>
      <c r="I385"/>
      <c r="J385" t="inlineStr">
        <is>
          <t>Project</t>
        </is>
      </c>
      <c r="K385" t="inlineStr">
        <is>
          <t>PDEI - Event Service</t>
        </is>
      </c>
      <c r="L385" t="inlineStr">
        <is>
          <t>MPL PH S16 - Regular Season</t>
        </is>
      </c>
      <c r="M385" t="inlineStr">
        <is>
          <t>2025TEG-P0214</t>
        </is>
      </c>
      <c r="N385" t="inlineStr">
        <is>
          <t>Jessica Jane Lor Felicilda</t>
        </is>
      </c>
      <c r="O385" t="inlineStr">
        <is>
          <t>202509040065-Jessica Jane Lor Felicilda-费用报销 - 副本 - 副本 - 副本-2025-09-04 08:51:59</t>
        </is>
      </c>
      <c r="P385" t="inlineStr">
        <is>
          <t>NO</t>
        </is>
      </c>
      <c r="Q385"/>
      <c r="R385" t="inlineStr">
        <is>
          <t>NO</t>
        </is>
      </c>
      <c r="S385" t="inlineStr">
        <is>
          <t>Outsourced Technical Services (Lights &amp; Sounds)</t>
        </is>
      </c>
      <c r="T385">
        <v>1</v>
      </c>
      <c r="U385">
        <v>7480368</v>
      </c>
      <c r="V385" t="inlineStr">
        <is>
          <t>PHP</t>
        </is>
      </c>
      <c r="W385">
        <v>7480368</v>
      </c>
      <c r="X385" s="2" t="str">
        <f>=HYPERLINK("https://www.larksuite.com/approval/admin/previewAttachment?key=PMgxCkJBDATQK80kk83Gy9i4fERYG0H5Rc4uWNi-MYkxgz4KKlqBnaGMYUQUNWHGaGtmFpJJ77WP62Mv-v6cogzns9_327FejEozpEs-AfDyd09JVUP4Ob4BAAD__w", "2 attachment(s)")</f>
        <v>2 attachment(s)</v>
      </c>
      <c r="Y385" t="inlineStr">
        <is>
          <t>Bank Transfer</t>
        </is>
      </c>
      <c r="Z385" t="inlineStr">
        <is>
          <t>APEX FRANCHISE VENTURES OPC</t>
        </is>
      </c>
      <c r="AA385" t="inlineStr">
        <is>
          <t>102000005344</t>
        </is>
      </c>
      <c r="AB385" t="inlineStr">
        <is>
          <t>China Banking Corporation</t>
        </is>
      </c>
      <c r="AC385" t="inlineStr">
        <is>
          <t>San Juan City</t>
        </is>
      </c>
      <c r="AD385" s="4">
        <v>45891</v>
      </c>
      <c r="AE385" t="inlineStr">
        <is>
          <t>100% Full Payment - Nov. 3, 2025</t>
        </is>
      </c>
      <c r="AF385" s="2"/>
      <c r="AG385" t="inlineStr">
        <is>
          <t>NzQyNTk5MTgyNzQ4MTg3MDM0MToyRjI4M0EyRi0yNjdCLTQ3MkItOEI0Ny04NzJEMjdFQTVEREEtMTozMTFlZTdiZjY2YTY4ZGI5Njc5ZDVjMGU4NWQ3ODQ0ZTox</t>
        </is>
      </c>
      <c r="AH385" t="inlineStr">
        <is>
          <t>APEX FRANCHISE VENTURES OPC</t>
        </is>
      </c>
      <c r="AI385"/>
      <c r="AJ385"/>
      <c r="AK385"/>
    </row>
    <row r="386" ht="25.5" customHeight="1">
      <c r="A386" s="2" t="str">
        <f>=HYPERLINK("https://applink.larksuite.com/client/mini_program/open?appId=cli_9c7cc8a9a9edd105&amp;mode=appCenter&amp;path_pc=pc/pages/requested/index?instanceId=7547574095647359015&amp;source=bitable&amp;path=pages/detail/index?instanceId=7547574095647359015&amp;source=bitable", "202509080042")</f>
        <v>202509080042</v>
      </c>
      <c r="B386" t="inlineStr">
        <is>
          <t>Approved</t>
        </is>
      </c>
      <c r="C386" t="inlineStr">
        <is>
          <t>Procurement Order</t>
        </is>
      </c>
      <c r="D386" s="3">
        <v>45908.529328703706</v>
      </c>
      <c r="E386" s="3">
        <v>45909.640023148146</v>
      </c>
      <c r="F386" t="inlineStr">
        <is>
          <t>Fatima Kathleen M. FLores</t>
        </is>
      </c>
      <c r="G386" t="inlineStr">
        <is>
          <t>Procurement</t>
        </is>
      </c>
      <c r="H386"/>
      <c r="I386"/>
      <c r="J386" t="inlineStr">
        <is>
          <t>Project</t>
        </is>
      </c>
      <c r="K386" t="inlineStr">
        <is>
          <t>PDEI - Event Service</t>
        </is>
      </c>
      <c r="L386" t="inlineStr">
        <is>
          <t>MPL PH S16 - Regular Season</t>
        </is>
      </c>
      <c r="M386" t="inlineStr">
        <is>
          <t>2025TEG-P0214</t>
        </is>
      </c>
      <c r="N386" t="inlineStr">
        <is>
          <t>Jessica Jane Lor Felicilda</t>
        </is>
      </c>
      <c r="O386" t="inlineStr">
        <is>
          <t>202507310066-Jessica Jane Lor Felicilda-费用报销 - 副本 - 副本 - 副本-2025-07-31 06:35:25</t>
        </is>
      </c>
      <c r="P386" t="inlineStr">
        <is>
          <t>NO</t>
        </is>
      </c>
      <c r="Q386"/>
      <c r="R386" t="inlineStr">
        <is>
          <t>NO</t>
        </is>
      </c>
      <c r="S386" t="inlineStr">
        <is>
          <t>MPL Cue Card Sticker on Sintra 8.5” x 5.5”</t>
        </is>
      </c>
      <c r="T386">
        <v>5</v>
      </c>
      <c r="U386">
        <v>65</v>
      </c>
      <c r="V386" t="inlineStr">
        <is>
          <t>PHP</t>
        </is>
      </c>
      <c r="W386">
        <v>325</v>
      </c>
      <c r="X386" s="2"/>
      <c r="Y386" t="inlineStr">
        <is>
          <t>Bank Transfer</t>
        </is>
      </c>
      <c r="Z386" t="inlineStr">
        <is>
          <t>MaxPrecision Corporation</t>
        </is>
      </c>
      <c r="AA386" t="inlineStr">
        <is>
          <t>4440117166</t>
        </is>
      </c>
      <c r="AB386" t="inlineStr">
        <is>
          <t>BDO</t>
        </is>
      </c>
      <c r="AC386" t="inlineStr">
        <is>
          <t>No. 5 Lt. Artiaga Street, Brgy Corazon De Jesus, San Juan</t>
        </is>
      </c>
      <c r="AD386" s="4">
        <v>45888</v>
      </c>
      <c r="AE386" t="inlineStr">
        <is>
          <t>100% Full Payment - 30 days upon complete delivery</t>
        </is>
      </c>
      <c r="AF386" s="2"/>
      <c r="AG386" t="inlineStr">
        <is>
          <t>NzQyNTk5MTgyNzQ4MTg3MDM0MTpFNUZFMUM2NC1CRTA5LTQxMEQtOEQzRi02MkEzNkZBOEUxNUItMTpiY2Q3N2JkMmJkNmM3NWMwMTZlZTZlZjc0Y2U3YmZkODox</t>
        </is>
      </c>
      <c r="AH386" t="inlineStr">
        <is>
          <t>MaxPrecision Corporation</t>
        </is>
      </c>
      <c r="AI386"/>
      <c r="AJ386"/>
      <c r="AK386"/>
    </row>
    <row r="387" ht="25.5" customHeight="1">
      <c r="A387" s="2" t="str">
        <f>=HYPERLINK("https://applink.larksuite.com/client/mini_program/open?appId=cli_9c7cc8a9a9edd105&amp;mode=appCenter&amp;path_pc=pc/pages/requested/index?instanceId=7547574095647359015&amp;source=bitable&amp;path=pages/detail/index?instanceId=7547574095647359015&amp;source=bitable", "202509080042")</f>
        <v>202509080042</v>
      </c>
      <c r="B387" t="inlineStr">
        <is>
          <t>Approved</t>
        </is>
      </c>
      <c r="C387" t="inlineStr">
        <is>
          <t>Procurement Order</t>
        </is>
      </c>
      <c r="D387" s="3">
        <v>45908.529328703706</v>
      </c>
      <c r="E387" s="3">
        <v>45909.640023148146</v>
      </c>
      <c r="F387" t="inlineStr">
        <is>
          <t>Fatima Kathleen M. FLores</t>
        </is>
      </c>
      <c r="G387" t="inlineStr">
        <is>
          <t>Procurement</t>
        </is>
      </c>
      <c r="H387"/>
      <c r="I387"/>
      <c r="J387" t="inlineStr">
        <is>
          <t>Project</t>
        </is>
      </c>
      <c r="K387" t="inlineStr">
        <is>
          <t>PDEI - Event Service</t>
        </is>
      </c>
      <c r="L387" t="inlineStr">
        <is>
          <t>MPL PH S16 - Regular Season</t>
        </is>
      </c>
      <c r="M387" t="inlineStr">
        <is>
          <t>2025TEG-P0214</t>
        </is>
      </c>
      <c r="N387" t="inlineStr">
        <is>
          <t>Jessica Jane Lor Felicilda</t>
        </is>
      </c>
      <c r="O387" t="inlineStr">
        <is>
          <t>202507310066-Jessica Jane Lor Felicilda-费用报销 - 副本 - 副本 - 副本-2025-07-31 06:35:25</t>
        </is>
      </c>
      <c r="P387" t="inlineStr">
        <is>
          <t>NO</t>
        </is>
      </c>
      <c r="Q387"/>
      <c r="R387" t="inlineStr">
        <is>
          <t>NO</t>
        </is>
      </c>
      <c r="S387" t="inlineStr">
        <is>
          <t>MPL Logo sticker A4 Large</t>
        </is>
      </c>
      <c r="T387">
        <v>4</v>
      </c>
      <c r="U387">
        <v>80</v>
      </c>
      <c r="V387" t="inlineStr">
        <is>
          <t>PHP</t>
        </is>
      </c>
      <c r="W387">
        <v>320</v>
      </c>
      <c r="X387" s="2"/>
      <c r="Y387"/>
      <c r="Z387"/>
      <c r="AA387"/>
      <c r="AB387"/>
      <c r="AC387"/>
      <c r="AD387" s="4"/>
      <c r="AE387"/>
      <c r="AF387" s="2"/>
      <c r="AG387" t="inlineStr">
        <is>
          <t>NzQyNTk5MTgyNzQ4MTg3MDM0MTpFNUZFMUM2NC1CRTA5LTQxMEQtOEQzRi02MkEzNkZBOEUxNUItMjphMjY3NWM0MTI2NTUyNWNlMzMzZmNkNjNiYjY4YjU4NTox</t>
        </is>
      </c>
      <c r="AH387"/>
      <c r="AI387"/>
      <c r="AJ387"/>
      <c r="AK387"/>
    </row>
    <row r="388" ht="25.5" customHeight="1">
      <c r="A388" s="2" t="str">
        <f>=HYPERLINK("https://applink.larksuite.com/client/mini_program/open?appId=cli_9c7cc8a9a9edd105&amp;mode=appCenter&amp;path_pc=pc/pages/requested/index?instanceId=7547574095647359015&amp;source=bitable&amp;path=pages/detail/index?instanceId=7547574095647359015&amp;source=bitable", "202509080042")</f>
        <v>202509080042</v>
      </c>
      <c r="B388" t="inlineStr">
        <is>
          <t>Approved</t>
        </is>
      </c>
      <c r="C388" t="inlineStr">
        <is>
          <t>Procurement Order</t>
        </is>
      </c>
      <c r="D388" s="3">
        <v>45908.529328703706</v>
      </c>
      <c r="E388" s="3">
        <v>45909.640023148146</v>
      </c>
      <c r="F388" t="inlineStr">
        <is>
          <t>Fatima Kathleen M. FLores</t>
        </is>
      </c>
      <c r="G388" t="inlineStr">
        <is>
          <t>Procurement</t>
        </is>
      </c>
      <c r="H388"/>
      <c r="I388"/>
      <c r="J388" t="inlineStr">
        <is>
          <t>Project</t>
        </is>
      </c>
      <c r="K388" t="inlineStr">
        <is>
          <t>PDEI - Event Service</t>
        </is>
      </c>
      <c r="L388" t="inlineStr">
        <is>
          <t>MPL PH S16 - Regular Season</t>
        </is>
      </c>
      <c r="M388" t="inlineStr">
        <is>
          <t>2025TEG-P0214</t>
        </is>
      </c>
      <c r="N388" t="inlineStr">
        <is>
          <t>Jessica Jane Lor Felicilda</t>
        </is>
      </c>
      <c r="O388" t="inlineStr">
        <is>
          <t>202507310066-Jessica Jane Lor Felicilda-费用报销 - 副本 - 副本 - 副本-2025-07-31 06:35:25</t>
        </is>
      </c>
      <c r="P388" t="inlineStr">
        <is>
          <t>NO</t>
        </is>
      </c>
      <c r="Q388"/>
      <c r="R388" t="inlineStr">
        <is>
          <t>NO</t>
        </is>
      </c>
      <c r="S388" t="inlineStr">
        <is>
          <t>MPL Logo sticker A4 Small</t>
        </is>
      </c>
      <c r="T388">
        <v>4</v>
      </c>
      <c r="U388">
        <v>80</v>
      </c>
      <c r="V388" t="inlineStr">
        <is>
          <t>PHP</t>
        </is>
      </c>
      <c r="W388">
        <v>320</v>
      </c>
      <c r="X388" s="2" t="str">
        <f>=HYPERLINK("https://www.larksuite.com/approval/admin/previewAttachment?key=PMgxCgIxFATQK83kz8_kexkbl6CIlewuFjm7YGH7-iD6SEYvqNgKXE45LVR2ObLAXG3RLphmrO01r_tnHhjPx3aeO6h13G9zezPLrcEhxQDAy9_Dkqq68PP2DQAA__8", "2 attachment(s)")</f>
        <v>2 attachment(s)</v>
      </c>
      <c r="Y388"/>
      <c r="Z388"/>
      <c r="AA388"/>
      <c r="AB388"/>
      <c r="AC388"/>
      <c r="AD388" s="4"/>
      <c r="AE388"/>
      <c r="AF388" s="2"/>
      <c r="AG388" t="inlineStr">
        <is>
          <t>NzQyNTk5MTgyNzQ4MTg3MDM0MTpFNUZFMUM2NC1CRTA5LTQxMEQtOEQzRi02MkEzNkZBOEUxNUItMzo5NDNhYTk4YTYxOTBhZGY5NDIzNjE1ODkxZDM1NDEwMTox</t>
        </is>
      </c>
      <c r="AH388"/>
      <c r="AI388"/>
      <c r="AJ388"/>
      <c r="AK388"/>
    </row>
    <row r="389" ht="25.5" customHeight="1">
      <c r="A389" s="2" t="str">
        <f>=HYPERLINK("https://applink.larksuite.com/client/mini_program/open?appId=cli_9c7cc8a9a9edd105&amp;mode=appCenter&amp;path_pc=pc/pages/requested/index?instanceId=7547579490541551654&amp;source=bitable&amp;path=pages/detail/index?instanceId=7547579490541551654&amp;source=bitable", "202509080052")</f>
        <v>202509080052</v>
      </c>
      <c r="B389" t="inlineStr">
        <is>
          <t>Approved</t>
        </is>
      </c>
      <c r="C389" t="inlineStr">
        <is>
          <t>Procurement Order</t>
        </is>
      </c>
      <c r="D389" s="3">
        <v>45908.54386574074</v>
      </c>
      <c r="E389" s="3">
        <v>45909.63916666667</v>
      </c>
      <c r="F389" t="inlineStr">
        <is>
          <t>Fatima Kathleen M. FLores</t>
        </is>
      </c>
      <c r="G389" t="inlineStr">
        <is>
          <t>Procurement</t>
        </is>
      </c>
      <c r="H389"/>
      <c r="I389"/>
      <c r="J389" t="inlineStr">
        <is>
          <t>Project</t>
        </is>
      </c>
      <c r="K389" t="inlineStr">
        <is>
          <t>PDEI - Event Service</t>
        </is>
      </c>
      <c r="L389" t="inlineStr">
        <is>
          <t>MPL PH S16 - Regular Season</t>
        </is>
      </c>
      <c r="M389" t="inlineStr">
        <is>
          <t>2025TEG-P0214</t>
        </is>
      </c>
      <c r="N389" t="inlineStr">
        <is>
          <t>Jessica Jane Lor Felicilda</t>
        </is>
      </c>
      <c r="O389" t="inlineStr">
        <is>
          <t>202508050031-Jessica Jane Lor Felicilda-费用报销 - 副本 - 副本 - 副本-2025-08-05 04:40:37</t>
        </is>
      </c>
      <c r="P389" t="inlineStr">
        <is>
          <t>NO</t>
        </is>
      </c>
      <c r="Q389"/>
      <c r="R389" t="inlineStr">
        <is>
          <t>NO</t>
        </is>
      </c>
      <c r="S389" t="inlineStr">
        <is>
          <t>Outsourced Logistics Services - Aug. 16 (16ft Closed Van)</t>
        </is>
      </c>
      <c r="T389">
        <v>1</v>
      </c>
      <c r="U389">
        <v>4312</v>
      </c>
      <c r="V389" t="inlineStr">
        <is>
          <t>PHP</t>
        </is>
      </c>
      <c r="W389">
        <v>4312</v>
      </c>
      <c r="X389" s="2"/>
      <c r="Y389" t="inlineStr">
        <is>
          <t>Bank Transfer</t>
        </is>
      </c>
      <c r="Z389" t="inlineStr">
        <is>
          <t>ONE-MAX TRUCKING SERVICES</t>
        </is>
      </c>
      <c r="AA389" t="inlineStr">
        <is>
          <t>504-3-50448621-5</t>
        </is>
      </c>
      <c r="AB389" t="inlineStr">
        <is>
          <t>Metrobank</t>
        </is>
      </c>
      <c r="AC389" t="inlineStr">
        <is>
          <t>Eastdrive St., Marikina Heights, Marikina City</t>
        </is>
      </c>
      <c r="AD389" s="4">
        <v>45894</v>
      </c>
      <c r="AE389" t="inlineStr">
        <is>
          <t>100% Full Payment</t>
        </is>
      </c>
      <c r="AF389" s="2" t="str">
        <f>=HYPERLINK("https://www.larksuite.com/approval/admin/previewAttachment?key=TMgxCsJAFATQK81k__y_42VsXIJIIoIgptizC1ZpX3Yiu9jSCHMxOEtRKoehoMRUzGWyyigW2xz7evVj1_OIY3t9vQ3Nz_22jjezt0RYETQAXk5Owr1l-zt-AQAA__8", "5 attachment(s)")</f>
        <v>5 attachment(s)</v>
      </c>
      <c r="AG389" t="inlineStr">
        <is>
          <t>NzQyNTk5MTgyNzQ4MTg3MDM0MTozMzA4OUYxMC1FQjFFLTQ5OUEtOERBQy1EQjg3RDNGNzY3NzMtMTo0N2ZiYTIwNmM2YWU5MzEyM2E4OTg0Zjk5ODYxZWI1ZTox</t>
        </is>
      </c>
      <c r="AH389" t="inlineStr">
        <is>
          <t>ONE-MAX TRUCKING SERVICES</t>
        </is>
      </c>
      <c r="AI389"/>
      <c r="AJ389"/>
      <c r="AK389"/>
    </row>
    <row r="390" ht="25.5" customHeight="1">
      <c r="A390" s="2" t="str">
        <f>=HYPERLINK("https://applink.larksuite.com/client/mini_program/open?appId=cli_9c7cc8a9a9edd105&amp;mode=appCenter&amp;path_pc=pc/pages/requested/index?instanceId=7547579490541551654&amp;source=bitable&amp;path=pages/detail/index?instanceId=7547579490541551654&amp;source=bitable", "202509080052")</f>
        <v>202509080052</v>
      </c>
      <c r="B390" t="inlineStr">
        <is>
          <t>Approved</t>
        </is>
      </c>
      <c r="C390" t="inlineStr">
        <is>
          <t>Procurement Order</t>
        </is>
      </c>
      <c r="D390" s="3">
        <v>45908.54386574074</v>
      </c>
      <c r="E390" s="3">
        <v>45909.63916666667</v>
      </c>
      <c r="F390" t="inlineStr">
        <is>
          <t>Fatima Kathleen M. FLores</t>
        </is>
      </c>
      <c r="G390" t="inlineStr">
        <is>
          <t>Procurement</t>
        </is>
      </c>
      <c r="H390"/>
      <c r="I390"/>
      <c r="J390" t="inlineStr">
        <is>
          <t>Project</t>
        </is>
      </c>
      <c r="K390" t="inlineStr">
        <is>
          <t>PDEI - Event Service</t>
        </is>
      </c>
      <c r="L390" t="inlineStr">
        <is>
          <t>MPL PH S16 - Regular Season</t>
        </is>
      </c>
      <c r="M390" t="inlineStr">
        <is>
          <t>2025TEG-P0214</t>
        </is>
      </c>
      <c r="N390" t="inlineStr">
        <is>
          <t>Jessica Jane Lor Felicilda</t>
        </is>
      </c>
      <c r="O390" t="inlineStr">
        <is>
          <t>202508050031-Jessica Jane Lor Felicilda-费用报销 - 副本 - 副本 - 副本-2025-08-05 04:40:37</t>
        </is>
      </c>
      <c r="P390" t="inlineStr">
        <is>
          <t>NO</t>
        </is>
      </c>
      <c r="Q390"/>
      <c r="R390" t="inlineStr">
        <is>
          <t>NO</t>
        </is>
      </c>
      <c r="S390" t="inlineStr">
        <is>
          <t>Outsourced Logistics Services - Aug. 18 (16ft Closed Van)</t>
        </is>
      </c>
      <c r="T390">
        <v>1</v>
      </c>
      <c r="U390">
        <v>7118.8768</v>
      </c>
      <c r="V390" t="inlineStr">
        <is>
          <t>PHP</t>
        </is>
      </c>
      <c r="W390">
        <v>7118.877</v>
      </c>
      <c r="X390" s="2"/>
      <c r="Y390"/>
      <c r="Z390"/>
      <c r="AA390"/>
      <c r="AB390"/>
      <c r="AC390"/>
      <c r="AD390" s="4"/>
      <c r="AE390"/>
      <c r="AF390" s="2"/>
      <c r="AG390" t="inlineStr">
        <is>
          <t>NzQyNTk5MTgyNzQ4MTg3MDM0MTozMzA4OUYxMC1FQjFFLTQ5OUEtOERBQy1EQjg3RDNGNzY3NzMtMjo1Y2ZjOTlmZDlmNzRhNTcxYmRmOWE2Y2VjMzRmY2UxNDox</t>
        </is>
      </c>
      <c r="AH390"/>
      <c r="AI390"/>
      <c r="AJ390"/>
      <c r="AK390"/>
    </row>
    <row r="391" ht="25.5" customHeight="1">
      <c r="A391" s="2" t="str">
        <f>=HYPERLINK("https://applink.larksuite.com/client/mini_program/open?appId=cli_9c7cc8a9a9edd105&amp;mode=appCenter&amp;path_pc=pc/pages/requested/index?instanceId=7547579490541551654&amp;source=bitable&amp;path=pages/detail/index?instanceId=7547579490541551654&amp;source=bitable", "202509080052")</f>
        <v>202509080052</v>
      </c>
      <c r="B391" t="inlineStr">
        <is>
          <t>Approved</t>
        </is>
      </c>
      <c r="C391" t="inlineStr">
        <is>
          <t>Procurement Order</t>
        </is>
      </c>
      <c r="D391" s="3">
        <v>45908.54386574074</v>
      </c>
      <c r="E391" s="3">
        <v>45909.63916666667</v>
      </c>
      <c r="F391" t="inlineStr">
        <is>
          <t>Fatima Kathleen M. FLores</t>
        </is>
      </c>
      <c r="G391" t="inlineStr">
        <is>
          <t>Procurement</t>
        </is>
      </c>
      <c r="H391"/>
      <c r="I391"/>
      <c r="J391" t="inlineStr">
        <is>
          <t>Project</t>
        </is>
      </c>
      <c r="K391" t="inlineStr">
        <is>
          <t>PDEI - Event Service</t>
        </is>
      </c>
      <c r="L391" t="inlineStr">
        <is>
          <t>MPL PH S16 - Regular Season</t>
        </is>
      </c>
      <c r="M391" t="inlineStr">
        <is>
          <t>2025TEG-P0214</t>
        </is>
      </c>
      <c r="N391" t="inlineStr">
        <is>
          <t>Jessica Jane Lor Felicilda</t>
        </is>
      </c>
      <c r="O391" t="inlineStr">
        <is>
          <t>202508050031-Jessica Jane Lor Felicilda-费用报销 - 副本 - 副本 - 副本-2025-08-05 04:40:37</t>
        </is>
      </c>
      <c r="P391" t="inlineStr">
        <is>
          <t>NO</t>
        </is>
      </c>
      <c r="Q391"/>
      <c r="R391" t="inlineStr">
        <is>
          <t>NO</t>
        </is>
      </c>
      <c r="S391" t="inlineStr">
        <is>
          <t>Outsourced Logistics Services - Aug. 18 (14ft Closed Van)</t>
        </is>
      </c>
      <c r="T391">
        <v>1</v>
      </c>
      <c r="U391">
        <v>6418.8768</v>
      </c>
      <c r="V391" t="inlineStr">
        <is>
          <t>PHP</t>
        </is>
      </c>
      <c r="W391">
        <v>6418.877</v>
      </c>
      <c r="X391" s="2"/>
      <c r="Y391"/>
      <c r="Z391"/>
      <c r="AA391"/>
      <c r="AB391"/>
      <c r="AC391"/>
      <c r="AD391" s="4"/>
      <c r="AE391"/>
      <c r="AF391" s="2"/>
      <c r="AG391" t="inlineStr">
        <is>
          <t>NzQyNTk5MTgyNzQ4MTg3MDM0MTozMzA4OUYxMC1FQjFFLTQ5OUEtOERBQy1EQjg3RDNGNzY3NzMtMzo0ZTEwMmU1ZWFjZDgxZDA2NGNkMTVkMmFiZTI3N2UwYTox</t>
        </is>
      </c>
      <c r="AH391"/>
      <c r="AI391"/>
      <c r="AJ391"/>
      <c r="AK391"/>
    </row>
    <row r="392" ht="25.5" customHeight="1">
      <c r="A392" s="2" t="str">
        <f>=HYPERLINK("https://applink.larksuite.com/client/mini_program/open?appId=cli_9c7cc8a9a9edd105&amp;mode=appCenter&amp;path_pc=pc/pages/requested/index?instanceId=7547593733584191527&amp;source=bitable&amp;path=pages/detail/index?instanceId=7547593733584191527&amp;source=bitable", "202509080065")</f>
        <v>202509080065</v>
      </c>
      <c r="B392" t="inlineStr">
        <is>
          <t>Approved</t>
        </is>
      </c>
      <c r="C392" t="inlineStr">
        <is>
          <t>Procurement Order</t>
        </is>
      </c>
      <c r="D392" s="3">
        <v>45908.58225694444</v>
      </c>
      <c r="E392" s="3">
        <v>45909.592777777776</v>
      </c>
      <c r="F392" t="inlineStr">
        <is>
          <t>Fatima Kathleen M. FLores</t>
        </is>
      </c>
      <c r="G392" t="inlineStr">
        <is>
          <t>Procurement</t>
        </is>
      </c>
      <c r="H392"/>
      <c r="I392"/>
      <c r="J392" t="inlineStr">
        <is>
          <t>Project</t>
        </is>
      </c>
      <c r="K392" t="inlineStr">
        <is>
          <t>GG - Event Service</t>
        </is>
      </c>
      <c r="L392" t="inlineStr">
        <is>
          <t>HOK Philippine Kings League - Fall Season</t>
        </is>
      </c>
      <c r="M392" t="inlineStr">
        <is>
          <t>2025TEG-P0219</t>
        </is>
      </c>
      <c r="N392" t="inlineStr">
        <is>
          <t>Reign Santos Fortea</t>
        </is>
      </c>
      <c r="O392" t="inlineStr">
        <is>
          <t>202508230003-Reign Santos Fortea-费用报销 - 副本 - 副本 - 副本-2025-08-23 03:50:53</t>
        </is>
      </c>
      <c r="P392" t="inlineStr">
        <is>
          <t>NO</t>
        </is>
      </c>
      <c r="Q392"/>
      <c r="R392" t="inlineStr">
        <is>
          <t>YES</t>
        </is>
      </c>
      <c r="S392" t="inlineStr">
        <is>
          <t>Outsourced Safety Officer, Medical Personnel and Event Marshals</t>
        </is>
      </c>
      <c r="T392">
        <v>1</v>
      </c>
      <c r="U392">
        <v>402500</v>
      </c>
      <c r="V392" t="inlineStr">
        <is>
          <t>PHP</t>
        </is>
      </c>
      <c r="W392">
        <v>402500</v>
      </c>
      <c r="X392" s="2" t="str">
        <f>=HYPERLINK("https://www.larksuite.com/approval/admin/previewAttachment?key=PMgxCgJBDAXQK-UnP_MnXsZml0VltBHUJmcXLGzfmLAxEzHKWPAytJLKCkXkJArpam9IZYIQvd-PM33FdsPD3591XejXZTv2J7Lkbgoyppnh9PcQyapB-7l9AwAA__8", "2 attachment(s)")</f>
        <v>2 attachment(s)</v>
      </c>
      <c r="Y392" t="inlineStr">
        <is>
          <t>Bank Transfer</t>
        </is>
      </c>
      <c r="Z392" t="inlineStr">
        <is>
          <t>JEROME T. CAPOQUIAN</t>
        </is>
      </c>
      <c r="AA392" t="inlineStr">
        <is>
          <t>9599094366</t>
        </is>
      </c>
      <c r="AB392" t="inlineStr">
        <is>
          <t>BPI</t>
        </is>
      </c>
      <c r="AC392" t="inlineStr">
        <is>
          <t>BLOCK 5 LOT 7 PHASE 2 SHINEVILL MAMBUGAN ANTIPOLO CITY</t>
        </is>
      </c>
      <c r="AD392" s="4">
        <v>45894</v>
      </c>
      <c r="AE392" t="inlineStr">
        <is>
          <t>50% Down Payment upon confirmation
50% Balance upon completion of services</t>
        </is>
      </c>
      <c r="AF392" s="2"/>
      <c r="AG392" t="inlineStr">
        <is>
          <t>NzQyNTk5MTgyNzQ4MTg3MDM0MTpBRjUzOTc2Ni03MjA2LTRGNjQtOERDOS1ERTI2OEY5MzE3QUYtMTo0ZDAwMTg4NzQ5Y2Y3YzJmYWQ1YWRhZDU3NjkyNGU3OTox</t>
        </is>
      </c>
      <c r="AH392" t="inlineStr">
        <is>
          <t>JEROME T. CAPOQUIAN</t>
        </is>
      </c>
      <c r="AI392"/>
      <c r="AJ392"/>
      <c r="AK392"/>
    </row>
    <row r="393" ht="25.5" customHeight="1">
      <c r="A393" s="2" t="str">
        <f>=HYPERLINK("https://applink.larksuite.com/client/mini_program/open?appId=cli_9c7cc8a9a9edd105&amp;mode=appCenter&amp;path_pc=pc/pages/requested/index?instanceId=7547600137862840352&amp;source=bitable&amp;path=pages/detail/index?instanceId=7547600137862840352&amp;source=bitable", "202509080068")</f>
        <v>202509080068</v>
      </c>
      <c r="B393" t="inlineStr">
        <is>
          <t>Approved</t>
        </is>
      </c>
      <c r="C393" t="inlineStr">
        <is>
          <t>Procurement Order</t>
        </is>
      </c>
      <c r="D393" s="3">
        <v>45908.59951388889</v>
      </c>
      <c r="E393" s="3">
        <v>45909.586493055554</v>
      </c>
      <c r="F393" t="inlineStr">
        <is>
          <t>Fatima Kathleen M. FLores</t>
        </is>
      </c>
      <c r="G393" t="inlineStr">
        <is>
          <t>Procurement</t>
        </is>
      </c>
      <c r="H393"/>
      <c r="I393"/>
      <c r="J393" t="inlineStr">
        <is>
          <t>Project</t>
        </is>
      </c>
      <c r="K393" t="inlineStr">
        <is>
          <t>GG - Event Service</t>
        </is>
      </c>
      <c r="L393" t="inlineStr">
        <is>
          <t>HOK Philippine Kings League - Fall Season</t>
        </is>
      </c>
      <c r="M393" t="inlineStr">
        <is>
          <t>2025TEG-P0219</t>
        </is>
      </c>
      <c r="N393" t="inlineStr">
        <is>
          <t>Carla Andrea Calma Crespo</t>
        </is>
      </c>
      <c r="O393" t="inlineStr">
        <is>
          <t>202508250006-Carla Andrea Calma Crespo-费用报销 - 副本 - 副本 - 副本-2025-08-25 02:30:15</t>
        </is>
      </c>
      <c r="P393" t="inlineStr">
        <is>
          <t>YES</t>
        </is>
      </c>
      <c r="Q393"/>
      <c r="R393" t="inlineStr">
        <is>
          <t>YES</t>
        </is>
      </c>
      <c r="S393" t="inlineStr">
        <is>
          <t>Outsourced Show Director</t>
        </is>
      </c>
      <c r="T393">
        <v>1</v>
      </c>
      <c r="U393">
        <v>105000</v>
      </c>
      <c r="V393" t="inlineStr">
        <is>
          <t>PHP</t>
        </is>
      </c>
      <c r="W393">
        <v>105000</v>
      </c>
      <c r="X393" s="2" t="str">
        <f>=HYPERLINK("https://www.larksuite.com/approval/admin/previewAttachment?key=PMg9qgJADATgK80ks_l5l3mNyyKolaBVzi5Y2H5RRNSiR0NNa3ByKQOgZ4WV4MvGhpmNZFKzH-f_rWO3u8q4Ty3N63o5-8nVaYZ0yQsA_37uKak7hK_jEwAA__8", "2 attachment(s)")</f>
        <v>2 attachment(s)</v>
      </c>
      <c r="Y393" t="inlineStr">
        <is>
          <t>Bank Transfer</t>
        </is>
      </c>
      <c r="Z393" t="inlineStr">
        <is>
          <t>PAOLO LUIS NAVARRO</t>
        </is>
      </c>
      <c r="AA393" t="inlineStr">
        <is>
          <t>1669371663</t>
        </is>
      </c>
      <c r="AB393" t="inlineStr">
        <is>
          <t>BPI</t>
        </is>
      </c>
      <c r="AC393" t="inlineStr">
        <is>
          <t>Goodwill Homes 1, Quezon City</t>
        </is>
      </c>
      <c r="AD393" s="4">
        <v>45877</v>
      </c>
      <c r="AE393" t="inlineStr">
        <is>
          <t>1st Payment - Sept. 12, 2025
2nd Payment - Sept. 26, 2025
3rd Payment - Oct. 10, 2025
4th Payment - Oct. 24, 2025
Final Payment - Nov. 7, 2025</t>
        </is>
      </c>
      <c r="AF393" s="2"/>
      <c r="AG393" t="inlineStr">
        <is>
          <t>NzQyNTk5MTgyNzQ4MTg3MDM0MTpFNUU1OUIyOS1FNzJFLTRDOTktOUU5QS04RDlERjlBQzA4NUMtMTo4N2EyNzc4MGY0OGY2ZDcyMTY5YmU5MmFiN2U0OTU3Nzox</t>
        </is>
      </c>
      <c r="AH393" t="inlineStr">
        <is>
          <t>PAOLO LUIS NAVARRO</t>
        </is>
      </c>
      <c r="AI393"/>
      <c r="AJ393"/>
      <c r="AK393"/>
    </row>
    <row r="394" ht="25.5" customHeight="1">
      <c r="A394" s="2" t="str">
        <f>=HYPERLINK("https://applink.larksuite.com/client/mini_program/open?appId=cli_9c7cc8a9a9edd105&amp;mode=appCenter&amp;path_pc=pc/pages/requested/index?instanceId=7547606325975351335&amp;source=bitable&amp;path=pages/detail/index?instanceId=7547606325975351335&amp;source=bitable", "202509080071")</f>
        <v>202509080071</v>
      </c>
      <c r="B394" t="inlineStr">
        <is>
          <t>Approved</t>
        </is>
      </c>
      <c r="C394" t="inlineStr">
        <is>
          <t>Procurement Order</t>
        </is>
      </c>
      <c r="D394" s="3">
        <v>45908.61619212963</v>
      </c>
      <c r="E394" s="3">
        <v>45909.5856712963</v>
      </c>
      <c r="F394" t="inlineStr">
        <is>
          <t>Fatima Kathleen M. FLores</t>
        </is>
      </c>
      <c r="G394" t="inlineStr">
        <is>
          <t>Procurement</t>
        </is>
      </c>
      <c r="H394"/>
      <c r="I394"/>
      <c r="J394" t="inlineStr">
        <is>
          <t>Project</t>
        </is>
      </c>
      <c r="K394" t="inlineStr">
        <is>
          <t>GG - Event Service</t>
        </is>
      </c>
      <c r="L394" t="inlineStr">
        <is>
          <t>HOK Philippine Kings League - Fall Season</t>
        </is>
      </c>
      <c r="M394" t="inlineStr">
        <is>
          <t>2025TEG-P0219</t>
        </is>
      </c>
      <c r="N394" t="inlineStr">
        <is>
          <t>Carla Andrea Calma Crespo</t>
        </is>
      </c>
      <c r="O394" t="inlineStr">
        <is>
          <t>202508250009-Carla Andrea Calma Crespo-费用报销 - 副本 - 副本 - 副本-2025-08-25 02:41:57</t>
        </is>
      </c>
      <c r="P394" t="inlineStr">
        <is>
          <t>YES</t>
        </is>
      </c>
      <c r="Q394"/>
      <c r="R394" t="inlineStr">
        <is>
          <t>YES</t>
        </is>
      </c>
      <c r="S394" t="inlineStr">
        <is>
          <t>Outsourced Content Producer/Scriptwriter</t>
        </is>
      </c>
      <c r="T394">
        <v>1</v>
      </c>
      <c r="U394">
        <v>75000</v>
      </c>
      <c r="V394" t="inlineStr">
        <is>
          <t>PHP</t>
        </is>
      </c>
      <c r="W394">
        <v>75000</v>
      </c>
      <c r="X394" s="2" t="str">
        <f>=HYPERLINK("https://www.larksuite.com/approval/admin/previewAttachment?key=PMgxCgJBDAXQK_1MfvI3XsbGYRBlK2FhipxdsLB9eRjyCPMssGwUrBVUIn1EKTzMPXq0SQWZjD3Pdd_X2uQOn6_w893X87Hmx6I0BuSkHwDs9ncXyaokfo5vAAAA__8", "2 attachment(s)")</f>
        <v>2 attachment(s)</v>
      </c>
      <c r="Y394" t="inlineStr">
        <is>
          <t>Bank Transfer</t>
        </is>
      </c>
      <c r="Z394" t="inlineStr">
        <is>
          <t>Manuel P. Chavez, Jr.</t>
        </is>
      </c>
      <c r="AA394" t="inlineStr">
        <is>
          <t>006 850 084 037</t>
        </is>
      </c>
      <c r="AB394" t="inlineStr">
        <is>
          <t>BDO</t>
        </is>
      </c>
      <c r="AC394" t="inlineStr">
        <is>
          <t>65 Maginoo Street, Barangay Central, Quezon City</t>
        </is>
      </c>
      <c r="AD394" s="4">
        <v>45887</v>
      </c>
      <c r="AE394" t="inlineStr">
        <is>
          <t>1st Payment - Sept. 12, 2025
2nd Payment - Oct. 3, 2025
3rd Payment - Oct. 24, 2025
Final Payment - Nov. 14, 2025</t>
        </is>
      </c>
      <c r="AF394" s="2"/>
      <c r="AG394" t="inlineStr">
        <is>
          <t>NzQyNTk5MTgyNzQ4MTg3MDM0MTo5MkQ1MEMzQS02Q0FGLTRDOTEtOTQ5QS1EQzQ0NzIyNzg1QkQtMTo5ZDE2MGJiNTg5YWUyNmJiNmJlZGM3ZWU1NjUzOTU0MTox</t>
        </is>
      </c>
      <c r="AH394" t="inlineStr">
        <is>
          <t>Manuel P. Chavez, Jr.</t>
        </is>
      </c>
      <c r="AI394"/>
      <c r="AJ394"/>
      <c r="AK394"/>
    </row>
    <row r="395" ht="25.5" customHeight="1">
      <c r="A395" s="2" t="str">
        <f>=HYPERLINK("https://applink.larksuite.com/client/mini_program/open?appId=cli_9c7cc8a9a9edd105&amp;mode=appCenter&amp;path_pc=pc/pages/requested/index?instanceId=7547608352088490022&amp;source=bitable&amp;path=pages/detail/index?instanceId=7547608352088490022&amp;source=bitable", "202509080072")</f>
        <v>202509080072</v>
      </c>
      <c r="B395" t="inlineStr">
        <is>
          <t>Approved</t>
        </is>
      </c>
      <c r="C395" t="inlineStr">
        <is>
          <t>Procurement Order</t>
        </is>
      </c>
      <c r="D395" s="3">
        <v>45908.62164351852</v>
      </c>
      <c r="E395" s="3">
        <v>45909.5958912037</v>
      </c>
      <c r="F395" t="inlineStr">
        <is>
          <t>Fatima Kathleen M. FLores</t>
        </is>
      </c>
      <c r="G395" t="inlineStr">
        <is>
          <t>Procurement</t>
        </is>
      </c>
      <c r="H395"/>
      <c r="I395"/>
      <c r="J395" t="inlineStr">
        <is>
          <t>Project</t>
        </is>
      </c>
      <c r="K395" t="inlineStr">
        <is>
          <t>GG - Event Service</t>
        </is>
      </c>
      <c r="L395" t="inlineStr">
        <is>
          <t>HOK Philippine Kings League - Fall Season</t>
        </is>
      </c>
      <c r="M395" t="inlineStr">
        <is>
          <t>2025TEG-P0219</t>
        </is>
      </c>
      <c r="N395" t="inlineStr">
        <is>
          <t>Carla Andrea Calma Crespo</t>
        </is>
      </c>
      <c r="O395" t="inlineStr">
        <is>
          <t>202508270015-Carla Andrea Calma Crespo-费用报销 - 副本 - 副本 - 副本-2025-08-27 02:50:00</t>
        </is>
      </c>
      <c r="P395" t="inlineStr">
        <is>
          <t>YES</t>
        </is>
      </c>
      <c r="Q395"/>
      <c r="R395" t="inlineStr">
        <is>
          <t>NO</t>
        </is>
      </c>
      <c r="S395" t="inlineStr">
        <is>
          <t>Outsourced Talent Manager (On Site)</t>
        </is>
      </c>
      <c r="T395">
        <v>1</v>
      </c>
      <c r="U395">
        <v>30000</v>
      </c>
      <c r="V395" t="inlineStr">
        <is>
          <t>PHP</t>
        </is>
      </c>
      <c r="W395">
        <v>30000</v>
      </c>
      <c r="X395" s="2" t="str">
        <f>=HYPERLINK("https://www.larksuite.com/approval/admin/previewAttachment?key=PMgxDgJBDAPAL9mJd53wGZo7nUAIGgRU-3YkCtqZRcwazNlQMxpcHvJE5QhUqYGIFYt2wzS19vtx3rP8ID63Rl5f23pftmN_crQj4JSyAPD097Sk7in8HN8AAAD__w", "2 attachment(s)")</f>
        <v>2 attachment(s)</v>
      </c>
      <c r="Y395" t="inlineStr">
        <is>
          <t>Bank Transfer</t>
        </is>
      </c>
      <c r="Z395" t="inlineStr">
        <is>
          <t>Ana Carmina Sucayan</t>
        </is>
      </c>
      <c r="AA395" t="inlineStr">
        <is>
          <t>109324955047</t>
        </is>
      </c>
      <c r="AB395" t="inlineStr">
        <is>
          <t>Unionbank</t>
        </is>
      </c>
      <c r="AC395" t="inlineStr">
        <is>
          <t>Apitong St. Bernarty Subdivision, Brgy, Bagbag, Novaliches, Quezon City</t>
        </is>
      </c>
      <c r="AD395" s="4">
        <v>45887</v>
      </c>
      <c r="AE395" t="inlineStr">
        <is>
          <t>1st Payment - Sept. 12, 2025
2nd Payment - Oct. 3, 2025
Final Payment - Oct. 31, 2025</t>
        </is>
      </c>
      <c r="AF395" s="2"/>
      <c r="AG395" t="inlineStr">
        <is>
          <t>NzQyNTk5MTgyNzQ4MTg3MDM0MTowQ0Y2NTZGRC0wMDhBLTRENjEtQkZERC0xMTM5NDA0QjQ1MTktMTo5ZjMzN2RhODQwOTVhNzZkM2UwNDg5YjI4NjE1MzJjYTox</t>
        </is>
      </c>
      <c r="AH395" t="inlineStr">
        <is>
          <t>Ana Carmina Sucayan</t>
        </is>
      </c>
      <c r="AI395"/>
      <c r="AJ395"/>
      <c r="AK395"/>
    </row>
    <row r="396" ht="25.5" customHeight="1">
      <c r="A396" s="2" t="str">
        <f>=HYPERLINK("https://applink.larksuite.com/client/mini_program/open?appId=cli_9c7cc8a9a9edd105&amp;mode=appCenter&amp;path_pc=pc/pages/requested/index?instanceId=7547610574541029407&amp;source=bitable&amp;path=pages/detail/index?instanceId=7547610574541029407&amp;source=bitable", "202509080074")</f>
        <v>202509080074</v>
      </c>
      <c r="B396" t="inlineStr">
        <is>
          <t>Approved</t>
        </is>
      </c>
      <c r="C396" t="inlineStr">
        <is>
          <t>Procurement Order</t>
        </is>
      </c>
      <c r="D396" s="3">
        <v>45908.62763888889</v>
      </c>
      <c r="E396" s="3">
        <v>45909.57244212963</v>
      </c>
      <c r="F396" t="inlineStr">
        <is>
          <t>Fatima Kathleen M. FLores</t>
        </is>
      </c>
      <c r="G396" t="inlineStr">
        <is>
          <t>Procurement</t>
        </is>
      </c>
      <c r="H396"/>
      <c r="I396"/>
      <c r="J396" t="inlineStr">
        <is>
          <t>Project</t>
        </is>
      </c>
      <c r="K396" t="inlineStr">
        <is>
          <t>GG - Event Service</t>
        </is>
      </c>
      <c r="L396" t="inlineStr">
        <is>
          <t>HOK Philippine Kings League - Fall Season</t>
        </is>
      </c>
      <c r="M396" t="inlineStr">
        <is>
          <t>2025TEG-P0219</t>
        </is>
      </c>
      <c r="N396" t="inlineStr">
        <is>
          <t>Carla Andrea Calma Crespo</t>
        </is>
      </c>
      <c r="O396" t="inlineStr">
        <is>
          <t>202508270015-Carla Andrea Calma Crespo-费用报销 - 副本 - 副本 - 副本-2025-08-27 02:50:00</t>
        </is>
      </c>
      <c r="P396" t="inlineStr">
        <is>
          <t>YES</t>
        </is>
      </c>
      <c r="Q396"/>
      <c r="R396" t="inlineStr">
        <is>
          <t>NO</t>
        </is>
      </c>
      <c r="S396" t="inlineStr">
        <is>
          <t>Outsourced Technical Director (FOH)</t>
        </is>
      </c>
      <c r="T396">
        <v>1</v>
      </c>
      <c r="U396">
        <v>70000</v>
      </c>
      <c r="V396" t="inlineStr">
        <is>
          <t>PHP</t>
        </is>
      </c>
      <c r="W396">
        <v>70000</v>
      </c>
      <c r="X396" s="2" t="str">
        <f>=HYPERLINK("https://www.larksuite.com/approval/admin/previewAttachment?key=PMgxDsJQDAPQK9n_O3HDZVj6VTEAC6JiydmRGFhfbkRuwZkFFUeB7ZCTCCtEjBLco2kXTFO9Hsc1Yl-4G5_zud5wn7f9WC9GeQx4SnMDwMvfpyVVpfBzfAMAAP__", "2 attachment(s)")</f>
        <v>2 attachment(s)</v>
      </c>
      <c r="Y396" t="inlineStr">
        <is>
          <t>Bank Transfer</t>
        </is>
      </c>
      <c r="Z396" t="inlineStr">
        <is>
          <t>Jordan Swing</t>
        </is>
      </c>
      <c r="AA396" t="inlineStr">
        <is>
          <t>001560339452</t>
        </is>
      </c>
      <c r="AB396" t="inlineStr">
        <is>
          <t>BDO</t>
        </is>
      </c>
      <c r="AC396" t="inlineStr">
        <is>
          <t>723 P Gomez St Brgy Hagdan Bato Itaas Mandaluyong City</t>
        </is>
      </c>
      <c r="AD396" s="4">
        <v>45887</v>
      </c>
      <c r="AE396" t="inlineStr">
        <is>
          <t>1st Payment - Sept. 12, 2025
Final Payment - Sept. 26, 2025</t>
        </is>
      </c>
      <c r="AF396" s="2"/>
      <c r="AG396" t="inlineStr">
        <is>
          <t>NzQyNTk5MTgyNzQ4MTg3MDM0MTo0QzVGNTVEMy04OTQ5LTQ1MDYtQTE1Ni01NkNFRkMwMjgxOEUtMTowYWIyMjM5NDUyMWE3YWQyOGQ0ZDI3OTUwOGYzYWQyMDox</t>
        </is>
      </c>
      <c r="AH396" t="inlineStr">
        <is>
          <t>Jordan Swing</t>
        </is>
      </c>
      <c r="AI396"/>
      <c r="AJ396"/>
      <c r="AK396"/>
    </row>
    <row r="397" ht="25.5" customHeight="1">
      <c r="A397" s="2" t="str">
        <f>=HYPERLINK("https://applink.larksuite.com/client/mini_program/open?appId=cli_9c7cc8a9a9edd105&amp;mode=appCenter&amp;path_pc=pc/pages/requested/index?instanceId=7547613413166317600&amp;source=bitable&amp;path=pages/detail/index?instanceId=7547613413166317600&amp;source=bitable", "202509080075")</f>
        <v>202509080075</v>
      </c>
      <c r="B397" t="inlineStr">
        <is>
          <t>Approved</t>
        </is>
      </c>
      <c r="C397" t="inlineStr">
        <is>
          <t>Procurement Order</t>
        </is>
      </c>
      <c r="D397" s="3">
        <v>45908.63528935185</v>
      </c>
      <c r="E397" s="3">
        <v>45909.57168981482</v>
      </c>
      <c r="F397" t="inlineStr">
        <is>
          <t>Fatima Kathleen M. FLores</t>
        </is>
      </c>
      <c r="G397" t="inlineStr">
        <is>
          <t>Procurement</t>
        </is>
      </c>
      <c r="H397"/>
      <c r="I397"/>
      <c r="J397" t="inlineStr">
        <is>
          <t>Project</t>
        </is>
      </c>
      <c r="K397" t="inlineStr">
        <is>
          <t>GG - Event Service</t>
        </is>
      </c>
      <c r="L397" t="inlineStr">
        <is>
          <t>HOK Philippine Kings League - Fall Season</t>
        </is>
      </c>
      <c r="M397" t="inlineStr">
        <is>
          <t>2025TEG-P0219</t>
        </is>
      </c>
      <c r="N397" t="inlineStr">
        <is>
          <t>Carla Andrea Calma Crespo</t>
        </is>
      </c>
      <c r="O397" t="inlineStr">
        <is>
          <t>202508280037-Carla Andrea Calma Crespo-费用报销 - 副本 - 副本 - 副本-2025-08-28 06:27:19</t>
        </is>
      </c>
      <c r="P397" t="inlineStr">
        <is>
          <t>YES</t>
        </is>
      </c>
      <c r="Q397"/>
      <c r="R397" t="inlineStr">
        <is>
          <t>NO</t>
        </is>
      </c>
      <c r="S397" t="inlineStr">
        <is>
          <t>Outsourced Lead League Ops</t>
        </is>
      </c>
      <c r="T397">
        <v>1</v>
      </c>
      <c r="U397">
        <v>70000</v>
      </c>
      <c r="V397" t="inlineStr">
        <is>
          <t>PHP</t>
        </is>
      </c>
      <c r="W397">
        <v>70000</v>
      </c>
      <c r="X397" s="2" t="str">
        <f>=HYPERLINK("https://www.larksuite.com/approval/admin/previewAttachment?key=PMgxqgJBEATQK1V113RN_8v8xGERFmFB0GjOLhiYvppEzcGshprR4PaQiykmq5IuYMem3TBN7fU4_s9Yus4Y75i4Ru_X_XasJ0c7Ak4pJwD-_TwtqbuEr-MTAAD__w", "2 attachment(s)")</f>
        <v>2 attachment(s)</v>
      </c>
      <c r="Y397" t="inlineStr">
        <is>
          <t>Bank Transfer</t>
        </is>
      </c>
      <c r="Z397" t="inlineStr">
        <is>
          <t>Harell Jhomar De Jesus</t>
        </is>
      </c>
      <c r="AA397" t="inlineStr">
        <is>
          <t>1093 2714 4084</t>
        </is>
      </c>
      <c r="AB397" t="inlineStr">
        <is>
          <t>Unionbank</t>
        </is>
      </c>
      <c r="AC397" t="inlineStr">
        <is>
          <t>Sitio Gitna, San Isidro, Batangas City, Batangas</t>
        </is>
      </c>
      <c r="AD397" s="4">
        <v>45894</v>
      </c>
      <c r="AE397" t="inlineStr">
        <is>
          <t>1st Payment - Sept. 12, 2025
2nd Payment - Sept. 26, 2025
3rd Payment - Oct. 10, 2025
Final Payment - Oct. 31, 2025</t>
        </is>
      </c>
      <c r="AF397" s="2"/>
      <c r="AG397" t="inlineStr">
        <is>
          <t>NzQyNTk5MTgyNzQ4MTg3MDM0MTpEQjg3QzBCMS02ODJCLTQ1RDEtQUMyRS02RDJEQUMxMjk5NTUtMTo1NjYzOTgzYjQxMjQxODMyNzdmMjM5ZDgxMjNjYzRiOTox</t>
        </is>
      </c>
      <c r="AH397" t="inlineStr">
        <is>
          <t>Harell Jhomar De Jesus</t>
        </is>
      </c>
      <c r="AI397"/>
      <c r="AJ397"/>
      <c r="AK397"/>
    </row>
    <row r="398" ht="25.5" customHeight="1">
      <c r="A398" s="2" t="str">
        <f>=HYPERLINK("https://applink.larksuite.com/client/mini_program/open?appId=cli_9c7cc8a9a9edd105&amp;mode=appCenter&amp;path_pc=pc/pages/requested/index?instanceId=7547614360089133094&amp;source=bitable&amp;path=pages/detail/index?instanceId=7547614360089133094&amp;source=bitable", "202509080077")</f>
        <v>202509080077</v>
      </c>
      <c r="B398" t="inlineStr">
        <is>
          <t>Approved</t>
        </is>
      </c>
      <c r="C398" t="inlineStr">
        <is>
          <t>Procurement Order</t>
        </is>
      </c>
      <c r="D398" s="3">
        <v>45908.63783564815</v>
      </c>
      <c r="E398" s="3">
        <v>45909.52826388889</v>
      </c>
      <c r="F398" t="inlineStr">
        <is>
          <t>Fatima Kathleen M. FLores</t>
        </is>
      </c>
      <c r="G398" t="inlineStr">
        <is>
          <t>Procurement</t>
        </is>
      </c>
      <c r="H398"/>
      <c r="I398"/>
      <c r="J398" t="inlineStr">
        <is>
          <t>Project</t>
        </is>
      </c>
      <c r="K398" t="inlineStr">
        <is>
          <t>GG - Event Service</t>
        </is>
      </c>
      <c r="L398" t="inlineStr">
        <is>
          <t>HOK Philippine Kings League - Fall Season</t>
        </is>
      </c>
      <c r="M398" t="inlineStr">
        <is>
          <t>2025TEG-P0219</t>
        </is>
      </c>
      <c r="N398" t="inlineStr">
        <is>
          <t>Carla Andrea Calma Crespo</t>
        </is>
      </c>
      <c r="O398" t="inlineStr">
        <is>
          <t>202508280041-Carla Andrea Calma Crespo-费用报销 - 副本 - 副本 - 副本-2025-08-28 06:41:25</t>
        </is>
      </c>
      <c r="P398" t="inlineStr">
        <is>
          <t>YES</t>
        </is>
      </c>
      <c r="Q398"/>
      <c r="R398" t="inlineStr">
        <is>
          <t>NO</t>
        </is>
      </c>
      <c r="S398" t="inlineStr">
        <is>
          <t>Outsourced Assistant League Ops</t>
        </is>
      </c>
      <c r="T398">
        <v>1</v>
      </c>
      <c r="U398">
        <v>38000</v>
      </c>
      <c r="V398" t="inlineStr">
        <is>
          <t>PHP</t>
        </is>
      </c>
      <c r="W398">
        <v>38000</v>
      </c>
      <c r="X398" s="2" t="str">
        <f>=HYPERLINK("https://www.larksuite.com/approval/admin/previewAttachment?key=PMgxCkIxEATQK81kJ7sZL2Nj-Aj5giDa5eyChe3LQeTojDRkNoO7uiqpSGCYEbB226wyikXt-Tiuq009F3EW3ufy_txvx3yxu1pDhRQDAC9_j5Jkp_BzfAMAAP__", "2 attachment(s)")</f>
        <v>2 attachment(s)</v>
      </c>
      <c r="Y398" t="inlineStr">
        <is>
          <t>Bank Transfer</t>
        </is>
      </c>
      <c r="Z398" t="inlineStr">
        <is>
          <t>Jose Mari Lim</t>
        </is>
      </c>
      <c r="AA398" t="inlineStr">
        <is>
          <t>014732060341</t>
        </is>
      </c>
      <c r="AB398" t="inlineStr">
        <is>
          <t>GoTyme</t>
        </is>
      </c>
      <c r="AC398" t="inlineStr">
        <is>
          <t>4 Lauan, Project 3, Quezon City, Metro Manila</t>
        </is>
      </c>
      <c r="AD398" s="4">
        <v>45898</v>
      </c>
      <c r="AE398" t="inlineStr">
        <is>
          <t>1st Payment - Sept. 12, 2025
2nd Payment - Sept. 26, 2025
3rd Payment - Oct. 10, 2025
Final Payment - Oct. 31, 2025</t>
        </is>
      </c>
      <c r="AF398" s="2"/>
      <c r="AG398" t="inlineStr">
        <is>
          <t>NzQyNTk5MTgyNzQ4MTg3MDM0MToxMUZBRTIzQy03RTU4LTRFMTYtQTU2Qy1CQ0VFOUI3MTVCMUQtMTpkMThiMjg3MzM2NGQ0ZDJlMzM5ZmI0NmEzZDVlODdkYTox</t>
        </is>
      </c>
      <c r="AH398" t="inlineStr">
        <is>
          <t>Jose Mari Lim</t>
        </is>
      </c>
      <c r="AI398"/>
      <c r="AJ398"/>
      <c r="AK398"/>
    </row>
    <row r="399" ht="25.5" customHeight="1">
      <c r="A399" s="2" t="str">
        <f>=HYPERLINK("https://applink.larksuite.com/client/mini_program/open?appId=cli_9c7cc8a9a9edd105&amp;mode=appCenter&amp;path_pc=pc/pages/requested/index?instanceId=7547615834122797087&amp;source=bitable&amp;path=pages/detail/index?instanceId=7547615834122797087&amp;source=bitable", "202509080080")</f>
        <v>202509080080</v>
      </c>
      <c r="B399" t="inlineStr">
        <is>
          <t>Approved</t>
        </is>
      </c>
      <c r="C399" t="inlineStr">
        <is>
          <t>Procurement Order</t>
        </is>
      </c>
      <c r="D399" s="3">
        <v>45908.641805555555</v>
      </c>
      <c r="E399" s="3">
        <v>45909.50864583333</v>
      </c>
      <c r="F399" t="inlineStr">
        <is>
          <t>Fatima Kathleen M. FLores</t>
        </is>
      </c>
      <c r="G399" t="inlineStr">
        <is>
          <t>Procurement</t>
        </is>
      </c>
      <c r="H399"/>
      <c r="I399"/>
      <c r="J399" t="inlineStr">
        <is>
          <t>Project</t>
        </is>
      </c>
      <c r="K399" t="inlineStr">
        <is>
          <t>GG - Event Service</t>
        </is>
      </c>
      <c r="L399" t="inlineStr">
        <is>
          <t>HOK Philippine Kings League - Fall Season</t>
        </is>
      </c>
      <c r="M399" t="inlineStr">
        <is>
          <t>2025TEG-P0219</t>
        </is>
      </c>
      <c r="N399" t="inlineStr">
        <is>
          <t>Carla Andrea Calma Crespo</t>
        </is>
      </c>
      <c r="O399" t="inlineStr">
        <is>
          <t>202508280042-Carla Andrea Calma Crespo-费用报销 - 副本 - 副本 - 副本-2025-08-28 06:57:35</t>
        </is>
      </c>
      <c r="P399" t="inlineStr">
        <is>
          <t>YES</t>
        </is>
      </c>
      <c r="Q399"/>
      <c r="R399" t="inlineStr">
        <is>
          <t>NO</t>
        </is>
      </c>
      <c r="S399" t="inlineStr">
        <is>
          <t>Outsourced Referee</t>
        </is>
      </c>
      <c r="T399">
        <v>1</v>
      </c>
      <c r="U399">
        <v>31350</v>
      </c>
      <c r="V399" t="inlineStr">
        <is>
          <t>PHP</t>
        </is>
      </c>
      <c r="W399">
        <v>31350</v>
      </c>
      <c r="X399" s="2" t="str">
        <f>=HYPERLINK("https://www.larksuite.com/approval/admin/previewAttachment?key=PMgxDsIwFAPQK9k_Tvw_l2FJVLEwISp1yNmRGLq-kcTIzjYKKkaB210e7NnECJeR3rFpF0xTe72P5_ymz-K61hVzaZ-veawPezkCblJLAHzc3iypagh_xy8AAP__", "2 attachment(s)")</f>
        <v>2 attachment(s)</v>
      </c>
      <c r="Y399" t="inlineStr">
        <is>
          <t>Bank Transfer</t>
        </is>
      </c>
      <c r="Z399" t="inlineStr">
        <is>
          <t>Allan Rigates</t>
        </is>
      </c>
      <c r="AA399" t="inlineStr">
        <is>
          <t>0135-7000-7795</t>
        </is>
      </c>
      <c r="AB399" t="inlineStr">
        <is>
          <t>BDO</t>
        </is>
      </c>
      <c r="AC399" t="inlineStr">
        <is>
          <t>2340 Lamesa St. Ugong Valenzuela City</t>
        </is>
      </c>
      <c r="AD399" s="4">
        <v>45898</v>
      </c>
      <c r="AE399" t="inlineStr">
        <is>
          <t>1st Payment - Sept. 12, 2025
2nd Payment - Sept. 26, 2025
3rd Payment - Oct. 10, 2025
Final Payment - Oct. 31, 2025</t>
        </is>
      </c>
      <c r="AF399" s="2"/>
      <c r="AG399" t="inlineStr">
        <is>
          <t>NzQyNTk5MTgyNzQ4MTg3MDM0MTo0MDVBOEY5Qy00NzAxLTRGMjItOUJGRC1GMkUwMjhFN0IzQTAtMTplNDkwNDdhNmJjZmNlOWVjN2E2ZTQ3OWMyMDgyOTYxYjox</t>
        </is>
      </c>
      <c r="AH399" t="inlineStr">
        <is>
          <t>Allan Rigates</t>
        </is>
      </c>
      <c r="AI399"/>
      <c r="AJ399"/>
      <c r="AK399"/>
    </row>
    <row r="400" ht="25.5" customHeight="1">
      <c r="A400" s="2" t="str">
        <f>=HYPERLINK("https://applink.larksuite.com/client/mini_program/open?appId=cli_9c7cc8a9a9edd105&amp;mode=appCenter&amp;path_pc=pc/pages/requested/index?instanceId=7547616482440609823&amp;source=bitable&amp;path=pages/detail/index?instanceId=7547616482440609823&amp;source=bitable", "202509080082")</f>
        <v>202509080082</v>
      </c>
      <c r="B400" t="inlineStr">
        <is>
          <t>Approved</t>
        </is>
      </c>
      <c r="C400" t="inlineStr">
        <is>
          <t>Procurement Order</t>
        </is>
      </c>
      <c r="D400" s="3">
        <v>45908.64355324074</v>
      </c>
      <c r="E400" s="3">
        <v>45909.50822916667</v>
      </c>
      <c r="F400" t="inlineStr">
        <is>
          <t>Fatima Kathleen M. FLores</t>
        </is>
      </c>
      <c r="G400" t="inlineStr">
        <is>
          <t>Procurement</t>
        </is>
      </c>
      <c r="H400"/>
      <c r="I400"/>
      <c r="J400" t="inlineStr">
        <is>
          <t>Project</t>
        </is>
      </c>
      <c r="K400" t="inlineStr">
        <is>
          <t>GG - Event Service</t>
        </is>
      </c>
      <c r="L400" t="inlineStr">
        <is>
          <t>HOK Philippine Kings League - Fall Season</t>
        </is>
      </c>
      <c r="M400" t="inlineStr">
        <is>
          <t>2025TEG-P0219</t>
        </is>
      </c>
      <c r="N400" t="inlineStr">
        <is>
          <t>Carla Andrea Calma Crespo</t>
        </is>
      </c>
      <c r="O400" t="inlineStr">
        <is>
          <t>202508280042-Carla Andrea Calma Crespo-费用报销 - 副本 - 副本 - 副本-2025-08-28 06:57:35</t>
        </is>
      </c>
      <c r="P400" t="inlineStr">
        <is>
          <t>YES</t>
        </is>
      </c>
      <c r="Q400"/>
      <c r="R400" t="inlineStr">
        <is>
          <t>NO</t>
        </is>
      </c>
      <c r="S400" t="inlineStr">
        <is>
          <t>Outsourced Referee</t>
        </is>
      </c>
      <c r="T400">
        <v>1</v>
      </c>
      <c r="U400">
        <v>31350</v>
      </c>
      <c r="V400" t="inlineStr">
        <is>
          <t>PHP</t>
        </is>
      </c>
      <c r="W400">
        <v>31350</v>
      </c>
      <c r="X400" s="2" t="str">
        <f>=HYPERLINK("https://www.larksuite.com/approval/admin/previewAttachment?key=PMg9CsJAFATgK828nffnZWyyBEEDghhs9uyChe0XRUQ5RzTUtAZXujIYKpMQ6LKxbDGzkUxqzWO_um8THzv8-X7U_Vznbdvni95phhzSKAC8_H2kpO4Qfo5vAAAA__8", "2 attachment(s)")</f>
        <v>2 attachment(s)</v>
      </c>
      <c r="Y400" t="inlineStr">
        <is>
          <t>Bank Transfer</t>
        </is>
      </c>
      <c r="Z400" t="inlineStr">
        <is>
          <t>Brian Angelo Rollo</t>
        </is>
      </c>
      <c r="AA400" t="inlineStr">
        <is>
          <t>09667960353</t>
        </is>
      </c>
      <c r="AB400" t="inlineStr">
        <is>
          <t>GCash</t>
        </is>
      </c>
      <c r="AC400" t="inlineStr">
        <is>
          <t>51-B 17th Avenue, Cubao, Quezon City</t>
        </is>
      </c>
      <c r="AD400" s="4">
        <v>45898</v>
      </c>
      <c r="AE400" t="inlineStr">
        <is>
          <t>1st Payment - Sept. 12, 2025
2nd Payment - Sept. 26, 2025
3rd Payment - Oct. 10, 2025
Final Payment - Oct. 31, 2025</t>
        </is>
      </c>
      <c r="AF400" s="2"/>
      <c r="AG400" t="inlineStr">
        <is>
          <t>NzQyNTk5MTgyNzQ4MTg3MDM0MTo2QUJCNTVDOC1BNTQ5LTQ3RjktQThEQy04NDRCQTlFNDg5OEQtMTo2NzViZmI3MjE2NGQwYTVkYzBhZDg0ZjgzNDgzZTI1Yjox</t>
        </is>
      </c>
      <c r="AH400" t="inlineStr">
        <is>
          <t>Brian Angelo Rollo</t>
        </is>
      </c>
      <c r="AI400"/>
      <c r="AJ400"/>
      <c r="AK400"/>
    </row>
    <row r="401" ht="25.5" customHeight="1">
      <c r="A401" s="2" t="str">
        <f>=HYPERLINK("https://applink.larksuite.com/client/mini_program/open?appId=cli_9c7cc8a9a9edd105&amp;mode=appCenter&amp;path_pc=pc/pages/requested/index?instanceId=7547617202434768928&amp;source=bitable&amp;path=pages/detail/index?instanceId=7547617202434768928&amp;source=bitable", "202509080083")</f>
        <v>202509080083</v>
      </c>
      <c r="B401" t="inlineStr">
        <is>
          <t>Approved</t>
        </is>
      </c>
      <c r="C401" t="inlineStr">
        <is>
          <t>Procurement Order</t>
        </is>
      </c>
      <c r="D401" s="3">
        <v>45908.64549768518</v>
      </c>
      <c r="E401" s="3">
        <v>45909.50791666667</v>
      </c>
      <c r="F401" t="inlineStr">
        <is>
          <t>Fatima Kathleen M. FLores</t>
        </is>
      </c>
      <c r="G401" t="inlineStr">
        <is>
          <t>Procurement</t>
        </is>
      </c>
      <c r="H401"/>
      <c r="I401"/>
      <c r="J401" t="inlineStr">
        <is>
          <t>Project</t>
        </is>
      </c>
      <c r="K401" t="inlineStr">
        <is>
          <t>GG - Event Service</t>
        </is>
      </c>
      <c r="L401" t="inlineStr">
        <is>
          <t>HOK Philippine Kings League - Fall Season</t>
        </is>
      </c>
      <c r="M401" t="inlineStr">
        <is>
          <t>2025TEG-P0219</t>
        </is>
      </c>
      <c r="N401" t="inlineStr">
        <is>
          <t>Carla Andrea Calma Crespo</t>
        </is>
      </c>
      <c r="O401" t="inlineStr">
        <is>
          <t>202508280042-Carla Andrea Calma Crespo-费用报销 - 副本 - 副本 - 副本-2025-08-28 06:57:35</t>
        </is>
      </c>
      <c r="P401" t="inlineStr">
        <is>
          <t>YES</t>
        </is>
      </c>
      <c r="Q401"/>
      <c r="R401" t="inlineStr">
        <is>
          <t>NO</t>
        </is>
      </c>
      <c r="S401" t="inlineStr">
        <is>
          <t>Outsourced Referee</t>
        </is>
      </c>
      <c r="T401">
        <v>1</v>
      </c>
      <c r="U401">
        <v>31350</v>
      </c>
      <c r="V401" t="inlineStr">
        <is>
          <t>PHP</t>
        </is>
      </c>
      <c r="W401">
        <v>31350</v>
      </c>
      <c r="X401" s="2" t="str">
        <f>=HYPERLINK("https://www.larksuite.com/approval/admin/previewAttachment?key=PMgxCoIxDAXgK72kL3mNl3FpKToIglBcenbB4V-_7IbsYS0LLPOCHQWVJoezUdnL-_FjUkEm45mvdY8YE9_ne-xYE_vsx1jzY1FyhxrZOgC7Xd5EsiqJv-MXAAD__w", "2 attachment(s)")</f>
        <v>2 attachment(s)</v>
      </c>
      <c r="Y401" t="inlineStr">
        <is>
          <t>Bank Transfer</t>
        </is>
      </c>
      <c r="Z401" t="inlineStr">
        <is>
          <t>Jairard Proverbs Palon</t>
        </is>
      </c>
      <c r="AA401" t="inlineStr">
        <is>
          <t>09367382717</t>
        </is>
      </c>
      <c r="AB401" t="inlineStr">
        <is>
          <t>GCash</t>
        </is>
      </c>
      <c r="AC401" t="inlineStr">
        <is>
          <t>Block 3 Lot 8, Cowslip St. Lancaster Residences, Alapan 2-A, Imus City, Cavite</t>
        </is>
      </c>
      <c r="AD401" s="4">
        <v>45898</v>
      </c>
      <c r="AE401" t="inlineStr">
        <is>
          <t>1st Payment - Sept. 12, 2025
2nd Payment - Sept. 26, 2025
3rd Payment - Oct. 10, 2025
Final Payment - Oct. 31, 2025</t>
        </is>
      </c>
      <c r="AF401" s="2"/>
      <c r="AG401" t="inlineStr">
        <is>
          <t>NzQyNTk5MTgyNzQ4MTg3MDM0MTowQzU3NjkxMy0zNzgyLTRCRDktOEIwNi0yNjdGNEY2ODQ2NjMtMTo2ZTBkZjVhZDY5NjZhODVkOTBmYWQyYTljYTgxNzE4Yjox</t>
        </is>
      </c>
      <c r="AH401" t="inlineStr">
        <is>
          <t>Jairard Proverbs Palon</t>
        </is>
      </c>
      <c r="AI401"/>
      <c r="AJ401"/>
      <c r="AK401"/>
    </row>
    <row r="402" ht="25.5" customHeight="1">
      <c r="A402" s="2" t="str">
        <f>=HYPERLINK("https://applink.larksuite.com/client/mini_program/open?appId=cli_9c7cc8a9a9edd105&amp;mode=appCenter&amp;path_pc=pc/pages/requested/index?instanceId=7547617792380518439&amp;source=bitable&amp;path=pages/detail/index?instanceId=7547617792380518439&amp;source=bitable", "202509080084")</f>
        <v>202509080084</v>
      </c>
      <c r="B402" t="inlineStr">
        <is>
          <t>Approved</t>
        </is>
      </c>
      <c r="C402" t="inlineStr">
        <is>
          <t>Procurement Order</t>
        </is>
      </c>
      <c r="D402" s="3">
        <v>45908.64708333334</v>
      </c>
      <c r="E402" s="3">
        <v>45909.57104166667</v>
      </c>
      <c r="F402" t="inlineStr">
        <is>
          <t>Fatima Kathleen M. FLores</t>
        </is>
      </c>
      <c r="G402" t="inlineStr">
        <is>
          <t>Procurement</t>
        </is>
      </c>
      <c r="H402"/>
      <c r="I402"/>
      <c r="J402" t="inlineStr">
        <is>
          <t>Project</t>
        </is>
      </c>
      <c r="K402" t="inlineStr">
        <is>
          <t>GG - Event Service</t>
        </is>
      </c>
      <c r="L402" t="inlineStr">
        <is>
          <t>HOK Philippine Kings League - Fall Season</t>
        </is>
      </c>
      <c r="M402" t="inlineStr">
        <is>
          <t>2025TEG-P0219</t>
        </is>
      </c>
      <c r="N402" t="inlineStr">
        <is>
          <t>Carla Andrea Calma Crespo</t>
        </is>
      </c>
      <c r="O402" t="inlineStr">
        <is>
          <t>202508280042-Carla Andrea Calma Crespo-费用报销 - 副本 - 副本 - 副本-2025-08-28 06:57:35</t>
        </is>
      </c>
      <c r="P402" t="inlineStr">
        <is>
          <t>YES</t>
        </is>
      </c>
      <c r="Q402"/>
      <c r="R402" t="inlineStr">
        <is>
          <t>NO</t>
        </is>
      </c>
      <c r="S402" t="inlineStr">
        <is>
          <t>Outsourced Referee</t>
        </is>
      </c>
      <c r="T402">
        <v>1</v>
      </c>
      <c r="U402">
        <v>31350</v>
      </c>
      <c r="V402" t="inlineStr">
        <is>
          <t>PHP</t>
        </is>
      </c>
      <c r="W402">
        <v>31350</v>
      </c>
      <c r="X402" s="2" t="str">
        <f>=HYPERLINK("https://www.larksuite.com/approval/admin/previewAttachment?key=PMixjQJRDATQlmbs-d_2NXPJWiuEIELazLUjCEjfTmLnou-CilbgxFJsRpR5YjHlNTYfQDCo6ef5_1h9d8s-YH6p57odZ7-4KswQLnkC4N_PPSRVbeHreAcAAP__", "2 attachment(s)")</f>
        <v>2 attachment(s)</v>
      </c>
      <c r="Y402" t="inlineStr">
        <is>
          <t>Bank Transfer</t>
        </is>
      </c>
      <c r="Z402" t="inlineStr">
        <is>
          <t>Michael Joseph T. Ibarra</t>
        </is>
      </c>
      <c r="AA402" t="inlineStr">
        <is>
          <t>09471275542</t>
        </is>
      </c>
      <c r="AB402" t="inlineStr">
        <is>
          <t>GCash</t>
        </is>
      </c>
      <c r="AC402" t="inlineStr">
        <is>
          <t>Block 4 Lot 15 Kasoy Street. Palmera Homes Phase 1-A. Brgy Sta Monica, Novaliches, Quezon City</t>
        </is>
      </c>
      <c r="AD402" s="4">
        <v>45898</v>
      </c>
      <c r="AE402" t="inlineStr">
        <is>
          <t>1st Payment - Sept. 12, 2025
2nd Payment - Sept. 26, 2025
3rd Payment - Oct. 10, 2025
Final Payment - Oct. 31, 2025</t>
        </is>
      </c>
      <c r="AF402" s="2"/>
      <c r="AG402" t="inlineStr">
        <is>
          <t>NzQyNTk5MTgyNzQ4MTg3MDM0MToyMDY1QkZDNi03MThFLTQ5MDUtQTQ1MC1DMTgwREU2RTgwQkItMTo3MWI5NzNmMWZkMDg5MjRkOTUzZGFhMDM2NjZkMmIwYTox</t>
        </is>
      </c>
      <c r="AH402" t="inlineStr">
        <is>
          <t>Michael Joseph T. Ibarra</t>
        </is>
      </c>
      <c r="AI402"/>
      <c r="AJ402"/>
      <c r="AK402"/>
    </row>
    <row r="403" ht="25.5" customHeight="1">
      <c r="A403" s="2" t="str">
        <f>=HYPERLINK("https://applink.larksuite.com/client/mini_program/open?appId=cli_9c7cc8a9a9edd105&amp;mode=appCenter&amp;path_pc=pc/pages/requested/index?instanceId=7547998600073134111&amp;source=bitable&amp;path=pages/detail/index?instanceId=7547998600073134111&amp;source=bitable", "202509090055")</f>
        <v>202509090055</v>
      </c>
      <c r="B403" t="inlineStr">
        <is>
          <t>Approved</t>
        </is>
      </c>
      <c r="C403" t="inlineStr">
        <is>
          <t>Procurement Order</t>
        </is>
      </c>
      <c r="D403" s="3">
        <v>45909.67328703704</v>
      </c>
      <c r="E403" s="3">
        <v>45910.662210648145</v>
      </c>
      <c r="F403" t="inlineStr">
        <is>
          <t>Fatima Kathleen M. FLores</t>
        </is>
      </c>
      <c r="G403" t="inlineStr">
        <is>
          <t>Procurement</t>
        </is>
      </c>
      <c r="H403"/>
      <c r="I403"/>
      <c r="J403" t="inlineStr">
        <is>
          <t>GAE</t>
        </is>
      </c>
      <c r="K403"/>
      <c r="L403"/>
      <c r="M403"/>
      <c r="N403"/>
      <c r="O403" t="inlineStr">
        <is>
          <t>202508220022-Nadine Nora-费用报销 - 副本 - 副本 - 副本-2025-08-22 04:43:41</t>
        </is>
      </c>
      <c r="P403"/>
      <c r="Q403" t="inlineStr">
        <is>
          <t>Game Marketing</t>
        </is>
      </c>
      <c r="R403"/>
      <c r="S403" t="inlineStr">
        <is>
          <t>Outsourced Graphics Artist</t>
        </is>
      </c>
      <c r="T403">
        <v>1</v>
      </c>
      <c r="U403">
        <v>10000</v>
      </c>
      <c r="V403" t="inlineStr">
        <is>
          <t>PHP</t>
        </is>
      </c>
      <c r="W403">
        <v>10000</v>
      </c>
      <c r="X403" s="2" t="str">
        <f>=HYPERLINK("https://www.larksuite.com/approval/admin/previewAttachment?key=PMhBCoIhFATgK834RsfXZdok0sYIAuFfePagRduvdaL1ymgJJUuCx1XO7A2AgyGSpxzaCdPUGWveN-e63q--x76W1tnPxxwf1nQpcEjRAfD297CkzCb8HN8AAAD__w", "2 attachment(s)")</f>
        <v>2 attachment(s)</v>
      </c>
      <c r="Y403" t="inlineStr">
        <is>
          <t>Bank Transfer</t>
        </is>
      </c>
      <c r="Z403" t="inlineStr">
        <is>
          <t>Alyssa Mari M. Quilantang</t>
        </is>
      </c>
      <c r="AA403" t="inlineStr">
        <is>
          <t>008260094857</t>
        </is>
      </c>
      <c r="AB403" t="inlineStr">
        <is>
          <t>BDO</t>
        </is>
      </c>
      <c r="AC403" t="inlineStr">
        <is>
          <t>Quilantang Law Office Purok 5 barangay Linao Ormoc City Leyte</t>
        </is>
      </c>
      <c r="AD403" s="4">
        <v>45891</v>
      </c>
      <c r="AE403" t="inlineStr">
        <is>
          <t>100% Full Payment - Sept. 12, 2025</t>
        </is>
      </c>
      <c r="AF403" s="2"/>
      <c r="AG403" t="inlineStr">
        <is>
          <t>NzQyNTk5MTgyNzQ4MTg3MDM0MToyNTBCQzgxRi04NkI0LTQwQzMtOUVGRC05RkQ0OEJGQkJCMkYtMTo2M2YzZTAwNjU1ZjhlMGE5YjhiOGNiNGY3NjY4MjFlMTox</t>
        </is>
      </c>
      <c r="AH403" t="inlineStr">
        <is>
          <t>Alyssa Mari M. Quilantang</t>
        </is>
      </c>
      <c r="AI403"/>
      <c r="AJ403"/>
      <c r="AK403"/>
    </row>
    <row r="404" ht="25.5" customHeight="1">
      <c r="A404" s="2" t="str">
        <f>=HYPERLINK("https://applink.larksuite.com/client/mini_program/open?appId=cli_9c7cc8a9a9edd105&amp;mode=appCenter&amp;path_pc=pc/pages/requested/index?instanceId=7547999398882623520&amp;source=bitable&amp;path=pages/detail/index?instanceId=7547999398882623520&amp;source=bitable", "202509090056")</f>
        <v>202509090056</v>
      </c>
      <c r="B404" t="inlineStr">
        <is>
          <t>Approved</t>
        </is>
      </c>
      <c r="C404" t="inlineStr">
        <is>
          <t>Procurement Order</t>
        </is>
      </c>
      <c r="D404" s="3">
        <v>45909.67543981481</v>
      </c>
      <c r="E404" s="3">
        <v>45910.66395833333</v>
      </c>
      <c r="F404" t="inlineStr">
        <is>
          <t>Fatima Kathleen M. FLores</t>
        </is>
      </c>
      <c r="G404" t="inlineStr">
        <is>
          <t>Procurement</t>
        </is>
      </c>
      <c r="H404"/>
      <c r="I404"/>
      <c r="J404" t="inlineStr">
        <is>
          <t>GAE</t>
        </is>
      </c>
      <c r="K404"/>
      <c r="L404"/>
      <c r="M404"/>
      <c r="N404"/>
      <c r="O404" t="inlineStr">
        <is>
          <t>202508220022-Nadine Nora-费用报销 - 副本 - 副本 - 副本-2025-08-22 04:43:41</t>
        </is>
      </c>
      <c r="P404"/>
      <c r="Q404" t="inlineStr">
        <is>
          <t>Game Marketing</t>
        </is>
      </c>
      <c r="R404"/>
      <c r="S404" t="inlineStr">
        <is>
          <t>Outsourced Graphics Artist</t>
        </is>
      </c>
      <c r="T404">
        <v>1</v>
      </c>
      <c r="U404">
        <v>10000</v>
      </c>
      <c r="V404" t="inlineStr">
        <is>
          <t>PHP</t>
        </is>
      </c>
      <c r="W404">
        <v>10000</v>
      </c>
      <c r="X404" s="2" t="str">
        <f>=HYPERLINK("https://www.larksuite.com/approval/admin/previewAttachment?key=PMg5CgJBEAXQK_3auup7GRObxoUxEQcmqLMLBpO-UYJRITYIpyghneFJ0lhVOtRC0dqSSaSkeM9tXb_H2iNf2-N5zPeM3u-3NT8STFWkuVsBkMvplu5ODsff8QsAAP__", "2 attachment(s)")</f>
        <v>2 attachment(s)</v>
      </c>
      <c r="Y404" t="inlineStr">
        <is>
          <t>Bank Transfer</t>
        </is>
      </c>
      <c r="Z404" t="inlineStr">
        <is>
          <t>Lance Louise A. Melgarejo</t>
        </is>
      </c>
      <c r="AA404" t="inlineStr">
        <is>
          <t>0019039808</t>
        </is>
      </c>
      <c r="AB404" t="inlineStr">
        <is>
          <t>BPI</t>
        </is>
      </c>
      <c r="AC404" t="inlineStr">
        <is>
          <t>Blk 12 Lot 8 Bougainvillea Street Primrose Hills Subdivision Angono, Rizal</t>
        </is>
      </c>
      <c r="AD404" s="4">
        <v>45891</v>
      </c>
      <c r="AE404" t="inlineStr">
        <is>
          <t>100% Full Payment - Sept. 12, 2025</t>
        </is>
      </c>
      <c r="AF404" s="2"/>
      <c r="AG404" t="inlineStr">
        <is>
          <t>NzQyNTk5MTgyNzQ4MTg3MDM0MTpDNTFFQjIxMC1EODI1LTQ5MkEtQjcxMS04OENFMDY4QUUxODYtMTpmMGY4MDkzYzQ1ZGEzMTQ5NmQwMmQ0MTQzY2E0ZGZkMjox</t>
        </is>
      </c>
      <c r="AH404" t="inlineStr">
        <is>
          <t>Lance Louise A. Melgarejo</t>
        </is>
      </c>
      <c r="AI404"/>
      <c r="AJ404"/>
      <c r="AK404"/>
    </row>
    <row r="405" ht="25.5" customHeight="1">
      <c r="A405" s="2" t="str">
        <f>=HYPERLINK("https://applink.larksuite.com/client/mini_program/open?appId=cli_9c7cc8a9a9edd105&amp;mode=appCenter&amp;path_pc=pc/pages/requested/index?instanceId=7548000333226606624&amp;source=bitable&amp;path=pages/detail/index?instanceId=7548000333226606624&amp;source=bitable", "202509090057")</f>
        <v>202509090057</v>
      </c>
      <c r="B405" t="inlineStr">
        <is>
          <t>Approved</t>
        </is>
      </c>
      <c r="C405" t="inlineStr">
        <is>
          <t>Procurement Order</t>
        </is>
      </c>
      <c r="D405" s="3">
        <v>45909.67796296296</v>
      </c>
      <c r="E405" s="3">
        <v>45910.66336805555</v>
      </c>
      <c r="F405" t="inlineStr">
        <is>
          <t>Fatima Kathleen M. FLores</t>
        </is>
      </c>
      <c r="G405" t="inlineStr">
        <is>
          <t>Procurement</t>
        </is>
      </c>
      <c r="H405"/>
      <c r="I405"/>
      <c r="J405" t="inlineStr">
        <is>
          <t>GAE</t>
        </is>
      </c>
      <c r="K405"/>
      <c r="L405"/>
      <c r="M405"/>
      <c r="N405"/>
      <c r="O405" t="inlineStr">
        <is>
          <t>202508220021-Nadine Nora-费用报销 - 副本 - 副本 - 副本-2025-08-22 04:31:38</t>
        </is>
      </c>
      <c r="P405"/>
      <c r="Q405" t="inlineStr">
        <is>
          <t>Game Marketing</t>
        </is>
      </c>
      <c r="R405"/>
      <c r="S405" t="inlineStr">
        <is>
          <t>Outsourced 3D Artist</t>
        </is>
      </c>
      <c r="T405">
        <v>1</v>
      </c>
      <c r="U405">
        <v>35000</v>
      </c>
      <c r="V405" t="inlineStr">
        <is>
          <t>PHP</t>
        </is>
      </c>
      <c r="W405">
        <v>35000</v>
      </c>
      <c r="X405" s="2" t="str">
        <f>=HYPERLINK("https://www.larksuite.com/approval/admin/previewAttachment?key=PMwxjkIxDATQK83YEzvey2xDFCEBFeL_ymdHUNC-4sUkYg56FFS0AjuHJgB3N4tAhKmtmVlIJtXrsf9PbePrLO3jPtatj-tlrydHpRnSJf8c_Pu5p6SqEL6OdwAAAP__", "2 attachment(s)")</f>
        <v>2 attachment(s)</v>
      </c>
      <c r="Y405" t="inlineStr">
        <is>
          <t>Bank Transfer</t>
        </is>
      </c>
      <c r="Z405" t="inlineStr">
        <is>
          <t>Ezzard Slim Eguia</t>
        </is>
      </c>
      <c r="AA405" t="inlineStr">
        <is>
          <t>6196 2357 26</t>
        </is>
      </c>
      <c r="AB405" t="inlineStr">
        <is>
          <t>BPI</t>
        </is>
      </c>
      <c r="AC405" t="inlineStr">
        <is>
          <t>34 Ambuklao St NPC Village, Pasong Tamo, QC</t>
        </is>
      </c>
      <c r="AD405" s="4">
        <v>45891</v>
      </c>
      <c r="AE405" t="inlineStr">
        <is>
          <t>1st Payment - Sept. 12, 2025
Final Payment - Sept. 26, 2025</t>
        </is>
      </c>
      <c r="AF405" s="2"/>
      <c r="AG405" t="inlineStr">
        <is>
          <t>NzQyNTk5MTgyNzQ4MTg3MDM0MTpFQTgwMjlBQi1EOTBGLTQ1MDktQjFDMy0xRDU0NzFGQUIxMkEtMTpkNzE4MGY2MmMzMDY2ZTJjNjkzMzgzNGEyZTkzYzJmYTox</t>
        </is>
      </c>
      <c r="AH405" t="inlineStr">
        <is>
          <t>Ezzard Slim Eguia</t>
        </is>
      </c>
      <c r="AI405"/>
      <c r="AJ405"/>
      <c r="AK405"/>
    </row>
    <row r="406" ht="25.5" customHeight="1">
      <c r="A406" s="2" t="str">
        <f>=HYPERLINK("https://applink.larksuite.com/client/mini_program/open?appId=cli_9c7cc8a9a9edd105&amp;mode=appCenter&amp;path_pc=pc/pages/requested/index?instanceId=7548005497039749158&amp;source=bitable&amp;path=pages/detail/index?instanceId=7548005497039749158&amp;source=bitable", "202509090061")</f>
        <v>202509090061</v>
      </c>
      <c r="B406" t="inlineStr">
        <is>
          <t>Approved</t>
        </is>
      </c>
      <c r="C406" t="inlineStr">
        <is>
          <t>Procurement Order</t>
        </is>
      </c>
      <c r="D406" s="3">
        <v>45909.691875</v>
      </c>
      <c r="E406" s="3">
        <v>45911.502650462964</v>
      </c>
      <c r="F406" t="inlineStr">
        <is>
          <t>Fatima Kathleen M. FLores</t>
        </is>
      </c>
      <c r="G406" t="inlineStr">
        <is>
          <t>Procurement</t>
        </is>
      </c>
      <c r="H406"/>
      <c r="I406"/>
      <c r="J406" t="inlineStr">
        <is>
          <t>Project</t>
        </is>
      </c>
      <c r="K406" t="inlineStr">
        <is>
          <t>GG - Event Service</t>
        </is>
      </c>
      <c r="L406" t="inlineStr">
        <is>
          <t>HOK Philippine Kings League - Fall Season</t>
        </is>
      </c>
      <c r="M406" t="inlineStr">
        <is>
          <t>2025TEG-P0219</t>
        </is>
      </c>
      <c r="N406" t="inlineStr">
        <is>
          <t>Carla Andrea Calma Crespo</t>
        </is>
      </c>
      <c r="O406" t="inlineStr">
        <is>
          <t>202508280064-Carla Andrea Calma Crespo-费用报销 - 副本 - 副本 - 副本-2025-08-28 10:21:23</t>
        </is>
      </c>
      <c r="P406" t="inlineStr">
        <is>
          <t>YES</t>
        </is>
      </c>
      <c r="Q406"/>
      <c r="R406" t="inlineStr">
        <is>
          <t>YES</t>
        </is>
      </c>
      <c r="S406" t="inlineStr">
        <is>
          <t>Outsourced Lighting Director</t>
        </is>
      </c>
      <c r="T406">
        <v>1</v>
      </c>
      <c r="U406">
        <v>97500</v>
      </c>
      <c r="V406" t="inlineStr">
        <is>
          <t>PHP</t>
        </is>
      </c>
      <c r="W406">
        <v>97500</v>
      </c>
      <c r="X406" s="2" t="str">
        <f>=HYPERLINK("https://www.larksuite.com/approval/admin/previewAttachment?key=PMgxCkIxEATQK80ms5mMl7H5IahgJehv9uyChe0bMzBmRh8GHc2IUnICSQvdoiNntQrJUChY67mvmcdSfu7nY58J1ft27PWKtFqDOtkngLj8vYukPYif4xsAAP__", "2 attachment(s)")</f>
        <v>2 attachment(s)</v>
      </c>
      <c r="Y406" t="inlineStr">
        <is>
          <t>Bank Transfer</t>
        </is>
      </c>
      <c r="Z406" t="inlineStr">
        <is>
          <t>Mark Anthony Flor</t>
        </is>
      </c>
      <c r="AA406" t="inlineStr">
        <is>
          <t>09199712271</t>
        </is>
      </c>
      <c r="AB406" t="inlineStr">
        <is>
          <t>GCash</t>
        </is>
      </c>
      <c r="AC406" t="inlineStr">
        <is>
          <t>Blk179 Lot44 St. Cecilia Street, Deca Homes Loma de Gato, Marilao, Bulacan</t>
        </is>
      </c>
      <c r="AD406" s="4">
        <v>45895</v>
      </c>
      <c r="AE406" t="inlineStr">
        <is>
          <t>1st Payment - Sept. 12, 2025
2nd Payment - Sept. 26, 2025
3rd Payment - Oct. 10, 2025
Final Payment - Oct. 31, 2025</t>
        </is>
      </c>
      <c r="AF406" s="2"/>
      <c r="AG406" t="inlineStr">
        <is>
          <t>NzQyNTk5MTgyNzQ4MTg3MDM0MTo5REI2ODY0Ni0zMDkwLTQ3QjktQjUyRi04MkREODg4Qzk3NDktMTo4NjBkYTJiNTZjYzIxYWE0OTk5NzM5MmU1NGE3ZTU2OTox</t>
        </is>
      </c>
      <c r="AH406" t="inlineStr">
        <is>
          <t>Mark Anthony Flor</t>
        </is>
      </c>
      <c r="AI406"/>
      <c r="AJ406"/>
      <c r="AK406"/>
    </row>
    <row r="407" ht="25.5" customHeight="1">
      <c r="A407" s="2" t="str">
        <f>=HYPERLINK("https://applink.larksuite.com/client/mini_program/open?appId=cli_9c7cc8a9a9edd105&amp;mode=appCenter&amp;path_pc=pc/pages/requested/index?instanceId=7548006866413142048&amp;source=bitable&amp;path=pages/detail/index?instanceId=7548006866413142048&amp;source=bitable", "202509090063")</f>
        <v>202509090063</v>
      </c>
      <c r="B407" t="inlineStr">
        <is>
          <t>Approved</t>
        </is>
      </c>
      <c r="C407" t="inlineStr">
        <is>
          <t>Procurement Order</t>
        </is>
      </c>
      <c r="D407" s="3">
        <v>45909.69556712963</v>
      </c>
      <c r="E407" s="3">
        <v>45911.50163194445</v>
      </c>
      <c r="F407" t="inlineStr">
        <is>
          <t>Fatima Kathleen M. FLores</t>
        </is>
      </c>
      <c r="G407" t="inlineStr">
        <is>
          <t>Procurement</t>
        </is>
      </c>
      <c r="H407"/>
      <c r="I407"/>
      <c r="J407" t="inlineStr">
        <is>
          <t>Project</t>
        </is>
      </c>
      <c r="K407" t="inlineStr">
        <is>
          <t>GG - Event Service</t>
        </is>
      </c>
      <c r="L407" t="inlineStr">
        <is>
          <t>HOK Philippine Kings League - Fall Season</t>
        </is>
      </c>
      <c r="M407" t="inlineStr">
        <is>
          <t>2025TEG-P0219</t>
        </is>
      </c>
      <c r="N407" t="inlineStr">
        <is>
          <t>Carla Andrea Calma Crespo</t>
        </is>
      </c>
      <c r="O407" t="inlineStr">
        <is>
          <t>202508280067-Carla Andrea Calma Crespo-费用报销 - 副本 - 副本 - 副本-2025-08-28 10:40:59</t>
        </is>
      </c>
      <c r="P407" t="inlineStr">
        <is>
          <t>YES</t>
        </is>
      </c>
      <c r="Q407"/>
      <c r="R407" t="inlineStr">
        <is>
          <t>YES</t>
        </is>
      </c>
      <c r="S407" t="inlineStr">
        <is>
          <t>Outsourced Audio Engineer</t>
        </is>
      </c>
      <c r="T407">
        <v>1</v>
      </c>
      <c r="U407">
        <v>59800</v>
      </c>
      <c r="V407" t="inlineStr">
        <is>
          <t>PHP</t>
        </is>
      </c>
      <c r="W407">
        <v>59800</v>
      </c>
      <c r="X407" s="2" t="str">
        <f>=HYPERLINK("https://www.larksuite.com/approval/admin/previewAttachment?key=PMgrDoIxEATgK810p_vgMpi_aRCgCHV7dhIE9vMkPCfNCyqOAjumEvB0F40aUPZoRhSCQfV67TtMz7XXuT6zclufx7XXm7NiDIRJlgB4-7uFpCoXfo5vAAAA__8", "2 attachment(s)")</f>
        <v>2 attachment(s)</v>
      </c>
      <c r="Y407" t="inlineStr">
        <is>
          <t>Bank Transfer</t>
        </is>
      </c>
      <c r="Z407" t="inlineStr">
        <is>
          <t>Joshua Vignesh U Narayan</t>
        </is>
      </c>
      <c r="AA407" t="inlineStr">
        <is>
          <t>09686047871</t>
        </is>
      </c>
      <c r="AB407" t="inlineStr">
        <is>
          <t>GCash</t>
        </is>
      </c>
      <c r="AC407" t="inlineStr">
        <is>
          <t>Celadon Park Condominium, Felix Huertas Rd .Santa Cruz Manila</t>
        </is>
      </c>
      <c r="AD407" s="4">
        <v>45894</v>
      </c>
      <c r="AE407" t="inlineStr">
        <is>
          <t>1st Payment - Sept. 12, 2025
2nd Payment - Sept. 26, 2025
3rd Payment - Oct. 10, 2025
Final Payment - Oct. 31, 2025</t>
        </is>
      </c>
      <c r="AF407" s="2"/>
      <c r="AG407" t="inlineStr">
        <is>
          <t>NzQyNTk5MTgyNzQ4MTg3MDM0MTo5OTc0OTQzRS1DNTkxLTQ3Q0EtOUUyRS1FNjJGODZBMDY5N0UtMTplMmVjY2M5YWUyM2E5MGNlYzM2ODhmMGE5NmRhM2IyODox</t>
        </is>
      </c>
      <c r="AH407" t="inlineStr">
        <is>
          <t>Joshua Vignesh U Narayan</t>
        </is>
      </c>
      <c r="AI407"/>
      <c r="AJ407"/>
      <c r="AK407"/>
    </row>
    <row r="408" ht="25.5" customHeight="1">
      <c r="A408" s="2" t="str">
        <f>=HYPERLINK("https://applink.larksuite.com/client/mini_program/open?appId=cli_9c7cc8a9a9edd105&amp;mode=appCenter&amp;path_pc=pc/pages/requested/index?instanceId=7548008248192876583&amp;source=bitable&amp;path=pages/detail/index?instanceId=7548008248192876583&amp;source=bitable", "202509090068")</f>
        <v>202509090068</v>
      </c>
      <c r="B408" t="inlineStr">
        <is>
          <t>Approved</t>
        </is>
      </c>
      <c r="C408" t="inlineStr">
        <is>
          <t>Procurement Order</t>
        </is>
      </c>
      <c r="D408" s="3">
        <v>45909.69929398148</v>
      </c>
      <c r="E408" s="3">
        <v>45911.50040509259</v>
      </c>
      <c r="F408" t="inlineStr">
        <is>
          <t>Fatima Kathleen M. FLores</t>
        </is>
      </c>
      <c r="G408" t="inlineStr">
        <is>
          <t>Procurement</t>
        </is>
      </c>
      <c r="H408"/>
      <c r="I408"/>
      <c r="J408" t="inlineStr">
        <is>
          <t>Project</t>
        </is>
      </c>
      <c r="K408" t="inlineStr">
        <is>
          <t>GG - Event Service</t>
        </is>
      </c>
      <c r="L408" t="inlineStr">
        <is>
          <t>HOK Philippine Kings League - Fall Season</t>
        </is>
      </c>
      <c r="M408" t="inlineStr">
        <is>
          <t>2025TEG-P0219</t>
        </is>
      </c>
      <c r="N408" t="inlineStr">
        <is>
          <t>Carla Andrea Calma Crespo</t>
        </is>
      </c>
      <c r="O408" t="inlineStr">
        <is>
          <t>202508280077-Carla Andrea Calma Crespo-费用报销 - 副本 - 副本 - 副本-2025-08-28 12:16:28</t>
        </is>
      </c>
      <c r="P408" t="inlineStr">
        <is>
          <t>YES</t>
        </is>
      </c>
      <c r="Q408"/>
      <c r="R408" t="inlineStr">
        <is>
          <t>YES</t>
        </is>
      </c>
      <c r="S408" t="inlineStr">
        <is>
          <t>Outsourced Assistant Technical Director</t>
        </is>
      </c>
      <c r="T408">
        <v>1</v>
      </c>
      <c r="U408">
        <v>51750</v>
      </c>
      <c r="V408" t="inlineStr">
        <is>
          <t>PHP</t>
        </is>
      </c>
      <c r="W408">
        <v>51750</v>
      </c>
      <c r="X408" s="2" t="str">
        <f>=HYPERLINK("https://www.larksuite.com/approval/admin/previewAttachment?key=PMgxCgIxFATQK838TDL_exmbXYIILoK4Vjm7YGH7RhIjO9soqBgFLnclkKFkRXr0bCsW7YJpau2PeX3e5_bmcfj8THGu87bN_cVejoCb1BIAL39vllQ1hJ_jGwAA__8", "2 attachment(s)")</f>
        <v>2 attachment(s)</v>
      </c>
      <c r="Y408" t="inlineStr">
        <is>
          <t>Bank Transfer</t>
        </is>
      </c>
      <c r="Z408" t="inlineStr">
        <is>
          <t>Kenneth Singian</t>
        </is>
      </c>
      <c r="AA408" t="inlineStr">
        <is>
          <t>09176559151</t>
        </is>
      </c>
      <c r="AB408" t="inlineStr">
        <is>
          <t>GCash</t>
        </is>
      </c>
      <c r="AC408" t="inlineStr">
        <is>
          <t>84 Montreal St. Cubao Quezon City</t>
        </is>
      </c>
      <c r="AD408" s="4">
        <v>45894</v>
      </c>
      <c r="AE408" t="inlineStr">
        <is>
          <t>1st Payment - Sept. 12, 2025
2nd Payment - Sept. 26, 2025
3rd Payment - Oct. 10, 2025
Final Payment - Oct. 31, 2025</t>
        </is>
      </c>
      <c r="AF408" s="2"/>
      <c r="AG408" t="inlineStr">
        <is>
          <t>NzQyNTk5MTgyNzQ4MTg3MDM0MTo0MkZEN0U3RS01RDNDLTQ5NTAtQUE3Ri03MzA0OTM4NTU4RkEtMTo4ZDdiOTE1ZWJiZjYwOThlZWFmMGE5NzFlYWE5NzgyNDox</t>
        </is>
      </c>
      <c r="AH408" t="inlineStr">
        <is>
          <t>Kenneth Singian</t>
        </is>
      </c>
      <c r="AI408"/>
      <c r="AJ408"/>
      <c r="AK408"/>
    </row>
    <row r="409" ht="25.5" customHeight="1">
      <c r="A409" s="2" t="str">
        <f>=HYPERLINK("https://applink.larksuite.com/client/mini_program/open?appId=cli_9c7cc8a9a9edd105&amp;mode=appCenter&amp;path_pc=pc/pages/requested/index?instanceId=7548017258854826015&amp;source=bitable&amp;path=pages/detail/index?instanceId=7548017258854826015&amp;source=bitable", "202509090070")</f>
        <v>202509090070</v>
      </c>
      <c r="B409" t="inlineStr">
        <is>
          <t>Approved</t>
        </is>
      </c>
      <c r="C409" t="inlineStr">
        <is>
          <t>Procurement Order</t>
        </is>
      </c>
      <c r="D409" s="3">
        <v>45909.72356481481</v>
      </c>
      <c r="E409" s="3">
        <v>45909.75451388889</v>
      </c>
      <c r="F409" t="inlineStr">
        <is>
          <t>Fatima Kathleen M. FLores</t>
        </is>
      </c>
      <c r="G409" t="inlineStr">
        <is>
          <t>Procurement</t>
        </is>
      </c>
      <c r="H409"/>
      <c r="I409"/>
      <c r="J409" t="inlineStr">
        <is>
          <t>Project</t>
        </is>
      </c>
      <c r="K409" t="inlineStr">
        <is>
          <t>GG - Event Service</t>
        </is>
      </c>
      <c r="L409" t="inlineStr">
        <is>
          <t>HOK Philippine Kings League - Fall Season</t>
        </is>
      </c>
      <c r="M409" t="inlineStr">
        <is>
          <t>2025TEG-P0219</t>
        </is>
      </c>
      <c r="N409" t="inlineStr">
        <is>
          <t>Carla Andrea Calma Crespo</t>
        </is>
      </c>
      <c r="O409" t="inlineStr">
        <is>
          <t>202508280079-Carla Andrea Calma Crespo-费用报销 - 副本 - 副本 - 副本-2025-08-28 12:23:53</t>
        </is>
      </c>
      <c r="P409" t="inlineStr">
        <is>
          <t>YES</t>
        </is>
      </c>
      <c r="Q409"/>
      <c r="R409" t="inlineStr">
        <is>
          <t>NO</t>
        </is>
      </c>
      <c r="S409" t="inlineStr">
        <is>
          <t>Outsourced Main CG Operator</t>
        </is>
      </c>
      <c r="T409">
        <v>1</v>
      </c>
      <c r="U409">
        <v>85000</v>
      </c>
      <c r="V409" t="inlineStr">
        <is>
          <t>PHP</t>
        </is>
      </c>
      <c r="W409">
        <v>85000</v>
      </c>
      <c r="X409" s="2" t="str">
        <f>=HYPERLINK("https://www.larksuite.com/approval/admin/previewAttachment?key=PMgxqoIxEATgK81sdjO77zKvSQgi_mkEwSJnFyxsv55Ez2DrBS9agUfhCcoiMzytg3HsUCqIop95rf_7NTlKe-_xWO9xXrex5pNRMoOae0sA_Pt5k7tXdcfX8QkAAP__", "2 attachment(s)")</f>
        <v>2 attachment(s)</v>
      </c>
      <c r="Y409" t="inlineStr">
        <is>
          <t>Bank Transfer</t>
        </is>
      </c>
      <c r="Z409" t="inlineStr">
        <is>
          <t>Jay Lawrence Rivera</t>
        </is>
      </c>
      <c r="AA409" t="inlineStr">
        <is>
          <t>0000049934381</t>
        </is>
      </c>
      <c r="AB409" t="inlineStr">
        <is>
          <t>Security Bank</t>
        </is>
      </c>
      <c r="AC409" t="inlineStr">
        <is>
          <t>023 Kasunduan St. Brgy. Commonwealth Quezon City</t>
        </is>
      </c>
      <c r="AD409" s="4">
        <v>45896</v>
      </c>
      <c r="AE409" t="inlineStr">
        <is>
          <t>1st Payment - Sept. 12, 2025
2nd Payment - Sept. 26, 2025
3rd Payment - Oct. 10, 2025
Final Payment - Nov. 7, 2025</t>
        </is>
      </c>
      <c r="AF409" s="2"/>
      <c r="AG409" t="inlineStr">
        <is>
          <t>NzQyNTk5MTgyNzQ4MTg3MDM0MTpFMzRFRTE2Qi0wRUU4LTRFN0QtQTg2Ni1CODE2QUZGRDdGQjYtMTpkMWUyMjBiYjBiMjhiMThmYTNmYmM0NzY5ZmI0MTgyNTox</t>
        </is>
      </c>
      <c r="AH409" t="inlineStr">
        <is>
          <t>Jay Lawrence Rivera</t>
        </is>
      </c>
      <c r="AI409"/>
      <c r="AJ409"/>
      <c r="AK409"/>
    </row>
    <row r="410" ht="25.5" customHeight="1">
      <c r="A410" s="2" t="str">
        <f>=HYPERLINK("https://applink.larksuite.com/client/mini_program/open?appId=cli_9c7cc8a9a9edd105&amp;mode=appCenter&amp;path_pc=pc/pages/requested/index?instanceId=7548019471899033632&amp;source=bitable&amp;path=pages/detail/index?instanceId=7548019471899033632&amp;source=bitable", "202509090071")</f>
        <v>202509090071</v>
      </c>
      <c r="B410" t="inlineStr">
        <is>
          <t>Approved</t>
        </is>
      </c>
      <c r="C410" t="inlineStr">
        <is>
          <t>Procurement Order</t>
        </is>
      </c>
      <c r="D410" s="3">
        <v>45909.729537037034</v>
      </c>
      <c r="E410" s="3">
        <v>45909.754016203704</v>
      </c>
      <c r="F410" t="inlineStr">
        <is>
          <t>Fatima Kathleen M. FLores</t>
        </is>
      </c>
      <c r="G410" t="inlineStr">
        <is>
          <t>Procurement</t>
        </is>
      </c>
      <c r="H410"/>
      <c r="I410"/>
      <c r="J410" t="inlineStr">
        <is>
          <t>Project</t>
        </is>
      </c>
      <c r="K410" t="inlineStr">
        <is>
          <t>GG - Event Service</t>
        </is>
      </c>
      <c r="L410" t="inlineStr">
        <is>
          <t>HOK Philippine Kings League - Fall Season</t>
        </is>
      </c>
      <c r="M410" t="inlineStr">
        <is>
          <t>2025TEG-P0219</t>
        </is>
      </c>
      <c r="N410" t="inlineStr">
        <is>
          <t>Carla Andrea Calma Crespo</t>
        </is>
      </c>
      <c r="O410" t="inlineStr">
        <is>
          <t>202508280087-Carla Andrea Calma Crespo-费用报销 - 副本 - 副本 - 副本-2025-08-28 14:36:55</t>
        </is>
      </c>
      <c r="P410" t="inlineStr">
        <is>
          <t>YES</t>
        </is>
      </c>
      <c r="Q410"/>
      <c r="R410" t="inlineStr">
        <is>
          <t>NO</t>
        </is>
      </c>
      <c r="S410" t="inlineStr">
        <is>
          <t>Outsourced Game Director</t>
        </is>
      </c>
      <c r="T410">
        <v>1</v>
      </c>
      <c r="U410">
        <v>45000</v>
      </c>
      <c r="V410" t="inlineStr">
        <is>
          <t>PHP</t>
        </is>
      </c>
      <c r="W410">
        <v>45000</v>
      </c>
      <c r="X410" s="2" t="str">
        <f>=HYPERLINK("https://www.larksuite.com/approval/admin/previewAttachment?key=PMgxCkIxEATQK83sTrIZL2Nj-AhGEQStcnbBwvb1QfTRmN2QGQZ3NQ3QKg4bmT1jx2aVUSxqz_txVqys9ZjPT960uN_XyzFfbK4IVEo5APD09yxJdhd-jm8AAAD__w", "2 attachment(s)")</f>
        <v>2 attachment(s)</v>
      </c>
      <c r="Y410" t="inlineStr">
        <is>
          <t>Bank Transfer</t>
        </is>
      </c>
      <c r="Z410" t="inlineStr">
        <is>
          <t>Avin Francis Melendres Kais</t>
        </is>
      </c>
      <c r="AA410" t="inlineStr">
        <is>
          <t>120602031077</t>
        </is>
      </c>
      <c r="AB410" t="inlineStr">
        <is>
          <t>Chinabank</t>
        </is>
      </c>
      <c r="AC410" t="inlineStr">
        <is>
          <t>1221 D Felix Huertas St. Sta.Cruz, Manila</t>
        </is>
      </c>
      <c r="AD410" s="4">
        <v>45894</v>
      </c>
      <c r="AE410" t="inlineStr">
        <is>
          <t>1st Payment - Sept. 12, 2025
2nd Payment - Sept. 26, 2025
3rd Payment - Oct. 10, 2025
Final Payment - Nov. 7, 2025</t>
        </is>
      </c>
      <c r="AF410" s="2"/>
      <c r="AG410" t="inlineStr">
        <is>
          <t>NzQyNTk5MTgyNzQ4MTg3MDM0MTpGMUU4QzlDNi05NzlGLTQ1OUYtQjIzRS1CNEIyMjQ4MUFERjItMTo2Nzc3NzM5N2M5OWZmMjhmOTA2YWQ0MDAxY2ZlZjk1Mjox</t>
        </is>
      </c>
      <c r="AH410" t="inlineStr">
        <is>
          <t>Avin Francis Melendres Kais</t>
        </is>
      </c>
      <c r="AI410"/>
      <c r="AJ410"/>
      <c r="AK410"/>
    </row>
    <row r="411" ht="25.5" customHeight="1">
      <c r="A411" s="2" t="str">
        <f>=HYPERLINK("https://applink.larksuite.com/client/mini_program/open?appId=cli_9c7cc8a9a9edd105&amp;mode=appCenter&amp;path_pc=pc/pages/requested/index?instanceId=7548021091344613414&amp;source=bitable&amp;path=pages/detail/index?instanceId=7548021091344613414&amp;source=bitable", "202509090072")</f>
        <v>202509090072</v>
      </c>
      <c r="B411" t="inlineStr">
        <is>
          <t>Approved</t>
        </is>
      </c>
      <c r="C411" t="inlineStr">
        <is>
          <t>Procurement Order</t>
        </is>
      </c>
      <c r="D411" s="3">
        <v>45909.73390046296</v>
      </c>
      <c r="E411" s="3">
        <v>45909.75309027778</v>
      </c>
      <c r="F411" t="inlineStr">
        <is>
          <t>Fatima Kathleen M. FLores</t>
        </is>
      </c>
      <c r="G411" t="inlineStr">
        <is>
          <t>Procurement</t>
        </is>
      </c>
      <c r="H411"/>
      <c r="I411"/>
      <c r="J411" t="inlineStr">
        <is>
          <t>Project</t>
        </is>
      </c>
      <c r="K411" t="inlineStr">
        <is>
          <t>GG - Event Service</t>
        </is>
      </c>
      <c r="L411" t="inlineStr">
        <is>
          <t>HOK Philippine Kings League - Fall Season</t>
        </is>
      </c>
      <c r="M411" t="inlineStr">
        <is>
          <t>2025TEG-P0219</t>
        </is>
      </c>
      <c r="N411" t="inlineStr">
        <is>
          <t>Carla Andrea Calma Crespo</t>
        </is>
      </c>
      <c r="O411" t="inlineStr">
        <is>
          <t>202508280094-Carla Andrea Calma Crespo-费用报销 - 副本 - 副本 - 副本-2025-08-28 15:02:18</t>
        </is>
      </c>
      <c r="P411" t="inlineStr">
        <is>
          <t>YES</t>
        </is>
      </c>
      <c r="Q411"/>
      <c r="R411" t="inlineStr">
        <is>
          <t>NO</t>
        </is>
      </c>
      <c r="S411" t="inlineStr">
        <is>
          <t>Outsourced Highlights / Replay Operator</t>
        </is>
      </c>
      <c r="T411">
        <v>1</v>
      </c>
      <c r="U411">
        <v>25000</v>
      </c>
      <c r="V411" t="inlineStr">
        <is>
          <t>PHP</t>
        </is>
      </c>
      <c r="W411">
        <v>25000</v>
      </c>
      <c r="X411" s="2" t="str">
        <f>=HYPERLINK("https://www.larksuite.com/approval/admin/previewAttachment?key=PMgxCgJBDAXQK_2f_EkmXsbGZRDERZBdsMjZBQvbF5OIOehRUNEK7ByaMKLoUtBFtTUzC8mkenuuq50H9gOfx3rtGKPP-21tb45KM6RLPgHw8ndPSVUh_BzfAAAA__8", "2 attachment(s)")</f>
        <v>2 attachment(s)</v>
      </c>
      <c r="Y411" t="inlineStr">
        <is>
          <t>Bank Transfer</t>
        </is>
      </c>
      <c r="Z411" t="inlineStr">
        <is>
          <t>Dannie Rizal N. Iremedio</t>
        </is>
      </c>
      <c r="AA411" t="inlineStr">
        <is>
          <t>0000075157652</t>
        </is>
      </c>
      <c r="AB411" t="inlineStr">
        <is>
          <t>Security Bank</t>
        </is>
      </c>
      <c r="AC411" t="inlineStr">
        <is>
          <t>790 P. Ocampo St , Brgy 719, Zone 78 Malate, Manila</t>
        </is>
      </c>
      <c r="AD411" s="4">
        <v>45894</v>
      </c>
      <c r="AE411" t="inlineStr">
        <is>
          <t>1st Payment - Sept. 12, 2025
2nd Payment - Sept. 26, 2025
3rd Payment - Oct. 10, 2025
Final Payment - Oct. 31, 2025</t>
        </is>
      </c>
      <c r="AF411" s="2"/>
      <c r="AG411" t="inlineStr">
        <is>
          <t>NzQyNTk5MTgyNzQ4MTg3MDM0MTo4Q0NBNzNDQi1ENjYwLTQwNzgtQTUwMS04RjM1RTU0RkM4Q0ItMTo3OWU2ZTUzYzRjMWI1ZGU2YTM3NWIzOTViMGNkNDAyNDox</t>
        </is>
      </c>
      <c r="AH411" t="inlineStr">
        <is>
          <t>Dannie Rizal N. Iremedio</t>
        </is>
      </c>
      <c r="AI411"/>
      <c r="AJ411"/>
      <c r="AK411"/>
    </row>
    <row r="412" ht="25.5" customHeight="1">
      <c r="A412" s="2" t="str">
        <f>=HYPERLINK("https://applink.larksuite.com/client/mini_program/open?appId=cli_9c7cc8a9a9edd105&amp;mode=appCenter&amp;path_pc=pc/pages/requested/index?instanceId=7548025305915506727&amp;source=bitable&amp;path=pages/detail/index?instanceId=7548025305915506727&amp;source=bitable", "202509090074")</f>
        <v>202509090074</v>
      </c>
      <c r="B412" t="inlineStr">
        <is>
          <t>Approved</t>
        </is>
      </c>
      <c r="C412" t="inlineStr">
        <is>
          <t>Procurement Order</t>
        </is>
      </c>
      <c r="D412" s="3">
        <v>45909.745254629626</v>
      </c>
      <c r="E412" s="3">
        <v>45910.67631944444</v>
      </c>
      <c r="F412" t="inlineStr">
        <is>
          <t>Fatima Kathleen M. FLores</t>
        </is>
      </c>
      <c r="G412" t="inlineStr">
        <is>
          <t>Procurement</t>
        </is>
      </c>
      <c r="H412"/>
      <c r="I412"/>
      <c r="J412" t="inlineStr">
        <is>
          <t>GAE</t>
        </is>
      </c>
      <c r="K412"/>
      <c r="L412"/>
      <c r="M412"/>
      <c r="N412"/>
      <c r="O412" t="inlineStr">
        <is>
          <t>202507280081-Yuki Berico-费用报销 - 副本 - 副本 - 副本-2025-07-28 08:14:04;202508260053-Stephen Alexis Capiral Lin-费用报销 - 副本 - 副本 - 副本-2025-08-26 05:14:35</t>
        </is>
      </c>
      <c r="P412"/>
      <c r="Q412" t="inlineStr">
        <is>
          <t>Sales</t>
        </is>
      </c>
      <c r="R412"/>
      <c r="S412" t="inlineStr">
        <is>
          <t>Business Card (Material: C2S#200/300gsm / Print: 2 Sides / Lamination: Matte)</t>
        </is>
      </c>
      <c r="T412">
        <v>5</v>
      </c>
      <c r="U412">
        <v>448</v>
      </c>
      <c r="V412" t="inlineStr">
        <is>
          <t>PHP</t>
        </is>
      </c>
      <c r="W412">
        <v>2240</v>
      </c>
      <c r="X412" s="2"/>
      <c r="Y412" t="inlineStr">
        <is>
          <t>Bank Transfer</t>
        </is>
      </c>
      <c r="Z412" t="inlineStr">
        <is>
          <t>Bescost Digital Marketing Services Inc.</t>
        </is>
      </c>
      <c r="AA412" t="inlineStr">
        <is>
          <t>00000-5674-8951</t>
        </is>
      </c>
      <c r="AB412" t="inlineStr">
        <is>
          <t>Security Bank</t>
        </is>
      </c>
      <c r="AC412" t="inlineStr">
        <is>
          <t>5105-A Sulok St., Brgy. Ugong, Valenzuela City</t>
        </is>
      </c>
      <c r="AD412" s="4">
        <v>45912</v>
      </c>
      <c r="AE412" t="inlineStr">
        <is>
          <t>100% Full Payment - 15 days upon complete delivery</t>
        </is>
      </c>
      <c r="AF412" s="2"/>
      <c r="AG412" t="inlineStr">
        <is>
          <t>NzQyNTk5MTgyNzQ4MTg3MDM0MTo4RDMzQTNCQy1BODU3LTQzQjgtOTIxQy03MkNFRkY1MDg4NzItMToxYTBlZTBhOGY0MmVhNmZjODE3ZmRlYzM2NTgwMjY5NDox</t>
        </is>
      </c>
      <c r="AH412" t="inlineStr">
        <is>
          <t>Bescost Digital Marketing Services Inc.</t>
        </is>
      </c>
      <c r="AI412"/>
      <c r="AJ412"/>
      <c r="AK412"/>
    </row>
    <row r="413" ht="25.5" customHeight="1">
      <c r="A413" s="2" t="str">
        <f>=HYPERLINK("https://applink.larksuite.com/client/mini_program/open?appId=cli_9c7cc8a9a9edd105&amp;mode=appCenter&amp;path_pc=pc/pages/requested/index?instanceId=7548025305915506727&amp;source=bitable&amp;path=pages/detail/index?instanceId=7548025305915506727&amp;source=bitable", "202509090074")</f>
        <v>202509090074</v>
      </c>
      <c r="B413" t="inlineStr">
        <is>
          <t>Approved</t>
        </is>
      </c>
      <c r="C413" t="inlineStr">
        <is>
          <t>Procurement Order</t>
        </is>
      </c>
      <c r="D413" s="3">
        <v>45909.745254629626</v>
      </c>
      <c r="E413" s="3">
        <v>45910.67631944444</v>
      </c>
      <c r="F413" t="inlineStr">
        <is>
          <t>Fatima Kathleen M. FLores</t>
        </is>
      </c>
      <c r="G413" t="inlineStr">
        <is>
          <t>Procurement</t>
        </is>
      </c>
      <c r="H413"/>
      <c r="I413"/>
      <c r="J413" t="inlineStr">
        <is>
          <t>GAE</t>
        </is>
      </c>
      <c r="K413"/>
      <c r="L413"/>
      <c r="M413"/>
      <c r="N413"/>
      <c r="O413" t="inlineStr">
        <is>
          <t>202507280081-Yuki Berico-费用报销 - 副本 - 副本 - 副本-2025-07-28 08:14:04;202508260053-Stephen Alexis Capiral Lin-费用报销 - 副本 - 副本 - 副本-2025-08-26 05:14:35</t>
        </is>
      </c>
      <c r="P413"/>
      <c r="Q413" t="inlineStr">
        <is>
          <t>Sales</t>
        </is>
      </c>
      <c r="R413"/>
      <c r="S413" t="inlineStr">
        <is>
          <t>Business Card (Material: C2S#200/300gsm / Print: 2 Sides / Lamination: Matte)</t>
        </is>
      </c>
      <c r="T413">
        <v>1</v>
      </c>
      <c r="U413">
        <v>448</v>
      </c>
      <c r="V413" t="inlineStr">
        <is>
          <t>PHP</t>
        </is>
      </c>
      <c r="W413">
        <v>448</v>
      </c>
      <c r="X413" s="2" t="str">
        <f>=HYPERLINK("https://www.larksuite.com/approval/admin/previewAttachment?key=PMgxCgJBDAXQK_2fSeZPvIzNhsVGEITdtcjZBQvbNxcxV3DMhCctwVb4gsVAJCMwZWprSglR9K7nfo_YSvU6r-tzFo4-Htteb0bKDBruYwHg7e9D7p45HT_nNwAA__8", "3 attachment(s)")</f>
        <v>3 attachment(s)</v>
      </c>
      <c r="Y413"/>
      <c r="Z413"/>
      <c r="AA413"/>
      <c r="AB413"/>
      <c r="AC413"/>
      <c r="AD413" s="4"/>
      <c r="AE413"/>
      <c r="AF413" s="2"/>
      <c r="AG413" t="inlineStr">
        <is>
          <t>NzQyNTk5MTgyNzQ4MTg3MDM0MTo4RDMzQTNCQy1BODU3LTQzQjgtOTIxQy03MkNFRkY1MDg4NzItMjowZmI4YTdjOWUxNzJmMjRhYzA1NTZkZDU3ODNkMmU3NDox</t>
        </is>
      </c>
      <c r="AH413"/>
      <c r="AI413"/>
      <c r="AJ413"/>
      <c r="AK413"/>
    </row>
    <row r="414" ht="25.5" customHeight="1">
      <c r="A414" s="2" t="str">
        <f>=HYPERLINK("https://applink.larksuite.com/client/mini_program/open?appId=cli_9c7cc8a9a9edd105&amp;mode=appCenter&amp;path_pc=pc/pages/requested/index?instanceId=7548028079210299430&amp;source=bitable&amp;path=pages/detail/index?instanceId=7548028079210299430&amp;source=bitable", "202509090076")</f>
        <v>202509090076</v>
      </c>
      <c r="B414" t="inlineStr">
        <is>
          <t>Approved</t>
        </is>
      </c>
      <c r="C414" t="inlineStr">
        <is>
          <t>Procurement Order</t>
        </is>
      </c>
      <c r="D414" s="3">
        <v>45909.75273148148</v>
      </c>
      <c r="E414" s="3">
        <v>45911.615960648145</v>
      </c>
      <c r="F414" t="inlineStr">
        <is>
          <t>Fatima Kathleen M. FLores</t>
        </is>
      </c>
      <c r="G414" t="inlineStr">
        <is>
          <t>Procurement</t>
        </is>
      </c>
      <c r="H414"/>
      <c r="I414"/>
      <c r="J414" t="inlineStr">
        <is>
          <t>Project</t>
        </is>
      </c>
      <c r="K414" t="inlineStr">
        <is>
          <t>GG - Event Service</t>
        </is>
      </c>
      <c r="L414" t="inlineStr">
        <is>
          <t>HOK Philippine Kings League - Fall Season</t>
        </is>
      </c>
      <c r="M414" t="inlineStr">
        <is>
          <t>2025TEG-P0219</t>
        </is>
      </c>
      <c r="N414" t="inlineStr">
        <is>
          <t>Carla Andrea Calma Crespo</t>
        </is>
      </c>
      <c r="O414" t="inlineStr">
        <is>
          <t>202508290031-Carla Andrea Calma Crespo-费用报销 - 副本 - 副本 - 副本-2025-08-29 05:15:05</t>
        </is>
      </c>
      <c r="P414" t="inlineStr">
        <is>
          <t>YES</t>
        </is>
      </c>
      <c r="Q414"/>
      <c r="R414" t="inlineStr">
        <is>
          <t>YES</t>
        </is>
      </c>
      <c r="S414" t="inlineStr">
        <is>
          <t>Outsourced Assistant FOH Technical Director</t>
        </is>
      </c>
      <c r="T414">
        <v>1</v>
      </c>
      <c r="U414">
        <v>88000</v>
      </c>
      <c r="V414" t="inlineStr">
        <is>
          <t>PHP</t>
        </is>
      </c>
      <c r="W414">
        <v>88000</v>
      </c>
      <c r="X414" s="2" t="str">
        <f>=HYPERLINK("https://www.larksuite.com/approval/admin/previewAttachment?key=PMg7jgIxEATQK1V_7Oray2xiawSCIUGQ9dmRCEjfLMOsYTGFlLlgzZEFL1BucCkD7W2kQKNl7_P431Fce91v-3FeX6vfl3Xspw3RHYzMKAD29_NgZkoz8XV8AgAA__8", "2 attachment(s)")</f>
        <v>2 attachment(s)</v>
      </c>
      <c r="Y414" t="inlineStr">
        <is>
          <t>Bank Transfer</t>
        </is>
      </c>
      <c r="Z414" t="inlineStr">
        <is>
          <t>Ricardo Cuevas</t>
        </is>
      </c>
      <c r="AA414" t="inlineStr">
        <is>
          <t>200039521228</t>
        </is>
      </c>
      <c r="AB414" t="inlineStr">
        <is>
          <t>EastWest Banking Corporation</t>
        </is>
      </c>
      <c r="AC414" t="inlineStr">
        <is>
          <t>130 F. Acab St. Caloocan City</t>
        </is>
      </c>
      <c r="AD414" s="4">
        <v>45905</v>
      </c>
      <c r="AE414" t="inlineStr">
        <is>
          <t>1st Payment - Sept. 12, 2025
2nd Payment - Sept. 26, 2025
3rd Payment - Oct. 10, 2025
Final Payment - Oct. 31, 2025</t>
        </is>
      </c>
      <c r="AF414" s="2"/>
      <c r="AG414" t="inlineStr">
        <is>
          <t>NzQyNTk5MTgyNzQ4MTg3MDM0MTo0NUJGRDBDRS0xMjM0LTRBQkMtOEMwMy1GNUIzRUNEQUNGOEMtMTo1MDY4NWRkOTQ4NDIyN2M2NWQ1ZGFhZDI3NjU3NmNjNDox</t>
        </is>
      </c>
      <c r="AH414" t="inlineStr">
        <is>
          <t>Ricardo Cuevas</t>
        </is>
      </c>
      <c r="AI414"/>
      <c r="AJ414"/>
      <c r="AK414"/>
    </row>
    <row r="415" ht="25.5" customHeight="1">
      <c r="A415" s="2" t="str">
        <f>=HYPERLINK("https://applink.larksuite.com/client/mini_program/open?appId=cli_9c7cc8a9a9edd105&amp;mode=appCenter&amp;path_pc=pc/pages/requested/index?instanceId=7548029689529532455&amp;source=bitable&amp;path=pages/detail/index?instanceId=7548029689529532455&amp;source=bitable", "202509090077")</f>
        <v>202509090077</v>
      </c>
      <c r="B415" t="inlineStr">
        <is>
          <t>Approved</t>
        </is>
      </c>
      <c r="C415" t="inlineStr">
        <is>
          <t>Procurement Order</t>
        </is>
      </c>
      <c r="D415" s="3">
        <v>45909.75707175926</v>
      </c>
      <c r="E415" s="3">
        <v>45910.67113425926</v>
      </c>
      <c r="F415" t="inlineStr">
        <is>
          <t>Fatima Kathleen M. FLores</t>
        </is>
      </c>
      <c r="G415" t="inlineStr">
        <is>
          <t>Procurement</t>
        </is>
      </c>
      <c r="H415"/>
      <c r="I415"/>
      <c r="J415" t="inlineStr">
        <is>
          <t>Project</t>
        </is>
      </c>
      <c r="K415" t="inlineStr">
        <is>
          <t>GG - Event Service</t>
        </is>
      </c>
      <c r="L415" t="inlineStr">
        <is>
          <t>HOK Philippine Kings League - Fall Season</t>
        </is>
      </c>
      <c r="M415" t="inlineStr">
        <is>
          <t>2025TEG-P0219</t>
        </is>
      </c>
      <c r="N415" t="inlineStr">
        <is>
          <t>Carla Andrea Calma Crespo</t>
        </is>
      </c>
      <c r="O415" t="inlineStr">
        <is>
          <t>202509010117-Carla Andrea Calma Crespo-费用报销 - 副本 - 副本 - 副本-2025-09-01 09:42:46</t>
        </is>
      </c>
      <c r="P415" t="inlineStr">
        <is>
          <t>YES</t>
        </is>
      </c>
      <c r="Q415"/>
      <c r="R415" t="inlineStr">
        <is>
          <t>NO</t>
        </is>
      </c>
      <c r="S415" t="inlineStr">
        <is>
          <t>Outsourced Video Editor</t>
        </is>
      </c>
      <c r="T415">
        <v>1</v>
      </c>
      <c r="U415">
        <v>40000</v>
      </c>
      <c r="V415" t="inlineStr">
        <is>
          <t>PHP</t>
        </is>
      </c>
      <c r="W415">
        <v>40000</v>
      </c>
      <c r="X415" s="2" t="str">
        <f>=HYPERLINK("https://www.larksuite.com/approval/admin/previewAttachment?key=PMhBCsJADAXQK_0kP5P5XsZNhyJSpSB0l7MLLty-MQ1jpsUQKHPBupITrjGVrgxnZntblVBWxl6v_X7ker55HufmcXH19dj29bFUuaOCjAnAbn-PIikN4uf4BgAA__8", "2 attachment(s)")</f>
        <v>2 attachment(s)</v>
      </c>
      <c r="Y415" t="inlineStr">
        <is>
          <t>Bank Transfer</t>
        </is>
      </c>
      <c r="Z415" t="inlineStr">
        <is>
          <t>Ziegfred Perez Domingo</t>
        </is>
      </c>
      <c r="AA415" t="inlineStr">
        <is>
          <t>8034 7580 0832</t>
        </is>
      </c>
      <c r="AB415" t="inlineStr">
        <is>
          <t>Maya Bank, Inc.</t>
        </is>
      </c>
      <c r="AC415" t="inlineStr">
        <is>
          <t>Block 4 Lot 12 San Lucas Street MWSS Compound Delpan Tondo, Manila</t>
        </is>
      </c>
      <c r="AD415" s="4">
        <v>45894</v>
      </c>
      <c r="AE415" t="inlineStr">
        <is>
          <t>1st Payment - Sept. 12, 2025
2nd Payment - Oct. 3, 2025
3rd Payment - Oct. 24, 2025
Final Payment - Nov. 14, 2025</t>
        </is>
      </c>
      <c r="AF415" s="2"/>
      <c r="AG415" t="inlineStr">
        <is>
          <t>NzQyNTk5MTgyNzQ4MTg3MDM0MTpGRTczQTYyQi1CM0JFLTQ1ODYtQkY2Qi0wMjc2MkFEQ0IwQ0EtMTo2ZDZmNDI1ODAxZmU5NDZiYTYwMmY0MDkzYWVmZmQ0NDox</t>
        </is>
      </c>
      <c r="AH415" t="inlineStr">
        <is>
          <t>Ziegfred Perez Domingo</t>
        </is>
      </c>
      <c r="AI415"/>
      <c r="AJ415"/>
      <c r="AK415"/>
    </row>
    <row r="416" ht="25.5" customHeight="1">
      <c r="A416" s="2" t="str">
        <f>=HYPERLINK("https://applink.larksuite.com/client/mini_program/open?appId=cli_9c7cc8a9a9edd105&amp;mode=appCenter&amp;path_pc=pc/pages/requested/index?instanceId=7548315526095732768&amp;source=bitable&amp;path=pages/detail/index?instanceId=7548315526095732768&amp;source=bitable", "202509100028")</f>
        <v>202509100028</v>
      </c>
      <c r="B416" t="inlineStr">
        <is>
          <t>Approved</t>
        </is>
      </c>
      <c r="C416" t="inlineStr">
        <is>
          <t>Procurement Order</t>
        </is>
      </c>
      <c r="D416" s="3">
        <v>45910.527337962965</v>
      </c>
      <c r="E416" s="3">
        <v>45910.67560185185</v>
      </c>
      <c r="F416" t="inlineStr">
        <is>
          <t>Fatima Kathleen M. FLores</t>
        </is>
      </c>
      <c r="G416" t="inlineStr">
        <is>
          <t>Procurement</t>
        </is>
      </c>
      <c r="H416"/>
      <c r="I416"/>
      <c r="J416" t="inlineStr">
        <is>
          <t>Project</t>
        </is>
      </c>
      <c r="K416" t="inlineStr">
        <is>
          <t>GG - Event Service</t>
        </is>
      </c>
      <c r="L416" t="inlineStr">
        <is>
          <t>HOK Philippine Kings League - Fall Season</t>
        </is>
      </c>
      <c r="M416" t="inlineStr">
        <is>
          <t>2025TEG-P0219</t>
        </is>
      </c>
      <c r="N416" t="inlineStr">
        <is>
          <t>Carla Andrea Calma Crespo</t>
        </is>
      </c>
      <c r="O416" t="inlineStr">
        <is>
          <t>202508270114-Carla Andrea Calma Crespo-费用报销 - 副本 - 副本 - 副本-2025-08-27 11:54:42</t>
        </is>
      </c>
      <c r="P416" t="inlineStr">
        <is>
          <t>YES</t>
        </is>
      </c>
      <c r="Q416"/>
      <c r="R416" t="inlineStr">
        <is>
          <t>NO</t>
        </is>
      </c>
      <c r="S416" t="inlineStr">
        <is>
          <t>Outsourced Player Liaison Officer</t>
        </is>
      </c>
      <c r="T416">
        <v>1</v>
      </c>
      <c r="U416">
        <v>20000</v>
      </c>
      <c r="V416" t="inlineStr">
        <is>
          <t>PHP</t>
        </is>
      </c>
      <c r="W416">
        <v>20000</v>
      </c>
      <c r="X416" s="2" t="str">
        <f>=HYPERLINK("https://www.larksuite.com/approval/admin/previewAttachment?key=PMg7CgJBEATQK1X1r7q9jMkOi8EKgmA2ZxcMTF81UZ30GsTQBtzKaGemFSblpuptm9JAFGOv53nPPJa9Lh1tqcv353Gc680cmUEe4Q2At7-7ImKmAj_HNwAA__8", "2 attachment(s)")</f>
        <v>2 attachment(s)</v>
      </c>
      <c r="Y416" t="inlineStr">
        <is>
          <t>Bank Transfer</t>
        </is>
      </c>
      <c r="Z416" t="inlineStr">
        <is>
          <t>Jenny Rose Ellema</t>
        </is>
      </c>
      <c r="AA416" t="inlineStr">
        <is>
          <t>1994 6425 352</t>
        </is>
      </c>
      <c r="AB416" t="inlineStr">
        <is>
          <t>SEABANK</t>
        </is>
      </c>
      <c r="AC416" t="inlineStr">
        <is>
          <t>Lakebreeze phase 1A Blk 1 Lot 18 Looc Calamba City</t>
        </is>
      </c>
      <c r="AD416" s="4">
        <v>45897</v>
      </c>
      <c r="AE416" t="inlineStr">
        <is>
          <t>1st Payment - Sept. 12, 2025
2nd Payment - Sept. 26, 2025
3rd Payment - Oct. 10, 2025
Final Payment - Oct. 31, 2025</t>
        </is>
      </c>
      <c r="AF416" s="2"/>
      <c r="AG416" t="inlineStr">
        <is>
          <t>NzQyNTk5MTgyNzQ4MTg3MDM0MTpCREZBQUY2Qy1BOEY0LTQxNUMtODMxMC1FMUE0MDc0NDMyNDYtMToyYWM3NTM0YjIyMDIxNzVjMmQ2OGU4ZGVhZDZiNWQ2Yjox</t>
        </is>
      </c>
      <c r="AH416" t="inlineStr">
        <is>
          <t>Jenny Rose Ellema</t>
        </is>
      </c>
      <c r="AI416"/>
      <c r="AJ416"/>
      <c r="AK416"/>
    </row>
    <row r="417" ht="25.5" customHeight="1">
      <c r="A417" s="2" t="str">
        <f>=HYPERLINK("https://applink.larksuite.com/client/mini_program/open?appId=cli_9c7cc8a9a9edd105&amp;mode=appCenter&amp;path_pc=pc/pages/requested/index?instanceId=7548316561703010336&amp;source=bitable&amp;path=pages/detail/index?instanceId=7548316561703010336&amp;source=bitable", "202509100030")</f>
        <v>202509100030</v>
      </c>
      <c r="B417" t="inlineStr">
        <is>
          <t>Approved</t>
        </is>
      </c>
      <c r="C417" t="inlineStr">
        <is>
          <t>Procurement Order</t>
        </is>
      </c>
      <c r="D417" s="3">
        <v>45910.530127314814</v>
      </c>
      <c r="E417" s="3">
        <v>45910.67465277778</v>
      </c>
      <c r="F417" t="inlineStr">
        <is>
          <t>Fatima Kathleen M. FLores</t>
        </is>
      </c>
      <c r="G417" t="inlineStr">
        <is>
          <t>Procurement</t>
        </is>
      </c>
      <c r="H417"/>
      <c r="I417"/>
      <c r="J417" t="inlineStr">
        <is>
          <t>Project</t>
        </is>
      </c>
      <c r="K417" t="inlineStr">
        <is>
          <t>GG - Event Service</t>
        </is>
      </c>
      <c r="L417" t="inlineStr">
        <is>
          <t>HOK Philippine Kings League - Fall Season</t>
        </is>
      </c>
      <c r="M417" t="inlineStr">
        <is>
          <t>2025TEG-P0219</t>
        </is>
      </c>
      <c r="N417" t="inlineStr">
        <is>
          <t>Carla Andrea Calma Crespo</t>
        </is>
      </c>
      <c r="O417" t="inlineStr">
        <is>
          <t>202508270114-Carla Andrea Calma Crespo-费用报销 - 副本 - 副本 - 副本-2025-08-27 11:54:42</t>
        </is>
      </c>
      <c r="P417" t="inlineStr">
        <is>
          <t>YES</t>
        </is>
      </c>
      <c r="Q417"/>
      <c r="R417" t="inlineStr">
        <is>
          <t>NO</t>
        </is>
      </c>
      <c r="S417" t="inlineStr">
        <is>
          <t>Outsourced Player Liaison Officer</t>
        </is>
      </c>
      <c r="T417">
        <v>1</v>
      </c>
      <c r="U417">
        <v>20000</v>
      </c>
      <c r="V417" t="inlineStr">
        <is>
          <t>PHP</t>
        </is>
      </c>
      <c r="W417">
        <v>20000</v>
      </c>
      <c r="X417" s="2" t="str">
        <f>=HYPERLINK("https://www.larksuite.com/approval/admin/previewAttachment?key=PMhBCgIxDAXQK_3fpPmNl3FjKTIyIogDLnJ2wcVsXwwiRqdFwpMtwVL3YYweFAyEWVQrSglR9Jr7un6-69i0zf31fEhex_225ps91Rpk7jYA8HK6yd0zw_F3_AIAAP__", "2 attachment(s)")</f>
        <v>2 attachment(s)</v>
      </c>
      <c r="Y417" t="inlineStr">
        <is>
          <t>Bank Transfer</t>
        </is>
      </c>
      <c r="Z417" t="inlineStr">
        <is>
          <t>Jharine Abestros</t>
        </is>
      </c>
      <c r="AA417" t="inlineStr">
        <is>
          <t>09622984624</t>
        </is>
      </c>
      <c r="AB417" t="inlineStr">
        <is>
          <t>GCash</t>
        </is>
      </c>
      <c r="AC417" t="inlineStr">
        <is>
          <t>Blk56 Lot11, kaypian, San Jose Del Monte, Bulacan</t>
        </is>
      </c>
      <c r="AD417" s="4">
        <v>45897</v>
      </c>
      <c r="AE417" t="inlineStr">
        <is>
          <t>1st Payment - Sept. 12, 2025
2nd Payment - Sept. 26, 2025
3rd Payment - Oct. 10, 2025
Final Payment - Oct. 31, 2025</t>
        </is>
      </c>
      <c r="AF417" s="2"/>
      <c r="AG417" t="inlineStr">
        <is>
          <t>NzQyNTk5MTgyNzQ4MTg3MDM0MTpFNEJBMjc3RC05RkE3LTQ1NzYtODAyRi1GNzg0NUEwQUIwODAtMToxMWQzOWY2Y2Y5Mjc2YWIzNzUwNTgwMTk3OGY0YWM1Nzox</t>
        </is>
      </c>
      <c r="AH417" t="inlineStr">
        <is>
          <t>Jharine Abestros</t>
        </is>
      </c>
      <c r="AI417"/>
      <c r="AJ417"/>
      <c r="AK417"/>
    </row>
    <row r="418" ht="25.5" customHeight="1">
      <c r="A418" s="2" t="str">
        <f>=HYPERLINK("https://applink.larksuite.com/client/mini_program/open?appId=cli_9c7cc8a9a9edd105&amp;mode=appCenter&amp;path_pc=pc/pages/requested/index?instanceId=7548317406347673632&amp;source=bitable&amp;path=pages/detail/index?instanceId=7548317406347673632&amp;source=bitable", "202509100031")</f>
        <v>202509100031</v>
      </c>
      <c r="B418" t="inlineStr">
        <is>
          <t>Approved</t>
        </is>
      </c>
      <c r="C418" t="inlineStr">
        <is>
          <t>Procurement Order</t>
        </is>
      </c>
      <c r="D418" s="3">
        <v>45910.53240740741</v>
      </c>
      <c r="E418" s="3">
        <v>45910.674363425926</v>
      </c>
      <c r="F418" t="inlineStr">
        <is>
          <t>Fatima Kathleen M. FLores</t>
        </is>
      </c>
      <c r="G418" t="inlineStr">
        <is>
          <t>Procurement</t>
        </is>
      </c>
      <c r="H418"/>
      <c r="I418"/>
      <c r="J418" t="inlineStr">
        <is>
          <t>Project</t>
        </is>
      </c>
      <c r="K418" t="inlineStr">
        <is>
          <t>GG - Event Service</t>
        </is>
      </c>
      <c r="L418" t="inlineStr">
        <is>
          <t>HOK Philippine Kings League - Fall Season</t>
        </is>
      </c>
      <c r="M418" t="inlineStr">
        <is>
          <t>2025TEG-P0219</t>
        </is>
      </c>
      <c r="N418" t="inlineStr">
        <is>
          <t>Carla Andrea Calma Crespo</t>
        </is>
      </c>
      <c r="O418" t="inlineStr">
        <is>
          <t>202508270114-Carla Andrea Calma Crespo-费用报销 - 副本 - 副本 - 副本-2025-08-27 11:54:42</t>
        </is>
      </c>
      <c r="P418" t="inlineStr">
        <is>
          <t>YES</t>
        </is>
      </c>
      <c r="Q418"/>
      <c r="R418" t="inlineStr">
        <is>
          <t>NO</t>
        </is>
      </c>
      <c r="S418" t="inlineStr">
        <is>
          <t>Outsourced Player Liaison Officer</t>
        </is>
      </c>
      <c r="T418">
        <v>1</v>
      </c>
      <c r="U418">
        <v>20000</v>
      </c>
      <c r="V418" t="inlineStr">
        <is>
          <t>PHP</t>
        </is>
      </c>
      <c r="W418">
        <v>20000</v>
      </c>
      <c r="X418" s="2" t="str">
        <f>=HYPERLINK("https://www.larksuite.com/approval/admin/previewAttachment?key=PMgxCgJBDAXQK_0kf_InXsbGZRGdtRHEJmcXLLZ9OQ05h0UWWOYFaw3OMBEZVCoyvL1NKshk7O3Yr_QVx_fxXIrhr9Wf-23f3jZK7lCQMQHY5fQQyaok_o5fAAAA__8", "2 attachment(s)")</f>
        <v>2 attachment(s)</v>
      </c>
      <c r="Y418" t="inlineStr">
        <is>
          <t>Bank Transfer</t>
        </is>
      </c>
      <c r="Z418" t="inlineStr">
        <is>
          <t>Joana Mariz Pereda</t>
        </is>
      </c>
      <c r="AA418" t="inlineStr">
        <is>
          <t>0000071440672</t>
        </is>
      </c>
      <c r="AB418" t="inlineStr">
        <is>
          <t>Security Bank</t>
        </is>
      </c>
      <c r="AC418" t="inlineStr">
        <is>
          <t>Building 10, Urban Deca Homes Manila</t>
        </is>
      </c>
      <c r="AD418" s="4">
        <v>45897</v>
      </c>
      <c r="AE418" t="inlineStr">
        <is>
          <t>1st Payment - Sept. 12, 2025
2nd Payment - Sept. 26, 2025
3rd Payment - Oct. 10, 2025
Final Payment - Oct. 31, 2025</t>
        </is>
      </c>
      <c r="AF418" s="2"/>
      <c r="AG418" t="inlineStr">
        <is>
          <t>NzQyNTk5MTgyNzQ4MTg3MDM0MToyNTNENUVCMy0yNUIwLTQzNUEtQkUwNy02QzgyN0E1QzJDMzgtMTozYmYwYjE0YjBjZTQyODhhMjk0OGFlMDUwMDlkNTQ4NTox</t>
        </is>
      </c>
      <c r="AH418" t="inlineStr">
        <is>
          <t>Joana Mariz Pereda</t>
        </is>
      </c>
      <c r="AI418"/>
      <c r="AJ418"/>
      <c r="AK418"/>
    </row>
    <row r="419" ht="25.5" customHeight="1">
      <c r="A419" s="2" t="str">
        <f>=HYPERLINK("https://applink.larksuite.com/client/mini_program/open?appId=cli_9c7cc8a9a9edd105&amp;mode=appCenter&amp;path_pc=pc/pages/requested/index?instanceId=7548318642937593895&amp;source=bitable&amp;path=pages/detail/index?instanceId=7548318642937593895&amp;source=bitable", "202509100033")</f>
        <v>202509100033</v>
      </c>
      <c r="B419" t="inlineStr">
        <is>
          <t>Approved</t>
        </is>
      </c>
      <c r="C419" t="inlineStr">
        <is>
          <t>Procurement Order</t>
        </is>
      </c>
      <c r="D419" s="3">
        <v>45910.53574074074</v>
      </c>
      <c r="E419" s="3">
        <v>45910.6740162037</v>
      </c>
      <c r="F419" t="inlineStr">
        <is>
          <t>Fatima Kathleen M. FLores</t>
        </is>
      </c>
      <c r="G419" t="inlineStr">
        <is>
          <t>Procurement</t>
        </is>
      </c>
      <c r="H419"/>
      <c r="I419"/>
      <c r="J419" t="inlineStr">
        <is>
          <t>Project</t>
        </is>
      </c>
      <c r="K419" t="inlineStr">
        <is>
          <t>GG - Event Service</t>
        </is>
      </c>
      <c r="L419" t="inlineStr">
        <is>
          <t>HOK Philippine Kings League - Fall Season</t>
        </is>
      </c>
      <c r="M419" t="inlineStr">
        <is>
          <t>2025TEG-P0219</t>
        </is>
      </c>
      <c r="N419" t="inlineStr">
        <is>
          <t>Carla Andrea Calma Crespo</t>
        </is>
      </c>
      <c r="O419" t="inlineStr">
        <is>
          <t>202508270114-Carla Andrea Calma Crespo-费用报销 - 副本 - 副本 - 副本-2025-08-27 11:54:42</t>
        </is>
      </c>
      <c r="P419" t="inlineStr">
        <is>
          <t>YES</t>
        </is>
      </c>
      <c r="Q419"/>
      <c r="R419" t="inlineStr">
        <is>
          <t>NO</t>
        </is>
      </c>
      <c r="S419" t="inlineStr">
        <is>
          <t>Outsourced Player Liaison Officer</t>
        </is>
      </c>
      <c r="T419">
        <v>1</v>
      </c>
      <c r="U419">
        <v>20000</v>
      </c>
      <c r="V419" t="inlineStr">
        <is>
          <t>PHP</t>
        </is>
      </c>
      <c r="W419">
        <v>20000</v>
      </c>
      <c r="X419" s="2" t="str">
        <f>=HYPERLINK("https://www.larksuite.com/approval/admin/previewAttachment?key=PMgxCsJQEATQK-38nf2z42VsEoIEUgmixT-7YGH7ZiNmF3I6aAwHloqd6MnhVDnbtcaC5BAErv067j6vovTZtlNvnOv12I79ibLGCCWZHRG4_T1F0p6Mn8c3AAD__w", "2 attachment(s)")</f>
        <v>2 attachment(s)</v>
      </c>
      <c r="Y419" t="inlineStr">
        <is>
          <t>Bank Transfer</t>
        </is>
      </c>
      <c r="Z419" t="inlineStr">
        <is>
          <t>Anne Chrisbell M. Regondola</t>
        </is>
      </c>
      <c r="AA419" t="inlineStr">
        <is>
          <t>09497333227</t>
        </is>
      </c>
      <c r="AB419" t="inlineStr">
        <is>
          <t>GCash</t>
        </is>
      </c>
      <c r="AC419" t="inlineStr">
        <is>
          <t>Blk, 87, Lot 16, CHE-2, Bgry. Dalig, Teresa, Rizal</t>
        </is>
      </c>
      <c r="AD419" s="4">
        <v>45897</v>
      </c>
      <c r="AE419" t="inlineStr">
        <is>
          <t>1st Payment - Sept. 12, 2025
2nd Payment - Sept. 26, 2025
3rd Payment - Oct. 10, 2025
Final Payment - Oct. 31, 2025</t>
        </is>
      </c>
      <c r="AF419" s="2"/>
      <c r="AG419" t="inlineStr">
        <is>
          <t>NzQyNTk5MTgyNzQ4MTg3MDM0MTowOUMyMUVEMi00RDBGLTQxMTQtODVBNi01ODAwRkFFNjU0QTgtMTpmZGFiMTI1MTY1NTYzNjBjNWNlYTcxM2NlODVhZjZmNTox</t>
        </is>
      </c>
      <c r="AH419" t="inlineStr">
        <is>
          <t>Anne Chrisbell M. Regondola</t>
        </is>
      </c>
      <c r="AI419"/>
      <c r="AJ419"/>
      <c r="AK419"/>
    </row>
    <row r="420" ht="25.5" customHeight="1">
      <c r="A420" s="2" t="str">
        <f>=HYPERLINK("https://applink.larksuite.com/client/mini_program/open?appId=cli_9c7cc8a9a9edd105&amp;mode=appCenter&amp;path_pc=pc/pages/requested/index?instanceId=7548324755254853664&amp;source=bitable&amp;path=pages/detail/index?instanceId=7548324755254853664&amp;source=bitable", "202509100036")</f>
        <v>202509100036</v>
      </c>
      <c r="B420" t="inlineStr">
        <is>
          <t>Approved</t>
        </is>
      </c>
      <c r="C420" t="inlineStr">
        <is>
          <t>Procurement Order</t>
        </is>
      </c>
      <c r="D420" s="3">
        <v>45910.55221064815</v>
      </c>
      <c r="E420" s="3">
        <v>45910.66050925926</v>
      </c>
      <c r="F420" t="inlineStr">
        <is>
          <t>Fatima Kathleen M. FLores</t>
        </is>
      </c>
      <c r="G420" t="inlineStr">
        <is>
          <t>Procurement</t>
        </is>
      </c>
      <c r="H420"/>
      <c r="I420"/>
      <c r="J420" t="inlineStr">
        <is>
          <t>Project</t>
        </is>
      </c>
      <c r="K420" t="inlineStr">
        <is>
          <t>PDEI - Event Service</t>
        </is>
      </c>
      <c r="L420" t="inlineStr">
        <is>
          <t>MPL PH S16 - Regular Season</t>
        </is>
      </c>
      <c r="M420" t="inlineStr">
        <is>
          <t>2025TEG-P0214</t>
        </is>
      </c>
      <c r="N420" t="inlineStr">
        <is>
          <t>Jessica Jane Lor Felicilda</t>
        </is>
      </c>
      <c r="O420" t="inlineStr">
        <is>
          <t>202509100022-Jessica Jane Lor Felicilda-费用报销 - 副本 - 副本 - 副本-2025-09-10 03:26:17</t>
        </is>
      </c>
      <c r="P420" t="inlineStr">
        <is>
          <t>NO</t>
        </is>
      </c>
      <c r="Q420"/>
      <c r="R420" t="inlineStr">
        <is>
          <t>NO</t>
        </is>
      </c>
      <c r="S420" t="inlineStr">
        <is>
          <t>Outsourced Stylist (2 Hosts)</t>
        </is>
      </c>
      <c r="T420">
        <v>1</v>
      </c>
      <c r="U420">
        <v>90048</v>
      </c>
      <c r="V420" t="inlineStr">
        <is>
          <t>PHP</t>
        </is>
      </c>
      <c r="W420">
        <v>90048</v>
      </c>
      <c r="X420" s="2" t="str">
        <f>=HYPERLINK("https://www.larksuite.com/approval/admin/previewAttachment?key=PMgxDgJBCAXQK33gA4OXsXEy0Y1bGTdacHYTi21fDEEMF4sCS7Qgnc5hynRX53CLYGtLZiElhT33dX1_17HtD_349pzGPu63NV_ilapII20AkMvpliSrgvg7fgEAAP__", "2 attachment(s)")</f>
        <v>2 attachment(s)</v>
      </c>
      <c r="Y420" t="inlineStr">
        <is>
          <t>Bank Transfer</t>
        </is>
      </c>
      <c r="Z420" t="inlineStr">
        <is>
          <t>Escapeboss Marketing Campaign Services</t>
        </is>
      </c>
      <c r="AA420" t="inlineStr">
        <is>
          <t>013758000381</t>
        </is>
      </c>
      <c r="AB420" t="inlineStr">
        <is>
          <t>BDO</t>
        </is>
      </c>
      <c r="AC420" t="inlineStr">
        <is>
          <t>Unit C Blk 4 Lot 17 PH 4 Boxing St., Villa Olympia Chrysanthemum, San Pedro, Laguna</t>
        </is>
      </c>
      <c r="AD420" s="4">
        <v>45905</v>
      </c>
      <c r="AE420" t="inlineStr">
        <is>
          <t>1st Payment - Sept. 12, 2025
2nd Payment - Sept. 26, 2025
3rd Payment - Oct. 10, 2025
Final Payment - Oct. 24, 2025</t>
        </is>
      </c>
      <c r="AF420" s="2" t="str">
        <f>=HYPERLINK("https://www.larksuite.com/approval/admin/previewAttachment?key=TMg7DsJADATQK3nW4x-XoWG1gohUiAgKnx2JKu3zhHga1EtYGCXoMKYOhtkwpqk7ezQiSgIB9tzX9f1dx7Y_xse251T2cb-t-YKnurCMRIkILicHpFJd_y6_AAAA__8", "2 attachment(s)")</f>
        <v>2 attachment(s)</v>
      </c>
      <c r="AG420" t="inlineStr">
        <is>
          <t>NzQyNTk5MTgyNzQ4MTg3MDM0MTpDRjA5N0Q4Ni0wRTg4LTQ4NTEtQTU1OS0zRDZFODQ5QkYyRDEtMTplODA0MTQ3ZDhmMjgwODAyNzNhMTgxNmNiYTBmZjE5ZDox</t>
        </is>
      </c>
      <c r="AH420" t="inlineStr">
        <is>
          <t>Escapeboss Marketing Campaign Services</t>
        </is>
      </c>
      <c r="AI420"/>
      <c r="AJ420"/>
      <c r="AK420"/>
    </row>
    <row r="421" ht="25.5" customHeight="1">
      <c r="A421" s="2" t="str">
        <f>=HYPERLINK("https://applink.larksuite.com/client/mini_program/open?appId=cli_9c7cc8a9a9edd105&amp;mode=appCenter&amp;path_pc=pc/pages/requested/index?instanceId=7548343418414448679&amp;source=bitable&amp;path=pages/detail/index?instanceId=7548343418414448679&amp;source=bitable", "202509100044")</f>
        <v>202509100044</v>
      </c>
      <c r="B421" t="inlineStr">
        <is>
          <t>Approved</t>
        </is>
      </c>
      <c r="C421" t="inlineStr">
        <is>
          <t>Procurement Order</t>
        </is>
      </c>
      <c r="D421" s="3">
        <v>45910.6025</v>
      </c>
      <c r="E421" s="3">
        <v>45911.48032407407</v>
      </c>
      <c r="F421" t="inlineStr">
        <is>
          <t>Fatima Kathleen M. FLores</t>
        </is>
      </c>
      <c r="G421" t="inlineStr">
        <is>
          <t>Procurement</t>
        </is>
      </c>
      <c r="H421"/>
      <c r="I421"/>
      <c r="J421" t="inlineStr">
        <is>
          <t>Project</t>
        </is>
      </c>
      <c r="K421" t="inlineStr">
        <is>
          <t>GG - Event Service</t>
        </is>
      </c>
      <c r="L421" t="inlineStr">
        <is>
          <t>HOK Philippine Kings League - Fall Season</t>
        </is>
      </c>
      <c r="M421" t="inlineStr">
        <is>
          <t>2025TEG-P0219</t>
        </is>
      </c>
      <c r="N421" t="inlineStr">
        <is>
          <t>Carla Andrea Calma Crespo</t>
        </is>
      </c>
      <c r="O421" t="inlineStr">
        <is>
          <t>202508280082-Carla Andrea Calma Crespo-费用报销 - 副本 - 副本 - 副本-2025-08-28 12:36:50</t>
        </is>
      </c>
      <c r="P421" t="inlineStr">
        <is>
          <t>YES</t>
        </is>
      </c>
      <c r="Q421"/>
      <c r="R421" t="inlineStr">
        <is>
          <t>NO</t>
        </is>
      </c>
      <c r="S421" t="inlineStr">
        <is>
          <t>Outsourced LED Operator</t>
        </is>
      </c>
      <c r="T421">
        <v>1</v>
      </c>
      <c r="U421">
        <v>28500</v>
      </c>
      <c r="V421" t="inlineStr">
        <is>
          <t>PHP</t>
        </is>
      </c>
      <c r="W421">
        <v>28500</v>
      </c>
      <c r="X421" s="2" t="str">
        <f>=HYPERLINK("https://www.larksuite.com/approval/admin/previewAttachment?key=PMg7isNAEATQK1VNV__2MptICGMYJQZnfXaDA6cviohyWjTUXA1OuspkYomSKrJnDTMbyaTPua__fm6XO2_fPHTP-3Fc54veuRbSJCsA_Pu5paTuEL6OTwAAAP__", "2 attachment(s)")</f>
        <v>2 attachment(s)</v>
      </c>
      <c r="Y421" t="inlineStr">
        <is>
          <t>Bank Transfer</t>
        </is>
      </c>
      <c r="Z421" t="inlineStr">
        <is>
          <t>Emir Ryan Concepcion</t>
        </is>
      </c>
      <c r="AA421" t="inlineStr">
        <is>
          <t>3179710829</t>
        </is>
      </c>
      <c r="AB421" t="inlineStr">
        <is>
          <t>BPI</t>
        </is>
      </c>
      <c r="AC421" t="inlineStr">
        <is>
          <t>116 J.Molina Corner Blue Bird Street, Strip 70 Village, Concepcion Uno, Marikina City</t>
        </is>
      </c>
      <c r="AD421" s="4">
        <v>45898</v>
      </c>
      <c r="AE421" t="inlineStr">
        <is>
          <t>1st Payment - Sept. 26, 2025
2nd Payment - Oct. 10, 2025
Final Payment - Oct. 24, 2025</t>
        </is>
      </c>
      <c r="AF421" s="2"/>
      <c r="AG421" t="inlineStr">
        <is>
          <t>NzQyNTk5MTgyNzQ4MTg3MDM0MTpFNUU0QUU4Ni1BQzE3LTQ3NDgtQUY3My1EOEJCQTBBM0MyODYtMTpmZjBkNjMyNzIwMDA4NzhhZWM0NzdlMDhjMDI4Njg4Zjox</t>
        </is>
      </c>
      <c r="AH421" t="inlineStr">
        <is>
          <t>Emir Ryan Concepcion</t>
        </is>
      </c>
      <c r="AI421"/>
      <c r="AJ421"/>
      <c r="AK421"/>
    </row>
    <row r="422" ht="25.5" customHeight="1">
      <c r="A422" s="2" t="str">
        <f>=HYPERLINK("https://applink.larksuite.com/client/mini_program/open?appId=cli_9c7cc8a9a9edd105&amp;mode=appCenter&amp;path_pc=pc/pages/requested/index?instanceId=7548345340634742822&amp;source=bitable&amp;path=pages/detail/index?instanceId=7548345340634742822&amp;source=bitable", "202509100045")</f>
        <v>202509100045</v>
      </c>
      <c r="B422" t="inlineStr">
        <is>
          <t>Approved</t>
        </is>
      </c>
      <c r="C422" t="inlineStr">
        <is>
          <t>Procurement Order</t>
        </is>
      </c>
      <c r="D422" s="3">
        <v>45910.60768518518</v>
      </c>
      <c r="E422" s="3">
        <v>45911.50481481481</v>
      </c>
      <c r="F422" t="inlineStr">
        <is>
          <t>Fatima Kathleen M. FLores</t>
        </is>
      </c>
      <c r="G422" t="inlineStr">
        <is>
          <t>Procurement</t>
        </is>
      </c>
      <c r="H422"/>
      <c r="I422"/>
      <c r="J422" t="inlineStr">
        <is>
          <t>Project</t>
        </is>
      </c>
      <c r="K422" t="inlineStr">
        <is>
          <t>GG - Event Service</t>
        </is>
      </c>
      <c r="L422" t="inlineStr">
        <is>
          <t>HOK Philippine Kings League - Fall Season</t>
        </is>
      </c>
      <c r="M422" t="inlineStr">
        <is>
          <t>2025TEG-P0219</t>
        </is>
      </c>
      <c r="N422" t="inlineStr">
        <is>
          <t>Carla Andrea Calma Crespo</t>
        </is>
      </c>
      <c r="O422" t="inlineStr">
        <is>
          <t>202508280083-Carla Andrea Calma Crespo-费用报销 - 副本 - 副本 - 副本-2025-08-28 12:45:51</t>
        </is>
      </c>
      <c r="P422" t="inlineStr">
        <is>
          <t>YES</t>
        </is>
      </c>
      <c r="Q422"/>
      <c r="R422" t="inlineStr">
        <is>
          <t>YES</t>
        </is>
      </c>
      <c r="S422" t="inlineStr">
        <is>
          <t>Outsourced Lead Stream Engineer</t>
        </is>
      </c>
      <c r="T422">
        <v>1</v>
      </c>
      <c r="U422">
        <v>30000</v>
      </c>
      <c r="V422" t="inlineStr">
        <is>
          <t>PHP</t>
        </is>
      </c>
      <c r="W422">
        <v>30000</v>
      </c>
      <c r="X422" s="2" t="str">
        <f>=HYPERLINK("https://www.larksuite.com/approval/admin/previewAttachment?key=PMgxCsNADATAL62kvVspn0njw6QxGAIhLvT2QAq3M9Mwc1jMAsu8YK3BDI4gZlD0dG9vkwoy2eh17M8Vqe8CrzqP7Tr789r29bZRcoeCjARgj9tDJKsm8Xf8AgAA__8", "2 attachment(s)")</f>
        <v>2 attachment(s)</v>
      </c>
      <c r="Y422" t="inlineStr">
        <is>
          <t>Bank Transfer</t>
        </is>
      </c>
      <c r="Z422" t="inlineStr">
        <is>
          <t>John Mark Ramos</t>
        </is>
      </c>
      <c r="AA422" t="inlineStr">
        <is>
          <t>0000007591426151</t>
        </is>
      </c>
      <c r="AB422" t="inlineStr">
        <is>
          <t>RCBC</t>
        </is>
      </c>
      <c r="AC422" t="inlineStr">
        <is>
          <t>Camella St. Patdu Compound South Green Heights, Putatan Muntinlupa City</t>
        </is>
      </c>
      <c r="AD422" s="4">
        <v>45898</v>
      </c>
      <c r="AE422" t="inlineStr">
        <is>
          <t>1st Payment - Sept. 26, 2025
2nd Payment - Oct. 10, 2025
Final Payment - Oct. 24, 2025</t>
        </is>
      </c>
      <c r="AF422" s="2"/>
      <c r="AG422" t="inlineStr">
        <is>
          <t>NzQyNTk5MTgyNzQ4MTg3MDM0MTo1NjQzQUMxNy1EMTkwLTREQzktODYzRS0zODZGMzIzMzREQjYtMTo4ODU3OTg5NWU2ODAwOWFkN2EwZTc1NjI5NzgwOTFmMDox</t>
        </is>
      </c>
      <c r="AH422" t="inlineStr">
        <is>
          <t>John Mark Ramos</t>
        </is>
      </c>
      <c r="AI422"/>
      <c r="AJ422"/>
      <c r="AK422"/>
    </row>
    <row r="423" ht="25.5" customHeight="1">
      <c r="A423" s="2" t="str">
        <f>=HYPERLINK("https://applink.larksuite.com/client/mini_program/open?appId=cli_9c7cc8a9a9edd105&amp;mode=appCenter&amp;path_pc=pc/pages/requested/index?instanceId=7548347808529563679&amp;source=bitable&amp;path=pages/detail/index?instanceId=7548347808529563679&amp;source=bitable", "202509100048")</f>
        <v>202509100048</v>
      </c>
      <c r="B423" t="inlineStr">
        <is>
          <t>Approved</t>
        </is>
      </c>
      <c r="C423" t="inlineStr">
        <is>
          <t>Procurement Order</t>
        </is>
      </c>
      <c r="D423" s="3">
        <v>45910.614328703705</v>
      </c>
      <c r="E423" s="3">
        <v>45911.47945601852</v>
      </c>
      <c r="F423" t="inlineStr">
        <is>
          <t>Fatima Kathleen M. FLores</t>
        </is>
      </c>
      <c r="G423" t="inlineStr">
        <is>
          <t>Procurement</t>
        </is>
      </c>
      <c r="H423"/>
      <c r="I423"/>
      <c r="J423" t="inlineStr">
        <is>
          <t>Project</t>
        </is>
      </c>
      <c r="K423" t="inlineStr">
        <is>
          <t>GG - Event Service</t>
        </is>
      </c>
      <c r="L423" t="inlineStr">
        <is>
          <t>HOK Philippine Kings League - Fall Season</t>
        </is>
      </c>
      <c r="M423" t="inlineStr">
        <is>
          <t>2025TEG-P0219</t>
        </is>
      </c>
      <c r="N423" t="inlineStr">
        <is>
          <t>Carla Andrea Calma Crespo</t>
        </is>
      </c>
      <c r="O423" t="inlineStr">
        <is>
          <t>202508280084-Carla Andrea Calma Crespo-费用报销 - 副本 - 副本 - 副本-2025-08-28 13:52:24</t>
        </is>
      </c>
      <c r="P423" t="inlineStr">
        <is>
          <t>YES</t>
        </is>
      </c>
      <c r="Q423"/>
      <c r="R423" t="inlineStr">
        <is>
          <t>NO</t>
        </is>
      </c>
      <c r="S423" t="inlineStr">
        <is>
          <t>Outsourced Stream Moderator</t>
        </is>
      </c>
      <c r="T423">
        <v>1</v>
      </c>
      <c r="U423">
        <v>20000</v>
      </c>
      <c r="V423" t="inlineStr">
        <is>
          <t>PHP</t>
        </is>
      </c>
      <c r="W423">
        <v>20000</v>
      </c>
      <c r="X423" s="2" t="str">
        <f>=HYPERLINK("https://www.larksuite.com/approval/admin/previewAttachment?key=PMgxjsJQDATQK43tscfey2yTKKIgFdKn-mdHoqB91YbqtKgBx3xgW8kOqtHpkxWl2b5NGshkuc_7-m8ut5trnp7vQ3s9jut8WY7coSCjAdjfz0MkZ4r4Oj4BAAD__w", "2 attachment(s)")</f>
        <v>2 attachment(s)</v>
      </c>
      <c r="Y423" t="inlineStr">
        <is>
          <t>Bank Transfer</t>
        </is>
      </c>
      <c r="Z423" t="inlineStr">
        <is>
          <t>Angelina Rose Ancheta</t>
        </is>
      </c>
      <c r="AA423" t="inlineStr">
        <is>
          <t>11048191185</t>
        </is>
      </c>
      <c r="AB423" t="inlineStr">
        <is>
          <t>Seabank</t>
        </is>
      </c>
      <c r="AC423" t="inlineStr">
        <is>
          <t>512 Padre Burgos St. Brgy. Poblacion Mandaluyong City</t>
        </is>
      </c>
      <c r="AD423" s="4">
        <v>45895</v>
      </c>
      <c r="AE423" t="inlineStr">
        <is>
          <t>1st Payment - Sept. 26, 2025
2nd Payment - Oct. 10, 2025
Final Payment - Oct. 24, 2025</t>
        </is>
      </c>
      <c r="AF423" s="2"/>
      <c r="AG423" t="inlineStr">
        <is>
          <t>NzQyNTk5MTgyNzQ4MTg3MDM0MTo4RDYzOUZGMi1GRDg3LTQyMjgtQUExMi01MUU0NDI4MDM1MjUtMTpjZmM1ZmZlZTI3YjE1MmY5Y2M3ODA1NjM4OGVlOTVkOTox</t>
        </is>
      </c>
      <c r="AH423" t="inlineStr">
        <is>
          <t>Angelina Rose Ancheta</t>
        </is>
      </c>
      <c r="AI423"/>
      <c r="AJ423"/>
      <c r="AK423"/>
    </row>
    <row r="424" ht="25.5" customHeight="1">
      <c r="A424" s="2" t="str">
        <f>=HYPERLINK("https://applink.larksuite.com/client/mini_program/open?appId=cli_9c7cc8a9a9edd105&amp;mode=appCenter&amp;path_pc=pc/pages/requested/index?instanceId=7548348885442363423&amp;source=bitable&amp;path=pages/detail/index?instanceId=7548348885442363423&amp;source=bitable", "202509100051")</f>
        <v>202509100051</v>
      </c>
      <c r="B424" t="inlineStr">
        <is>
          <t>Approved</t>
        </is>
      </c>
      <c r="C424" t="inlineStr">
        <is>
          <t>Procurement Order</t>
        </is>
      </c>
      <c r="D424" s="3">
        <v>45910.6172337963</v>
      </c>
      <c r="E424" s="3">
        <v>45911.5083912037</v>
      </c>
      <c r="F424" t="inlineStr">
        <is>
          <t>Fatima Kathleen M. FLores</t>
        </is>
      </c>
      <c r="G424" t="inlineStr">
        <is>
          <t>Procurement</t>
        </is>
      </c>
      <c r="H424"/>
      <c r="I424"/>
      <c r="J424" t="inlineStr">
        <is>
          <t>Project</t>
        </is>
      </c>
      <c r="K424" t="inlineStr">
        <is>
          <t>GG - Event Service</t>
        </is>
      </c>
      <c r="L424" t="inlineStr">
        <is>
          <t>HOK Philippine Kings League - Fall Season</t>
        </is>
      </c>
      <c r="M424" t="inlineStr">
        <is>
          <t>2025TEG-P0219</t>
        </is>
      </c>
      <c r="N424" t="inlineStr">
        <is>
          <t>Carla Andrea Calma Crespo</t>
        </is>
      </c>
      <c r="O424" t="inlineStr">
        <is>
          <t>202508280084-Carla Andrea Calma Crespo-费用报销 - 副本 - 副本 - 副本-2025-08-28 13:52:24</t>
        </is>
      </c>
      <c r="P424" t="inlineStr">
        <is>
          <t>YES</t>
        </is>
      </c>
      <c r="Q424"/>
      <c r="R424" t="inlineStr">
        <is>
          <t>NO</t>
        </is>
      </c>
      <c r="S424" t="inlineStr">
        <is>
          <t>Outsourced Stream Moderator</t>
        </is>
      </c>
      <c r="T424">
        <v>1</v>
      </c>
      <c r="U424">
        <v>22800</v>
      </c>
      <c r="V424" t="inlineStr">
        <is>
          <t>PHP</t>
        </is>
      </c>
      <c r="W424">
        <v>22800</v>
      </c>
      <c r="X424" s="2" t="str">
        <f>=HYPERLINK("https://www.larksuite.com/approval/admin/previewAttachment?key=PMixDUIxDATQle7sS2yzDA1RRPFTIdJldiSK376eRM9G7wUVrcATTenKzCaZd5f5scOIQjDYzljzuTnX97oMIza1zn6_5viwVZghXPIEwMftHpKquvB3_AIAAP__", "2 attachment(s)")</f>
        <v>2 attachment(s)</v>
      </c>
      <c r="Y424" t="inlineStr">
        <is>
          <t>Bank Transfer</t>
        </is>
      </c>
      <c r="Z424" t="inlineStr">
        <is>
          <t>Ej Cezar Falogme</t>
        </is>
      </c>
      <c r="AA424" t="inlineStr">
        <is>
          <t>001526005059</t>
        </is>
      </c>
      <c r="AB424" t="inlineStr">
        <is>
          <t>BDO Kabayan Savings</t>
        </is>
      </c>
      <c r="AC424" t="inlineStr">
        <is>
          <t>33 J Pio Felipe St. Purok-1 New Lower Bicutan Taguig City</t>
        </is>
      </c>
      <c r="AD424" s="4">
        <v>45895</v>
      </c>
      <c r="AE424" t="inlineStr">
        <is>
          <t>1st Payment - Sept. 26, 2025
2nd Payment - Oct. 10, 2025
Final Payment - Oct. 24, 2025</t>
        </is>
      </c>
      <c r="AF424" s="2"/>
      <c r="AG424" t="inlineStr">
        <is>
          <t>NzQyNTk5MTgyNzQ4MTg3MDM0MTpGRkE2Qjg3NS1FNDRGLTRGQzgtQjhDMC1EOUQ5MDUxRDU5QTgtMToxZjQ5ZDQzMWI3OGQxODNhODkxN2UwMTE3ZTJkNWQzYjox</t>
        </is>
      </c>
      <c r="AH424" t="inlineStr">
        <is>
          <t>Ej Cezar Falogme</t>
        </is>
      </c>
      <c r="AI424"/>
      <c r="AJ424"/>
      <c r="AK424"/>
    </row>
    <row r="425" ht="25.5" customHeight="1">
      <c r="A425" s="2" t="str">
        <f>=HYPERLINK("https://applink.larksuite.com/client/mini_program/open?appId=cli_9c7cc8a9a9edd105&amp;mode=appCenter&amp;path_pc=pc/pages/requested/index?instanceId=7548351235636592679&amp;source=bitable&amp;path=pages/detail/index?instanceId=7548351235636592679&amp;source=bitable", "202509100057")</f>
        <v>202509100057</v>
      </c>
      <c r="B425" t="inlineStr">
        <is>
          <t>Approved</t>
        </is>
      </c>
      <c r="C425" t="inlineStr">
        <is>
          <t>Procurement Order</t>
        </is>
      </c>
      <c r="D425" s="3">
        <v>45910.623564814814</v>
      </c>
      <c r="E425" s="3">
        <v>45911.47666666667</v>
      </c>
      <c r="F425" t="inlineStr">
        <is>
          <t>Fatima Kathleen M. FLores</t>
        </is>
      </c>
      <c r="G425" t="inlineStr">
        <is>
          <t>Procurement</t>
        </is>
      </c>
      <c r="H425"/>
      <c r="I425"/>
      <c r="J425" t="inlineStr">
        <is>
          <t>Project</t>
        </is>
      </c>
      <c r="K425" t="inlineStr">
        <is>
          <t>GG - Event Service</t>
        </is>
      </c>
      <c r="L425" t="inlineStr">
        <is>
          <t>HOK Philippine Kings League - Fall Season</t>
        </is>
      </c>
      <c r="M425" t="inlineStr">
        <is>
          <t>2025TEG-P0219</t>
        </is>
      </c>
      <c r="N425" t="inlineStr">
        <is>
          <t>Carla Andrea Calma Crespo</t>
        </is>
      </c>
      <c r="O425" t="inlineStr">
        <is>
          <t>202508290023-Carla Andrea Calma Crespo-费用报销 - 副本 - 副本 - 副本-2025-08-29 04:25:41</t>
        </is>
      </c>
      <c r="P425" t="inlineStr">
        <is>
          <t>YES</t>
        </is>
      </c>
      <c r="Q425"/>
      <c r="R425" t="inlineStr">
        <is>
          <t>NO</t>
        </is>
      </c>
      <c r="S425" t="inlineStr">
        <is>
          <t>Outsourced Game Observer</t>
        </is>
      </c>
      <c r="T425">
        <v>1</v>
      </c>
      <c r="U425">
        <v>28500</v>
      </c>
      <c r="V425" t="inlineStr">
        <is>
          <t>PHP</t>
        </is>
      </c>
      <c r="W425">
        <v>28500</v>
      </c>
      <c r="X425" s="2" t="str">
        <f>=HYPERLINK("https://www.larksuite.com/approval/admin/previewAttachment?key=PMi7CQJBGATglmb-547NmLgcKtwlomiwtQsGpl8NokbSSwjRBK7OGJ40z_JKWbWWLXYLzWauuW_n-z75zuODm9tzHut1vWzzwVSboT3CBwCe_u4dEVIFfo5vAAAA__8", "2 attachment(s)")</f>
        <v>2 attachment(s)</v>
      </c>
      <c r="Y425" t="inlineStr">
        <is>
          <t>Bank Transfer</t>
        </is>
      </c>
      <c r="Z425" t="inlineStr">
        <is>
          <t>John Radilh Mancao</t>
        </is>
      </c>
      <c r="AA425" t="inlineStr">
        <is>
          <t>010060106856</t>
        </is>
      </c>
      <c r="AB425" t="inlineStr">
        <is>
          <t>Gotyme bank</t>
        </is>
      </c>
      <c r="AC425" t="inlineStr">
        <is>
          <t>302 A ALAGAO ST. COMEMBO, TAGUIG CITY</t>
        </is>
      </c>
      <c r="AD425" s="4">
        <v>45898</v>
      </c>
      <c r="AE425" t="inlineStr">
        <is>
          <t>1st Payment - Sept. 26, 2025
2nd Payment - Oct. 10, 2025
Final Payment - Oct. 31, 2025</t>
        </is>
      </c>
      <c r="AF425" s="2"/>
      <c r="AG425" t="inlineStr">
        <is>
          <t>NzQyNTk5MTgyNzQ4MTg3MDM0MTpFOTk5ODRDNS1GNEZFLTRGMkYtQkFDNS0zRDM3NjJBQ0IyQzUtMTo2NjEyOWUxZjU0YzliMWFhZWMzZjk0YzZlOTExMDE4Mjox</t>
        </is>
      </c>
      <c r="AH425" t="inlineStr">
        <is>
          <t>John Radilh Mancao</t>
        </is>
      </c>
      <c r="AI425"/>
      <c r="AJ425"/>
      <c r="AK425"/>
    </row>
    <row r="426" ht="25.5" customHeight="1">
      <c r="A426" s="2" t="str">
        <f>=HYPERLINK("https://applink.larksuite.com/client/mini_program/open?appId=cli_9c7cc8a9a9edd105&amp;mode=appCenter&amp;path_pc=pc/pages/requested/index?instanceId=7548352355662643232&amp;source=bitable&amp;path=pages/detail/index?instanceId=7548352355662643232&amp;source=bitable", "202509100059")</f>
        <v>202509100059</v>
      </c>
      <c r="B426" t="inlineStr">
        <is>
          <t>Approved</t>
        </is>
      </c>
      <c r="C426" t="inlineStr">
        <is>
          <t>Procurement Order</t>
        </is>
      </c>
      <c r="D426" s="3">
        <v>45910.62658564815</v>
      </c>
      <c r="E426" s="3">
        <v>45911.506064814814</v>
      </c>
      <c r="F426" t="inlineStr">
        <is>
          <t>Fatima Kathleen M. FLores</t>
        </is>
      </c>
      <c r="G426" t="inlineStr">
        <is>
          <t>Procurement</t>
        </is>
      </c>
      <c r="H426"/>
      <c r="I426"/>
      <c r="J426" t="inlineStr">
        <is>
          <t>Project</t>
        </is>
      </c>
      <c r="K426" t="inlineStr">
        <is>
          <t>GG - Event Service</t>
        </is>
      </c>
      <c r="L426" t="inlineStr">
        <is>
          <t>HOK Philippine Kings League - Fall Season</t>
        </is>
      </c>
      <c r="M426" t="inlineStr">
        <is>
          <t>2025TEG-P0219</t>
        </is>
      </c>
      <c r="N426" t="inlineStr">
        <is>
          <t>Carla Andrea Calma Crespo</t>
        </is>
      </c>
      <c r="O426" t="inlineStr">
        <is>
          <t>202508290023-Carla Andrea Calma Crespo-费用报销 - 副本 - 副本 - 副本-2025-08-29 04:25:41</t>
        </is>
      </c>
      <c r="P426" t="inlineStr">
        <is>
          <t>YES</t>
        </is>
      </c>
      <c r="Q426"/>
      <c r="R426" t="inlineStr">
        <is>
          <t>YES</t>
        </is>
      </c>
      <c r="S426" t="inlineStr">
        <is>
          <t>Outsourced Game Observer</t>
        </is>
      </c>
      <c r="T426">
        <v>1</v>
      </c>
      <c r="U426">
        <v>50000</v>
      </c>
      <c r="V426" t="inlineStr">
        <is>
          <t>PHP</t>
        </is>
      </c>
      <c r="W426">
        <v>50000</v>
      </c>
      <c r="X426" s="2" t="str">
        <f>=HYPERLINK("https://www.larksuite.com/approval/admin/previewAttachment?key=PMhLCgJBDATQK1UllaTjZdzYDH4YGBDETZ9dcDHbl4PIEfRsqGkNrgoND_OITEu5uS1brGoUi7Hmvl1fNvWN46H94HNqfe63bb4ZXWYol3wA4OV0L0ndKfwdvwAAAP__", "2 attachment(s)")</f>
        <v>2 attachment(s)</v>
      </c>
      <c r="Y426" t="inlineStr">
        <is>
          <t>Bank Transfer</t>
        </is>
      </c>
      <c r="Z426" t="inlineStr">
        <is>
          <t>Annejeleeka Cherrell Ho</t>
        </is>
      </c>
      <c r="AA426" t="inlineStr">
        <is>
          <t>1093 2537 7435</t>
        </is>
      </c>
      <c r="AB426" t="inlineStr">
        <is>
          <t>Unionbank</t>
        </is>
      </c>
      <c r="AC426" t="inlineStr">
        <is>
          <t>24B Camia St. Brgy Talipapa Quezon City</t>
        </is>
      </c>
      <c r="AD426" s="4">
        <v>45898</v>
      </c>
      <c r="AE426" t="inlineStr">
        <is>
          <t>1st Payment - Sept. 12, 2025
2nd Payment - Sept. 26, 2025
3rd Payment - Oct. 10, 2025
Final Payment - Oct. 31, 2025</t>
        </is>
      </c>
      <c r="AF426" s="2"/>
      <c r="AG426" t="inlineStr">
        <is>
          <t>NzQyNTk5MTgyNzQ4MTg3MDM0MTozNkM0NUE4Qi0xNTBELTQyRjYtQjdEMC0yMEFCMzMxQzYyQ0UtMTo2MzlkM2ExYzkxMzQyODcxMGFiMTJjYWM3ZWVlMTliNjox</t>
        </is>
      </c>
      <c r="AH426" t="inlineStr">
        <is>
          <t>Annejeleeka Cherrell Ho</t>
        </is>
      </c>
      <c r="AI426"/>
      <c r="AJ426"/>
      <c r="AK426"/>
    </row>
    <row r="427" ht="25.5" customHeight="1">
      <c r="A427" s="2" t="str">
        <f>=HYPERLINK("https://applink.larksuite.com/client/mini_program/open?appId=cli_9c7cc8a9a9edd105&amp;mode=appCenter&amp;path_pc=pc/pages/requested/index?instanceId=7548354123570266144&amp;source=bitable&amp;path=pages/detail/index?instanceId=7548354123570266144&amp;source=bitable", "202509100060")</f>
        <v>202509100060</v>
      </c>
      <c r="B427" t="inlineStr">
        <is>
          <t>Approved</t>
        </is>
      </c>
      <c r="C427" t="inlineStr">
        <is>
          <t>Procurement Order</t>
        </is>
      </c>
      <c r="D427" s="3">
        <v>45910.63135416667</v>
      </c>
      <c r="E427" s="3">
        <v>45911.475636574076</v>
      </c>
      <c r="F427" t="inlineStr">
        <is>
          <t>Fatima Kathleen M. FLores</t>
        </is>
      </c>
      <c r="G427" t="inlineStr">
        <is>
          <t>Procurement</t>
        </is>
      </c>
      <c r="H427"/>
      <c r="I427"/>
      <c r="J427" t="inlineStr">
        <is>
          <t>Project</t>
        </is>
      </c>
      <c r="K427" t="inlineStr">
        <is>
          <t>GG - Event Service</t>
        </is>
      </c>
      <c r="L427" t="inlineStr">
        <is>
          <t>HOK Philippine Kings League - Fall Season</t>
        </is>
      </c>
      <c r="M427" t="inlineStr">
        <is>
          <t>2025TEG-P0219</t>
        </is>
      </c>
      <c r="N427" t="inlineStr">
        <is>
          <t>Carla Andrea Calma Crespo</t>
        </is>
      </c>
      <c r="O427" t="inlineStr">
        <is>
          <t>202508280071-Carla Andrea Calma Crespo-费用报销 - 副本 - 副本 - 副本-2025-08-28 11:12:45</t>
        </is>
      </c>
      <c r="P427" t="inlineStr">
        <is>
          <t>YES</t>
        </is>
      </c>
      <c r="Q427"/>
      <c r="R427" t="inlineStr">
        <is>
          <t>NO</t>
        </is>
      </c>
      <c r="S427" t="inlineStr">
        <is>
          <t>Outsourced Stage Hand</t>
        </is>
      </c>
      <c r="T427">
        <v>1</v>
      </c>
      <c r="U427">
        <v>31500</v>
      </c>
      <c r="V427" t="inlineStr">
        <is>
          <t>PHP</t>
        </is>
      </c>
      <c r="W427">
        <v>31500</v>
      </c>
      <c r="X427" s="2" t="str">
        <f>=HYPERLINK("https://www.larksuite.com/approval/admin/previewAttachment?key=PMgxCgJBDAXQK_2f_CQTL2PjsGihCIKuxZxdsNj25SByBD0balqDq0LDQzSPgmVSWrZY1SgWY837dp4-av_M55f7zR-x3tfLNl-MLjOUSz4A8HS4l6TuFP6OXwAAAP__", "2 attachment(s)")</f>
        <v>2 attachment(s)</v>
      </c>
      <c r="Y427" t="inlineStr">
        <is>
          <t>Bank Transfer</t>
        </is>
      </c>
      <c r="Z427" t="inlineStr">
        <is>
          <t>John Matthew Dullas</t>
        </is>
      </c>
      <c r="AA427" t="inlineStr">
        <is>
          <t>09222212585</t>
        </is>
      </c>
      <c r="AB427" t="inlineStr">
        <is>
          <t>Gcash</t>
        </is>
      </c>
      <c r="AC427" t="inlineStr">
        <is>
          <t>54 Pag-asa Avenue Brgy. Katuparan Taguig City</t>
        </is>
      </c>
      <c r="AD427" s="4">
        <v>45896</v>
      </c>
      <c r="AE427" t="inlineStr">
        <is>
          <t>1st Payment - Sept. 12, 2025
2nd Payment - Sept. 26, 2025
3rd Payment - Oct. 10, 2025
Final Payment - Oct. 31, 2025</t>
        </is>
      </c>
      <c r="AF427" s="2"/>
      <c r="AG427" t="inlineStr">
        <is>
          <t>NzQyNTk5MTgyNzQ4MTg3MDM0MTozQUIyRTAwMS0yNjhBLTRGRjMtOEEwOC00NEI4QTY1MkExM0QtMTo2OTJmMTFmZWI2Zjk5MTRiMzk5NzMwODlmYzgzMWZlYTox</t>
        </is>
      </c>
      <c r="AH427" t="inlineStr">
        <is>
          <t>John Matthew Dullas</t>
        </is>
      </c>
      <c r="AI427"/>
      <c r="AJ427"/>
      <c r="AK427"/>
    </row>
    <row r="428" ht="25.5" customHeight="1">
      <c r="A428" s="2" t="str">
        <f>=HYPERLINK("https://applink.larksuite.com/client/mini_program/open?appId=cli_9c7cc8a9a9edd105&amp;mode=appCenter&amp;path_pc=pc/pages/requested/index?instanceId=7548355114487136294&amp;source=bitable&amp;path=pages/detail/index?instanceId=7548355114487136294&amp;source=bitable", "202509100061")</f>
        <v>202509100061</v>
      </c>
      <c r="B428" t="inlineStr">
        <is>
          <t>Approved</t>
        </is>
      </c>
      <c r="C428" t="inlineStr">
        <is>
          <t>Procurement Order</t>
        </is>
      </c>
      <c r="D428" s="3">
        <v>45910.63402777778</v>
      </c>
      <c r="E428" s="3">
        <v>45911.5072337963</v>
      </c>
      <c r="F428" t="inlineStr">
        <is>
          <t>Fatima Kathleen M. FLores</t>
        </is>
      </c>
      <c r="G428" t="inlineStr">
        <is>
          <t>Procurement</t>
        </is>
      </c>
      <c r="H428"/>
      <c r="I428"/>
      <c r="J428" t="inlineStr">
        <is>
          <t>Project</t>
        </is>
      </c>
      <c r="K428" t="inlineStr">
        <is>
          <t>GG - Event Service</t>
        </is>
      </c>
      <c r="L428" t="inlineStr">
        <is>
          <t>HOK Philippine Kings League - Fall Season</t>
        </is>
      </c>
      <c r="M428" t="inlineStr">
        <is>
          <t>2025TEG-P0219</t>
        </is>
      </c>
      <c r="N428" t="inlineStr">
        <is>
          <t>Carla Andrea Calma Crespo</t>
        </is>
      </c>
      <c r="O428" t="inlineStr">
        <is>
          <t>202508280071-Carla Andrea Calma Crespo-费用报销 - 副本 - 副本 - 副本-2025-08-28 11:12:45</t>
        </is>
      </c>
      <c r="P428" t="inlineStr">
        <is>
          <t>YES</t>
        </is>
      </c>
      <c r="Q428"/>
      <c r="R428" t="inlineStr">
        <is>
          <t>YES</t>
        </is>
      </c>
      <c r="S428" t="inlineStr">
        <is>
          <t>Outsourced Stage Hand</t>
        </is>
      </c>
      <c r="T428">
        <v>1</v>
      </c>
      <c r="U428">
        <v>31500</v>
      </c>
      <c r="V428" t="inlineStr">
        <is>
          <t>PHP</t>
        </is>
      </c>
      <c r="W428">
        <v>31500</v>
      </c>
      <c r="X428" s="2" t="str">
        <f>=HYPERLINK("https://www.larksuite.com/approval/admin/previewAttachment?key=PMhBqgIxEATQK1Wlq1Ppf5m_MQQVXMkMzCJnF1y4fX0QfSSjF1RsBW6nRmSS0jCjt9Jum3bBNHPP1_o_rnU-j9I1ieXHPu-3Nd_McmtwSDEA8O_nYUlVXfg6PgEAAP__", "2 attachment(s)")</f>
        <v>2 attachment(s)</v>
      </c>
      <c r="Y428" t="inlineStr">
        <is>
          <t>Bank Transfer</t>
        </is>
      </c>
      <c r="Z428" t="inlineStr">
        <is>
          <t>Emmanuel Cleto Francisco</t>
        </is>
      </c>
      <c r="AA428" t="inlineStr">
        <is>
          <t>008450414941</t>
        </is>
      </c>
      <c r="AB428" t="inlineStr">
        <is>
          <t>BDO</t>
        </is>
      </c>
      <c r="AC428" t="inlineStr">
        <is>
          <t>7 Aguirre St. zone 4 Signal Village Taguig City</t>
        </is>
      </c>
      <c r="AD428" s="4">
        <v>45896</v>
      </c>
      <c r="AE428" t="inlineStr">
        <is>
          <t>1st Payment - Sept. 12, 2025
2nd Payment - Sept. 26, 2025
3rd Payment - Oct. 10, 2025
Final Payment - Oct. 31, 2025</t>
        </is>
      </c>
      <c r="AF428" s="2"/>
      <c r="AG428" t="inlineStr">
        <is>
          <t>NzQyNTk5MTgyNzQ4MTg3MDM0MTpDQUQ3QUQxNy0wOTJCLTQ5NDctOTJEMC0yNEU1NTc0Q0VCMDMtMTo4ODEzMzYzOGM0MjAyNGZmYzY2MjA1Yzg5NDFkNTdlMDox</t>
        </is>
      </c>
      <c r="AH428" t="inlineStr">
        <is>
          <t>Emmanuel Cleto Francisco</t>
        </is>
      </c>
      <c r="AI428"/>
      <c r="AJ428"/>
      <c r="AK428"/>
    </row>
    <row r="429" ht="25.5" customHeight="1">
      <c r="A429" s="2" t="str">
        <f>=HYPERLINK("https://applink.larksuite.com/client/mini_program/open?appId=cli_9c7cc8a9a9edd105&amp;mode=appCenter&amp;path_pc=pc/pages/requested/index?instanceId=7548360346734460967&amp;source=bitable&amp;path=pages/detail/index?instanceId=7548360346734460967&amp;source=bitable", "202509100064")</f>
        <v>202509100064</v>
      </c>
      <c r="B429" t="inlineStr">
        <is>
          <t>Approved</t>
        </is>
      </c>
      <c r="C429" t="inlineStr">
        <is>
          <t>Procurement Order</t>
        </is>
      </c>
      <c r="D429" s="3">
        <v>45910.648125</v>
      </c>
      <c r="E429" s="3">
        <v>45911.48829861111</v>
      </c>
      <c r="F429" t="inlineStr">
        <is>
          <t>Fatima Kathleen M. FLores</t>
        </is>
      </c>
      <c r="G429" t="inlineStr">
        <is>
          <t>Procurement</t>
        </is>
      </c>
      <c r="H429"/>
      <c r="I429"/>
      <c r="J429" t="inlineStr">
        <is>
          <t>Project</t>
        </is>
      </c>
      <c r="K429" t="inlineStr">
        <is>
          <t>GG - Event Service</t>
        </is>
      </c>
      <c r="L429" t="inlineStr">
        <is>
          <t>HOK Philippine Kings League - Fall Season</t>
        </is>
      </c>
      <c r="M429" t="inlineStr">
        <is>
          <t>2025TEG-P0219</t>
        </is>
      </c>
      <c r="N429" t="inlineStr">
        <is>
          <t>Carla Andrea Calma Crespo</t>
        </is>
      </c>
      <c r="O429" t="inlineStr">
        <is>
          <t>202508240014-Carla Andrea Calma Crespo-费用报销 - 副本 - 副本 - 副本-2025-08-24 12:07:47</t>
        </is>
      </c>
      <c r="P429" t="inlineStr">
        <is>
          <t>YES</t>
        </is>
      </c>
      <c r="Q429"/>
      <c r="R429" t="inlineStr">
        <is>
          <t>NO</t>
        </is>
      </c>
      <c r="S429" t="inlineStr">
        <is>
          <t>Outsourced Caster (ShinBoo)</t>
        </is>
      </c>
      <c r="T429">
        <v>1</v>
      </c>
      <c r="U429">
        <v>175350</v>
      </c>
      <c r="V429" t="inlineStr">
        <is>
          <t>PHP</t>
        </is>
      </c>
      <c r="W429">
        <v>175350</v>
      </c>
      <c r="X429" s="2" t="str">
        <f>=HYPERLINK("https://www.larksuite.com/approval/admin/previewAttachment?key=PMs7CgJREATAK3W_6fl5GROXRRBBENdozi4amBZUFBHltGiouRqcdJUFTJEmBTpy1jCzkUz6bPf9XDoWbw_2C1Zvn-N62bcnvXMtfJ8VAJ7-bimpO4Sf4xMAAP__", "2 attachment(s)")</f>
        <v>2 attachment(s)</v>
      </c>
      <c r="Y429" t="inlineStr">
        <is>
          <t>Bank Transfer</t>
        </is>
      </c>
      <c r="Z429" t="inlineStr">
        <is>
          <t>SHIN BOO C. PONFERRADA</t>
        </is>
      </c>
      <c r="AA429" t="inlineStr">
        <is>
          <t>4359 4142 05</t>
        </is>
      </c>
      <c r="AB429" t="inlineStr">
        <is>
          <t>BPI</t>
        </is>
      </c>
      <c r="AC429" t="inlineStr">
        <is>
          <t>44H 20th Avenue, Brgy. San Roque, Quezon City</t>
        </is>
      </c>
      <c r="AD429" s="4">
        <v>45896</v>
      </c>
      <c r="AE429" t="inlineStr">
        <is>
          <t>1st Payment - Sept. 12, 2025
2nd Payment - Sept. 26, 2025
3rd Payment - Oct. 10, 2025
4th Payment - Oct. 24, 2025
Final Payment - Nov. 7, 2025</t>
        </is>
      </c>
      <c r="AF429" s="2"/>
      <c r="AG429" t="inlineStr">
        <is>
          <t>NzQyNTk5MTgyNzQ4MTg3MDM0MTpERENFOUI1OS1GQjk5LTRFRkMtOTY4NC03MTA2QjI5RTE5NDgtMTpiMjA2MzY3NDVlMTNhMzk2YmM4MGEzMDIxYzY0ODY0Mzox</t>
        </is>
      </c>
      <c r="AH429" t="inlineStr">
        <is>
          <t>SHIN BOO C. PONFERRADA</t>
        </is>
      </c>
      <c r="AI429"/>
      <c r="AJ429"/>
      <c r="AK429"/>
    </row>
    <row r="430" ht="25.5" customHeight="1">
      <c r="A430" s="2" t="str">
        <f>=HYPERLINK("https://applink.larksuite.com/client/mini_program/open?appId=cli_9c7cc8a9a9edd105&amp;mode=appCenter&amp;path_pc=pc/pages/requested/index?instanceId=7548360905482829856&amp;source=bitable&amp;path=pages/detail/index?instanceId=7548360905482829856&amp;source=bitable", "202509100065")</f>
        <v>202509100065</v>
      </c>
      <c r="B430" t="inlineStr">
        <is>
          <t>Approved</t>
        </is>
      </c>
      <c r="C430" t="inlineStr">
        <is>
          <t>Procurement Order</t>
        </is>
      </c>
      <c r="D430" s="3">
        <v>45910.64962962963</v>
      </c>
      <c r="E430" s="3">
        <v>45910.705625</v>
      </c>
      <c r="F430" t="inlineStr">
        <is>
          <t>Fatima Kathleen M. FLores</t>
        </is>
      </c>
      <c r="G430" t="inlineStr">
        <is>
          <t>Procurement</t>
        </is>
      </c>
      <c r="H430"/>
      <c r="I430"/>
      <c r="J430" t="inlineStr">
        <is>
          <t>Project</t>
        </is>
      </c>
      <c r="K430" t="inlineStr">
        <is>
          <t>GG - Event Service</t>
        </is>
      </c>
      <c r="L430" t="inlineStr">
        <is>
          <t>HOK Philippine Kings League - Fall Season</t>
        </is>
      </c>
      <c r="M430" t="inlineStr">
        <is>
          <t>2025TEG-P0219</t>
        </is>
      </c>
      <c r="N430" t="inlineStr">
        <is>
          <t>Carla Andrea Calma Crespo</t>
        </is>
      </c>
      <c r="O430" t="inlineStr">
        <is>
          <t>202508240014-Carla Andrea Calma Crespo-费用报销 - 副本 - 副本 - 副本-2025-08-24 12:07:47</t>
        </is>
      </c>
      <c r="P430" t="inlineStr">
        <is>
          <t>YES</t>
        </is>
      </c>
      <c r="Q430"/>
      <c r="R430" t="inlineStr">
        <is>
          <t>NO</t>
        </is>
      </c>
      <c r="S430" t="inlineStr">
        <is>
          <t>Outsourced Caster (Osiris)</t>
        </is>
      </c>
      <c r="T430">
        <v>1</v>
      </c>
      <c r="U430">
        <v>127300</v>
      </c>
      <c r="V430" t="inlineStr">
        <is>
          <t>PHP</t>
        </is>
      </c>
      <c r="W430">
        <v>127300</v>
      </c>
      <c r="X430" s="2" t="str">
        <f>=HYPERLINK("https://www.larksuite.com/approval/admin/previewAttachment?key=PMg9CgJBDAXgK70kL39exsZhsdgBQVhscnbBwvaLEkS5WDTYog2ZdJYFGs7S0i6P0ZHMRkqKz9rHnXraRtY65Xrtz1zPx7He4p2qSCOtAMjt75Yku4P4Ob4BAAD__w", "2 attachment(s)")</f>
        <v>2 attachment(s)</v>
      </c>
      <c r="Y430" t="inlineStr">
        <is>
          <t>Bank Transfer</t>
        </is>
      </c>
      <c r="Z430" t="inlineStr">
        <is>
          <t>Rogyn Raphael S. Manansala</t>
        </is>
      </c>
      <c r="AA430" t="inlineStr">
        <is>
          <t>1096 6002 4240</t>
        </is>
      </c>
      <c r="AB430" t="inlineStr">
        <is>
          <t>Unionbank</t>
        </is>
      </c>
      <c r="AC430" t="inlineStr">
        <is>
          <t>Blk 5 Lot 2 Daisy St. Ferretville Subdivision, Brgy. San Roque, Rizal, Antipolo</t>
        </is>
      </c>
      <c r="AD430" s="4">
        <v>45905</v>
      </c>
      <c r="AE430" t="inlineStr">
        <is>
          <t>1st Payment - Sept. 12, 2025
2nd Payment - Sept. 26, 2025
3rd Payment - Oct. 10, 2025
4th Payment - Oct. 24, 2025
Final Payment - Nov. 7, 2025</t>
        </is>
      </c>
      <c r="AF430" s="2"/>
      <c r="AG430" t="inlineStr">
        <is>
          <t>NzQyNTk5MTgyNzQ4MTg3MDM0MTpDM0QxQTI3MS0yREI0LTQxQkMtQkU1Ni02OThBNTcyMzc2RDEtMTpkYjc5MTJlMjU1OGY4YTg5OTBiMjVmOTgzMDNiZThiYzox</t>
        </is>
      </c>
      <c r="AH430" t="inlineStr">
        <is>
          <t>Rogyn Raphael S. Manansala</t>
        </is>
      </c>
      <c r="AI430"/>
      <c r="AJ430"/>
      <c r="AK430"/>
    </row>
    <row r="431" ht="25.5" customHeight="1">
      <c r="A431" s="2" t="str">
        <f>=HYPERLINK("https://applink.larksuite.com/client/mini_program/open?appId=cli_9c7cc8a9a9edd105&amp;mode=appCenter&amp;path_pc=pc/pages/requested/index?instanceId=7548361962908876839&amp;source=bitable&amp;path=pages/detail/index?instanceId=7548361962908876839&amp;source=bitable", "202509100066")</f>
        <v>202509100066</v>
      </c>
      <c r="B431" t="inlineStr">
        <is>
          <t>Approved</t>
        </is>
      </c>
      <c r="C431" t="inlineStr">
        <is>
          <t>Procurement Order</t>
        </is>
      </c>
      <c r="D431" s="3">
        <v>45910.65247685185</v>
      </c>
      <c r="E431" s="3">
        <v>45910.70415509259</v>
      </c>
      <c r="F431" t="inlineStr">
        <is>
          <t>Fatima Kathleen M. FLores</t>
        </is>
      </c>
      <c r="G431" t="inlineStr">
        <is>
          <t>Procurement</t>
        </is>
      </c>
      <c r="H431"/>
      <c r="I431"/>
      <c r="J431" t="inlineStr">
        <is>
          <t>Project</t>
        </is>
      </c>
      <c r="K431" t="inlineStr">
        <is>
          <t>GG - Event Service</t>
        </is>
      </c>
      <c r="L431" t="inlineStr">
        <is>
          <t>HOK Philippine Kings League - Fall Season</t>
        </is>
      </c>
      <c r="M431" t="inlineStr">
        <is>
          <t>2025TEG-P0219</t>
        </is>
      </c>
      <c r="N431" t="inlineStr">
        <is>
          <t>Carla Andrea Calma Crespo</t>
        </is>
      </c>
      <c r="O431" t="inlineStr">
        <is>
          <t>202508240014-Carla Andrea Calma Crespo-费用报销 - 副本 - 副本 - 副本-2025-08-24 12:07:47</t>
        </is>
      </c>
      <c r="P431" t="inlineStr">
        <is>
          <t>YES</t>
        </is>
      </c>
      <c r="Q431"/>
      <c r="R431" t="inlineStr">
        <is>
          <t>NO</t>
        </is>
      </c>
      <c r="S431" t="inlineStr">
        <is>
          <t>Outsourced Caster (Butters)</t>
        </is>
      </c>
      <c r="T431">
        <v>1</v>
      </c>
      <c r="U431">
        <v>181650</v>
      </c>
      <c r="V431" t="inlineStr">
        <is>
          <t>PHP</t>
        </is>
      </c>
      <c r="W431">
        <v>181650</v>
      </c>
      <c r="X431" s="2" t="str">
        <f>=HYPERLINK("https://www.larksuite.com/approval/admin/previewAttachment?key=PMgxCgJBDAXQK_2fZJJ8L2Ozy6DrCoJgN2cXLGxfNpE96CmEaAJXjWhPKk3ormzXssUqoVgca3_O6-uYm_X5OM77NNvX57bN_c2hMkN5hDcAXv7uFRFSBn6ObwAAAP__", "2 attachment(s)")</f>
        <v>2 attachment(s)</v>
      </c>
      <c r="Y431" t="inlineStr">
        <is>
          <t>Bank Transfer</t>
        </is>
      </c>
      <c r="Z431" t="inlineStr">
        <is>
          <t>Mark Adrian Jison</t>
        </is>
      </c>
      <c r="AA431" t="inlineStr">
        <is>
          <t>112302110673</t>
        </is>
      </c>
      <c r="AB431" t="inlineStr">
        <is>
          <t>Chinabank</t>
        </is>
      </c>
      <c r="AC431" t="inlineStr">
        <is>
          <t>2019 San Pascual St Malate Manila</t>
        </is>
      </c>
      <c r="AD431" s="4">
        <v>45900</v>
      </c>
      <c r="AE431" t="inlineStr">
        <is>
          <t>1st Payment - Sept. 12, 2025
2nd Payment - Sept. 26, 2025
3rd Payment - Oct. 10, 2025
4th Payment - Oct. 24, 2025
Final Payment - Nov. 7, 2025</t>
        </is>
      </c>
      <c r="AF431" s="2"/>
      <c r="AG431" t="inlineStr">
        <is>
          <t>NzQyNTk5MTgyNzQ4MTg3MDM0MTo0RkM0QjEzRS0yRjFDLTQxQjctODhCOS1DODZBQzlDNTA0NzQtMTpjNWQxMjI0NDZiNjZmNTNiNTEwYzgzZGZjYWI5ZmY4NTox</t>
        </is>
      </c>
      <c r="AH431" t="inlineStr">
        <is>
          <t>Mark Adrian Jison</t>
        </is>
      </c>
      <c r="AI431"/>
      <c r="AJ431"/>
      <c r="AK431"/>
    </row>
    <row r="432" ht="25.5" customHeight="1">
      <c r="A432" s="2" t="str">
        <f>=HYPERLINK("https://applink.larksuite.com/client/mini_program/open?appId=cli_9c7cc8a9a9edd105&amp;mode=appCenter&amp;path_pc=pc/pages/requested/index?instanceId=7548362923886854176&amp;source=bitable&amp;path=pages/detail/index?instanceId=7548362923886854176&amp;source=bitable", "202509100068")</f>
        <v>202509100068</v>
      </c>
      <c r="B432" t="inlineStr">
        <is>
          <t>Approved</t>
        </is>
      </c>
      <c r="C432" t="inlineStr">
        <is>
          <t>Procurement Order</t>
        </is>
      </c>
      <c r="D432" s="3">
        <v>45910.655069444445</v>
      </c>
      <c r="E432" s="3">
        <v>45911.490578703706</v>
      </c>
      <c r="F432" t="inlineStr">
        <is>
          <t>Fatima Kathleen M. FLores</t>
        </is>
      </c>
      <c r="G432" t="inlineStr">
        <is>
          <t>Procurement</t>
        </is>
      </c>
      <c r="H432"/>
      <c r="I432"/>
      <c r="J432" t="inlineStr">
        <is>
          <t>Project</t>
        </is>
      </c>
      <c r="K432" t="inlineStr">
        <is>
          <t>GG - Event Service</t>
        </is>
      </c>
      <c r="L432" t="inlineStr">
        <is>
          <t>HOK Philippine Kings League - Fall Season</t>
        </is>
      </c>
      <c r="M432" t="inlineStr">
        <is>
          <t>2025TEG-P0219</t>
        </is>
      </c>
      <c r="N432" t="inlineStr">
        <is>
          <t>Carla Andrea Calma Crespo</t>
        </is>
      </c>
      <c r="O432" t="inlineStr">
        <is>
          <t>202508240014-Carla Andrea Calma Crespo-费用报销 - 副本 - 副本 - 副本-2025-08-24 12:07:47</t>
        </is>
      </c>
      <c r="P432" t="inlineStr">
        <is>
          <t>YES</t>
        </is>
      </c>
      <c r="Q432"/>
      <c r="R432" t="inlineStr">
        <is>
          <t>YES</t>
        </is>
      </c>
      <c r="S432" t="inlineStr">
        <is>
          <t>Outsourced Caster (Manjean)</t>
        </is>
      </c>
      <c r="T432">
        <v>1</v>
      </c>
      <c r="U432">
        <v>262500</v>
      </c>
      <c r="V432" t="inlineStr">
        <is>
          <t>PHP</t>
        </is>
      </c>
      <c r="W432">
        <v>262500</v>
      </c>
      <c r="X432" s="2" t="str">
        <f>=HYPERLINK("https://www.larksuite.com/approval/admin/previewAttachment?key=PMgrDgJBEATQK1X1v7kMZicbDIqwZESfnQSBfVFElFOjYU1pcNKtNKRFq6LcmDEyzGwkkz7red7dj1Vv7H3uz8I11-M414veKYJUMy0AvP1d08y6w_BzfAMAAP__", "2 attachment(s)")</f>
        <v>2 attachment(s)</v>
      </c>
      <c r="Y432" t="inlineStr">
        <is>
          <t>Bank Transfer</t>
        </is>
      </c>
      <c r="Z432" t="inlineStr">
        <is>
          <t>Manjean F. Faldas</t>
        </is>
      </c>
      <c r="AA432" t="inlineStr">
        <is>
          <t>6086272286</t>
        </is>
      </c>
      <c r="AB432" t="inlineStr">
        <is>
          <t>BPI</t>
        </is>
      </c>
      <c r="AC432" t="inlineStr">
        <is>
          <t>257 - 259 Galvez Building Unit 317 A. Arnaiz St. Pasay City</t>
        </is>
      </c>
      <c r="AD432" s="4">
        <v>45900</v>
      </c>
      <c r="AE432" t="inlineStr">
        <is>
          <t>1st Payment - Sept. 12, 2025
2nd Payment - Sept. 26, 2025
3rd Payment - Oct. 10, 2025
4th Payment - Oct. 24, 2025
Final Payment - Nov. 7, 2025</t>
        </is>
      </c>
      <c r="AF432" s="2"/>
      <c r="AG432" t="inlineStr">
        <is>
          <t>NzQyNTk5MTgyNzQ4MTg3MDM0MTpBQzZGMDRFNC00MDZGLTQ4RjAtODQzQy0wNjAyMDAxMUQwQkUtMTplY2ViZmU2YWMwMTk4OWFlYjBmNGYyNDlmMTY3MmRlMDox</t>
        </is>
      </c>
      <c r="AH432" t="inlineStr">
        <is>
          <t>Manjean F. Faldas</t>
        </is>
      </c>
      <c r="AI432"/>
      <c r="AJ432"/>
      <c r="AK432"/>
    </row>
    <row r="433" ht="25.5" customHeight="1">
      <c r="A433" s="2" t="str">
        <f>=HYPERLINK("https://applink.larksuite.com/client/mini_program/open?appId=cli_9c7cc8a9a9edd105&amp;mode=appCenter&amp;path_pc=pc/pages/requested/index?instanceId=7548364074820632608&amp;source=bitable&amp;path=pages/detail/index?instanceId=7548364074820632608&amp;source=bitable", "202509100070")</f>
        <v>202509100070</v>
      </c>
      <c r="B433" t="inlineStr">
        <is>
          <t>Approved</t>
        </is>
      </c>
      <c r="C433" t="inlineStr">
        <is>
          <t>Procurement Order</t>
        </is>
      </c>
      <c r="D433" s="3">
        <v>45910.658171296294</v>
      </c>
      <c r="E433" s="3">
        <v>45911.49181712963</v>
      </c>
      <c r="F433" t="inlineStr">
        <is>
          <t>Fatima Kathleen M. FLores</t>
        </is>
      </c>
      <c r="G433" t="inlineStr">
        <is>
          <t>Procurement</t>
        </is>
      </c>
      <c r="H433"/>
      <c r="I433"/>
      <c r="J433" t="inlineStr">
        <is>
          <t>Project</t>
        </is>
      </c>
      <c r="K433" t="inlineStr">
        <is>
          <t>GG - Event Service</t>
        </is>
      </c>
      <c r="L433" t="inlineStr">
        <is>
          <t>HOK Philippine Kings League - Fall Season</t>
        </is>
      </c>
      <c r="M433" t="inlineStr">
        <is>
          <t>2025TEG-P0219</t>
        </is>
      </c>
      <c r="N433" t="inlineStr">
        <is>
          <t>Carla Andrea Calma Crespo</t>
        </is>
      </c>
      <c r="O433" t="inlineStr">
        <is>
          <t>202508240014-Carla Andrea Calma Crespo-费用报销 - 副本 - 副本 - 副本-2025-08-24 12:07:47</t>
        </is>
      </c>
      <c r="P433" t="inlineStr">
        <is>
          <t>YES</t>
        </is>
      </c>
      <c r="Q433"/>
      <c r="R433" t="inlineStr">
        <is>
          <t>YES</t>
        </is>
      </c>
      <c r="S433" t="inlineStr">
        <is>
          <t>Outsourced Caster (Yasumeow)</t>
        </is>
      </c>
      <c r="T433">
        <v>1</v>
      </c>
      <c r="U433">
        <v>120000</v>
      </c>
      <c r="V433" t="inlineStr">
        <is>
          <t>PHP</t>
        </is>
      </c>
      <c r="W433">
        <v>120000</v>
      </c>
      <c r="X433" s="2" t="str">
        <f>=HYPERLINK("https://www.larksuite.com/approval/admin/previewAttachment?key=PMg9CgJBDAXgK70kL39exsZhkcWdRrDL2QUL2y9KEOVi0WCLNmTSWRZEshRhGqjRkcxGSorPuo57n5fX5tmvtcg9n-fjWG_xTlWkkVYA5PZ3S5LdQfwc3wAAAP__", "2 attachment(s)")</f>
        <v>2 attachment(s)</v>
      </c>
      <c r="Y433" t="inlineStr">
        <is>
          <t>Bank Transfer</t>
        </is>
      </c>
      <c r="Z433" t="inlineStr">
        <is>
          <t>Lhea Lei Sulit</t>
        </is>
      </c>
      <c r="AA433" t="inlineStr">
        <is>
          <t>005560206211</t>
        </is>
      </c>
      <c r="AB433" t="inlineStr">
        <is>
          <t>BDO</t>
        </is>
      </c>
      <c r="AC433" t="inlineStr">
        <is>
          <t>249 Purok 3, Pulong Tamo, San Ildefonso, Bulacan</t>
        </is>
      </c>
      <c r="AD433" s="4">
        <v>45898</v>
      </c>
      <c r="AE433" t="inlineStr">
        <is>
          <t>1st Payment - Sept. 12, 2025
2nd Payment - Sept. 26, 2025
3rd Payment - Oct. 10, 2025
4th Payment - Oct. 24, 2025
Final Payment - Nov. 7, 2025</t>
        </is>
      </c>
      <c r="AF433" s="2"/>
      <c r="AG433" t="inlineStr">
        <is>
          <t>NzQyNTk5MTgyNzQ4MTg3MDM0MTpDODJGODAxNy0wQTJELTRFODEtOTIyOS1GMjk5NjY1NjdFRTYtMTo0NmFiMWM3MWFmYWRiMzE4ZjIwNjFiMDQ0Yjg1NjAwZDox</t>
        </is>
      </c>
      <c r="AH433" t="inlineStr">
        <is>
          <t>Lhea Lei Sulit</t>
        </is>
      </c>
      <c r="AI433"/>
      <c r="AJ433"/>
      <c r="AK433"/>
    </row>
    <row r="434" ht="25.5" customHeight="1">
      <c r="A434" s="2" t="str">
        <f>=HYPERLINK("https://applink.larksuite.com/client/mini_program/open?appId=cli_9c7cc8a9a9edd105&amp;mode=appCenter&amp;path_pc=pc/pages/requested/index?instanceId=7548365493841821734&amp;source=bitable&amp;path=pages/detail/index?instanceId=7548365493841821734&amp;source=bitable", "202509100072")</f>
        <v>202509100072</v>
      </c>
      <c r="B434" t="inlineStr">
        <is>
          <t>Approved</t>
        </is>
      </c>
      <c r="C434" t="inlineStr">
        <is>
          <t>Procurement Order</t>
        </is>
      </c>
      <c r="D434" s="3">
        <v>45910.661990740744</v>
      </c>
      <c r="E434" s="3">
        <v>45911.492800925924</v>
      </c>
      <c r="F434" t="inlineStr">
        <is>
          <t>Fatima Kathleen M. FLores</t>
        </is>
      </c>
      <c r="G434" t="inlineStr">
        <is>
          <t>Procurement</t>
        </is>
      </c>
      <c r="H434"/>
      <c r="I434"/>
      <c r="J434" t="inlineStr">
        <is>
          <t>Project</t>
        </is>
      </c>
      <c r="K434" t="inlineStr">
        <is>
          <t>GG - Event Service</t>
        </is>
      </c>
      <c r="L434" t="inlineStr">
        <is>
          <t>HOK Philippine Kings League - Fall Season</t>
        </is>
      </c>
      <c r="M434" t="inlineStr">
        <is>
          <t>2025TEG-P0219</t>
        </is>
      </c>
      <c r="N434" t="inlineStr">
        <is>
          <t>Carla Andrea Calma Crespo</t>
        </is>
      </c>
      <c r="O434" t="inlineStr">
        <is>
          <t>202508240014-Carla Andrea Calma Crespo-费用报销 - 副本 - 副本 - 副本-2025-08-24 12:07:47</t>
        </is>
      </c>
      <c r="P434" t="inlineStr">
        <is>
          <t>YES</t>
        </is>
      </c>
      <c r="Q434"/>
      <c r="R434" t="inlineStr">
        <is>
          <t>YES</t>
        </is>
      </c>
      <c r="S434" t="inlineStr">
        <is>
          <t>Outsourced Caster (Beebimbapp)</t>
        </is>
      </c>
      <c r="T434">
        <v>1</v>
      </c>
      <c r="U434">
        <v>97500</v>
      </c>
      <c r="V434" t="inlineStr">
        <is>
          <t>PHP</t>
        </is>
      </c>
      <c r="W434">
        <v>97500</v>
      </c>
      <c r="X434" s="2" t="str">
        <f>=HYPERLINK("https://www.larksuite.com/approval/admin/previewAttachment?key=PMgxCkIxEATQK81kZzO7Xsbmh4-NIAjfKmcXLGzfLGJWMmZDzdHgdqpipjpKrEGH9ti0G6aZez3Pe-axCnjx40pc-3oc53oz22PAIUUB4O3vYUndU_g5vgEAAP__", "2 attachment(s)")</f>
        <v>2 attachment(s)</v>
      </c>
      <c r="Y434" t="inlineStr">
        <is>
          <t>Bank Transfer</t>
        </is>
      </c>
      <c r="Z434" t="inlineStr">
        <is>
          <t>Laurise Martinez</t>
        </is>
      </c>
      <c r="AA434" t="inlineStr">
        <is>
          <t>006980522247</t>
        </is>
      </c>
      <c r="AB434" t="inlineStr">
        <is>
          <t>BDO</t>
        </is>
      </c>
      <c r="AC434" t="inlineStr">
        <is>
          <t>203 Monte Carlo Residences Sucat Parañaque</t>
        </is>
      </c>
      <c r="AD434" s="4">
        <v>45906</v>
      </c>
      <c r="AE434" t="inlineStr">
        <is>
          <t>1st Payment - Sept. 12, 2025
2nd Payment - Sept. 26, 2025
3rd Payment - Oct. 10, 2025
4th Payment - Oct. 24, 2025
Final Payment - Nov. 7, 2025</t>
        </is>
      </c>
      <c r="AF434" s="2"/>
      <c r="AG434" t="inlineStr">
        <is>
          <t>NzQyNTk5MTgyNzQ4MTg3MDM0MTo4QjBCMEMzMy1CNzY1LTQ2MzYtQTc4OS03ODVENjA2OUQ4RjMtMTo1MjExYWUwOTlhOTExOGM3NzQ0ZWJhNWU5ZmZlMjliMDox</t>
        </is>
      </c>
      <c r="AH434" t="inlineStr">
        <is>
          <t>Laurise Martinez</t>
        </is>
      </c>
      <c r="AI434"/>
      <c r="AJ434"/>
      <c r="AK434"/>
    </row>
    <row r="435" ht="25.5" customHeight="1">
      <c r="A435" s="2" t="str">
        <f>=HYPERLINK("https://applink.larksuite.com/client/mini_program/open?appId=cli_9c7cc8a9a9edd105&amp;mode=appCenter&amp;path_pc=pc/pages/requested/index?instanceId=7548367222054453280&amp;source=bitable&amp;path=pages/detail/index?instanceId=7548367222054453280&amp;source=bitable", "202509100073")</f>
        <v>202509100073</v>
      </c>
      <c r="B435" t="inlineStr">
        <is>
          <t>Approved</t>
        </is>
      </c>
      <c r="C435" t="inlineStr">
        <is>
          <t>Procurement Order</t>
        </is>
      </c>
      <c r="D435" s="3">
        <v>45910.666655092595</v>
      </c>
      <c r="E435" s="3">
        <v>45911.4934375</v>
      </c>
      <c r="F435" t="inlineStr">
        <is>
          <t>Fatima Kathleen M. FLores</t>
        </is>
      </c>
      <c r="G435" t="inlineStr">
        <is>
          <t>Procurement</t>
        </is>
      </c>
      <c r="H435"/>
      <c r="I435"/>
      <c r="J435" t="inlineStr">
        <is>
          <t>Project</t>
        </is>
      </c>
      <c r="K435" t="inlineStr">
        <is>
          <t>GG - Event Service</t>
        </is>
      </c>
      <c r="L435" t="inlineStr">
        <is>
          <t>HOK Philippine Kings League - Fall Season</t>
        </is>
      </c>
      <c r="M435" t="inlineStr">
        <is>
          <t>2025TEG-P0219</t>
        </is>
      </c>
      <c r="N435" t="inlineStr">
        <is>
          <t>Carla Andrea Calma Crespo</t>
        </is>
      </c>
      <c r="O435" t="inlineStr">
        <is>
          <t>202508240014-Carla Andrea Calma Crespo-费用报销 - 副本 - 副本 - 副本-2025-08-24 12:07:47</t>
        </is>
      </c>
      <c r="P435" t="inlineStr">
        <is>
          <t>YES</t>
        </is>
      </c>
      <c r="Q435"/>
      <c r="R435" t="inlineStr">
        <is>
          <t>YES</t>
        </is>
      </c>
      <c r="S435" t="inlineStr">
        <is>
          <t>Outsourced Caster (GG Sphere)</t>
        </is>
      </c>
      <c r="T435">
        <v>1</v>
      </c>
      <c r="U435">
        <v>84000</v>
      </c>
      <c r="V435" t="inlineStr">
        <is>
          <t>PHP</t>
        </is>
      </c>
      <c r="W435">
        <v>84000</v>
      </c>
      <c r="X435" s="2" t="str">
        <f>=HYPERLINK("https://www.larksuite.com/approval/admin/previewAttachment?key=PMgxCgIwDAXQK_0kP03iZVxaigiCIBYccnbBwfWNFIx0sVFgiRakw5k2QlXhpJsmWlsiCiEh3uuxr-_PPjkPZ-37c3mf29zrJV6hijDSEoBc_m5BsmoQP8c3AAD__w", "2 attachment(s)")</f>
        <v>2 attachment(s)</v>
      </c>
      <c r="Y435" t="inlineStr">
        <is>
          <t>Bank Transfer</t>
        </is>
      </c>
      <c r="Z435" t="inlineStr">
        <is>
          <t>Joseph Saratan</t>
        </is>
      </c>
      <c r="AA435" t="inlineStr">
        <is>
          <t>109321660560</t>
        </is>
      </c>
      <c r="AB435" t="inlineStr">
        <is>
          <t>Unionbank</t>
        </is>
      </c>
      <c r="AC435" t="inlineStr">
        <is>
          <t>#11 Ninong Manuel Street, BF Homes Phase 1, Caloocan City</t>
        </is>
      </c>
      <c r="AD435" s="4">
        <v>45899</v>
      </c>
      <c r="AE435" t="inlineStr">
        <is>
          <t>1st Payment - Sept. 12, 2025
2nd Payment - Sept. 26, 2025
3rd Payment - Oct. 10, 2025
4th Payment - Oct. 24, 2025
Final Payment - Nov. 7, 2025</t>
        </is>
      </c>
      <c r="AF435" s="2"/>
      <c r="AG435" t="inlineStr">
        <is>
          <t>NzQyNTk5MTgyNzQ4MTg3MDM0MTo0RUQyRDhDMy0zQjFELTQxNEYtOTM4OC0xMjJDRUI4QUY5MkEtMTo3ZThiODY2OTI0ODg4NDY4ZjQzOGEwM2M4NzFhOGFmNDox</t>
        </is>
      </c>
      <c r="AH435" t="inlineStr">
        <is>
          <t>Joseph Saratan</t>
        </is>
      </c>
      <c r="AI435"/>
      <c r="AJ435"/>
      <c r="AK435"/>
    </row>
    <row r="436" ht="25.5" customHeight="1">
      <c r="A436" s="2" t="str">
        <f>=HYPERLINK("https://applink.larksuite.com/client/mini_program/open?appId=cli_9c7cc8a9a9edd105&amp;mode=appCenter&amp;path_pc=pc/pages/requested/index?instanceId=7548368349441425447&amp;source=bitable&amp;path=pages/detail/index?instanceId=7548368349441425447&amp;source=bitable", "202509100074")</f>
        <v>202509100074</v>
      </c>
      <c r="B436" t="inlineStr">
        <is>
          <t>Approved</t>
        </is>
      </c>
      <c r="C436" t="inlineStr">
        <is>
          <t>Procurement Order</t>
        </is>
      </c>
      <c r="D436" s="3">
        <v>45910.6696875</v>
      </c>
      <c r="E436" s="3">
        <v>45911.49903935185</v>
      </c>
      <c r="F436" t="inlineStr">
        <is>
          <t>Fatima Kathleen M. FLores</t>
        </is>
      </c>
      <c r="G436" t="inlineStr">
        <is>
          <t>Procurement</t>
        </is>
      </c>
      <c r="H436"/>
      <c r="I436"/>
      <c r="J436" t="inlineStr">
        <is>
          <t>Project</t>
        </is>
      </c>
      <c r="K436" t="inlineStr">
        <is>
          <t>GG - Event Service</t>
        </is>
      </c>
      <c r="L436" t="inlineStr">
        <is>
          <t>HOK Philippine Kings League - Fall Season</t>
        </is>
      </c>
      <c r="M436" t="inlineStr">
        <is>
          <t>2025TEG-P0219</t>
        </is>
      </c>
      <c r="N436" t="inlineStr">
        <is>
          <t>Carla Andrea Calma Crespo</t>
        </is>
      </c>
      <c r="O436" t="inlineStr">
        <is>
          <t>202508240014-Carla Andrea Calma Crespo-费用报销 - 副本 - 副本 - 副本-2025-08-24 12:07:47</t>
        </is>
      </c>
      <c r="P436" t="inlineStr">
        <is>
          <t>YES</t>
        </is>
      </c>
      <c r="Q436"/>
      <c r="R436" t="inlineStr">
        <is>
          <t>YES</t>
        </is>
      </c>
      <c r="S436" t="inlineStr">
        <is>
          <t>Outsourced Caster (OSX)</t>
        </is>
      </c>
      <c r="T436">
        <v>1</v>
      </c>
      <c r="U436">
        <v>175350</v>
      </c>
      <c r="V436" t="inlineStr">
        <is>
          <t>PHP</t>
        </is>
      </c>
      <c r="W436">
        <v>175350</v>
      </c>
      <c r="X436" s="2" t="str">
        <f>=HYPERLINK("https://www.larksuite.com/approval/admin/previewAttachment?key=PMhBCsJQDATQK80k838SL-OmpahYEMTiJmcXXHT7ZhIzB30WVLQCO4bSZ7pKomxI0daMKASD6nXfrrKn56de92PRY__2cVu29c1RYYZwyRMAL6d7SKqawt_xCwAA__8", "2 attachment(s)")</f>
        <v>2 attachment(s)</v>
      </c>
      <c r="Y436" t="inlineStr">
        <is>
          <t>Bank Transfer</t>
        </is>
      </c>
      <c r="Z436" t="inlineStr">
        <is>
          <t>Francis Joses Cantero</t>
        </is>
      </c>
      <c r="AA436" t="inlineStr">
        <is>
          <t>109327122609</t>
        </is>
      </c>
      <c r="AB436" t="inlineStr">
        <is>
          <t>Unionbank</t>
        </is>
      </c>
      <c r="AC436" t="inlineStr">
        <is>
          <t>4L T3, Tres Palmas, Levi Mariano Drive, Taguig City</t>
        </is>
      </c>
      <c r="AD436" s="4">
        <v>45898</v>
      </c>
      <c r="AE436" t="inlineStr">
        <is>
          <t>1st Payment - Sept. 12, 2025
2nd Payment - Sept. 26, 2025
3rd Payment - Oct. 10, 2025
4th Payment - Oct. 24, 2025
Final Payment - Nov. 7, 2025</t>
        </is>
      </c>
      <c r="AF436" s="2"/>
      <c r="AG436" t="inlineStr">
        <is>
          <t>NzQyNTk5MTgyNzQ4MTg3MDM0MTo1M0ZERDhCOC00MDlBLTRBQUYtOTRBOS04NDJBMThBMzNGMkYtMTplYTJlOTQzMzRhYzc1YmE2NDA2M2VkYzQxZDAyNGNkYjox</t>
        </is>
      </c>
      <c r="AH436" t="inlineStr">
        <is>
          <t>Francis Joses Cantero</t>
        </is>
      </c>
      <c r="AI436"/>
      <c r="AJ436"/>
      <c r="AK436"/>
    </row>
    <row r="437" ht="25.5" customHeight="1">
      <c r="A437" s="2" t="str">
        <f>=HYPERLINK("https://applink.larksuite.com/client/mini_program/open?appId=cli_9c7cc8a9a9edd105&amp;mode=appCenter&amp;path_pc=pc/pages/requested/index?instanceId=7548369558755688487&amp;source=bitable&amp;path=pages/detail/index?instanceId=7548369558755688487&amp;source=bitable", "202509100076")</f>
        <v>202509100076</v>
      </c>
      <c r="B437" t="inlineStr">
        <is>
          <t>Approved</t>
        </is>
      </c>
      <c r="C437" t="inlineStr">
        <is>
          <t>Procurement Order</t>
        </is>
      </c>
      <c r="D437" s="3">
        <v>45910.672951388886</v>
      </c>
      <c r="E437" s="3">
        <v>45911.49858796296</v>
      </c>
      <c r="F437" t="inlineStr">
        <is>
          <t>Fatima Kathleen M. FLores</t>
        </is>
      </c>
      <c r="G437" t="inlineStr">
        <is>
          <t>Procurement</t>
        </is>
      </c>
      <c r="H437"/>
      <c r="I437"/>
      <c r="J437" t="inlineStr">
        <is>
          <t>Project</t>
        </is>
      </c>
      <c r="K437" t="inlineStr">
        <is>
          <t>GG - Event Service</t>
        </is>
      </c>
      <c r="L437" t="inlineStr">
        <is>
          <t>HOK Philippine Kings League - Fall Season</t>
        </is>
      </c>
      <c r="M437" t="inlineStr">
        <is>
          <t>2025TEG-P0219</t>
        </is>
      </c>
      <c r="N437" t="inlineStr">
        <is>
          <t>Carla Andrea Calma Crespo</t>
        </is>
      </c>
      <c r="O437" t="inlineStr">
        <is>
          <t>202508240014-Carla Andrea Calma Crespo-费用报销 - 副本 - 副本 - 副本-2025-08-24 12:07:47</t>
        </is>
      </c>
      <c r="P437" t="inlineStr">
        <is>
          <t>YES</t>
        </is>
      </c>
      <c r="Q437"/>
      <c r="R437" t="inlineStr">
        <is>
          <t>YES</t>
        </is>
      </c>
      <c r="S437" t="inlineStr">
        <is>
          <t>Outsourced Caster (Dash)</t>
        </is>
      </c>
      <c r="T437">
        <v>1</v>
      </c>
      <c r="U437">
        <v>39200</v>
      </c>
      <c r="V437" t="inlineStr">
        <is>
          <t>PHP</t>
        </is>
      </c>
      <c r="W437">
        <v>39200</v>
      </c>
      <c r="X437" s="2" t="str">
        <f>=HYPERLINK("https://www.larksuite.com/approval/admin/previewAttachment?key=PMgxCsNADATAL0mnlXaVz6SxOdIYAsEmzb09kMLtlNxK6VFtaB9tvphQVGeKmSVBXGM52UanY-3HfG6neLyV31PXDKzrtc3949kcwxhAyMz8cXsQQHfB_m6_AAAA__8", "2 attachment(s)")</f>
        <v>2 attachment(s)</v>
      </c>
      <c r="Y437" t="inlineStr">
        <is>
          <t>Bank Transfer</t>
        </is>
      </c>
      <c r="Z437" t="inlineStr">
        <is>
          <t>Eugene I. Esteban</t>
        </is>
      </c>
      <c r="AA437" t="inlineStr">
        <is>
          <t>2000 5182 8177</t>
        </is>
      </c>
      <c r="AB437" t="inlineStr">
        <is>
          <t>East West Banking Corporation</t>
        </is>
      </c>
      <c r="AC437" t="inlineStr">
        <is>
          <t>131 P. Pablo St. 10th Ave. Caloocan City</t>
        </is>
      </c>
      <c r="AD437" s="4">
        <v>45899</v>
      </c>
      <c r="AE437" t="inlineStr">
        <is>
          <t>1st Payment - Sept. 12, 2025
2nd Payment - Sept. 26, 2025
3rd Payment - Oct. 10, 2025
4th Payment - Oct. 24, 2025
Final Payment - Nov. 7, 2025</t>
        </is>
      </c>
      <c r="AF437" s="2"/>
      <c r="AG437" t="inlineStr">
        <is>
          <t>NzQyNTk5MTgyNzQ4MTg3MDM0MTpBNjAzMjVGNC0yNTE3LTQ3MEYtOEE5RS02NDg5MjdFQjhFNkEtMTpiZGQwOTQ5NWQ3OGY2MGVhYzMzYjU2OWYwMjhiYzNkMjox</t>
        </is>
      </c>
      <c r="AH437" t="inlineStr">
        <is>
          <t>Eugene I. Esteban</t>
        </is>
      </c>
      <c r="AI437"/>
      <c r="AJ437"/>
      <c r="AK437"/>
    </row>
    <row r="438" ht="25.5" customHeight="1">
      <c r="A438" s="2" t="str">
        <f>=HYPERLINK("https://applink.larksuite.com/client/mini_program/open?appId=cli_9c7cc8a9a9edd105&amp;mode=appCenter&amp;path_pc=pc/pages/requested/index?instanceId=7548370683504377887&amp;source=bitable&amp;path=pages/detail/index?instanceId=7548370683504377887&amp;source=bitable", "202509100078")</f>
        <v>202509100078</v>
      </c>
      <c r="B438" t="inlineStr">
        <is>
          <t>Approved</t>
        </is>
      </c>
      <c r="C438" t="inlineStr">
        <is>
          <t>Procurement Order</t>
        </is>
      </c>
      <c r="D438" s="3">
        <v>45910.67597222222</v>
      </c>
      <c r="E438" s="3">
        <v>45911.497881944444</v>
      </c>
      <c r="F438" t="inlineStr">
        <is>
          <t>Fatima Kathleen M. FLores</t>
        </is>
      </c>
      <c r="G438" t="inlineStr">
        <is>
          <t>Procurement</t>
        </is>
      </c>
      <c r="H438"/>
      <c r="I438"/>
      <c r="J438" t="inlineStr">
        <is>
          <t>Project</t>
        </is>
      </c>
      <c r="K438" t="inlineStr">
        <is>
          <t>GG - Event Service</t>
        </is>
      </c>
      <c r="L438" t="inlineStr">
        <is>
          <t>HOK Philippine Kings League - Fall Season</t>
        </is>
      </c>
      <c r="M438" t="inlineStr">
        <is>
          <t>2025TEG-P0219</t>
        </is>
      </c>
      <c r="N438" t="inlineStr">
        <is>
          <t>Carla Andrea Calma Crespo</t>
        </is>
      </c>
      <c r="O438" t="inlineStr">
        <is>
          <t>202508240014-Carla Andrea Calma Crespo-费用报销 - 副本 - 副本 - 副本-2025-08-24 12:07:47</t>
        </is>
      </c>
      <c r="P438" t="inlineStr">
        <is>
          <t>YES</t>
        </is>
      </c>
      <c r="Q438"/>
      <c r="R438" t="inlineStr">
        <is>
          <t>YES</t>
        </is>
      </c>
      <c r="S438" t="inlineStr">
        <is>
          <t>Outsourced Caster (Autolose)</t>
        </is>
      </c>
      <c r="T438">
        <v>1</v>
      </c>
      <c r="U438">
        <v>95200</v>
      </c>
      <c r="V438" t="inlineStr">
        <is>
          <t>PHP</t>
        </is>
      </c>
      <c r="W438">
        <v>95200</v>
      </c>
      <c r="X438" s="2" t="str">
        <f>=HYPERLINK("https://www.larksuite.com/approval/admin/previewAttachment?key=PMgxrsJADATQK43Xsx77X-Y3G61oqJASUvjsSBS0L9IQOc2jwLJRsNZkuhDpE3QpUz3apIJMxj6e-z95jvT3dV973Ut9PtY-XjZLY0BOegKwv5-7SFYF8XV8AgAA__8", "2 attachment(s)")</f>
        <v>2 attachment(s)</v>
      </c>
      <c r="Y438" t="inlineStr">
        <is>
          <t>Bank Transfer</t>
        </is>
      </c>
      <c r="Z438" t="inlineStr">
        <is>
          <t>Bryan J. Quiazon</t>
        </is>
      </c>
      <c r="AA438" t="inlineStr">
        <is>
          <t>006781132589</t>
        </is>
      </c>
      <c r="AB438" t="inlineStr">
        <is>
          <t>BDO</t>
        </is>
      </c>
      <c r="AC438" t="inlineStr">
        <is>
          <t>29A Schilling St. Phase 8 North Fairview Q.C.</t>
        </is>
      </c>
      <c r="AD438" s="4">
        <v>45899</v>
      </c>
      <c r="AE438" t="inlineStr">
        <is>
          <t>1st Payment - Sept. 12, 2025
2nd Payment - Sept. 26, 2025
3rd Payment - Oct. 10, 2025
4th Payment - Oct. 24, 2025
Final Payment - Nov. 7, 2025</t>
        </is>
      </c>
      <c r="AF438" s="2"/>
      <c r="AG438" t="inlineStr">
        <is>
          <t>NzQyNTk5MTgyNzQ4MTg3MDM0MTpEMDIzNDQwNC0xNDFBLTQ3OEQtQjg0MC1FQUY5MjNCNjU5QzAtMTphMWFkN2RjMDUzZTZkNWJlNTFiZmJiMjY1ZGMwNjcxNTox</t>
        </is>
      </c>
      <c r="AH438" t="inlineStr">
        <is>
          <t>Bryan J. Quiazon</t>
        </is>
      </c>
      <c r="AI438"/>
      <c r="AJ438"/>
      <c r="AK438"/>
    </row>
    <row r="439" ht="25.5" customHeight="1">
      <c r="A439" s="2" t="str">
        <f>=HYPERLINK("https://applink.larksuite.com/client/mini_program/open?appId=cli_9c7cc8a9a9edd105&amp;mode=appCenter&amp;path_pc=pc/pages/requested/index?instanceId=7548372906665934886&amp;source=bitable&amp;path=pages/detail/index?instanceId=7548372906665934886&amp;source=bitable", "202509100080")</f>
        <v>202509100080</v>
      </c>
      <c r="B439" t="inlineStr">
        <is>
          <t>Approved</t>
        </is>
      </c>
      <c r="C439" t="inlineStr">
        <is>
          <t>Procurement Order</t>
        </is>
      </c>
      <c r="D439" s="3">
        <v>45910.681967592594</v>
      </c>
      <c r="E439" s="3">
        <v>45911.497407407405</v>
      </c>
      <c r="F439" t="inlineStr">
        <is>
          <t>Fatima Kathleen M. FLores</t>
        </is>
      </c>
      <c r="G439" t="inlineStr">
        <is>
          <t>Procurement</t>
        </is>
      </c>
      <c r="H439"/>
      <c r="I439"/>
      <c r="J439" t="inlineStr">
        <is>
          <t>Project</t>
        </is>
      </c>
      <c r="K439" t="inlineStr">
        <is>
          <t>GG - Event Service</t>
        </is>
      </c>
      <c r="L439" t="inlineStr">
        <is>
          <t>HOK Philippine Kings League - Fall Season</t>
        </is>
      </c>
      <c r="M439" t="inlineStr">
        <is>
          <t>2025TEG-P0219</t>
        </is>
      </c>
      <c r="N439" t="inlineStr">
        <is>
          <t>Carla Andrea Calma Crespo</t>
        </is>
      </c>
      <c r="O439" t="inlineStr">
        <is>
          <t>202508240015-Carla Andrea Calma Crespo-费用报销 - 副本 - 副本 - 副本-2025-08-24 12:18:53</t>
        </is>
      </c>
      <c r="P439" t="inlineStr">
        <is>
          <t>YES</t>
        </is>
      </c>
      <c r="Q439"/>
      <c r="R439" t="inlineStr">
        <is>
          <t>YES</t>
        </is>
      </c>
      <c r="S439" t="inlineStr">
        <is>
          <t>Outsourced Host</t>
        </is>
      </c>
      <c r="T439">
        <v>1</v>
      </c>
      <c r="U439">
        <v>789950</v>
      </c>
      <c r="V439" t="inlineStr">
        <is>
          <t>PHP</t>
        </is>
      </c>
      <c r="W439">
        <v>789950</v>
      </c>
      <c r="X439" s="2" t="str">
        <f>=HYPERLINK("https://www.larksuite.com/approval/admin/previewAttachment?key=PMg7CgJBEATQK1V11_THy5i4DLIgCOLiBnN2wcD0RRFRgx4NNa3BlUPlaY2IGO2qimWLmY1kUmt7zOv7nEfZZz7r5L6Pddxvc3txdJohXfICwMvfPSV1h_BzfAMAAP__", "2 attachment(s)")</f>
        <v>2 attachment(s)</v>
      </c>
      <c r="Y439" t="inlineStr">
        <is>
          <t>Bank Transfer</t>
        </is>
      </c>
      <c r="Z439" t="inlineStr">
        <is>
          <t>TO Follow</t>
        </is>
      </c>
      <c r="AA439" t="inlineStr">
        <is>
          <t>0</t>
        </is>
      </c>
      <c r="AB439" t="inlineStr">
        <is>
          <t>to follow</t>
        </is>
      </c>
      <c r="AC439" t="inlineStr">
        <is>
          <t>351 Captain Henry Javier, Brgy Oranbo, Pasig</t>
        </is>
      </c>
      <c r="AD439" s="4">
        <v>45898</v>
      </c>
      <c r="AE439" t="inlineStr">
        <is>
          <t>1st Payment - Sept. 12, 2025
2nd Payment - Sept. 26, 2025
3rd Payment - Oct. 10, 2025
4th Payment - Oct. 24, 2025
Final Payment - Nov. 7, 2025</t>
        </is>
      </c>
      <c r="AF439" s="2"/>
      <c r="AG439" t="inlineStr">
        <is>
          <t>NzQyNTk5MTgyNzQ4MTg3MDM0MTpFMUM3NUI1QS1EMDE0LTQ1NUYtODMxOS0wOTBCRDAwNTVENTktMTo4NzVjZTAxNWE1OGYxMzlkOThkYzAzZWFmOTk3NDc3NDox</t>
        </is>
      </c>
      <c r="AH439" t="inlineStr">
        <is>
          <t>Mara Aquino Productions</t>
        </is>
      </c>
      <c r="AI439"/>
      <c r="AJ439"/>
      <c r="AK439"/>
    </row>
    <row r="440" ht="25.5" customHeight="1">
      <c r="A440" s="2" t="str">
        <f>=HYPERLINK("https://applink.larksuite.com/client/mini_program/open?appId=cli_9c7cc8a9a9edd105&amp;mode=appCenter&amp;path_pc=pc/pages/requested/index?instanceId=7548375675070267424&amp;source=bitable&amp;path=pages/detail/index?instanceId=7548375675070267424&amp;source=bitable", "202509100088")</f>
        <v>202509100088</v>
      </c>
      <c r="B440" t="inlineStr">
        <is>
          <t>Approved</t>
        </is>
      </c>
      <c r="C440" t="inlineStr">
        <is>
          <t>Procurement Order</t>
        </is>
      </c>
      <c r="D440" s="3">
        <v>45910.68943287037</v>
      </c>
      <c r="E440" s="3">
        <v>45910.72851851852</v>
      </c>
      <c r="F440" t="inlineStr">
        <is>
          <t>Fatima Kathleen M. FLores</t>
        </is>
      </c>
      <c r="G440" t="inlineStr">
        <is>
          <t>Procurement</t>
        </is>
      </c>
      <c r="H440"/>
      <c r="I440"/>
      <c r="J440" t="inlineStr">
        <is>
          <t>Project</t>
        </is>
      </c>
      <c r="K440" t="inlineStr">
        <is>
          <t>GG - Event Service</t>
        </is>
      </c>
      <c r="L440" t="inlineStr">
        <is>
          <t>HOK Philippine Kings League - Fall Season</t>
        </is>
      </c>
      <c r="M440" t="inlineStr">
        <is>
          <t>2025TEG-P0219</t>
        </is>
      </c>
      <c r="N440" t="inlineStr">
        <is>
          <t>Carla Andrea Calma Crespo</t>
        </is>
      </c>
      <c r="O440" t="inlineStr">
        <is>
          <t>202509010124-Carla Andrea Calma Crespo-费用报销 - 副本 - 副本 - 副本-2025-09-01 10:59:01</t>
        </is>
      </c>
      <c r="P440" t="inlineStr">
        <is>
          <t>YES</t>
        </is>
      </c>
      <c r="Q440"/>
      <c r="R440" t="inlineStr">
        <is>
          <t>NO</t>
        </is>
      </c>
      <c r="S440" t="inlineStr">
        <is>
          <t>Outsourced Asst. Hospitality &amp; Logistics Associate</t>
        </is>
      </c>
      <c r="T440">
        <v>1</v>
      </c>
      <c r="U440">
        <v>28800</v>
      </c>
      <c r="V440" t="inlineStr">
        <is>
          <t>PHP</t>
        </is>
      </c>
      <c r="W440">
        <v>28800</v>
      </c>
      <c r="X440" s="2" t="str">
        <f>=HYPERLINK("https://www.larksuite.com/approval/admin/previewAttachment?key=PMgxCgJBDAXQK_0kf_InXsbGZdBFZUHYLmcXLGxfTkPOYZEFlnnBWoMzNFIDgqfobG-TCjIZe3ut6xZTzsd6H89z348-77e1fWyU3KEgYwKwy99DJKuS-Dm-AQAA__8", "2 attachment(s)")</f>
        <v>2 attachment(s)</v>
      </c>
      <c r="Y440" t="inlineStr">
        <is>
          <t>Bank Transfer</t>
        </is>
      </c>
      <c r="Z440" t="inlineStr">
        <is>
          <t>Mark Ronald Tubang</t>
        </is>
      </c>
      <c r="AA440" t="inlineStr">
        <is>
          <t>09156448667</t>
        </is>
      </c>
      <c r="AB440" t="inlineStr">
        <is>
          <t>GCash</t>
        </is>
      </c>
      <c r="AC440" t="inlineStr">
        <is>
          <t>36 Dinar St. CBE townhomes, Pasong Tamo, Quezon City</t>
        </is>
      </c>
      <c r="AD440" s="4">
        <v>45898</v>
      </c>
      <c r="AE440" t="inlineStr">
        <is>
          <t>1st Payment - Sept. 12, 2025
2nd Payment - Oct. 3, 2025
Final Payment - Oct. 31, 2025</t>
        </is>
      </c>
      <c r="AF440" s="2"/>
      <c r="AG440" t="inlineStr">
        <is>
          <t>NzQyNTk5MTgyNzQ4MTg3MDM0MTo4Nzg3NzgzQi05RUQ1LTQ3N0UtOTVCNi0xQTlENUQ1MURDQTUtMTozMGIzMjI5ZDk5OWYyNjllZDljYTlmNDJlMWFiZTA3ODox</t>
        </is>
      </c>
      <c r="AH440" t="inlineStr">
        <is>
          <t>Mark Ronald Tubang</t>
        </is>
      </c>
      <c r="AI440"/>
      <c r="AJ440"/>
      <c r="AK440"/>
    </row>
    <row r="441" ht="25.5" customHeight="1">
      <c r="A441" s="2" t="str">
        <f>=HYPERLINK("https://applink.larksuite.com/client/mini_program/open?appId=cli_9c7cc8a9a9edd105&amp;mode=appCenter&amp;path_pc=pc/pages/requested/index?instanceId=7548376873757736992&amp;source=bitable&amp;path=pages/detail/index?instanceId=7548376873757736992&amp;source=bitable", "202509100090")</f>
        <v>202509100090</v>
      </c>
      <c r="B441" t="inlineStr">
        <is>
          <t>Approved</t>
        </is>
      </c>
      <c r="C441" t="inlineStr">
        <is>
          <t>Procurement Order</t>
        </is>
      </c>
      <c r="D441" s="3">
        <v>45910.692662037036</v>
      </c>
      <c r="E441" s="3">
        <v>45911.61431712963</v>
      </c>
      <c r="F441" t="inlineStr">
        <is>
          <t>Fatima Kathleen M. FLores</t>
        </is>
      </c>
      <c r="G441" t="inlineStr">
        <is>
          <t>Procurement</t>
        </is>
      </c>
      <c r="H441"/>
      <c r="I441"/>
      <c r="J441" t="inlineStr">
        <is>
          <t>Project</t>
        </is>
      </c>
      <c r="K441" t="inlineStr">
        <is>
          <t>GG - Event Service</t>
        </is>
      </c>
      <c r="L441" t="inlineStr">
        <is>
          <t>HOK Philippine Kings League - Fall Season</t>
        </is>
      </c>
      <c r="M441" t="inlineStr">
        <is>
          <t>2025TEG-P0219</t>
        </is>
      </c>
      <c r="N441" t="inlineStr">
        <is>
          <t>Carla Andrea Calma Crespo</t>
        </is>
      </c>
      <c r="O441" t="inlineStr">
        <is>
          <t>202508290025-Carla Andrea Calma Crespo-费用报销 - 副本 - 副本 - 副本-2025-08-29 04:46:30</t>
        </is>
      </c>
      <c r="P441" t="inlineStr">
        <is>
          <t>YES</t>
        </is>
      </c>
      <c r="Q441"/>
      <c r="R441" t="inlineStr">
        <is>
          <t>YES</t>
        </is>
      </c>
      <c r="S441" t="inlineStr">
        <is>
          <t>Outsourced Teleprompter</t>
        </is>
      </c>
      <c r="T441">
        <v>1</v>
      </c>
      <c r="U441">
        <v>19000</v>
      </c>
      <c r="V441" t="inlineStr">
        <is>
          <t>PHP</t>
        </is>
      </c>
      <c r="W441">
        <v>19000</v>
      </c>
      <c r="X441" s="2" t="str">
        <f>=HYPERLINK("https://www.larksuite.com/approval/admin/previewAttachment?key=PMgxCgJBDAXQK_0_yeQnXsZml0EHBEGwy9kFi21fJBE5aVHw4iiwNT1NkTJNyaJq9GhKBVGcfb7W_b3XYb6fXGkbq7-PY50fztIYkLlbAuDtcpO7V4Xj7_gFAAD__w", "2 attachment(s)")</f>
        <v>2 attachment(s)</v>
      </c>
      <c r="Y441" t="inlineStr">
        <is>
          <t>Bank Transfer</t>
        </is>
      </c>
      <c r="Z441" t="inlineStr">
        <is>
          <t>Nathaniel Esguerra</t>
        </is>
      </c>
      <c r="AA441" t="inlineStr">
        <is>
          <t>09217369372</t>
        </is>
      </c>
      <c r="AB441" t="inlineStr">
        <is>
          <t>GCash</t>
        </is>
      </c>
      <c r="AC441" t="inlineStr">
        <is>
          <t>3417 Guernica St., Palanan, Makati</t>
        </is>
      </c>
      <c r="AD441" s="4">
        <v>45898</v>
      </c>
      <c r="AE441" t="inlineStr">
        <is>
          <t>1st Payment - Sept. 26, 2025
Final Payment - Oct. 24, 2025</t>
        </is>
      </c>
      <c r="AF441" s="2"/>
      <c r="AG441" t="inlineStr">
        <is>
          <t>NzQyNTk5MTgyNzQ4MTg3MDM0MToxRjk4NTMzRS04RjgxLTRGMDYtQkRCOS0xNkM1RTkyREM5NzQtMTpiZTIyNzczNzhiNmE4ZmRkYTdjMDhjYzU4ZmE3MzVmMDox</t>
        </is>
      </c>
      <c r="AH441" t="inlineStr">
        <is>
          <t>Nathaniel Esguerra</t>
        </is>
      </c>
      <c r="AI441"/>
      <c r="AJ441"/>
      <c r="AK441"/>
    </row>
    <row r="442" ht="25.5" customHeight="1">
      <c r="A442" s="2" t="str">
        <f>=HYPERLINK("https://applink.larksuite.com/client/mini_program/open?appId=cli_9c7cc8a9a9edd105&amp;mode=appCenter&amp;path_pc=pc/pages/requested/index?instanceId=7548379607217504287&amp;source=bitable&amp;path=pages/detail/index?instanceId=7548379607217504287&amp;source=bitable", "202509100094")</f>
        <v>202509100094</v>
      </c>
      <c r="B442" t="inlineStr">
        <is>
          <t>Approved</t>
        </is>
      </c>
      <c r="C442" t="inlineStr">
        <is>
          <t>Procurement Order</t>
        </is>
      </c>
      <c r="D442" s="3">
        <v>45910.70002314815</v>
      </c>
      <c r="E442" s="3">
        <v>45911.611493055556</v>
      </c>
      <c r="F442" t="inlineStr">
        <is>
          <t>Fatima Kathleen M. FLores</t>
        </is>
      </c>
      <c r="G442" t="inlineStr">
        <is>
          <t>Procurement</t>
        </is>
      </c>
      <c r="H442"/>
      <c r="I442"/>
      <c r="J442" t="inlineStr">
        <is>
          <t>Project</t>
        </is>
      </c>
      <c r="K442" t="inlineStr">
        <is>
          <t>PDEI - Event Service</t>
        </is>
      </c>
      <c r="L442" t="inlineStr">
        <is>
          <t>MPL PH S16 - Regular Season</t>
        </is>
      </c>
      <c r="M442" t="inlineStr">
        <is>
          <t>2025TEG-P0214</t>
        </is>
      </c>
      <c r="N442" t="inlineStr">
        <is>
          <t>Jessica Jane Lor Felicilda</t>
        </is>
      </c>
      <c r="O442" t="inlineStr">
        <is>
          <t>202508220039-Jessica Jane Lor Felicilda-费用报销 - 副本 - 副本 - 副本-2025-08-22 07:21:58</t>
        </is>
      </c>
      <c r="P442" t="inlineStr">
        <is>
          <t>YES</t>
        </is>
      </c>
      <c r="Q442"/>
      <c r="R442" t="inlineStr">
        <is>
          <t>YES</t>
        </is>
      </c>
      <c r="S442" t="inlineStr">
        <is>
          <t>Outsourced Game Observer</t>
        </is>
      </c>
      <c r="T442">
        <v>1</v>
      </c>
      <c r="U442">
        <v>38750</v>
      </c>
      <c r="V442" t="inlineStr">
        <is>
          <t>PHP</t>
        </is>
      </c>
      <c r="W442">
        <v>38750</v>
      </c>
      <c r="X442" s="2" t="str">
        <f>=HYPERLINK("https://www.larksuite.com/approval/admin/previewAttachment?key=PMgxCgJBDAXQK_2fZOYnXsbGZVGW2UZYbHJ2wcL2zSRmDvosRNEKbI1IV03IqIGwVFtTKoji6G3td1_nJ7eD63VVHmdfz8e-vTlKZpBHeALg7e-uiKiagZ_jGwAA__8", "2 attachment(s)")</f>
        <v>2 attachment(s)</v>
      </c>
      <c r="Y442" t="inlineStr">
        <is>
          <t>Bank Transfer</t>
        </is>
      </c>
      <c r="Z442" t="inlineStr">
        <is>
          <t>Shereen Lopez Hassan</t>
        </is>
      </c>
      <c r="AA442" t="inlineStr">
        <is>
          <t>09761795900</t>
        </is>
      </c>
      <c r="AB442" t="inlineStr">
        <is>
          <t>GCash</t>
        </is>
      </c>
      <c r="AC442" t="inlineStr">
        <is>
          <t>block 2 lot 1 rm tiosejo, tunasan muntinlupa city</t>
        </is>
      </c>
      <c r="AD442" s="4">
        <v>45889</v>
      </c>
      <c r="AE442" t="inlineStr">
        <is>
          <t>1st Payment - Sept. 12, 2025
2nd Payment - Sept. 26, 2025
3rd Payment - Oct. 24, 2025
4th Payment - Nov. 14, 2025
Final Payment - Nov. 28, 2025</t>
        </is>
      </c>
      <c r="AF442" s="2"/>
      <c r="AG442" t="inlineStr">
        <is>
          <t>NzQyNTk5MTgyNzQ4MTg3MDM0MTpDNTVGNDQwQy0xNjgzLTQyRkYtQkRBMi0wRjIwODAxRDVBN0QtMToxMDdlZjkwNmJlZDY1MWFkZjVlMmI2MmU3ZDdhODJjZTox</t>
        </is>
      </c>
      <c r="AH442" t="inlineStr">
        <is>
          <t>Shereen Lopez Hassan</t>
        </is>
      </c>
      <c r="AI442"/>
      <c r="AJ442"/>
      <c r="AK442"/>
    </row>
    <row r="443" ht="25.5" customHeight="1">
      <c r="A443" s="2" t="str">
        <f>=HYPERLINK("https://applink.larksuite.com/client/mini_program/open?appId=cli_9c7cc8a9a9edd105&amp;mode=appCenter&amp;path_pc=pc/pages/requested/index?instanceId=7548381441151795232&amp;source=bitable&amp;path=pages/detail/index?instanceId=7548381441151795232&amp;source=bitable", "202509100096")</f>
        <v>202509100096</v>
      </c>
      <c r="B443" t="inlineStr">
        <is>
          <t>Approved</t>
        </is>
      </c>
      <c r="C443" t="inlineStr">
        <is>
          <t>Procurement Order</t>
        </is>
      </c>
      <c r="D443" s="3">
        <v>45910.70496527778</v>
      </c>
      <c r="E443" s="3">
        <v>45911.45615740741</v>
      </c>
      <c r="F443" t="inlineStr">
        <is>
          <t>Fatima Kathleen M. FLores</t>
        </is>
      </c>
      <c r="G443" t="inlineStr">
        <is>
          <t>Procurement</t>
        </is>
      </c>
      <c r="H443"/>
      <c r="I443"/>
      <c r="J443" t="inlineStr">
        <is>
          <t>Project</t>
        </is>
      </c>
      <c r="K443" t="inlineStr">
        <is>
          <t>PDEI - Event Service</t>
        </is>
      </c>
      <c r="L443" t="inlineStr">
        <is>
          <t>MPL PH S16 - Regular Season</t>
        </is>
      </c>
      <c r="M443" t="inlineStr">
        <is>
          <t>2025TEG-P0214</t>
        </is>
      </c>
      <c r="N443" t="inlineStr">
        <is>
          <t>Jessica Jane Lor Felicilda</t>
        </is>
      </c>
      <c r="O443" t="inlineStr">
        <is>
          <t>202508220039-Jessica Jane Lor Felicilda-费用报销 - 副本 - 副本 - 副本-2025-08-22 07:21:58</t>
        </is>
      </c>
      <c r="P443" t="inlineStr">
        <is>
          <t>YES</t>
        </is>
      </c>
      <c r="Q443"/>
      <c r="R443" t="inlineStr">
        <is>
          <t>NO</t>
        </is>
      </c>
      <c r="S443" t="inlineStr">
        <is>
          <t>Outsourced Game Observer</t>
        </is>
      </c>
      <c r="T443">
        <v>1</v>
      </c>
      <c r="U443">
        <v>38750</v>
      </c>
      <c r="V443" t="inlineStr">
        <is>
          <t>PHP</t>
        </is>
      </c>
      <c r="W443">
        <v>38750</v>
      </c>
      <c r="X443" s="2" t="str">
        <f>=HYPERLINK("https://www.larksuite.com/approval/admin/previewAttachment?key=PMgxCgJBDAXQK_2f_EwSL2PjMoiLlbhiMWcXLLZ9o4hRQR8NNa3BlaHyokQGs8Pcli1mNpLJWNtzXt_feVS0fXbNx6513G9zezE6zZAueQHg5XRPSd1D-Dt-AQAA__8", "2 attachment(s)")</f>
        <v>2 attachment(s)</v>
      </c>
      <c r="Y443" t="inlineStr">
        <is>
          <t>Bank Transfer</t>
        </is>
      </c>
      <c r="Z443" t="inlineStr">
        <is>
          <t>Marjon Bensig</t>
        </is>
      </c>
      <c r="AA443" t="inlineStr">
        <is>
          <t>09672433106</t>
        </is>
      </c>
      <c r="AB443" t="inlineStr">
        <is>
          <t>Paymaya</t>
        </is>
      </c>
      <c r="AC443" t="inlineStr">
        <is>
          <t>17 2nd Street A. Marcelo Dalandanan Valenzuela City</t>
        </is>
      </c>
      <c r="AD443" s="4">
        <v>45889</v>
      </c>
      <c r="AE443" t="inlineStr">
        <is>
          <t>1st Payment - Sept. 12, 2025
2nd Payment - Sept. 26, 2025
3rd Payment - Oct. 24, 2025
4th Payment - Nov. 14, 2025
Final Payment - Nov. 28, 2025</t>
        </is>
      </c>
      <c r="AF443" s="2"/>
      <c r="AG443" t="inlineStr">
        <is>
          <t>NzQyNTk5MTgyNzQ4MTg3MDM0MTo4RUE0RDU3NS01N0I1LTQyODUtOERBMi1EMTYwRDY1RTU3MUMtMTpkOTRmNTM3MmRjZDdmODBkNjhlZjc4Nzk4N2IwYmI5NDox</t>
        </is>
      </c>
      <c r="AH443" t="inlineStr">
        <is>
          <t>Marjon Bensig</t>
        </is>
      </c>
      <c r="AI443"/>
      <c r="AJ443"/>
      <c r="AK443"/>
    </row>
    <row r="444" ht="25.5" customHeight="1">
      <c r="A444" s="2" t="str">
        <f>=HYPERLINK("https://applink.larksuite.com/client/mini_program/open?appId=cli_9c7cc8a9a9edd105&amp;mode=appCenter&amp;path_pc=pc/pages/requested/index?instanceId=7548384950039412768&amp;source=bitable&amp;path=pages/detail/index?instanceId=7548384950039412768&amp;source=bitable", "202509100098")</f>
        <v>202509100098</v>
      </c>
      <c r="B444" t="inlineStr">
        <is>
          <t>Approved</t>
        </is>
      </c>
      <c r="C444" t="inlineStr">
        <is>
          <t>Procurement Order</t>
        </is>
      </c>
      <c r="D444" s="3">
        <v>45910.714421296296</v>
      </c>
      <c r="E444" s="3">
        <v>45911.44256944444</v>
      </c>
      <c r="F444" t="inlineStr">
        <is>
          <t>Fatima Kathleen M. FLores</t>
        </is>
      </c>
      <c r="G444" t="inlineStr">
        <is>
          <t>Procurement</t>
        </is>
      </c>
      <c r="H444"/>
      <c r="I444"/>
      <c r="J444" t="inlineStr">
        <is>
          <t>Project</t>
        </is>
      </c>
      <c r="K444" t="inlineStr">
        <is>
          <t>PDEI - Event Service</t>
        </is>
      </c>
      <c r="L444" t="inlineStr">
        <is>
          <t>MPL PH S16 - Regular Season</t>
        </is>
      </c>
      <c r="M444" t="inlineStr">
        <is>
          <t>2025TEG-P0214</t>
        </is>
      </c>
      <c r="N444" t="inlineStr">
        <is>
          <t>Jessica Jane Lor Felicilda</t>
        </is>
      </c>
      <c r="O444" t="inlineStr">
        <is>
          <t>202507280029-Jessica Jane Lor Felicilda-费用报销 - 副本 - 副本 - 副本-2025-07-28 04:11:06</t>
        </is>
      </c>
      <c r="P444" t="inlineStr">
        <is>
          <t>YES</t>
        </is>
      </c>
      <c r="Q444"/>
      <c r="R444" t="inlineStr">
        <is>
          <t>NO</t>
        </is>
      </c>
      <c r="S444" t="inlineStr">
        <is>
          <t>Outsourced Mic Check Operator</t>
        </is>
      </c>
      <c r="T444">
        <v>1</v>
      </c>
      <c r="U444">
        <v>25200</v>
      </c>
      <c r="V444" t="inlineStr">
        <is>
          <t>PHP</t>
        </is>
      </c>
      <c r="W444">
        <v>25200</v>
      </c>
      <c r="X444" s="2" t="str">
        <f>=HYPERLINK("https://www.larksuite.com/approval/admin/previewAttachment?key=PMixDUIxDATQlc7xOfaxDA1RhAKfBolfZXYkCtrXy9ArzLtAWRNsZ7C8qABctJa9dtuWKaSlxR7HvGodUWu-hs7n41z7c7_N8bZQtoZ00guAXf7uSVLqxM_xDQAA__8", "2 attachment(s)")</f>
        <v>2 attachment(s)</v>
      </c>
      <c r="Y444" t="inlineStr">
        <is>
          <t>Bank Transfer</t>
        </is>
      </c>
      <c r="Z444" t="inlineStr">
        <is>
          <t>Kenneth Bayona</t>
        </is>
      </c>
      <c r="AA444" t="inlineStr">
        <is>
          <t>09484380719</t>
        </is>
      </c>
      <c r="AB444" t="inlineStr">
        <is>
          <t>Gcash</t>
        </is>
      </c>
      <c r="AC444" t="inlineStr">
        <is>
          <t>San Nicolas 2nd, Magalang, Pampanga</t>
        </is>
      </c>
      <c r="AD444" s="4">
        <v>45898</v>
      </c>
      <c r="AE444" t="inlineStr">
        <is>
          <t>1st Payment - Sept. 12, 2025
2nd Payment - Oct. 10, 2025
Final Payment - Oct. 31, 2025</t>
        </is>
      </c>
      <c r="AF444" s="2"/>
      <c r="AG444" t="inlineStr">
        <is>
          <t>NzQyNTk5MTgyNzQ4MTg3MDM0MTpFQ0VBNUY1OC0zRkQ1LTQwREItOUIyNi1EOUM1NEJCQzIwQTgtMTpiNmY1N2M2NjJmYWJmMTNjMjIyZTAyYzVlNzA2YzZiMjox</t>
        </is>
      </c>
      <c r="AH444" t="inlineStr">
        <is>
          <t>Kenneth Bayona</t>
        </is>
      </c>
      <c r="AI444"/>
      <c r="AJ444"/>
      <c r="AK444"/>
    </row>
    <row r="445" ht="25.5" customHeight="1">
      <c r="A445" s="2" t="str">
        <f>=HYPERLINK("https://applink.larksuite.com/client/mini_program/open?appId=cli_9c7cc8a9a9edd105&amp;mode=appCenter&amp;path_pc=pc/pages/requested/index?instanceId=7548386473410592807&amp;source=bitable&amp;path=pages/detail/index?instanceId=7548386473410592807&amp;source=bitable", "202509100099")</f>
        <v>202509100099</v>
      </c>
      <c r="B445" t="inlineStr">
        <is>
          <t>Approved</t>
        </is>
      </c>
      <c r="C445" t="inlineStr">
        <is>
          <t>Procurement Order</t>
        </is>
      </c>
      <c r="D445" s="3">
        <v>45910.71853009259</v>
      </c>
      <c r="E445" s="3">
        <v>45916.433125</v>
      </c>
      <c r="F445" t="inlineStr">
        <is>
          <t>Fatima Kathleen M. FLores</t>
        </is>
      </c>
      <c r="G445" t="inlineStr">
        <is>
          <t>Procurement</t>
        </is>
      </c>
      <c r="H445"/>
      <c r="I445"/>
      <c r="J445" t="inlineStr">
        <is>
          <t>Project</t>
        </is>
      </c>
      <c r="K445" t="inlineStr">
        <is>
          <t>PDEI - Event Service</t>
        </is>
      </c>
      <c r="L445" t="inlineStr">
        <is>
          <t>MPL PH S16 - Regular Season</t>
        </is>
      </c>
      <c r="M445" t="inlineStr">
        <is>
          <t>2025TEG-P0214</t>
        </is>
      </c>
      <c r="N445" t="inlineStr">
        <is>
          <t>Jessica Jane Lor Felicilda</t>
        </is>
      </c>
      <c r="O445" t="inlineStr">
        <is>
          <t>202507280029-Jessica Jane Lor Felicilda-费用报销 - 副本 - 副本 - 副本-2025-07-28 04:11:06</t>
        </is>
      </c>
      <c r="P445" t="inlineStr">
        <is>
          <t>YES</t>
        </is>
      </c>
      <c r="Q445"/>
      <c r="R445" t="inlineStr">
        <is>
          <t>YES</t>
        </is>
      </c>
      <c r="S445" t="inlineStr">
        <is>
          <t>Outsourced Spinner</t>
        </is>
      </c>
      <c r="T445">
        <v>1</v>
      </c>
      <c r="U445">
        <v>50000</v>
      </c>
      <c r="V445" t="inlineStr">
        <is>
          <t>PHP</t>
        </is>
      </c>
      <c r="W445">
        <v>50000</v>
      </c>
      <c r="X445" s="2" t="str">
        <f>=HYPERLINK("https://www.larksuite.com/approval/admin/previewAttachment?key=PMgxCkJBDATQK02SyU7iZWz-sohiJX5s9uyChe0bZRiVFqPBNm_YVrKiBhU0ZHtB27dJDZks93yua_H04uNY9-mfd-7zdqz5smy5Q0FGAbDL30Mkuwfxc3wDAAD__w", "2 attachment(s)")</f>
        <v>2 attachment(s)</v>
      </c>
      <c r="Y445" t="inlineStr">
        <is>
          <t>Bank Transfer</t>
        </is>
      </c>
      <c r="Z445" t="inlineStr">
        <is>
          <t>Eliah Ysabella Gomez Regio</t>
        </is>
      </c>
      <c r="AA445" t="inlineStr">
        <is>
          <t>09155882344</t>
        </is>
      </c>
      <c r="AB445" t="inlineStr">
        <is>
          <t>Gcash</t>
        </is>
      </c>
      <c r="AC445" t="inlineStr">
        <is>
          <t>Tropics 4 Filinvest East Homes Cainta, Rizal</t>
        </is>
      </c>
      <c r="AD445" s="4">
        <v>45889</v>
      </c>
      <c r="AE445" t="inlineStr">
        <is>
          <t>1st Payment - Sept. 19, 2025
2nd Payment - Oct. 3, 2025
3rd Payment - Oct. 24, 2025
4th Payment - Nov. 14, 2025
Final Payment - Nov. 28, 2025</t>
        </is>
      </c>
      <c r="AF445" s="2"/>
      <c r="AG445" t="inlineStr">
        <is>
          <t>NzQyNTk5MTgyNzQ4MTg3MDM0MTpBRTc3RTdFNS1BOTE2LTREMkMtQjU4Ny1BQUMxRkFDN0VFNUItMTpkMWM3NGMzMDYxZDZmYzYxZjQzNDlmM2RjODU0NWExZTox</t>
        </is>
      </c>
      <c r="AH445" t="inlineStr">
        <is>
          <t>Eliah Ysabella Gomez Regio</t>
        </is>
      </c>
      <c r="AI445"/>
      <c r="AJ445"/>
      <c r="AK445"/>
    </row>
    <row r="446" ht="25.5" customHeight="1">
      <c r="A446" s="2" t="str">
        <f>=HYPERLINK("https://applink.larksuite.com/client/mini_program/open?appId=cli_9c7cc8a9a9edd105&amp;mode=appCenter&amp;path_pc=pc/pages/requested/index?instanceId=7548397316571398175&amp;source=bitable&amp;path=pages/detail/index?instanceId=7548397316571398175&amp;source=bitable", "202509100107")</f>
        <v>202509100107</v>
      </c>
      <c r="B446" t="inlineStr">
        <is>
          <t>Approved</t>
        </is>
      </c>
      <c r="C446" t="inlineStr">
        <is>
          <t>Procurement Order</t>
        </is>
      </c>
      <c r="D446" s="3">
        <v>45910.74774305556</v>
      </c>
      <c r="E446" s="3">
        <v>45911.44149305556</v>
      </c>
      <c r="F446" t="inlineStr">
        <is>
          <t>Fatima Kathleen M. FLores</t>
        </is>
      </c>
      <c r="G446" t="inlineStr">
        <is>
          <t>Procurement</t>
        </is>
      </c>
      <c r="H446"/>
      <c r="I446"/>
      <c r="J446" t="inlineStr">
        <is>
          <t>Project</t>
        </is>
      </c>
      <c r="K446" t="inlineStr">
        <is>
          <t>PDEI - Event Service</t>
        </is>
      </c>
      <c r="L446" t="inlineStr">
        <is>
          <t>MPL PH S16 - Regular Season</t>
        </is>
      </c>
      <c r="M446" t="inlineStr">
        <is>
          <t>2025TEG-P0214</t>
        </is>
      </c>
      <c r="N446" t="inlineStr">
        <is>
          <t>Jessica Jane Lor Felicilda</t>
        </is>
      </c>
      <c r="O446" t="inlineStr">
        <is>
          <t>202507280023-Jessica Jane Lor Felicilda-费用报销 - 副本 - 副本 - 副本-2025-07-28 03:30:06</t>
        </is>
      </c>
      <c r="P446" t="inlineStr">
        <is>
          <t>YES</t>
        </is>
      </c>
      <c r="Q446"/>
      <c r="R446" t="inlineStr">
        <is>
          <t>NO</t>
        </is>
      </c>
      <c r="S446" t="inlineStr">
        <is>
          <t>Outsourced Video Producer</t>
        </is>
      </c>
      <c r="T446">
        <v>1</v>
      </c>
      <c r="U446">
        <v>66000</v>
      </c>
      <c r="V446" t="inlineStr">
        <is>
          <t>PHP</t>
        </is>
      </c>
      <c r="W446">
        <v>66000</v>
      </c>
      <c r="X446" s="2" t="str">
        <f>=HYPERLINK("https://www.larksuite.com/approval/admin/previewAttachment?key=PMg7CoJBDATgK81skp3Ey9js8iO-GkFscnbBwvabScwM2ix4cRTYCk8rGWeIVklFj6ZUEMXo_TjOEWtnPmPdP9e8qd-XdewXozQGZO6WAHj6u8ndq6bj5_gGAAD__w", "2 attachment(s)")</f>
        <v>2 attachment(s)</v>
      </c>
      <c r="Y446" t="inlineStr">
        <is>
          <t>Bank Transfer</t>
        </is>
      </c>
      <c r="Z446" t="inlineStr">
        <is>
          <t>Sandra Ortiz</t>
        </is>
      </c>
      <c r="AA446" t="inlineStr">
        <is>
          <t>09610537362</t>
        </is>
      </c>
      <c r="AB446" t="inlineStr">
        <is>
          <t>Gcash</t>
        </is>
      </c>
      <c r="AC446" t="inlineStr">
        <is>
          <t>3477 Magistrado Torres St Bacood Sta. Mesa Manila</t>
        </is>
      </c>
      <c r="AD446" s="4">
        <v>45889</v>
      </c>
      <c r="AE446" t="inlineStr">
        <is>
          <t>1st Payment - Sept. 19, 2025
2nd Payment - Oct. 17, 2025
3rd Payment - Oct. 31, 2025
Final Payment - Nov. 21, 2025</t>
        </is>
      </c>
      <c r="AF446" s="2"/>
      <c r="AG446" t="inlineStr">
        <is>
          <t>NzQyNTk5MTgyNzQ4MTg3MDM0MTo5RjYzQ0U3My0zNEY1LTRCNTgtOTdCMC1CNzVFNzE0MjM0RjYtMTo3OGQ5YjRkZmY3NmE2YTFjYmJiZmY1MzU2ODQ4OWIxYzox</t>
        </is>
      </c>
      <c r="AH446" t="inlineStr">
        <is>
          <t>Sandra Ortiz</t>
        </is>
      </c>
      <c r="AI446"/>
      <c r="AJ446"/>
      <c r="AK446"/>
    </row>
    <row r="447" ht="25.5" customHeight="1">
      <c r="A447" s="2" t="str">
        <f>=HYPERLINK("https://applink.larksuite.com/client/mini_program/open?appId=cli_9c7cc8a9a9edd105&amp;mode=appCenter&amp;path_pc=pc/pages/requested/index?instanceId=7548399650861072415&amp;source=bitable&amp;path=pages/detail/index?instanceId=7548399650861072415&amp;source=bitable", "202509100108")</f>
        <v>202509100108</v>
      </c>
      <c r="B447" t="inlineStr">
        <is>
          <t>Approved</t>
        </is>
      </c>
      <c r="C447" t="inlineStr">
        <is>
          <t>Procurement Order</t>
        </is>
      </c>
      <c r="D447" s="3">
        <v>45910.75403935185</v>
      </c>
      <c r="E447" s="3">
        <v>45911.735289351855</v>
      </c>
      <c r="F447" t="inlineStr">
        <is>
          <t>Fatima Kathleen M. FLores</t>
        </is>
      </c>
      <c r="G447" t="inlineStr">
        <is>
          <t>Procurement</t>
        </is>
      </c>
      <c r="H447"/>
      <c r="I447"/>
      <c r="J447" t="inlineStr">
        <is>
          <t>Project</t>
        </is>
      </c>
      <c r="K447" t="inlineStr">
        <is>
          <t>PDEI - Event Service</t>
        </is>
      </c>
      <c r="L447" t="inlineStr">
        <is>
          <t>MPL PH S16 - Regular Season</t>
        </is>
      </c>
      <c r="M447" t="inlineStr">
        <is>
          <t>2025TEG-P0214</t>
        </is>
      </c>
      <c r="N447" t="inlineStr">
        <is>
          <t>Anteaus Villena</t>
        </is>
      </c>
      <c r="O447" t="inlineStr">
        <is>
          <t>202507280023-Jessica Jane Lor Felicilda-费用报销 - 副本 - 副本 - 副本-2025-07-28 03:30:06</t>
        </is>
      </c>
      <c r="P447" t="inlineStr">
        <is>
          <t>YES</t>
        </is>
      </c>
      <c r="Q447"/>
      <c r="R447" t="inlineStr">
        <is>
          <t>YES</t>
        </is>
      </c>
      <c r="S447" t="inlineStr">
        <is>
          <t>Outsourced  Assistant Talent Manager</t>
        </is>
      </c>
      <c r="T447">
        <v>1</v>
      </c>
      <c r="U447">
        <v>48000</v>
      </c>
      <c r="V447" t="inlineStr">
        <is>
          <t>PHP</t>
        </is>
      </c>
      <c r="W447">
        <v>48000</v>
      </c>
      <c r="X447" s="2" t="str">
        <f>=HYPERLINK("https://www.larksuite.com/approval/admin/previewAttachment?key=PMg5CgJBFATQK1X1r795GROHxoWJZAYM-uyCgemLIqKcFg01R4MrXWXd4aggcoi-xmJmI5n0te3zenzmWaV62vGq_bHO-21ub3rnGEiTrADw8ndLSd0h_BzfAAAA__8", "2 attachment(s)")</f>
        <v>2 attachment(s)</v>
      </c>
      <c r="Y447" t="inlineStr">
        <is>
          <t>Bank Transfer</t>
        </is>
      </c>
      <c r="Z447" t="inlineStr">
        <is>
          <t>Khian Charles Mendoza</t>
        </is>
      </c>
      <c r="AA447" t="inlineStr">
        <is>
          <t>09679184737</t>
        </is>
      </c>
      <c r="AB447" t="inlineStr">
        <is>
          <t>PayMaya</t>
        </is>
      </c>
      <c r="AC447" t="inlineStr">
        <is>
          <t>1264, Ilang-Ilang Street. Malaria Tala Caloocan City</t>
        </is>
      </c>
      <c r="AD447" s="4">
        <v>45877</v>
      </c>
      <c r="AE447" t="inlineStr">
        <is>
          <t>1st Payment - Sept. 12, 2025
2nd Payment - Oct. 3, 2025
3rd Payment - Oct. 24, 2025
4th Payment - Nov. 14, 2025
Final Payment - Nov. 28, 2025</t>
        </is>
      </c>
      <c r="AF447" s="2"/>
      <c r="AG447" t="inlineStr">
        <is>
          <t>NzQyNTk5MTgyNzQ4MTg3MDM0MTo1RjRFRENFMi1BRUNFLTQ3QzUtQTU1RS03NjA3OTRGMUVDRDYtMToxMzVkZDkwNzU0OTQ3NGFjZTU0ZjIxYjQyZWVkMDU3NTox</t>
        </is>
      </c>
      <c r="AH447" t="inlineStr">
        <is>
          <t>Khian Charles Mendoza</t>
        </is>
      </c>
      <c r="AI447"/>
      <c r="AJ447"/>
      <c r="AK447"/>
    </row>
    <row r="448" ht="25.5" customHeight="1">
      <c r="A448" s="2" t="str">
        <f>=HYPERLINK("https://applink.larksuite.com/client/mini_program/open?appId=cli_9c7cc8a9a9edd105&amp;mode=appCenter&amp;path_pc=pc/pages/requested/index?instanceId=7548400533359378470&amp;source=bitable&amp;path=pages/detail/index?instanceId=7548400533359378470&amp;source=bitable", "202509100110")</f>
        <v>202509100110</v>
      </c>
      <c r="B448" t="inlineStr">
        <is>
          <t>Approved</t>
        </is>
      </c>
      <c r="C448" t="inlineStr">
        <is>
          <t>Procurement Order</t>
        </is>
      </c>
      <c r="D448" s="3">
        <v>45910.75641203704</v>
      </c>
      <c r="E448" s="3">
        <v>45911.44020833333</v>
      </c>
      <c r="F448" t="inlineStr">
        <is>
          <t>Fatima Kathleen M. FLores</t>
        </is>
      </c>
      <c r="G448" t="inlineStr">
        <is>
          <t>Procurement</t>
        </is>
      </c>
      <c r="H448"/>
      <c r="I448"/>
      <c r="J448" t="inlineStr">
        <is>
          <t>Project</t>
        </is>
      </c>
      <c r="K448" t="inlineStr">
        <is>
          <t>PDEI - Event Service</t>
        </is>
      </c>
      <c r="L448" t="inlineStr">
        <is>
          <t>MPL PH S16 - Regular Season</t>
        </is>
      </c>
      <c r="M448" t="inlineStr">
        <is>
          <t>2025TEG-P0214</t>
        </is>
      </c>
      <c r="N448" t="inlineStr">
        <is>
          <t>Jessica Jane Lor Felicilda</t>
        </is>
      </c>
      <c r="O448" t="inlineStr">
        <is>
          <t>202507280023-Jessica Jane Lor Felicilda-费用报销 - 副本 - 副本 - 副本-2025-07-28 03:30:06</t>
        </is>
      </c>
      <c r="P448" t="inlineStr">
        <is>
          <t>YES</t>
        </is>
      </c>
      <c r="Q448"/>
      <c r="R448" t="inlineStr">
        <is>
          <t>NO</t>
        </is>
      </c>
      <c r="S448" t="inlineStr">
        <is>
          <t>Outsourced Talent Manager</t>
        </is>
      </c>
      <c r="T448">
        <v>1</v>
      </c>
      <c r="U448">
        <v>87000</v>
      </c>
      <c r="V448" t="inlineStr">
        <is>
          <t>PHP</t>
        </is>
      </c>
      <c r="W448">
        <v>87000</v>
      </c>
      <c r="X448" s="2" t="str">
        <f>=HYPERLINK("https://www.larksuite.com/approval/admin/previewAttachment?key=PMgxCgIxFATQK83Pn5_JeBmbDYsurgiCXc4uWNi-PgJ9VGQ36GhGLBUHgcrMcmpQWG2FZCgUtea5X49zhufmQ6-8P57rc9v2-Y6yWoOSzAEgLn9PkbQ78XN8AwAA__8", "2 attachment(s)")</f>
        <v>2 attachment(s)</v>
      </c>
      <c r="Y448" t="inlineStr">
        <is>
          <t>Bank Transfer</t>
        </is>
      </c>
      <c r="Z448" t="inlineStr">
        <is>
          <t>Aislinn Soriaga</t>
        </is>
      </c>
      <c r="AA448" t="inlineStr">
        <is>
          <t>1093-2608-7780</t>
        </is>
      </c>
      <c r="AB448" t="inlineStr">
        <is>
          <t>Unionbank</t>
        </is>
      </c>
      <c r="AC448" t="inlineStr">
        <is>
          <t>Avida Vita Towers - Tower 3, Vertis North, Brgy. Pag-Asa, Quezon City</t>
        </is>
      </c>
      <c r="AD448" s="4">
        <v>45898</v>
      </c>
      <c r="AE448" t="inlineStr">
        <is>
          <t>1st Payment - Sept. 12, 2025
2nd Payment - Oct. 3, 2025
3rd Payment - Oct. 24, 2025
4th Payment - Nov. 14, 2025
Final Payment - Nov. 28, 2025</t>
        </is>
      </c>
      <c r="AF448" s="2"/>
      <c r="AG448" t="inlineStr">
        <is>
          <t>NzQyNTk5MTgyNzQ4MTg3MDM0MTo0MEJBN0MzOC0wMzM0LTQ5RTQtQjU3QS01Qjk3Rjc4QzEwRDQtMTozODdmY2NiZjc2ZDhiZDcxOTY0M2E5NDY3ZjUzYWU0Yzox</t>
        </is>
      </c>
      <c r="AH448" t="inlineStr">
        <is>
          <t>Aislinn Soriaga</t>
        </is>
      </c>
      <c r="AI448"/>
      <c r="AJ448"/>
      <c r="AK448"/>
    </row>
    <row r="449" ht="25.5" customHeight="1">
      <c r="A449" s="2" t="str">
        <f>=HYPERLINK("https://applink.larksuite.com/client/mini_program/open?appId=cli_9c7cc8a9a9edd105&amp;mode=appCenter&amp;path_pc=pc/pages/requested/index?instanceId=7548403477559410719&amp;source=bitable&amp;path=pages/detail/index?instanceId=7548403477559410719&amp;source=bitable", "202509100112")</f>
        <v>202509100112</v>
      </c>
      <c r="B449" t="inlineStr">
        <is>
          <t>Approved</t>
        </is>
      </c>
      <c r="C449" t="inlineStr">
        <is>
          <t>Procurement Order</t>
        </is>
      </c>
      <c r="D449" s="3">
        <v>45910.76435185185</v>
      </c>
      <c r="E449" s="3">
        <v>45911.46842592592</v>
      </c>
      <c r="F449" t="inlineStr">
        <is>
          <t>Fatima Kathleen M. FLores</t>
        </is>
      </c>
      <c r="G449" t="inlineStr">
        <is>
          <t>Procurement</t>
        </is>
      </c>
      <c r="H449"/>
      <c r="I449"/>
      <c r="J449" t="inlineStr">
        <is>
          <t>Project</t>
        </is>
      </c>
      <c r="K449" t="inlineStr">
        <is>
          <t>PDEI - Event Service</t>
        </is>
      </c>
      <c r="L449" t="inlineStr">
        <is>
          <t>MDL PH S6 Qualifiers &amp; Regular Season</t>
        </is>
      </c>
      <c r="M449" t="inlineStr">
        <is>
          <t>2025TEG-P0200</t>
        </is>
      </c>
      <c r="N449" t="inlineStr">
        <is>
          <t>Kervin</t>
        </is>
      </c>
      <c r="O449" t="inlineStr">
        <is>
          <t>202509020017-Kervin-费用报销 - 副本 - 副本 - 副本-2025-09-02 04:22:40</t>
        </is>
      </c>
      <c r="P449" t="inlineStr">
        <is>
          <t>YES</t>
        </is>
      </c>
      <c r="Q449"/>
      <c r="R449" t="inlineStr">
        <is>
          <t>NO</t>
        </is>
      </c>
      <c r="S449" t="inlineStr">
        <is>
          <t>Outsourced Highlights / Replay Operator</t>
        </is>
      </c>
      <c r="T449">
        <v>1</v>
      </c>
      <c r="U449">
        <v>10000</v>
      </c>
      <c r="V449" t="inlineStr">
        <is>
          <t>PHP</t>
        </is>
      </c>
      <c r="W449">
        <v>10000</v>
      </c>
      <c r="X449" s="2" t="str">
        <f>=HYPERLINK("https://www.larksuite.com/approval/admin/previewAttachment?key=PMgxCgIxFATQK80k8zP_exmbDUEQRRC2y9kFi23fSGJksI-Ciq3A7VAKXXZEiTBrt027YJqx52vdU2fLWD7e8_OE9_k41vwyyq3BXeoJgLfLuyVVDeHv-AUAAP__", "3 attachment(s)")</f>
        <v>3 attachment(s)</v>
      </c>
      <c r="Y449" t="inlineStr">
        <is>
          <t>Bank Transfer</t>
        </is>
      </c>
      <c r="Z449" t="inlineStr">
        <is>
          <t>Kenneth Singian</t>
        </is>
      </c>
      <c r="AA449" t="inlineStr">
        <is>
          <t>09176559151</t>
        </is>
      </c>
      <c r="AB449" t="inlineStr">
        <is>
          <t>GCash</t>
        </is>
      </c>
      <c r="AC449" t="inlineStr">
        <is>
          <t>84 Montreal St. Cubao Quezon City</t>
        </is>
      </c>
      <c r="AD449" s="4">
        <v>45887</v>
      </c>
      <c r="AE449" t="inlineStr">
        <is>
          <t>100% Full Payment - Sept. 5, 2025</t>
        </is>
      </c>
      <c r="AF449" s="2"/>
      <c r="AG449" t="inlineStr">
        <is>
          <t>NzQyNTk5MTgyNzQ4MTg3MDM0MTo4QUU1NUJGMS1GNkI5LTQyQjUtQTFBQS03NUREOTdBODcyMTEtMTpjZDhmMTU4ODgwZTYyNGJjZDE3MzNjM2FmYzgwNzk4YTox</t>
        </is>
      </c>
      <c r="AH449" t="inlineStr">
        <is>
          <t>Kenneth Singian</t>
        </is>
      </c>
      <c r="AI449"/>
      <c r="AJ449"/>
      <c r="AK449"/>
    </row>
    <row r="450" ht="25.5" customHeight="1">
      <c r="A450" s="2" t="str">
        <f>=HYPERLINK("https://applink.larksuite.com/client/mini_program/open?appId=cli_9c7cc8a9a9edd105&amp;mode=appCenter&amp;path_pc=pc/pages/requested/index?instanceId=7548406306806595623&amp;source=bitable&amp;path=pages/detail/index?instanceId=7548406306806595623&amp;source=bitable", "202509100113")</f>
        <v>202509100113</v>
      </c>
      <c r="B450" t="inlineStr">
        <is>
          <t>Approved</t>
        </is>
      </c>
      <c r="C450" t="inlineStr">
        <is>
          <t>Procurement Order</t>
        </is>
      </c>
      <c r="D450" s="3">
        <v>45910.77197916667</v>
      </c>
      <c r="E450" s="3">
        <v>45916.44130787037</v>
      </c>
      <c r="F450" t="inlineStr">
        <is>
          <t>Fatima Kathleen M. FLores</t>
        </is>
      </c>
      <c r="G450" t="inlineStr">
        <is>
          <t>Procurement</t>
        </is>
      </c>
      <c r="H450"/>
      <c r="I450"/>
      <c r="J450" t="inlineStr">
        <is>
          <t>Project</t>
        </is>
      </c>
      <c r="K450" t="inlineStr">
        <is>
          <t>PDEI - Game Marketing</t>
        </is>
      </c>
      <c r="L450" t="inlineStr">
        <is>
          <t>Musso Philippines x PGDX Outpost by Mineski</t>
        </is>
      </c>
      <c r="M450" t="inlineStr">
        <is>
          <t>2025TEG-P0217</t>
        </is>
      </c>
      <c r="N450" t="inlineStr">
        <is>
          <t>Clifford Markus Ortiz Martinez</t>
        </is>
      </c>
      <c r="O450" t="inlineStr">
        <is>
          <t>202509020031-Clifford Markus Ortiz Martinez-费用报销 - 副本 - 副本 - 副本-2025-09-02 06:17:28</t>
        </is>
      </c>
      <c r="P450" t="inlineStr">
        <is>
          <t>YES</t>
        </is>
      </c>
      <c r="Q450"/>
      <c r="R450" t="inlineStr">
        <is>
          <t>YES</t>
        </is>
      </c>
      <c r="S450" t="inlineStr">
        <is>
          <t>Outsourced Talent Provider (Usher / Brand Ambassador)</t>
        </is>
      </c>
      <c r="T450">
        <v>1</v>
      </c>
      <c r="U450">
        <v>10000</v>
      </c>
      <c r="V450" t="inlineStr">
        <is>
          <t>PHP</t>
        </is>
      </c>
      <c r="W450">
        <v>10000</v>
      </c>
      <c r="X450" s="2" t="str">
        <f>=HYPERLINK("https://www.larksuite.com/approval/admin/previewAttachment?key=PMgxDsIwDAXQK_0ff9sxl2FpFSFVZUFUZMjZkRhYX3QiutOioGIrcKWrC2GIjvDyaLbaYmYhmfS1n-M-rzHfczs-T_HcjnU9trG_6JWtIU2yDoC3v1tKqgrh5_gGAAD__w", "2 attachment(s)")</f>
        <v>2 attachment(s)</v>
      </c>
      <c r="Y450" t="inlineStr">
        <is>
          <t>Bank Transfer</t>
        </is>
      </c>
      <c r="Z450" t="inlineStr">
        <is>
          <t>Michael Melchor M. Millendez</t>
        </is>
      </c>
      <c r="AA450" t="inlineStr">
        <is>
          <t>0072 5027 1552</t>
        </is>
      </c>
      <c r="AB450" t="inlineStr">
        <is>
          <t>BDO</t>
        </is>
      </c>
      <c r="AC450" t="inlineStr">
        <is>
          <t>Hampstead Place Nangka, Marikina</t>
        </is>
      </c>
      <c r="AD450" s="4">
        <v>45863</v>
      </c>
      <c r="AE450" t="inlineStr">
        <is>
          <t>100% Full Payment - Sept. 12, 2025</t>
        </is>
      </c>
      <c r="AF450" s="2"/>
      <c r="AG450" t="inlineStr">
        <is>
          <t>NzQyNTk5MTgyNzQ4MTg3MDM0MTpGNzc0NTBCMy02RjIyLTQ4NUMtOTJFMi04M0Y1MTAxMTU5RTMtMTo0OTNjNjA0NGIzYjc4MjYzNzMyYjVhYzA1MzM1NzFmNjox</t>
        </is>
      </c>
      <c r="AH450" t="inlineStr">
        <is>
          <t>Michael Melchor M. Millendez</t>
        </is>
      </c>
      <c r="AI450"/>
      <c r="AJ450"/>
      <c r="AK450"/>
    </row>
    <row r="451" ht="25.5" customHeight="1">
      <c r="A451" s="2" t="str">
        <f>=HYPERLINK("https://applink.larksuite.com/client/mini_program/open?appId=cli_9c7cc8a9a9edd105&amp;mode=appCenter&amp;path_pc=pc/pages/requested/index?instanceId=7548409401506267175&amp;source=bitable&amp;path=pages/detail/index?instanceId=7548409401506267175&amp;source=bitable", "202509100117")</f>
        <v>202509100117</v>
      </c>
      <c r="B451" t="inlineStr">
        <is>
          <t>Approved</t>
        </is>
      </c>
      <c r="C451" t="inlineStr">
        <is>
          <t>Procurement Order</t>
        </is>
      </c>
      <c r="D451" s="3">
        <v>45910.7803125</v>
      </c>
      <c r="E451" s="3">
        <v>45911.61497685185</v>
      </c>
      <c r="F451" t="inlineStr">
        <is>
          <t>Fatima Kathleen M. FLores</t>
        </is>
      </c>
      <c r="G451" t="inlineStr">
        <is>
          <t>Procurement</t>
        </is>
      </c>
      <c r="H451"/>
      <c r="I451"/>
      <c r="J451" t="inlineStr">
        <is>
          <t>Project</t>
        </is>
      </c>
      <c r="K451" t="inlineStr">
        <is>
          <t>GG - Event Service</t>
        </is>
      </c>
      <c r="L451" t="inlineStr">
        <is>
          <t>HOK Philippine Kings League - Fall Season</t>
        </is>
      </c>
      <c r="M451" t="inlineStr">
        <is>
          <t>2025TEG-P0219</t>
        </is>
      </c>
      <c r="N451" t="inlineStr">
        <is>
          <t>Carla Andrea Calma Crespo</t>
        </is>
      </c>
      <c r="O451" t="inlineStr">
        <is>
          <t>202509090019-Carla Andrea Calma Crespo-费用报销 - 副本 - 副本 - 副本-2025-09-09 03:10:11</t>
        </is>
      </c>
      <c r="P451" t="inlineStr">
        <is>
          <t>NO</t>
        </is>
      </c>
      <c r="Q451"/>
      <c r="R451" t="inlineStr">
        <is>
          <t>YES</t>
        </is>
      </c>
      <c r="S451" t="inlineStr">
        <is>
          <t>Event Wristbands with Security Cut</t>
        </is>
      </c>
      <c r="T451">
        <v>5600</v>
      </c>
      <c r="U451">
        <v>3.696</v>
      </c>
      <c r="V451" t="inlineStr">
        <is>
          <t>PHP</t>
        </is>
      </c>
      <c r="W451">
        <v>20697.6</v>
      </c>
      <c r="X451" s="2" t="str">
        <f>=HYPERLINK("https://www.larksuite.com/approval/admin/previewAttachment?key=PMg7igJhEATgK1X1X_3ay2ziMIhoJA5O0GcXDEy_KCLKuaKhpjU46SqhBTrCIpk-NsxsJJM-22P_Lx1Wp637-b7p5XNcL_v2pHeaIZe0CgD_fr5SUncIX8cnAAD__w", "2 attachment(s)")</f>
        <v>2 attachment(s)</v>
      </c>
      <c r="Y451" t="inlineStr">
        <is>
          <t>Bank Transfer</t>
        </is>
      </c>
      <c r="Z451" t="inlineStr">
        <is>
          <t>CLVISION ENTERPRISE</t>
        </is>
      </c>
      <c r="AA451" t="inlineStr">
        <is>
          <t>4470 – 0762 - 92</t>
        </is>
      </c>
      <c r="AB451" t="inlineStr">
        <is>
          <t>BPI</t>
        </is>
      </c>
      <c r="AC451" t="inlineStr">
        <is>
          <t>6B Kalapati Street, Villilia Village, Talipapa, QC</t>
        </is>
      </c>
      <c r="AD451" s="4">
        <v>45912</v>
      </c>
      <c r="AE451" t="inlineStr">
        <is>
          <t>100% Full Payment before pick-up</t>
        </is>
      </c>
      <c r="AF451" s="2"/>
      <c r="AG451" t="inlineStr">
        <is>
          <t>NzQyNTk5MTgyNzQ4MTg3MDM0MTo5RDZBQ0Y0Ny05NDlFLTQ3OTgtOTU4Ni0zNTgwRERGQjhCQjUtMTpkZTEzZDExNjUxZjlkMTFjN2IxNWI3YmZiZDk3OTliNjox</t>
        </is>
      </c>
      <c r="AH451" t="inlineStr">
        <is>
          <t>CLVISION ENTERPRISE</t>
        </is>
      </c>
      <c r="AI451"/>
      <c r="AJ451"/>
      <c r="AK451"/>
    </row>
    <row r="452" ht="25.5" customHeight="1">
      <c r="A452" s="2" t="str">
        <f>=HYPERLINK("https://applink.larksuite.com/client/mini_program/open?appId=cli_9c7cc8a9a9edd105&amp;mode=appCenter&amp;path_pc=pc/pages/requested/index?instanceId=7548410804882685990&amp;source=bitable&amp;path=pages/detail/index?instanceId=7548410804882685990&amp;source=bitable", "202509100118")</f>
        <v>202509100118</v>
      </c>
      <c r="B452" t="inlineStr">
        <is>
          <t>Approved</t>
        </is>
      </c>
      <c r="C452" t="inlineStr">
        <is>
          <t>Procurement Order</t>
        </is>
      </c>
      <c r="D452" s="3">
        <v>45910.784097222226</v>
      </c>
      <c r="E452" s="3">
        <v>45911.463530092595</v>
      </c>
      <c r="F452" t="inlineStr">
        <is>
          <t>Fatima Kathleen M. FLores</t>
        </is>
      </c>
      <c r="G452" t="inlineStr">
        <is>
          <t>Procurement</t>
        </is>
      </c>
      <c r="H452"/>
      <c r="I452"/>
      <c r="J452" t="inlineStr">
        <is>
          <t>Project</t>
        </is>
      </c>
      <c r="K452" t="inlineStr">
        <is>
          <t>PDEI - Event Service</t>
        </is>
      </c>
      <c r="L452" t="inlineStr">
        <is>
          <t>MPL PH S16 - Regular Season</t>
        </is>
      </c>
      <c r="M452" t="inlineStr">
        <is>
          <t>2025TEG-P0214</t>
        </is>
      </c>
      <c r="N452" t="inlineStr">
        <is>
          <t>Jessica Jane Lor Felicilda</t>
        </is>
      </c>
      <c r="O452" t="inlineStr">
        <is>
          <t>202508220019-Jessica Jane Lor Felicilda-费用报销 - 副本 - 副本 - 副本-2025-08-22 04:09:16</t>
        </is>
      </c>
      <c r="P452" t="inlineStr">
        <is>
          <t>NO</t>
        </is>
      </c>
      <c r="Q452"/>
      <c r="R452" t="inlineStr">
        <is>
          <t>NO</t>
        </is>
      </c>
      <c r="S452" t="inlineStr">
        <is>
          <t>Reserved Parking (15 - 20 - 15 slots / Week 4 - Sept. 12 to 14, 2025)</t>
        </is>
      </c>
      <c r="T452">
        <v>1</v>
      </c>
      <c r="U452">
        <v>15500</v>
      </c>
      <c r="V452" t="inlineStr">
        <is>
          <t>PHP</t>
        </is>
      </c>
      <c r="W452">
        <v>15500</v>
      </c>
      <c r="X452" s="2" t="str">
        <f>=HYPERLINK("https://www.larksuite.com/approval/admin/previewAttachment?key=PMg9qkIxFATgLc0kc_7eZl6TcBHhgiAqFmftgoXt50l4GqcXVBwFdphSREKZw9Oq0KMZUQgGrfd5_JutnS--r-djr9vs52Ud-06rGAMxpZkA-PfzGZKqXPg6PgEAAP__", "2 attachment(s)")</f>
        <v>2 attachment(s)</v>
      </c>
      <c r="Y452" t="inlineStr">
        <is>
          <t>Bank Transfer</t>
        </is>
      </c>
      <c r="Z452" t="inlineStr">
        <is>
          <t>Ecotechland, Inc.</t>
        </is>
      </c>
      <c r="AA452" t="inlineStr">
        <is>
          <t>001450007951</t>
        </is>
      </c>
      <c r="AB452" t="inlineStr">
        <is>
          <t>BDO</t>
        </is>
      </c>
      <c r="AC452" t="inlineStr">
        <is>
          <t>Mezzanine Floor, Ecoplaza Building, 2305 Don Chino Roces Ave. Extension, Brgy. Magallanes, Makati City</t>
        </is>
      </c>
      <c r="AD452" s="4">
        <v>45912</v>
      </c>
      <c r="AE452" t="inlineStr">
        <is>
          <t>100% Full Payment</t>
        </is>
      </c>
      <c r="AF452" s="2" t="str">
        <f>=HYPERLINK("https://www.larksuite.com/approval/admin/previewAttachment?key=TMg9ikJBEATgK1XN9E_1XmaTGR4iPBBExaDPLhiZfiEi5JxRsOIosNNNRggmjZBXoUczs5BMeu_z-HdfWy--r-djr9vs52Ud-87QDFi5GQsA_36cRGnG_Do-AQAA__8", "1 attachment(s)")</f>
        <v>1 attachment(s)</v>
      </c>
      <c r="AG452" t="inlineStr">
        <is>
          <t>NzQyNTk5MTgyNzQ4MTg3MDM0MTpFN0YwNDMyMi01MzExLTRGQTctQTI2NS0wRUJBN0QyNkIxMUQtMTo4M2E4MTFiMTcxMmM0OTAyMWFmZjE2Mjc4ZjM2Yzg5NDox</t>
        </is>
      </c>
      <c r="AH452" t="inlineStr">
        <is>
          <t>Ecotechland, Inc.</t>
        </is>
      </c>
      <c r="AI452"/>
      <c r="AJ452"/>
      <c r="AK452"/>
    </row>
    <row r="453" ht="25.5" customHeight="1">
      <c r="A453" s="2" t="str">
        <f>=HYPERLINK("https://applink.larksuite.com/client/mini_program/open?appId=cli_9c7cc8a9a9edd105&amp;mode=appCenter&amp;path_pc=pc/pages/requested/index?instanceId=7548679700260880423&amp;source=bitable&amp;path=pages/detail/index?instanceId=7548679700260880423&amp;source=bitable", "202509110029")</f>
        <v>202509110029</v>
      </c>
      <c r="B453" t="inlineStr">
        <is>
          <t>Recalled</t>
        </is>
      </c>
      <c r="C453" t="inlineStr">
        <is>
          <t>Procurement Order</t>
        </is>
      </c>
      <c r="D453" s="3">
        <v>45911.50871527778</v>
      </c>
      <c r="E453" s="3">
        <v>45911.61170138889</v>
      </c>
      <c r="F453" t="inlineStr">
        <is>
          <t>Fatima Kathleen M. FLores</t>
        </is>
      </c>
      <c r="G453" t="inlineStr">
        <is>
          <t>Procurement</t>
        </is>
      </c>
      <c r="H453"/>
      <c r="I453"/>
      <c r="J453" t="inlineStr">
        <is>
          <t>Project</t>
        </is>
      </c>
      <c r="K453" t="inlineStr">
        <is>
          <t>GG - Event Service</t>
        </is>
      </c>
      <c r="L453" t="inlineStr">
        <is>
          <t>HOK Philippine Kings League - Fall Season</t>
        </is>
      </c>
      <c r="M453" t="inlineStr">
        <is>
          <t>2025TEG-P0219</t>
        </is>
      </c>
      <c r="N453" t="inlineStr">
        <is>
          <t>Carla Andrea Calma Crespo</t>
        </is>
      </c>
      <c r="O453" t="inlineStr">
        <is>
          <t>202509010118-Carla Andrea Calma Crespo-费用报销 - 副本 - 副本 - 副本-2025-09-01 09:52:30</t>
        </is>
      </c>
      <c r="P453" t="inlineStr">
        <is>
          <t>YES</t>
        </is>
      </c>
      <c r="Q453"/>
      <c r="R453" t="inlineStr">
        <is>
          <t>NO</t>
        </is>
      </c>
      <c r="S453" t="inlineStr">
        <is>
          <t>Outsourced Social Media Manager</t>
        </is>
      </c>
      <c r="T453">
        <v>1</v>
      </c>
      <c r="U453">
        <v>62500</v>
      </c>
      <c r="V453" t="inlineStr">
        <is>
          <t>PHP</t>
        </is>
      </c>
      <c r="W453">
        <v>62500</v>
      </c>
      <c r="X453" s="2" t="str">
        <f>=HYPERLINK("https://www.larksuite.com/approval/admin/previewAttachment?key=PMgxCgJBDAXQK_2fZPITL2Ozy2ChNsLAFnN2wcL2ZRFZg56NaFqDWyMq1QIsUYUw37YpNURx7PM179eal7nbMd7rybXX45jnh6NlBnmEFwDe_u6KiO4M_BzfAAAA__8", "2 attachment(s)")</f>
        <v>2 attachment(s)</v>
      </c>
      <c r="Y453" t="inlineStr">
        <is>
          <t>Bank Transfer</t>
        </is>
      </c>
      <c r="Z453" t="inlineStr">
        <is>
          <t>Kathleen Chryss D Calajate</t>
        </is>
      </c>
      <c r="AA453" t="inlineStr">
        <is>
          <t>1999219329</t>
        </is>
      </c>
      <c r="AB453" t="inlineStr">
        <is>
          <t>BPI</t>
        </is>
      </c>
      <c r="AC453" t="inlineStr">
        <is>
          <t>JA 112, KM3, Brgy. Balili, La Trinidad, Benguet</t>
        </is>
      </c>
      <c r="AD453" s="4">
        <v>45887</v>
      </c>
      <c r="AE453" t="inlineStr">
        <is>
          <t>1st Payment - Sept. 12, 2025
2nd Payment - Oct. 3, 2025
3rd Payment - Oct. 24, 2025
Final Payment - Nov. 14, 2025</t>
        </is>
      </c>
      <c r="AF453" s="2"/>
      <c r="AG453" t="inlineStr">
        <is>
          <t>NzQyNTk5MTgyNzQ4MTg3MDM0MToyNTMxRkI0Ri1GRTYwLTQyMUUtOUExNi1BRUE4QjgzNjYxRDMtMTo4YjRiYWNjMjk4MTgxNTJjMmVmN2JlMjUwOWEyMTE0MDox</t>
        </is>
      </c>
      <c r="AH453" t="inlineStr">
        <is>
          <t>Kathleen Chryss D Calajate</t>
        </is>
      </c>
      <c r="AI453"/>
      <c r="AJ453"/>
      <c r="AK453"/>
    </row>
    <row r="454" ht="25.5" customHeight="1">
      <c r="A454" s="2" t="str">
        <f>=HYPERLINK("https://applink.larksuite.com/client/mini_program/open?appId=cli_9c7cc8a9a9edd105&amp;mode=appCenter&amp;path_pc=pc/pages/requested/index?instanceId=7548681664763822118&amp;source=bitable&amp;path=pages/detail/index?instanceId=7548681664763822118&amp;source=bitable", "202509110031")</f>
        <v>202509110031</v>
      </c>
      <c r="B454" t="inlineStr">
        <is>
          <t>Approved</t>
        </is>
      </c>
      <c r="C454" t="inlineStr">
        <is>
          <t>Procurement Order</t>
        </is>
      </c>
      <c r="D454" s="3">
        <v>45911.514016203706</v>
      </c>
      <c r="E454" s="3">
        <v>45911.61724537037</v>
      </c>
      <c r="F454" t="inlineStr">
        <is>
          <t>Fatima Kathleen M. FLores</t>
        </is>
      </c>
      <c r="G454" t="inlineStr">
        <is>
          <t>Procurement</t>
        </is>
      </c>
      <c r="H454"/>
      <c r="I454"/>
      <c r="J454" t="inlineStr">
        <is>
          <t>Project</t>
        </is>
      </c>
      <c r="K454" t="inlineStr">
        <is>
          <t>GG - Event Service</t>
        </is>
      </c>
      <c r="L454" t="inlineStr">
        <is>
          <t>HOK Philippine Kings League - Fall Season</t>
        </is>
      </c>
      <c r="M454" t="inlineStr">
        <is>
          <t>2025TEG-P0219</t>
        </is>
      </c>
      <c r="N454" t="inlineStr">
        <is>
          <t>Carla Andrea Calma Crespo</t>
        </is>
      </c>
      <c r="O454" t="inlineStr">
        <is>
          <t>202509010115-Carla Andrea Calma Crespo-费用报销 - 副本 - 副本 - 副本-2025-09-01 09:29:19</t>
        </is>
      </c>
      <c r="P454" t="inlineStr">
        <is>
          <t>YES</t>
        </is>
      </c>
      <c r="Q454"/>
      <c r="R454" t="inlineStr">
        <is>
          <t>NO</t>
        </is>
      </c>
      <c r="S454" t="inlineStr">
        <is>
          <t>Outsourced Graphic Artist</t>
        </is>
      </c>
      <c r="T454">
        <v>1</v>
      </c>
      <c r="U454">
        <v>30000</v>
      </c>
      <c r="V454" t="inlineStr">
        <is>
          <t>PHP</t>
        </is>
      </c>
      <c r="W454">
        <v>30000</v>
      </c>
      <c r="X454" s="2" t="str">
        <f>=HYPERLINK("https://www.larksuite.com/approval/admin/previewAttachment?key=PMg7CsJgEATgK83se72MTX6CCqnEpNqzCxa2XxQR5dRoWFManHSrKEZYhpYIWSPDzEYy6bOO_e6-retzlL3OC0-d87Ht603vFEGqmRYA3v6uaWbdYfg5vgEAAP__", "2 attachment(s)")</f>
        <v>2 attachment(s)</v>
      </c>
      <c r="Y454" t="inlineStr">
        <is>
          <t>Bank Transfer</t>
        </is>
      </c>
      <c r="Z454" t="inlineStr">
        <is>
          <t>Jan Nikolai Esporlas</t>
        </is>
      </c>
      <c r="AA454" t="inlineStr">
        <is>
          <t>2859296672</t>
        </is>
      </c>
      <c r="AB454" t="inlineStr">
        <is>
          <t>BPI</t>
        </is>
      </c>
      <c r="AC454" t="inlineStr">
        <is>
          <t>Blk 4 Lot 6, Cerritos Heights, Molino 4, Bacoor City, Cavite</t>
        </is>
      </c>
      <c r="AD454" s="4">
        <v>45884</v>
      </c>
      <c r="AE454" t="inlineStr">
        <is>
          <t>1st Payment - Sept. 12, 2025
2nd Payment - Oct. 3, 2025
3rd Payment - Oct. 24, 2025
Final Payment - Nov. 14, 2025</t>
        </is>
      </c>
      <c r="AF454" s="2"/>
      <c r="AG454" t="inlineStr">
        <is>
          <t>NzQyNTk5MTgyNzQ4MTg3MDM0MTpDNjM2QTMzRC1DOEI0LTQ0MjctQUYzMy1GM0M0MkRERTQ3M0UtMTo2OWE4NTkxMTQ4YWEzNWFjY2Y5NTk2YmFjNGRjZTFlZDox</t>
        </is>
      </c>
      <c r="AH454" t="inlineStr">
        <is>
          <t>Jan Nikolai Esporlas</t>
        </is>
      </c>
      <c r="AI454"/>
      <c r="AJ454"/>
      <c r="AK454"/>
    </row>
    <row r="455" ht="25.5" customHeight="1">
      <c r="A455" s="2" t="str">
        <f>=HYPERLINK("https://applink.larksuite.com/client/mini_program/open?appId=cli_9c7cc8a9a9edd105&amp;mode=appCenter&amp;path_pc=pc/pages/requested/index?instanceId=7548711174641057830&amp;source=bitable&amp;path=pages/detail/index?instanceId=7548711174641057830&amp;source=bitable", "202509110052")</f>
        <v>202509110052</v>
      </c>
      <c r="B455" t="inlineStr">
        <is>
          <t>Approved</t>
        </is>
      </c>
      <c r="C455" t="inlineStr">
        <is>
          <t>Procurement Order</t>
        </is>
      </c>
      <c r="D455" s="3">
        <v>45911.59353009259</v>
      </c>
      <c r="E455" s="3">
        <v>45911.61821759259</v>
      </c>
      <c r="F455" t="inlineStr">
        <is>
          <t>Fatima Kathleen M. FLores</t>
        </is>
      </c>
      <c r="G455" t="inlineStr">
        <is>
          <t>Procurement</t>
        </is>
      </c>
      <c r="H455"/>
      <c r="I455"/>
      <c r="J455" t="inlineStr">
        <is>
          <t>Project</t>
        </is>
      </c>
      <c r="K455" t="inlineStr">
        <is>
          <t>GG - Event Service</t>
        </is>
      </c>
      <c r="L455" t="inlineStr">
        <is>
          <t>HOK Philippine Kings League - Fall Season</t>
        </is>
      </c>
      <c r="M455" t="inlineStr">
        <is>
          <t>2025TEG-P0219</t>
        </is>
      </c>
      <c r="N455" t="inlineStr">
        <is>
          <t>Reign Santos Fortea</t>
        </is>
      </c>
      <c r="O455" t="inlineStr">
        <is>
          <t>202508210070-Reign Santos Fortea-费用报销 - 副本 - 副本 - 副本-2025-08-21 10:43:51</t>
        </is>
      </c>
      <c r="P455" t="inlineStr">
        <is>
          <t>NO</t>
        </is>
      </c>
      <c r="Q455"/>
      <c r="R455" t="inlineStr">
        <is>
          <t>NO</t>
        </is>
      </c>
      <c r="S455" t="inlineStr">
        <is>
          <t>Crew Meals - Week 1 (Aug. 29 to 31, 2025)</t>
        </is>
      </c>
      <c r="T455">
        <v>689</v>
      </c>
      <c r="U455">
        <v>115</v>
      </c>
      <c r="V455" t="inlineStr">
        <is>
          <t>PHP</t>
        </is>
      </c>
      <c r="W455">
        <v>79235</v>
      </c>
      <c r="X455" s="2" t="str">
        <f>=HYPERLINK("https://www.larksuite.com/approval/admin/previewAttachment?key=PMgxDgIhFATQK83AwPC9jI2EuJusjQndP7uJxbavD6KPxtoDCpYA003DJK0uonlUZEnaAdNsOa_1PK_JpeNTjqW9z9zv15pftnApcJXqAMDH7dWSIrrwd_wCAAD__w", "2 attachment(s)")</f>
        <v>2 attachment(s)</v>
      </c>
      <c r="Y455" t="inlineStr">
        <is>
          <t>Bank Transfer</t>
        </is>
      </c>
      <c r="Z455" t="inlineStr">
        <is>
          <t>Michelle Francine G. Manuntag</t>
        </is>
      </c>
      <c r="AA455" t="inlineStr">
        <is>
          <t>000170292002</t>
        </is>
      </c>
      <c r="AB455" t="inlineStr">
        <is>
          <t>BDO</t>
        </is>
      </c>
      <c r="AC455" t="inlineStr">
        <is>
          <t>Makati City</t>
        </is>
      </c>
      <c r="AD455" s="4">
        <v>45898</v>
      </c>
      <c r="AE455" t="inlineStr">
        <is>
          <t>100% Full Payment</t>
        </is>
      </c>
      <c r="AF455" s="2"/>
      <c r="AG455" t="inlineStr">
        <is>
          <t>NzQyNTk5MTgyNzQ4MTg3MDM0MTpGOEM1MkQyOC04QzdBLTQxRkQtOTRDRi1DNDc4MTU0MzI1MTktMTphZDEzNzVhNjZmMjIyYjY3MmQ4YTEzM2U5OWQ3NWZmNTox</t>
        </is>
      </c>
      <c r="AH455" t="inlineStr">
        <is>
          <t>Michelle Francine G. Manuntag</t>
        </is>
      </c>
      <c r="AI455"/>
      <c r="AJ455"/>
      <c r="AK455"/>
    </row>
    <row r="456" ht="25.5" customHeight="1">
      <c r="A456" s="2" t="str">
        <f>=HYPERLINK("https://applink.larksuite.com/client/mini_program/open?appId=cli_9c7cc8a9a9edd105&amp;mode=appCenter&amp;path_pc=pc/pages/requested/index?instanceId=7548729190565036064&amp;source=bitable&amp;path=pages/detail/index?instanceId=7548729190565036064&amp;source=bitable", "202509110064")</f>
        <v>202509110064</v>
      </c>
      <c r="B456" t="inlineStr">
        <is>
          <t>Approved</t>
        </is>
      </c>
      <c r="C456" t="inlineStr">
        <is>
          <t>Procurement Order</t>
        </is>
      </c>
      <c r="D456" s="3">
        <v>45911.64208333333</v>
      </c>
      <c r="E456" s="3">
        <v>45912.56917824074</v>
      </c>
      <c r="F456" t="inlineStr">
        <is>
          <t>Fatima Kathleen M. FLores</t>
        </is>
      </c>
      <c r="G456" t="inlineStr">
        <is>
          <t>Procurement</t>
        </is>
      </c>
      <c r="H456"/>
      <c r="I456"/>
      <c r="J456" t="inlineStr">
        <is>
          <t>Project</t>
        </is>
      </c>
      <c r="K456" t="inlineStr">
        <is>
          <t>PDEI - Game Marketing</t>
        </is>
      </c>
      <c r="L456" t="inlineStr">
        <is>
          <t>WCG 2025 Creator Rumble</t>
        </is>
      </c>
      <c r="M456" t="inlineStr">
        <is>
          <t>2025TEG-P0041</t>
        </is>
      </c>
      <c r="N456" t="inlineStr">
        <is>
          <t>Maura Aurel Atilano Yap</t>
        </is>
      </c>
      <c r="O456" t="inlineStr">
        <is>
          <t>202508220046-Maura Aurel Atilano Yap-费用报销 - 副本 - 副本 - 副本-2025-08-22 08:28:11</t>
        </is>
      </c>
      <c r="P456" t="inlineStr">
        <is>
          <t>YES</t>
        </is>
      </c>
      <c r="Q456"/>
      <c r="R456" t="inlineStr">
        <is>
          <t>NO</t>
        </is>
      </c>
      <c r="S456" t="inlineStr">
        <is>
          <t>Outsourced Asst. Talent Manager</t>
        </is>
      </c>
      <c r="T456">
        <v>1</v>
      </c>
      <c r="U456">
        <v>22000</v>
      </c>
      <c r="V456" t="inlineStr">
        <is>
          <t>PHP</t>
        </is>
      </c>
      <c r="W456">
        <v>22000</v>
      </c>
      <c r="X456" s="2" t="str">
        <f>=HYPERLINK("https://www.larksuite.com/approval/admin/previewAttachment?key=PMgxCkIxEATQK80kuztZL2NjCIr834gBiz27YGH7YhAxnD0SlmwJltyGWjLh4eiBsGpFKSGKXvNY1_dn7fOcTh3zuR6177c1X_RUa1A36wMAL3_vMrPMMPwc3wAAAP__", "2 attachment(s)")</f>
        <v>2 attachment(s)</v>
      </c>
      <c r="Y456" t="inlineStr">
        <is>
          <t>Bank Transfer</t>
        </is>
      </c>
      <c r="Z456" t="inlineStr">
        <is>
          <t>Emeline Klarizze H. De Leon</t>
        </is>
      </c>
      <c r="AA456" t="inlineStr">
        <is>
          <t>007350551298</t>
        </is>
      </c>
      <c r="AB456" t="inlineStr">
        <is>
          <t>BDO</t>
        </is>
      </c>
      <c r="AC456" t="inlineStr">
        <is>
          <t>7 Jewel Street Forest Hills Novaliches Quezon City</t>
        </is>
      </c>
      <c r="AD456" s="4">
        <v>45904</v>
      </c>
      <c r="AE456" t="inlineStr">
        <is>
          <t>1st Payment - Sept. 26, 2025
Final Payment - Nov. 14, 2025</t>
        </is>
      </c>
      <c r="AF456" s="2"/>
      <c r="AG456" t="inlineStr">
        <is>
          <t>NzQyNTk5MTgyNzQ4MTg3MDM0MTo4QkMwRjJBMC1GQkI1LTQ1MjYtQkI2Ri1CNTkzNEM4QkZBRUEtMTo2ZjBkMTY2NDA0NDdjNzE3ZTU3NWJkNzQ5ODM0YjY4Mzox</t>
        </is>
      </c>
      <c r="AH456" t="inlineStr">
        <is>
          <t>Emeline Klarizze H. De Leon</t>
        </is>
      </c>
      <c r="AI456"/>
      <c r="AJ456"/>
      <c r="AK456"/>
    </row>
    <row r="457" ht="25.5" customHeight="1">
      <c r="A457" s="2" t="str">
        <f>=HYPERLINK("https://applink.larksuite.com/client/mini_program/open?appId=cli_9c7cc8a9a9edd105&amp;mode=appCenter&amp;path_pc=pc/pages/requested/index?instanceId=7548731384752537638&amp;source=bitable&amp;path=pages/detail/index?instanceId=7548731384752537638&amp;source=bitable", "202509110068")</f>
        <v>202509110068</v>
      </c>
      <c r="B457" t="inlineStr">
        <is>
          <t>Approved</t>
        </is>
      </c>
      <c r="C457" t="inlineStr">
        <is>
          <t>Procurement Order</t>
        </is>
      </c>
      <c r="D457" s="3">
        <v>45911.647997685184</v>
      </c>
      <c r="E457" s="3">
        <v>45912.5684837963</v>
      </c>
      <c r="F457" t="inlineStr">
        <is>
          <t>Fatima Kathleen M. FLores</t>
        </is>
      </c>
      <c r="G457" t="inlineStr">
        <is>
          <t>Procurement</t>
        </is>
      </c>
      <c r="H457"/>
      <c r="I457"/>
      <c r="J457" t="inlineStr">
        <is>
          <t>Project</t>
        </is>
      </c>
      <c r="K457" t="inlineStr">
        <is>
          <t>PDEI - Game Marketing</t>
        </is>
      </c>
      <c r="L457" t="inlineStr">
        <is>
          <t>WCG 2025 Creator Rumble</t>
        </is>
      </c>
      <c r="M457" t="inlineStr">
        <is>
          <t>2025TEG-P0041</t>
        </is>
      </c>
      <c r="N457" t="inlineStr">
        <is>
          <t>Maura Aurel Atilano Yap</t>
        </is>
      </c>
      <c r="O457" t="inlineStr">
        <is>
          <t>202508290044-Maura Aurel Atilano Yap-费用报销 - 副本 - 副本 - 副本-2025-08-29 07:34:06</t>
        </is>
      </c>
      <c r="P457" t="inlineStr">
        <is>
          <t>YES</t>
        </is>
      </c>
      <c r="Q457"/>
      <c r="R457" t="inlineStr">
        <is>
          <t>NO</t>
        </is>
      </c>
      <c r="S457" t="inlineStr">
        <is>
          <t>Outsourced Producer and Scriptwriter</t>
        </is>
      </c>
      <c r="T457">
        <v>1</v>
      </c>
      <c r="U457">
        <v>27777.78</v>
      </c>
      <c r="V457" t="inlineStr">
        <is>
          <t>PHP</t>
        </is>
      </c>
      <c r="W457">
        <v>27777.78</v>
      </c>
      <c r="X457" s="2" t="str">
        <f>=HYPERLINK("https://www.larksuite.com/approval/admin/previewAttachment?key=PMgxCgJBDAXQK_0_SeYnXsZml0ULRRAHLXJ2wcL2zSRmBm0WvDgKbIWnjJauGGGalj2aUkEUo_fbcX59jnW3VFzfj7VFr8t27E9GaQzI3C0B8PR3k7tXTcfP8Q0AAP__", "2 attachment(s)")</f>
        <v>2 attachment(s)</v>
      </c>
      <c r="Y457" t="inlineStr">
        <is>
          <t>Bank Transfer</t>
        </is>
      </c>
      <c r="Z457" t="inlineStr">
        <is>
          <t>Jessamine Elise C. Sagcal</t>
        </is>
      </c>
      <c r="AA457" t="inlineStr">
        <is>
          <t>2679-1185-63</t>
        </is>
      </c>
      <c r="AB457" t="inlineStr">
        <is>
          <t>BPI</t>
        </is>
      </c>
      <c r="AC457" t="inlineStr">
        <is>
          <t>30 TLR Town Homes, Fast Track St., Moonwalk, Paranaque</t>
        </is>
      </c>
      <c r="AD457" s="4">
        <v>45904</v>
      </c>
      <c r="AE457" t="inlineStr">
        <is>
          <t>1st Payment - Sept. 26, 2025
Final Payment - Nov. 14, 2025</t>
        </is>
      </c>
      <c r="AF457" s="2"/>
      <c r="AG457" t="inlineStr">
        <is>
          <t>NzQyNTk5MTgyNzQ4MTg3MDM0MTo3MTNERTUyQy0yQTUxLTRBRTMtQUM2Ni02NUZBN0YwQzlFMkMtMTozZDQzZjNiMDllMTYyNTA0N2E5ZjVhN2I2MTZmNDQ3ODox</t>
        </is>
      </c>
      <c r="AH457" t="inlineStr">
        <is>
          <t>Jessamine Elise C. Sagcal</t>
        </is>
      </c>
      <c r="AI457"/>
      <c r="AJ457"/>
      <c r="AK457"/>
    </row>
    <row r="458" ht="25.5" customHeight="1">
      <c r="A458" s="2" t="str">
        <f>=HYPERLINK("https://applink.larksuite.com/client/mini_program/open?appId=cli_9c7cc8a9a9edd105&amp;mode=appCenter&amp;path_pc=pc/pages/requested/index?instanceId=7548741792879984678&amp;source=bitable&amp;path=pages/detail/index?instanceId=7548741792879984678&amp;source=bitable", "202509110080")</f>
        <v>202509110080</v>
      </c>
      <c r="B458" t="inlineStr">
        <is>
          <t>Recalled</t>
        </is>
      </c>
      <c r="C458" t="inlineStr">
        <is>
          <t>Procurement Order</t>
        </is>
      </c>
      <c r="D458" s="3">
        <v>45911.676041666666</v>
      </c>
      <c r="E458" s="3">
        <v>45915.52202546296</v>
      </c>
      <c r="F458" t="inlineStr">
        <is>
          <t>Fatima Kathleen M. FLores</t>
        </is>
      </c>
      <c r="G458" t="inlineStr">
        <is>
          <t>Procurement</t>
        </is>
      </c>
      <c r="H458"/>
      <c r="I458"/>
      <c r="J458" t="inlineStr">
        <is>
          <t>Project</t>
        </is>
      </c>
      <c r="K458" t="inlineStr">
        <is>
          <t>PDEI - Game Marketing</t>
        </is>
      </c>
      <c r="L458" t="inlineStr">
        <is>
          <t>WCG 2025 Creator Rumble</t>
        </is>
      </c>
      <c r="M458" t="inlineStr">
        <is>
          <t>2025TEG-P0041</t>
        </is>
      </c>
      <c r="N458" t="inlineStr">
        <is>
          <t>Maura Aurel Atilano Yap</t>
        </is>
      </c>
      <c r="O458" t="inlineStr">
        <is>
          <t>202509040040-Maura Aurel Atilano Yap-费用报销 - 副本 - 副本 - 副本-2025-09-04 06:27:22</t>
        </is>
      </c>
      <c r="P458" t="inlineStr">
        <is>
          <t>YES</t>
        </is>
      </c>
      <c r="Q458"/>
      <c r="R458" t="inlineStr">
        <is>
          <t>NO</t>
        </is>
      </c>
      <c r="S458" t="inlineStr">
        <is>
          <t>Outsourced Head of League Operations</t>
        </is>
      </c>
      <c r="T458">
        <v>1</v>
      </c>
      <c r="U458">
        <v>16666.67</v>
      </c>
      <c r="V458" t="inlineStr">
        <is>
          <t>PHP</t>
        </is>
      </c>
      <c r="W458">
        <v>16666.67</v>
      </c>
      <c r="X458" s="2" t="str">
        <f>=HYPERLINK("https://www.larksuite.com/approval/admin/previewAttachment?key=PMhBqgIxEATQK3V1Kqmuf5m_cRg0MCKIAy5ydsGF2zcKMaqjDQeNdGCps0TIWbKLQ7VyQXIIQl_bsf97Hj1v5-vdMO-Puc7rZd-e6FZmqJGtIgJ_P28iaQ_G1-MTAAD__w", "2 attachment(s)")</f>
        <v>2 attachment(s)</v>
      </c>
      <c r="Y458" t="inlineStr">
        <is>
          <t>Bank Transfer</t>
        </is>
      </c>
      <c r="Z458" t="inlineStr">
        <is>
          <t>Allan Rigates</t>
        </is>
      </c>
      <c r="AA458" t="inlineStr">
        <is>
          <t>0135-7000-7795</t>
        </is>
      </c>
      <c r="AB458" t="inlineStr">
        <is>
          <t>BDO</t>
        </is>
      </c>
      <c r="AC458" t="inlineStr">
        <is>
          <t>2340 Lamesa St. Ugong Valenzuela City</t>
        </is>
      </c>
      <c r="AD458" s="4">
        <v>45904</v>
      </c>
      <c r="AE458" t="inlineStr">
        <is>
          <t>100% Full Payment - Nov. 14, 2025</t>
        </is>
      </c>
      <c r="AF458" s="2"/>
      <c r="AG458" t="inlineStr">
        <is>
          <t>NzQyNTk5MTgyNzQ4MTg3MDM0MTpDOUJEOTlCQy1CMjdBLTQwOUYtODQ4My04OUI2MzA0NUY2QjQtMTplMTQ4ZTgzNTBkMWY0OWYyYmJlMTNmMDNlNGI2NGI4YTox</t>
        </is>
      </c>
      <c r="AH458" t="inlineStr">
        <is>
          <t>Allan Rigates</t>
        </is>
      </c>
      <c r="AI458"/>
      <c r="AJ458"/>
      <c r="AK458"/>
    </row>
    <row r="459" ht="25.5" customHeight="1">
      <c r="A459" s="2" t="str">
        <f>=HYPERLINK("https://applink.larksuite.com/client/mini_program/open?appId=cli_9c7cc8a9a9edd105&amp;mode=appCenter&amp;path_pc=pc/pages/requested/index?instanceId=7550169234098159648&amp;source=bitable&amp;path=pages/detail/index?instanceId=7550169234098159648&amp;source=bitable", "202509150031")</f>
        <v>202509150031</v>
      </c>
      <c r="B459" t="inlineStr">
        <is>
          <t>Approved</t>
        </is>
      </c>
      <c r="C459" t="inlineStr">
        <is>
          <t>Procurement Order</t>
        </is>
      </c>
      <c r="D459" s="3">
        <v>45915.52270833333</v>
      </c>
      <c r="E459" s="3">
        <v>45918.73510416667</v>
      </c>
      <c r="F459" t="inlineStr">
        <is>
          <t>Fatima Kathleen M. FLores</t>
        </is>
      </c>
      <c r="G459" t="inlineStr">
        <is>
          <t>Procurement</t>
        </is>
      </c>
      <c r="H459"/>
      <c r="I459"/>
      <c r="J459" t="inlineStr">
        <is>
          <t>Project</t>
        </is>
      </c>
      <c r="K459" t="inlineStr">
        <is>
          <t>PDEI - Game Marketing</t>
        </is>
      </c>
      <c r="L459" t="inlineStr">
        <is>
          <t>WCG 2025 Creator Rumble</t>
        </is>
      </c>
      <c r="M459" t="inlineStr">
        <is>
          <t>2025TEG-P0041</t>
        </is>
      </c>
      <c r="N459" t="inlineStr">
        <is>
          <t>Maura Aurel Atilano Yap</t>
        </is>
      </c>
      <c r="O459" t="inlineStr">
        <is>
          <t>202509040040-Maura Aurel Atilano Yap-费用报销 - 副本 - 副本 - 副本-2025-09-04 06:27:22</t>
        </is>
      </c>
      <c r="P459" t="inlineStr">
        <is>
          <t>YES</t>
        </is>
      </c>
      <c r="Q459"/>
      <c r="R459" t="inlineStr">
        <is>
          <t>YES</t>
        </is>
      </c>
      <c r="S459" t="inlineStr">
        <is>
          <t>Outsourced Head of League Operations</t>
        </is>
      </c>
      <c r="T459">
        <v>1</v>
      </c>
      <c r="U459">
        <v>16666.67</v>
      </c>
      <c r="V459" t="inlineStr">
        <is>
          <t>PHP</t>
        </is>
      </c>
      <c r="W459">
        <v>16666.67</v>
      </c>
      <c r="X459" s="2" t="str">
        <f>=HYPERLINK("https://www.larksuite.com/approval/admin/previewAttachment?key=PMg9CgIxFATgK828vJ-Ml7ExBJuAIOxqkbMLFtt-2YnswZaCiyZwVwSYsuZQZyi9b9usEorF2GPN-8F5np-xbH1fZdzH8zHHm6EyQzX31gHwdnkrd5fS8Xf8AgAA__8", "2 attachment(s)")</f>
        <v>2 attachment(s)</v>
      </c>
      <c r="Y459" t="inlineStr">
        <is>
          <t>Bank Transfer</t>
        </is>
      </c>
      <c r="Z459" t="inlineStr">
        <is>
          <t>Allan Rigates</t>
        </is>
      </c>
      <c r="AA459" t="inlineStr">
        <is>
          <t>0135-7000-7795</t>
        </is>
      </c>
      <c r="AB459" t="inlineStr">
        <is>
          <t>BDO</t>
        </is>
      </c>
      <c r="AC459" t="inlineStr">
        <is>
          <t>2340 Lamesa St. Ugong Valenzuela City</t>
        </is>
      </c>
      <c r="AD459" s="4">
        <v>45904</v>
      </c>
      <c r="AE459" t="inlineStr">
        <is>
          <t>100% Full Payment - Nov. 14, 2025</t>
        </is>
      </c>
      <c r="AF459" s="2"/>
      <c r="AG459" t="inlineStr">
        <is>
          <t>NzQyNTk5MTgyNzQ4MTg3MDM0MTpDMjU2NTk1OC1DMDE4LTRERkQtQUMyRC03NzZCNkVBMzcxNEMtMTo2OWQ0Njc2ZmM4M2E1MDI5OGYwYTU5YjRkYTVlYTFmMTox</t>
        </is>
      </c>
      <c r="AH459" t="inlineStr">
        <is>
          <t>Allan Rigates</t>
        </is>
      </c>
      <c r="AI459"/>
      <c r="AJ459"/>
      <c r="AK459"/>
    </row>
    <row r="460" ht="25.5" customHeight="1">
      <c r="A460" s="2" t="str">
        <f>=HYPERLINK("https://applink.larksuite.com/client/mini_program/open?appId=cli_9c7cc8a9a9edd105&amp;mode=appCenter&amp;path_pc=pc/pages/requested/index?instanceId=7550211886285848615&amp;source=bitable&amp;path=pages/detail/index?instanceId=7550211886285848615&amp;source=bitable", "202509150063")</f>
        <v>202509150063</v>
      </c>
      <c r="B460" t="inlineStr">
        <is>
          <t>Approved</t>
        </is>
      </c>
      <c r="C460" t="inlineStr">
        <is>
          <t>Procurement Order</t>
        </is>
      </c>
      <c r="D460" s="3">
        <v>45915.637650462966</v>
      </c>
      <c r="E460" s="3">
        <v>45916.44458333333</v>
      </c>
      <c r="F460" t="inlineStr">
        <is>
          <t>Fatima Kathleen M. FLores</t>
        </is>
      </c>
      <c r="G460" t="inlineStr">
        <is>
          <t>Procurement</t>
        </is>
      </c>
      <c r="H460"/>
      <c r="I460"/>
      <c r="J460" t="inlineStr">
        <is>
          <t>Project</t>
        </is>
      </c>
      <c r="K460" t="inlineStr">
        <is>
          <t>PDEI - Game Marketing</t>
        </is>
      </c>
      <c r="L460" t="inlineStr">
        <is>
          <t>Met Park: Rainy Day Tails Pet Party</t>
        </is>
      </c>
      <c r="M460" t="inlineStr">
        <is>
          <t>2025TEG-P0190</t>
        </is>
      </c>
      <c r="N460" t="inlineStr">
        <is>
          <t>Clifford Markus Ortiz Martinez</t>
        </is>
      </c>
      <c r="O460" t="inlineStr">
        <is>
          <t>202509120028-Clifford Markus Ortiz Martinez-费用报销 - 副本 - 副本 - 副本-2025-09-12 06:13:20</t>
        </is>
      </c>
      <c r="P460" t="inlineStr">
        <is>
          <t>NO</t>
        </is>
      </c>
      <c r="Q460"/>
      <c r="R460" t="inlineStr">
        <is>
          <t>YES</t>
        </is>
      </c>
      <c r="S460" t="inlineStr">
        <is>
          <t>CUSTOMIZED TOTE BAG (CANVAS1600, COLORED WITH DTF PRINT,  SIZE: 12 X 14 / COLOR: BLUE / PRINT SIZE: A4)</t>
        </is>
      </c>
      <c r="T460">
        <v>70</v>
      </c>
      <c r="U460">
        <v>230</v>
      </c>
      <c r="V460" t="inlineStr">
        <is>
          <t>PHP</t>
        </is>
      </c>
      <c r="W460">
        <v>16100</v>
      </c>
      <c r="X460" s="2" t="str">
        <f>=HYPERLINK("https://www.larksuite.com/approval/admin/previewAttachment?key=PMg7CsJQFATQLc3cN_fnZmwSgh8EQTBavLULFmlPFBHlHNFQ0xqc6Q4jq8LKSxX0aZOZjWTS5_rYzhj6LP3tq_b7fnvO92XZ1he90ww5pFEAeDp8pKTuEP6OXwAAAP__", "2 attachment(s)")</f>
        <v>2 attachment(s)</v>
      </c>
      <c r="Y460" t="inlineStr">
        <is>
          <t>Bank Transfer</t>
        </is>
      </c>
      <c r="Z460" t="inlineStr">
        <is>
          <t>AMVIL AGUSTIN</t>
        </is>
      </c>
      <c r="AA460" t="inlineStr">
        <is>
          <t>0000-0734-86898</t>
        </is>
      </c>
      <c r="AB460" t="inlineStr">
        <is>
          <t>Security Bank</t>
        </is>
      </c>
      <c r="AC460" t="inlineStr">
        <is>
          <t>93 Orchids St., Bernabe Phase 2, San Dionisio, Paranaque</t>
        </is>
      </c>
      <c r="AD460" s="4">
        <v>45919</v>
      </c>
      <c r="AE460" t="inlineStr">
        <is>
          <t>50% Down Payment upon confirmation
50% Final Payment upon complete delivery</t>
        </is>
      </c>
      <c r="AF460" s="2" t="str">
        <f>=HYPERLINK("https://www.larksuite.com/approval/admin/previewAttachment?key=TMg7CsJQFATQLc28d3_jZmwSgh8EQTBa3LULVmlPFBHlnCGYOAR2umOQVTHKyyroPZqZQjLpvT62M6Z9Fn11tf2-3579vizb-mLUDJjcjALA08FJqGbMv-MXAAD__w", "3 attachment(s)")</f>
        <v>3 attachment(s)</v>
      </c>
      <c r="AG460" t="inlineStr">
        <is>
          <t>NzQyNTk5MTgyNzQ4MTg3MDM0MTpEMDIwNEU4MS04RDg3LTRBQzctOTkyNS1DRjg5MUZDQTBFMjMtMTo5ZjZjODE2YTkzODQ4Mjg3YWYwMDdmNTNmYTRkN2JkNDox</t>
        </is>
      </c>
      <c r="AH460" t="inlineStr">
        <is>
          <t>Panda's Printing Station</t>
        </is>
      </c>
      <c r="AI460"/>
      <c r="AJ460"/>
      <c r="AK460"/>
    </row>
    <row r="461" ht="25.5" customHeight="1">
      <c r="A461" s="2" t="str">
        <f>=HYPERLINK("https://applink.larksuite.com/client/mini_program/open?appId=cli_9c7cc8a9a9edd105&amp;mode=appCenter&amp;path_pc=pc/pages/requested/index?instanceId=7550567737492308007&amp;source=bitable&amp;path=pages/detail/index?instanceId=7550567737492308007&amp;source=bitable", "202509160049")</f>
        <v>202509160049</v>
      </c>
      <c r="B461" t="inlineStr">
        <is>
          <t>Approved</t>
        </is>
      </c>
      <c r="C461" t="inlineStr">
        <is>
          <t>Procurement Order</t>
        </is>
      </c>
      <c r="D461" s="3">
        <v>45916.596597222226</v>
      </c>
      <c r="E461" s="3">
        <v>45917.42496527778</v>
      </c>
      <c r="F461" t="inlineStr">
        <is>
          <t>Fatima Kathleen M. FLores</t>
        </is>
      </c>
      <c r="G461" t="inlineStr">
        <is>
          <t>Procurement</t>
        </is>
      </c>
      <c r="H461"/>
      <c r="I461"/>
      <c r="J461" t="inlineStr">
        <is>
          <t>Project</t>
        </is>
      </c>
      <c r="K461" t="inlineStr">
        <is>
          <t>PDEI - Event Service</t>
        </is>
      </c>
      <c r="L461" t="inlineStr">
        <is>
          <t>MPL PH S16 - Regular Season</t>
        </is>
      </c>
      <c r="M461" t="inlineStr">
        <is>
          <t>2025TEG-P0214</t>
        </is>
      </c>
      <c r="N461" t="inlineStr">
        <is>
          <t>Jessica Jane Lor Felicilda</t>
        </is>
      </c>
      <c r="O461" t="inlineStr">
        <is>
          <t>202508220019-Jessica Jane Lor Felicilda-费用报销 - 副本 - 副本 - 副本-2025-08-22 04:09:16</t>
        </is>
      </c>
      <c r="P461" t="inlineStr">
        <is>
          <t>NO</t>
        </is>
      </c>
      <c r="Q461"/>
      <c r="R461" t="inlineStr">
        <is>
          <t>NO</t>
        </is>
      </c>
      <c r="S461" t="inlineStr">
        <is>
          <t>Reserved Parking (15 - 20 - 15 slots / Week 5 - Sept. 19 to 21, 2025)</t>
        </is>
      </c>
      <c r="T461">
        <v>1</v>
      </c>
      <c r="U461">
        <v>15500</v>
      </c>
      <c r="V461" t="inlineStr">
        <is>
          <t>PHP</t>
        </is>
      </c>
      <c r="W461">
        <v>15500</v>
      </c>
      <c r="X461" s="2" t="str">
        <f>=HYPERLINK("https://www.larksuite.com/approval/admin/previewAttachment?key=PMg9CkIxEATgK83sTybrZWx8BEWEB0Ks9uyChe03JjFm0kchilZgKxM5JFeUOSagtqZUEEX18VrXxz6Tq_ixZ648e99v63gzS2aQR_gEwMvfXRFRNQI_xzcAAP__", "2 attachment(s)")</f>
        <v>2 attachment(s)</v>
      </c>
      <c r="Y461" t="inlineStr">
        <is>
          <t>Bank Transfer</t>
        </is>
      </c>
      <c r="Z461" t="inlineStr">
        <is>
          <t>Ecotechland, Inc.</t>
        </is>
      </c>
      <c r="AA461" t="inlineStr">
        <is>
          <t>001450007951</t>
        </is>
      </c>
      <c r="AB461" t="inlineStr">
        <is>
          <t>BDO</t>
        </is>
      </c>
      <c r="AC461" t="inlineStr">
        <is>
          <t>Mezzanine Floor, Ecoplaza Building, 2305 Don Chino Roces Ave. Extension, Brgy. Magallanes, Makati City</t>
        </is>
      </c>
      <c r="AD461" s="4">
        <v>45919</v>
      </c>
      <c r="AE461" t="inlineStr">
        <is>
          <t>100% Full Payment</t>
        </is>
      </c>
      <c r="AF461" s="2" t="str">
        <f>=HYPERLINK("https://www.larksuite.com/approval/admin/previewAttachment?key=TMgxCkJBDATQK81sNpnEy9j4WRQRPghrlbMLVrYvkoh0WhRmcRTYcoeHZJo1DAmoR1MqiKL6eK3rY5_OVfyMpy8_e99v63gz0gKzfE4WAF7-nESlhf0c3wAAAP__", "1 attachment(s)")</f>
        <v>1 attachment(s)</v>
      </c>
      <c r="AG461" t="inlineStr">
        <is>
          <t>NzQyNTk5MTgyNzQ4MTg3MDM0MTpFMURCQzY1Qy1FNEEyLTRFQ0QtQTBCRi1CMzE0MzJFNzRDNEUtMTpjZTBmNzE3NTI1NWJkNDliMTJlMTllZGQ5ZTJkOWYwODox</t>
        </is>
      </c>
      <c r="AH461" t="inlineStr">
        <is>
          <t>Ecotechland, Inc.</t>
        </is>
      </c>
      <c r="AI461"/>
      <c r="AJ461"/>
      <c r="AK461"/>
    </row>
    <row r="462" ht="25.5" customHeight="1">
      <c r="A462" s="2" t="str">
        <f>=HYPERLINK("https://applink.larksuite.com/client/mini_program/open?appId=cli_9c7cc8a9a9edd105&amp;mode=appCenter&amp;path_pc=pc/pages/requested/index?instanceId=7550574982888259622&amp;source=bitable&amp;path=pages/detail/index?instanceId=7550574982888259622&amp;source=bitable", "202509160060")</f>
        <v>202509160060</v>
      </c>
      <c r="B462" t="inlineStr">
        <is>
          <t>Approved</t>
        </is>
      </c>
      <c r="C462" t="inlineStr">
        <is>
          <t>Procurement Order</t>
        </is>
      </c>
      <c r="D462" s="3">
        <v>45916.616122685184</v>
      </c>
      <c r="E462" s="3">
        <v>45917.479050925926</v>
      </c>
      <c r="F462" t="inlineStr">
        <is>
          <t>Fatima Kathleen M. FLores</t>
        </is>
      </c>
      <c r="G462" t="inlineStr">
        <is>
          <t>Procurement</t>
        </is>
      </c>
      <c r="H462"/>
      <c r="I462"/>
      <c r="J462" t="inlineStr">
        <is>
          <t>Project</t>
        </is>
      </c>
      <c r="K462" t="inlineStr">
        <is>
          <t>GG - Event Service</t>
        </is>
      </c>
      <c r="L462" t="inlineStr">
        <is>
          <t>HOK Philippine Kings League - Fall Season</t>
        </is>
      </c>
      <c r="M462" t="inlineStr">
        <is>
          <t>2025TEG-P0219</t>
        </is>
      </c>
      <c r="N462" t="inlineStr">
        <is>
          <t>Reign Santos Fortea</t>
        </is>
      </c>
      <c r="O462" t="inlineStr">
        <is>
          <t>202508210070-Reign Santos Fortea-费用报销 - 副本 - 副本 - 副本-2025-08-21 10:43:51</t>
        </is>
      </c>
      <c r="P462" t="inlineStr">
        <is>
          <t>NO</t>
        </is>
      </c>
      <c r="Q462"/>
      <c r="R462" t="inlineStr">
        <is>
          <t>NO</t>
        </is>
      </c>
      <c r="S462" t="inlineStr">
        <is>
          <t>Crew Meals - Week 2 (Sept. 5 - 7, 2025)</t>
        </is>
      </c>
      <c r="T462">
        <v>737</v>
      </c>
      <c r="U462">
        <v>115</v>
      </c>
      <c r="V462" t="inlineStr">
        <is>
          <t>PHP</t>
        </is>
      </c>
      <c r="W462">
        <v>84755</v>
      </c>
      <c r="X462" s="2" t="str">
        <f>=HYPERLINK("https://www.larksuite.com/approval/admin/previewAttachment?key=PMgxCkJBDATQK02yyU7Gy9i4LCL_gyAIFjm7YGH7ZhlmpY0phMwFa2YiGSqvKk9N9_Y2UqDR2Ovc1-djH3XaR8da7qvf99teL0vRHRwRowDY5e-DESHNwM_xDQAA__8", "2 attachment(s)")</f>
        <v>2 attachment(s)</v>
      </c>
      <c r="Y462" t="inlineStr">
        <is>
          <t>Bank Transfer</t>
        </is>
      </c>
      <c r="Z462" t="inlineStr">
        <is>
          <t>Michelle Francine G. Manuntag</t>
        </is>
      </c>
      <c r="AA462" t="inlineStr">
        <is>
          <t>000170292002</t>
        </is>
      </c>
      <c r="AB462" t="inlineStr">
        <is>
          <t>BDO</t>
        </is>
      </c>
      <c r="AC462" t="inlineStr">
        <is>
          <t>Makati City</t>
        </is>
      </c>
      <c r="AD462" s="4">
        <v>45905</v>
      </c>
      <c r="AE462" t="inlineStr">
        <is>
          <t>100% Full Payment</t>
        </is>
      </c>
      <c r="AF462" s="2"/>
      <c r="AG462" t="inlineStr">
        <is>
          <t>NzQyNTk5MTgyNzQ4MTg3MDM0MToyMUVCQ0JBNC00MEFELTRDMzktOTc5OS1EQTg1OTA3MjMxRjEtMTpiY2ViMTk3NjM3OGVkY2NiOGMzOTk2OWNmYjdjODI4ZDox</t>
        </is>
      </c>
      <c r="AH462" t="inlineStr">
        <is>
          <t>Michelle Francine G. Manuntag</t>
        </is>
      </c>
      <c r="AI462"/>
      <c r="AJ462"/>
      <c r="AK462"/>
    </row>
    <row r="463" ht="25.5" customHeight="1">
      <c r="A463" s="2" t="str">
        <f>=HYPERLINK("https://applink.larksuite.com/client/mini_program/open?appId=cli_9c7cc8a9a9edd105&amp;mode=appCenter&amp;path_pc=pc/pages/requested/index?instanceId=7550585150870913062&amp;source=bitable&amp;path=pages/detail/index?instanceId=7550585150870913062&amp;source=bitable", "202509160068")</f>
        <v>202509160068</v>
      </c>
      <c r="B463" t="inlineStr">
        <is>
          <t>Approved</t>
        </is>
      </c>
      <c r="C463" t="inlineStr">
        <is>
          <t>Procurement Order</t>
        </is>
      </c>
      <c r="D463" s="3">
        <v>45916.64351851852</v>
      </c>
      <c r="E463" s="3">
        <v>45917.47659722222</v>
      </c>
      <c r="F463" t="inlineStr">
        <is>
          <t>Fatima Kathleen M. FLores</t>
        </is>
      </c>
      <c r="G463" t="inlineStr">
        <is>
          <t>Procurement</t>
        </is>
      </c>
      <c r="H463"/>
      <c r="I463"/>
      <c r="J463" t="inlineStr">
        <is>
          <t>Project</t>
        </is>
      </c>
      <c r="K463" t="inlineStr">
        <is>
          <t>GG - Event Service</t>
        </is>
      </c>
      <c r="L463" t="inlineStr">
        <is>
          <t>HOK Philippine Kings League - Fall Season</t>
        </is>
      </c>
      <c r="M463" t="inlineStr">
        <is>
          <t>2025TEG-P0219</t>
        </is>
      </c>
      <c r="N463" t="inlineStr">
        <is>
          <t>Carla Andrea Calma Crespo</t>
        </is>
      </c>
      <c r="O463" t="inlineStr">
        <is>
          <t>202508250011-Carla Andrea Calma Crespo-费用报销 - 副本 - 副本 - 副本-2025-08-25 02:53:22</t>
        </is>
      </c>
      <c r="P463" t="inlineStr">
        <is>
          <t>YES</t>
        </is>
      </c>
      <c r="Q463"/>
      <c r="R463" t="inlineStr">
        <is>
          <t>NO</t>
        </is>
      </c>
      <c r="S463" t="inlineStr">
        <is>
          <t>Outsourced Floor Director</t>
        </is>
      </c>
      <c r="T463">
        <v>1</v>
      </c>
      <c r="U463">
        <v>45000</v>
      </c>
      <c r="V463" t="inlineStr">
        <is>
          <t>PHP</t>
        </is>
      </c>
      <c r="W463">
        <v>45000</v>
      </c>
      <c r="X463" s="2" t="str">
        <f>=HYPERLINK("https://www.larksuite.com/approval/admin/previewAttachment?key=PMgxCgJBDAXQK_0_k-QnXsZml8ViFwRxrHJ2wcL2RRKRzhkFK44CW-7wdDpSKE7E6NGUCqKo3q_j7r593niey846rtXrsR37i14aA5pmMwHw9vcpM6sKw8_xDQAA__8", "2 attachment(s)")</f>
        <v>2 attachment(s)</v>
      </c>
      <c r="Y463" t="inlineStr">
        <is>
          <t>Bank Transfer</t>
        </is>
      </c>
      <c r="Z463" t="inlineStr">
        <is>
          <t>MAICAH DOLOR ASTRONOMO</t>
        </is>
      </c>
      <c r="AA463" t="inlineStr">
        <is>
          <t>010913463655</t>
        </is>
      </c>
      <c r="AB463" t="inlineStr">
        <is>
          <t>GOTYME BANK CORPORATION</t>
        </is>
      </c>
      <c r="AC463" t="inlineStr">
        <is>
          <t>218 Paso St. Bagumbayan Taguig City</t>
        </is>
      </c>
      <c r="AD463" s="4">
        <v>45896</v>
      </c>
      <c r="AE463" t="inlineStr">
        <is>
          <t>1st Payment - Sept. 26, 2025
2nd Payment - Oct. 10, 2025
3rd Payment - Oct. 24, 2025
Final Payment - Nov. 7, 2025</t>
        </is>
      </c>
      <c r="AF463" s="2"/>
      <c r="AG463" t="inlineStr">
        <is>
          <t>NzQyNTk5MTgyNzQ4MTg3MDM0MTo2RURDRTUyMy05NTdBLTQ0N0MtQTYzOS1BMzQ0NzMyQ0JGOUUtMTpjODNjNGQ5Mzk2YzcwMzZkMmZjMDEzN2IzMDIzMmVhNjox</t>
        </is>
      </c>
      <c r="AH463" t="inlineStr">
        <is>
          <t>MAICAH DOLOR ASTRONOMO</t>
        </is>
      </c>
      <c r="AI463"/>
      <c r="AJ463"/>
      <c r="AK463"/>
    </row>
    <row r="464" ht="25.5" customHeight="1">
      <c r="A464" s="2" t="str">
        <f>=HYPERLINK("https://applink.larksuite.com/client/mini_program/open?appId=cli_9c7cc8a9a9edd105&amp;mode=appCenter&amp;path_pc=pc/pages/requested/index?instanceId=7550589262383644710&amp;source=bitable&amp;path=pages/detail/index?instanceId=7550589262383644710&amp;source=bitable", "202509160072")</f>
        <v>202509160072</v>
      </c>
      <c r="B464" t="inlineStr">
        <is>
          <t>Approved</t>
        </is>
      </c>
      <c r="C464" t="inlineStr">
        <is>
          <t>Procurement Order</t>
        </is>
      </c>
      <c r="D464" s="3">
        <v>45916.65460648148</v>
      </c>
      <c r="E464" s="3">
        <v>45917.475648148145</v>
      </c>
      <c r="F464" t="inlineStr">
        <is>
          <t>Fatima Kathleen M. FLores</t>
        </is>
      </c>
      <c r="G464" t="inlineStr">
        <is>
          <t>Procurement</t>
        </is>
      </c>
      <c r="H464"/>
      <c r="I464"/>
      <c r="J464" t="inlineStr">
        <is>
          <t>Project</t>
        </is>
      </c>
      <c r="K464" t="inlineStr">
        <is>
          <t>GG - Event Service</t>
        </is>
      </c>
      <c r="L464" t="inlineStr">
        <is>
          <t>HOK Philippine Kings League - Fall Season</t>
        </is>
      </c>
      <c r="M464" t="inlineStr">
        <is>
          <t>2025TEG-P0219</t>
        </is>
      </c>
      <c r="N464" t="inlineStr">
        <is>
          <t>Reign Santos Fortea</t>
        </is>
      </c>
      <c r="O464" t="inlineStr">
        <is>
          <t>202508230004-Reign Santos Fortea-费用报销 - 副本 - 副本 - 副本-2025-08-23 03:57:18</t>
        </is>
      </c>
      <c r="P464" t="inlineStr">
        <is>
          <t>YES</t>
        </is>
      </c>
      <c r="Q464"/>
      <c r="R464" t="inlineStr">
        <is>
          <t>NO</t>
        </is>
      </c>
      <c r="S464" t="inlineStr">
        <is>
          <t>Outsourced Logistics Coordinator</t>
        </is>
      </c>
      <c r="T464">
        <v>1</v>
      </c>
      <c r="U464">
        <v>30000</v>
      </c>
      <c r="V464" t="inlineStr">
        <is>
          <t>PHP</t>
        </is>
      </c>
      <c r="W464">
        <v>30000</v>
      </c>
      <c r="X464" s="2" t="str">
        <f>=HYPERLINK("https://www.larksuite.com/approval/admin/previewAttachment?key=PMhBCsIwEAXQK_0_8zOT8TJuWoIQlIJgcZGzCy66fdGJ6I0eBRWtwJWtofWyMO8eUhLLFjMLyWSu_Tnup8Y2v-frOKaIuT6PbexvtkozpEveAfB2uaekqhD-jl8AAAD__w", "2 attachment(s)")</f>
        <v>2 attachment(s)</v>
      </c>
      <c r="Y464" t="inlineStr">
        <is>
          <t>Bank Transfer</t>
        </is>
      </c>
      <c r="Z464" t="inlineStr">
        <is>
          <t>Angelica Acerda</t>
        </is>
      </c>
      <c r="AA464" t="inlineStr">
        <is>
          <t>003520226779</t>
        </is>
      </c>
      <c r="AB464" t="inlineStr">
        <is>
          <t>BDO</t>
        </is>
      </c>
      <c r="AC464" t="inlineStr">
        <is>
          <t>BLk 62 Lot 9 KC21 Kaibigan st. Karangalan Village Manggahan Pasig City</t>
        </is>
      </c>
      <c r="AD464" s="4">
        <v>45894</v>
      </c>
      <c r="AE464" t="inlineStr">
        <is>
          <t>1st Payment - Sept. 26, 2025
2nd Payment - Oct. 10, 2025
Final Payment - Oct. 31, 2025</t>
        </is>
      </c>
      <c r="AF464" s="2"/>
      <c r="AG464" t="inlineStr">
        <is>
          <t>NzQyNTk5MTgyNzQ4MTg3MDM0MTo1QjY0MTI5NS1DNEJELTQ5RTktQkZERC01ODY5RTY0RjY4NTAtMTpjNGQzYjU4ZDhmZjc2MmIzYzNjMmVjNzg0OGQ5YTJiNTox</t>
        </is>
      </c>
      <c r="AH464" t="inlineStr">
        <is>
          <t>Angelica Acerda</t>
        </is>
      </c>
      <c r="AI464"/>
      <c r="AJ464"/>
      <c r="AK464"/>
    </row>
    <row r="465" ht="25.5" customHeight="1">
      <c r="A465" s="2" t="str">
        <f>=HYPERLINK("https://applink.larksuite.com/client/mini_program/open?appId=cli_9c7cc8a9a9edd105&amp;mode=appCenter&amp;path_pc=pc/pages/requested/index?instanceId=7550590829228802080&amp;source=bitable&amp;path=pages/detail/index?instanceId=7550590829228802080&amp;source=bitable", "202509160074")</f>
        <v>202509160074</v>
      </c>
      <c r="B465" t="inlineStr">
        <is>
          <t>Approved</t>
        </is>
      </c>
      <c r="C465" t="inlineStr">
        <is>
          <t>Procurement Order</t>
        </is>
      </c>
      <c r="D465" s="3">
        <v>45916.65881944444</v>
      </c>
      <c r="E465" s="3">
        <v>45917.474756944444</v>
      </c>
      <c r="F465" t="inlineStr">
        <is>
          <t>Fatima Kathleen M. FLores</t>
        </is>
      </c>
      <c r="G465" t="inlineStr">
        <is>
          <t>Procurement</t>
        </is>
      </c>
      <c r="H465"/>
      <c r="I465"/>
      <c r="J465" t="inlineStr">
        <is>
          <t>Project</t>
        </is>
      </c>
      <c r="K465" t="inlineStr">
        <is>
          <t>GG - Event Service</t>
        </is>
      </c>
      <c r="L465" t="inlineStr">
        <is>
          <t>HOK Philippine Kings League - Fall Season</t>
        </is>
      </c>
      <c r="M465" t="inlineStr">
        <is>
          <t>2025TEG-P0219</t>
        </is>
      </c>
      <c r="N465" t="inlineStr">
        <is>
          <t>Reign Santos Fortea</t>
        </is>
      </c>
      <c r="O465" t="inlineStr">
        <is>
          <t>202508230004-Reign Santos Fortea-费用报销 - 副本 - 副本 - 副本-2025-08-23 03:57:18</t>
        </is>
      </c>
      <c r="P465" t="inlineStr">
        <is>
          <t>YES</t>
        </is>
      </c>
      <c r="Q465"/>
      <c r="R465" t="inlineStr">
        <is>
          <t>NO</t>
        </is>
      </c>
      <c r="S465" t="inlineStr">
        <is>
          <t>Outsourced Event Runner</t>
        </is>
      </c>
      <c r="T465">
        <v>1</v>
      </c>
      <c r="U465">
        <v>22000</v>
      </c>
      <c r="V465" t="inlineStr">
        <is>
          <t>PHP</t>
        </is>
      </c>
      <c r="W465">
        <v>22000</v>
      </c>
      <c r="X465" s="2" t="str">
        <f>=HYPERLINK("https://www.larksuite.com/approval/admin/previewAttachment?key=PMhBCsJADAXQK_1kkvn5XsaNZVCwUhC6y9kFF92-WYZZaWMKIXPBmplIoVzuVXAU2ttIgUZjb_u6v85jRb0zP74jjz6fj7V9LUV3cESMAmC3ywcjQpqBv-MXAAD__w", "2 attachment(s)")</f>
        <v>2 attachment(s)</v>
      </c>
      <c r="Y465" t="inlineStr">
        <is>
          <t>Bank Transfer</t>
        </is>
      </c>
      <c r="Z465" t="inlineStr">
        <is>
          <t>Jimmy Montero Zapata Jr.</t>
        </is>
      </c>
      <c r="AA465" t="inlineStr">
        <is>
          <t>8419297101</t>
        </is>
      </c>
      <c r="AB465" t="inlineStr">
        <is>
          <t>BPI</t>
        </is>
      </c>
      <c r="AC465" t="inlineStr">
        <is>
          <t>278E Sta,Teresita St, Sampaloc Manila</t>
        </is>
      </c>
      <c r="AD465" s="4">
        <v>45894</v>
      </c>
      <c r="AE465" t="inlineStr">
        <is>
          <t>1st Payment - Sept. 26, 2025
2nd Payment - Oct. 10, 2025
Final Payment - Oct. 24, 2025</t>
        </is>
      </c>
      <c r="AF465" s="2"/>
      <c r="AG465" t="inlineStr">
        <is>
          <t>NzQyNTk5MTgyNzQ4MTg3MDM0MTo5RjFBRjFDMC1FQTcwLTQyMTMtQkRENC0zQUJEQTMyREM1NkMtMTplNThkMjEyMjExZWE2YjVmMTdjNjIwNDA3ZjA1YjgzODox</t>
        </is>
      </c>
      <c r="AH465" t="inlineStr">
        <is>
          <t>Jimmy Montero Zapata Jr.</t>
        </is>
      </c>
      <c r="AI465"/>
      <c r="AJ465"/>
      <c r="AK465"/>
    </row>
    <row r="466" ht="25.5" customHeight="1">
      <c r="A466" s="2" t="str">
        <f>=HYPERLINK("https://applink.larksuite.com/client/mini_program/open?appId=cli_9c7cc8a9a9edd105&amp;mode=appCenter&amp;path_pc=pc/pages/requested/index?instanceId=7550593766168657959&amp;source=bitable&amp;path=pages/detail/index?instanceId=7550593766168657959&amp;source=bitable", "202509160076")</f>
        <v>202509160076</v>
      </c>
      <c r="B466" t="inlineStr">
        <is>
          <t>Approved</t>
        </is>
      </c>
      <c r="C466" t="inlineStr">
        <is>
          <t>Procurement Order</t>
        </is>
      </c>
      <c r="D466" s="3">
        <v>45916.66673611111</v>
      </c>
      <c r="E466" s="3">
        <v>45917.46954861111</v>
      </c>
      <c r="F466" t="inlineStr">
        <is>
          <t>Fatima Kathleen M. FLores</t>
        </is>
      </c>
      <c r="G466" t="inlineStr">
        <is>
          <t>Procurement</t>
        </is>
      </c>
      <c r="H466"/>
      <c r="I466"/>
      <c r="J466" t="inlineStr">
        <is>
          <t>Project</t>
        </is>
      </c>
      <c r="K466" t="inlineStr">
        <is>
          <t>GG - Event Service</t>
        </is>
      </c>
      <c r="L466" t="inlineStr">
        <is>
          <t>HOK Philippine Kings League - Fall Season</t>
        </is>
      </c>
      <c r="M466" t="inlineStr">
        <is>
          <t>2025TEG-P0219</t>
        </is>
      </c>
      <c r="N466" t="inlineStr">
        <is>
          <t>Reign Santos Fortea</t>
        </is>
      </c>
      <c r="O466" t="inlineStr">
        <is>
          <t>202509030051-Reign Santos Fortea-费用报销 - 副本 - 副本 - 副本-2025-09-03 07:24:15</t>
        </is>
      </c>
      <c r="P466" t="inlineStr">
        <is>
          <t>NO</t>
        </is>
      </c>
      <c r="Q466"/>
      <c r="R466" t="inlineStr">
        <is>
          <t>NO</t>
        </is>
      </c>
      <c r="S466" t="inlineStr">
        <is>
          <t>Rental of 16ft Closed Van (Aug. 25, 2025)</t>
        </is>
      </c>
      <c r="T466">
        <v>1</v>
      </c>
      <c r="U466">
        <v>4500</v>
      </c>
      <c r="V466" t="inlineStr">
        <is>
          <t>PHP</t>
        </is>
      </c>
      <c r="W466">
        <v>4500</v>
      </c>
      <c r="X466" s="2" t="str">
        <f>=HYPERLINK("https://www.larksuite.com/approval/admin/previewAttachment?key=PMg5CgJREATQK1X9Xuq3lzGZYXBHEAcM-uyCgenLSeQMWha8OApsRSDKlMmcGaqoHk2pIIrq9b4d35_tgdvluVztvNN7Py3b-mKUxoDM3SYAHv5ucveqdPwc3wAAAP__", "2 attachment(s)")</f>
        <v>2 attachment(s)</v>
      </c>
      <c r="Y466" t="inlineStr">
        <is>
          <t>Bank Transfer</t>
        </is>
      </c>
      <c r="Z466" t="inlineStr">
        <is>
          <t>ONE-MAX TRUCKING SERVICES</t>
        </is>
      </c>
      <c r="AA466" t="inlineStr">
        <is>
          <t>504-3-50448621-5</t>
        </is>
      </c>
      <c r="AB466" t="inlineStr">
        <is>
          <t>Metrobank</t>
        </is>
      </c>
      <c r="AC466" t="inlineStr">
        <is>
          <t>Eastdrive St., Marikina Heights, Marikina City</t>
        </is>
      </c>
      <c r="AD466" s="4">
        <v>45894</v>
      </c>
      <c r="AE466" t="inlineStr">
        <is>
          <t>100% Full Payment</t>
        </is>
      </c>
      <c r="AF466" s="2"/>
      <c r="AG466" t="inlineStr">
        <is>
          <t>NzQyNTk5MTgyNzQ4MTg3MDM0MTpDNENEQzE2NC1DOTlELTRERUItOEU1Qi04NEJEMkY1RjU2ODctMTpmM2YxMjhiOTVmMmRmZDc3NDFhYTA0YWJiMmM0YzA2Yjox</t>
        </is>
      </c>
      <c r="AH466" t="inlineStr">
        <is>
          <t>ONE-MAX TRUCKING SERVICES</t>
        </is>
      </c>
      <c r="AI466"/>
      <c r="AJ466"/>
      <c r="AK466"/>
    </row>
    <row r="467" ht="25.5" customHeight="1">
      <c r="A467" s="2" t="str">
        <f>=HYPERLINK("https://applink.larksuite.com/client/mini_program/open?appId=cli_9c7cc8a9a9edd105&amp;mode=appCenter&amp;path_pc=pc/pages/requested/index?instanceId=7550603210453483552&amp;source=bitable&amp;path=pages/detail/index?instanceId=7550603210453483552&amp;source=bitable", "202509160080")</f>
        <v>202509160080</v>
      </c>
      <c r="B467" t="inlineStr">
        <is>
          <t>Approved</t>
        </is>
      </c>
      <c r="C467" t="inlineStr">
        <is>
          <t>Procurement Order</t>
        </is>
      </c>
      <c r="D467" s="3">
        <v>45916.6921875</v>
      </c>
      <c r="E467" s="3">
        <v>45917.67986111111</v>
      </c>
      <c r="F467" t="inlineStr">
        <is>
          <t>Fatima Kathleen M. FLores</t>
        </is>
      </c>
      <c r="G467" t="inlineStr">
        <is>
          <t>Procurement</t>
        </is>
      </c>
      <c r="H467"/>
      <c r="I467"/>
      <c r="J467" t="inlineStr">
        <is>
          <t>Project</t>
        </is>
      </c>
      <c r="K467" t="inlineStr">
        <is>
          <t>GG - Event Service</t>
        </is>
      </c>
      <c r="L467" t="inlineStr">
        <is>
          <t>HOK Philippine Kings League - Fall Season</t>
        </is>
      </c>
      <c r="M467" t="inlineStr">
        <is>
          <t>2025TEG-P0219</t>
        </is>
      </c>
      <c r="N467" t="inlineStr">
        <is>
          <t>Carla Andrea Calma Crespo</t>
        </is>
      </c>
      <c r="O467" t="inlineStr">
        <is>
          <t>202508230004-Reign Santos Fortea-费用报销 - 副本 - 副本 - 副本-2025-08-23 03:57:18</t>
        </is>
      </c>
      <c r="P467" t="inlineStr">
        <is>
          <t>YES</t>
        </is>
      </c>
      <c r="Q467"/>
      <c r="R467" t="inlineStr">
        <is>
          <t>YES</t>
        </is>
      </c>
      <c r="S467" t="inlineStr">
        <is>
          <t>Outsourced Logistics Associate</t>
        </is>
      </c>
      <c r="T467">
        <v>1</v>
      </c>
      <c r="U467">
        <v>178500</v>
      </c>
      <c r="V467" t="inlineStr">
        <is>
          <t>PHP</t>
        </is>
      </c>
      <c r="W467">
        <v>178500</v>
      </c>
      <c r="X467" s="2" t="str">
        <f>=HYPERLINK("https://www.larksuite.com/approval/admin/previewAttachment?key=PMg7CgJBEATQK1X1Z2ray5i4LKJsJDto0GcXDEzfmMSYSR-FKFqBrUwMuBGRHtMzra0pFURRvR371db5fiyZffZ1PM9e99u-vZglM8gjfALg5e-uiKgagZ_jGwAA__8", "2 attachment(s)")</f>
        <v>2 attachment(s)</v>
      </c>
      <c r="Y467" t="inlineStr">
        <is>
          <t>Bank Transfer</t>
        </is>
      </c>
      <c r="Z467" t="inlineStr">
        <is>
          <t>RIC JACA</t>
        </is>
      </c>
      <c r="AA467" t="inlineStr">
        <is>
          <t>09509516216</t>
        </is>
      </c>
      <c r="AB467" t="inlineStr">
        <is>
          <t>GCash</t>
        </is>
      </c>
      <c r="AC467" t="inlineStr">
        <is>
          <t>321 Sitio Langhaya Brgy. Dela Paz Antipolo Rizal</t>
        </is>
      </c>
      <c r="AD467" s="4">
        <v>45894</v>
      </c>
      <c r="AE467" t="inlineStr">
        <is>
          <t>1st Payment - Sept. 26, 2025
2nd Payment - Oct. 17, 2025
Final Payment - Nov. 7, 2025</t>
        </is>
      </c>
      <c r="AF467" s="2"/>
      <c r="AG467" t="inlineStr">
        <is>
          <t>NzQyNTk5MTgyNzQ4MTg3MDM0MTpDRjIwMjdBRC01QzlBLTQzODMtODNGOS0wRjNCMTc4N0VFRTctMTpkZmNkYTE3Njk0ZTk0YzU2Y2UwZjRiMzVlMWZjMjc4Mjox</t>
        </is>
      </c>
      <c r="AH467" t="inlineStr">
        <is>
          <t>RIC JACA</t>
        </is>
      </c>
      <c r="AI467"/>
      <c r="AJ467"/>
      <c r="AK467"/>
    </row>
    <row r="468" ht="25.5" customHeight="1">
      <c r="A468" s="2" t="str">
        <f>=HYPERLINK("https://applink.larksuite.com/client/mini_program/open?appId=cli_9c7cc8a9a9edd105&amp;mode=appCenter&amp;path_pc=pc/pages/requested/index?instanceId=7550610135794892839&amp;source=bitable&amp;path=pages/detail/index?instanceId=7550610135794892839&amp;source=bitable", "202509160086")</f>
        <v>202509160086</v>
      </c>
      <c r="B468" t="inlineStr">
        <is>
          <t>Approved</t>
        </is>
      </c>
      <c r="C468" t="inlineStr">
        <is>
          <t>Procurement Order</t>
        </is>
      </c>
      <c r="D468" s="3">
        <v>45916.710856481484</v>
      </c>
      <c r="E468" s="3">
        <v>45917.69503472222</v>
      </c>
      <c r="F468" t="inlineStr">
        <is>
          <t>Fatima Kathleen M. FLores</t>
        </is>
      </c>
      <c r="G468" t="inlineStr">
        <is>
          <t>Procurement</t>
        </is>
      </c>
      <c r="H468"/>
      <c r="I468"/>
      <c r="J468" t="inlineStr">
        <is>
          <t>Project</t>
        </is>
      </c>
      <c r="K468" t="inlineStr">
        <is>
          <t>GG - Event Service</t>
        </is>
      </c>
      <c r="L468" t="inlineStr">
        <is>
          <t>HOK Philippine Kings League - Fall Season</t>
        </is>
      </c>
      <c r="M468" t="inlineStr">
        <is>
          <t>2025TEG-P0219</t>
        </is>
      </c>
      <c r="N468" t="inlineStr">
        <is>
          <t>Carla Andrea Calma Crespo</t>
        </is>
      </c>
      <c r="O468" t="inlineStr">
        <is>
          <t>202509100034-Carla Andrea Calma Crespo-费用报销 - 副本 - 副本 - 副本-2025-09-10 04:56:02</t>
        </is>
      </c>
      <c r="P468" t="inlineStr">
        <is>
          <t>YES</t>
        </is>
      </c>
      <c r="Q468"/>
      <c r="R468" t="inlineStr">
        <is>
          <t>YES</t>
        </is>
      </c>
      <c r="S468" t="inlineStr">
        <is>
          <t>Outsourced Camera Operator</t>
        </is>
      </c>
      <c r="T468">
        <v>1</v>
      </c>
      <c r="U468">
        <v>28800</v>
      </c>
      <c r="V468" t="inlineStr">
        <is>
          <t>PHP</t>
        </is>
      </c>
      <c r="W468">
        <v>28800</v>
      </c>
      <c r="X468" s="2" t="str">
        <f>=HYPERLINK("https://www.larksuite.com/approval/admin/previewAttachment?key=PMhBqgJBDATQK1V1kk7qX-ZvZmh0QBBEBxc5u-DC7ZtFzAraFFwcAjsjMAlapLw0ytSjmSkkk9n7bf1vz1pv2BHXdT-Ps1-Xbe0PhnIMpLlbAeDfzy3dXZqOr-MTAAD__w", "2 attachment(s)")</f>
        <v>2 attachment(s)</v>
      </c>
      <c r="Y468" t="inlineStr">
        <is>
          <t>Bank Transfer</t>
        </is>
      </c>
      <c r="Z468" t="inlineStr">
        <is>
          <t>JOHN MARK PABELICO</t>
        </is>
      </c>
      <c r="AA468" t="inlineStr">
        <is>
          <t>019809678942</t>
        </is>
      </c>
      <c r="AB468" t="inlineStr">
        <is>
          <t>GoTyme Bank</t>
        </is>
      </c>
      <c r="AC468" t="inlineStr">
        <is>
          <t>3195A Tindalo Street, UPS2, Brgy. San Martin de Porres, Parañaque City</t>
        </is>
      </c>
      <c r="AD468" s="4">
        <v>45897</v>
      </c>
      <c r="AE468" t="inlineStr">
        <is>
          <t>1st Payment - Sept. 12, 2025
2nd Payment - Sept. 26, 2025
Final Payment - Oct.10, 2025</t>
        </is>
      </c>
      <c r="AF468" s="2"/>
      <c r="AG468" t="inlineStr">
        <is>
          <t>NzQyNTk5MTgyNzQ4MTg3MDM0MToyNkQ5QzBFQi1FOTA2LTQxRjItOEM2MC1DNTQ3MEFFOTFBREEtMTo3MmU1MDdhMmZmNzVkOTI1YjBhMmY1Y2I3ZmFiNWRmMzox</t>
        </is>
      </c>
      <c r="AH468" t="inlineStr">
        <is>
          <t>JOHN MARK PABELICO</t>
        </is>
      </c>
      <c r="AI468"/>
      <c r="AJ468"/>
      <c r="AK468"/>
    </row>
    <row r="469" ht="25.5" customHeight="1">
      <c r="A469" s="2" t="str">
        <f>=HYPERLINK("https://applink.larksuite.com/client/mini_program/open?appId=cli_9c7cc8a9a9edd105&amp;mode=appCenter&amp;path_pc=pc/pages/requested/index?instanceId=7550611646809374751&amp;source=bitable&amp;path=pages/detail/index?instanceId=7550611646809374751&amp;source=bitable", "202509160087")</f>
        <v>202509160087</v>
      </c>
      <c r="B469" t="inlineStr">
        <is>
          <t>Approved</t>
        </is>
      </c>
      <c r="C469" t="inlineStr">
        <is>
          <t>Procurement Order</t>
        </is>
      </c>
      <c r="D469" s="3">
        <v>45916.71491898148</v>
      </c>
      <c r="E469" s="3">
        <v>45917.47996527778</v>
      </c>
      <c r="F469" t="inlineStr">
        <is>
          <t>Fatima Kathleen M. FLores</t>
        </is>
      </c>
      <c r="G469" t="inlineStr">
        <is>
          <t>Procurement</t>
        </is>
      </c>
      <c r="H469"/>
      <c r="I469"/>
      <c r="J469" t="inlineStr">
        <is>
          <t>Project</t>
        </is>
      </c>
      <c r="K469" t="inlineStr">
        <is>
          <t>GG - Event Service</t>
        </is>
      </c>
      <c r="L469" t="inlineStr">
        <is>
          <t>HOK Philippine Kings League - Fall Season</t>
        </is>
      </c>
      <c r="M469" t="inlineStr">
        <is>
          <t>2025TEG-P0219</t>
        </is>
      </c>
      <c r="N469" t="inlineStr">
        <is>
          <t>Carla Andrea Calma Crespo</t>
        </is>
      </c>
      <c r="O469" t="inlineStr">
        <is>
          <t>202509100052-Carla Andrea Calma Crespo-费用报销 - 副本 - 副本 - 副本-2025-09-10 06:49:48</t>
        </is>
      </c>
      <c r="P469" t="inlineStr">
        <is>
          <t>YES</t>
        </is>
      </c>
      <c r="Q469"/>
      <c r="R469" t="inlineStr">
        <is>
          <t>YES</t>
        </is>
      </c>
      <c r="S469" t="inlineStr">
        <is>
          <t>Outsourced Assistant Talent Manager</t>
        </is>
      </c>
      <c r="T469">
        <v>1</v>
      </c>
      <c r="U469">
        <v>31200</v>
      </c>
      <c r="V469" t="inlineStr">
        <is>
          <t>PHP</t>
        </is>
      </c>
      <c r="W469">
        <v>31200</v>
      </c>
      <c r="X469" s="2" t="str">
        <f>=HYPERLINK("https://www.larksuite.com/approval/admin/previewAttachment?key=PMhBikIxEATQK1Ul1V3pucxsEj4iCIL4dZOzCy7cvhxEjmDPgoqtwO0IJJnKgeqWg7tt2gXT9F634z9ivp7Xe82ld-Dc52Ue68EotwZ3qQ8A_Pt5t6SqFL6OTwAAAP__", "2 attachment(s)")</f>
        <v>2 attachment(s)</v>
      </c>
      <c r="Y469" t="inlineStr">
        <is>
          <t>Bank Transfer</t>
        </is>
      </c>
      <c r="Z469" t="inlineStr">
        <is>
          <t>Kimberly Buenviaje Diamse</t>
        </is>
      </c>
      <c r="AA469" t="inlineStr">
        <is>
          <t>3879087456</t>
        </is>
      </c>
      <c r="AB469" t="inlineStr">
        <is>
          <t>BPI</t>
        </is>
      </c>
      <c r="AC469" t="inlineStr">
        <is>
          <t>2364 Coral Street San Andres Bukid Manila</t>
        </is>
      </c>
      <c r="AD469" s="4">
        <v>45897</v>
      </c>
      <c r="AE469" t="inlineStr">
        <is>
          <t>1st Payment - Sept. 26, 2025
2nd Payment - Oct. 10, 2025
Final Payment - Oct. 31, 2025</t>
        </is>
      </c>
      <c r="AF469" s="2"/>
      <c r="AG469" t="inlineStr">
        <is>
          <t>NzQyNTk5MTgyNzQ4MTg3MDM0MTpBMkRCQ0RBMy03NDRFLTQ4QzktOTFDRi1DQzU1NTYwNzZFRTQtMTo0OWFmNGUxNzY2YzgyMDI2OGZjOTUyMjAxYTQzM2RmOTox</t>
        </is>
      </c>
      <c r="AH469" t="inlineStr">
        <is>
          <t>Kimberly Buenviaje Diamse</t>
        </is>
      </c>
      <c r="AI469"/>
      <c r="AJ469"/>
      <c r="AK469"/>
    </row>
    <row r="470" ht="25.5" customHeight="1">
      <c r="A470" s="2" t="str">
        <f>=HYPERLINK("https://applink.larksuite.com/client/mini_program/open?appId=cli_9c7cc8a9a9edd105&amp;mode=appCenter&amp;path_pc=pc/pages/requested/index?instanceId=7550615386593443879&amp;source=bitable&amp;path=pages/detail/index?instanceId=7550615386593443879&amp;source=bitable", "202509160095")</f>
        <v>202509160095</v>
      </c>
      <c r="B470" t="inlineStr">
        <is>
          <t>Approved</t>
        </is>
      </c>
      <c r="C470" t="inlineStr">
        <is>
          <t>Procurement Order</t>
        </is>
      </c>
      <c r="D470" s="3">
        <v>45916.725</v>
      </c>
      <c r="E470" s="3">
        <v>45917.482569444444</v>
      </c>
      <c r="F470" t="inlineStr">
        <is>
          <t>Fatima Kathleen M. FLores</t>
        </is>
      </c>
      <c r="G470" t="inlineStr">
        <is>
          <t>Procurement</t>
        </is>
      </c>
      <c r="H470"/>
      <c r="I470"/>
      <c r="J470" t="inlineStr">
        <is>
          <t>Project</t>
        </is>
      </c>
      <c r="K470" t="inlineStr">
        <is>
          <t>GG - Event Service</t>
        </is>
      </c>
      <c r="L470" t="inlineStr">
        <is>
          <t>HOK Philippine Kings League - Fall Season</t>
        </is>
      </c>
      <c r="M470" t="inlineStr">
        <is>
          <t>2025TEG-P0219</t>
        </is>
      </c>
      <c r="N470" t="inlineStr">
        <is>
          <t>Carla Andrea Calma Crespo</t>
        </is>
      </c>
      <c r="O470" t="inlineStr">
        <is>
          <t>202509100063-Carla Andrea Calma Crespo-费用报销 - 副本 - 副本 - 副本-2025-09-10 07:31:23</t>
        </is>
      </c>
      <c r="P470" t="inlineStr">
        <is>
          <t>YES</t>
        </is>
      </c>
      <c r="Q470"/>
      <c r="R470" t="inlineStr">
        <is>
          <t>YES</t>
        </is>
      </c>
      <c r="S470" t="inlineStr">
        <is>
          <t>Outsourced Production Assistant</t>
        </is>
      </c>
      <c r="T470">
        <v>1</v>
      </c>
      <c r="U470">
        <v>27500</v>
      </c>
      <c r="V470" t="inlineStr">
        <is>
          <t>PHP</t>
        </is>
      </c>
      <c r="W470">
        <v>27500</v>
      </c>
      <c r="X470" s="2" t="str">
        <f>=HYPERLINK("https://www.larksuite.com/approval/admin/previewAttachment?key=PMs5CgMxEATAL3Vrjtb4M04khA82Mhgnerthg00LKjuRPWhZ8GIrcCsCybCeUeZuXbXbplQQRe15rPvrmMt-bDaeHO-xv4-x5odRag06GwDeLje5e1U6Tsc_AAD__w", "2 attachment(s)")</f>
        <v>2 attachment(s)</v>
      </c>
      <c r="Y470" t="inlineStr">
        <is>
          <t>Bank Transfer</t>
        </is>
      </c>
      <c r="Z470" t="inlineStr">
        <is>
          <t>Kenneth Ivan B. Pagdanganan</t>
        </is>
      </c>
      <c r="AA470" t="inlineStr">
        <is>
          <t>1096 7473 9838</t>
        </is>
      </c>
      <c r="AB470" t="inlineStr">
        <is>
          <t>Unionbank</t>
        </is>
      </c>
      <c r="AC470" t="inlineStr">
        <is>
          <t>Brgy 630 Anonas Sta Mesa Manila</t>
        </is>
      </c>
      <c r="AD470" s="4">
        <v>45894</v>
      </c>
      <c r="AE470" t="inlineStr">
        <is>
          <t>1st Payment - Sept. 26, 2025
2nd Payment - Oct. 10, 2025
Final Payment - Oct. 31, 2025</t>
        </is>
      </c>
      <c r="AF470" s="2"/>
      <c r="AG470" t="inlineStr">
        <is>
          <t>NzQyNTk5MTgyNzQ4MTg3MDM0MTpGOTFBNUVBNS01MzY5LTQ0RjQtQTE2MC0zNDM5MjYwNTFEODctMTplY2FhMTVhZjdkZDUxNDBiYzNiODQyYWIwNTk3M2FkMDox</t>
        </is>
      </c>
      <c r="AH470" t="inlineStr">
        <is>
          <t>Kenneth Ivan B. Pagdanganan</t>
        </is>
      </c>
      <c r="AI470"/>
      <c r="AJ470"/>
      <c r="AK470"/>
    </row>
    <row r="471" ht="25.5" customHeight="1">
      <c r="A471" s="2" t="str">
        <f>=HYPERLINK("https://applink.larksuite.com/client/mini_program/open?appId=cli_9c7cc8a9a9edd105&amp;mode=appCenter&amp;path_pc=pc/pages/requested/index?instanceId=7550628121523781671&amp;source=bitable&amp;path=pages/detail/index?instanceId=7550628121523781671&amp;source=bitable", "202509160111")</f>
        <v>202509160111</v>
      </c>
      <c r="B471" t="inlineStr">
        <is>
          <t>Approved</t>
        </is>
      </c>
      <c r="C471" t="inlineStr">
        <is>
          <t>Procurement Order</t>
        </is>
      </c>
      <c r="D471" s="3">
        <v>45916.75931712963</v>
      </c>
      <c r="E471" s="3">
        <v>45917.45927083334</v>
      </c>
      <c r="F471" t="inlineStr">
        <is>
          <t>Fatima Kathleen M. FLores</t>
        </is>
      </c>
      <c r="G471" t="inlineStr">
        <is>
          <t>Procurement</t>
        </is>
      </c>
      <c r="H471"/>
      <c r="I471"/>
      <c r="J471" t="inlineStr">
        <is>
          <t>Project</t>
        </is>
      </c>
      <c r="K471" t="inlineStr">
        <is>
          <t>PDEI - Event Service</t>
        </is>
      </c>
      <c r="L471" t="inlineStr">
        <is>
          <t>MDL PH S6 Qualifiers &amp; Regular Season</t>
        </is>
      </c>
      <c r="M471" t="inlineStr">
        <is>
          <t>2025TEG-P0200</t>
        </is>
      </c>
      <c r="N471" t="inlineStr">
        <is>
          <t>Kervin</t>
        </is>
      </c>
      <c r="O471" t="inlineStr">
        <is>
          <t>202507040021-Kervin-费用报销 - 副本 - 副本 - 副本-2025-07-04 03:56:28</t>
        </is>
      </c>
      <c r="P471" t="inlineStr">
        <is>
          <t>YES</t>
        </is>
      </c>
      <c r="Q471"/>
      <c r="R471" t="inlineStr">
        <is>
          <t>NO</t>
        </is>
      </c>
      <c r="S471" t="inlineStr">
        <is>
          <t>Outsourced Teleprompter</t>
        </is>
      </c>
      <c r="T471">
        <v>1</v>
      </c>
      <c r="U471">
        <v>25500</v>
      </c>
      <c r="V471" t="inlineStr">
        <is>
          <t>PHP</t>
        </is>
      </c>
      <c r="W471">
        <v>25500</v>
      </c>
      <c r="X471" s="2" t="str">
        <f>=HYPERLINK("https://www.larksuite.com/approval/admin/previewAttachment?key=PMg9CkJBDATgK81ks5nEy9j4WPwFQXhikbMLFrZfJBE5OaLgRSuwNSfCksZpQ8kQ25pSQRTV22Mdn9f1ed_NLtxuWnvv59PaXpwlM2i4jwTAw9-H3L0qHD_HNwAA__8", "2 attachment(s)")</f>
        <v>2 attachment(s)</v>
      </c>
      <c r="Y471" t="inlineStr">
        <is>
          <t>Bank Transfer</t>
        </is>
      </c>
      <c r="Z471" t="inlineStr">
        <is>
          <t>Sheinna Mae Landig Nuñezca</t>
        </is>
      </c>
      <c r="AA471" t="inlineStr">
        <is>
          <t>09938307484</t>
        </is>
      </c>
      <c r="AB471" t="inlineStr">
        <is>
          <t>GCash</t>
        </is>
      </c>
      <c r="AC471" t="inlineStr">
        <is>
          <t>B90 L24 Roma Amor St Brgy Rizal, Taguig City</t>
        </is>
      </c>
      <c r="AD471" s="4">
        <v>45888</v>
      </c>
      <c r="AE471" t="inlineStr">
        <is>
          <t>1st Payment - Sept. 19, 2025
Final Payment - Oct. 10, 2025</t>
        </is>
      </c>
      <c r="AF471" s="2"/>
      <c r="AG471" t="inlineStr">
        <is>
          <t>NzQyNTk5MTgyNzQ4MTg3MDM0MTpDQjU1MDM0MC0yMTdGLTQ3NkEtQTAyRS1DQUE5QkMwNTc4OUYtMTo2YjgyYWFlNWExYTM0NzM4NjFlMzI5ODgzZDk4NGJiYTox</t>
        </is>
      </c>
      <c r="AH471" t="inlineStr">
        <is>
          <t>Sheinna Mae Landig Nuñezca</t>
        </is>
      </c>
      <c r="AI471"/>
      <c r="AJ471"/>
      <c r="AK471"/>
    </row>
    <row r="472" ht="25.5" customHeight="1">
      <c r="A472" s="2" t="str">
        <f>=HYPERLINK("https://applink.larksuite.com/client/mini_program/open?appId=cli_9c7cc8a9a9edd105&amp;mode=appCenter&amp;path_pc=pc/pages/requested/index?instanceId=7550630131266486311&amp;source=bitable&amp;path=pages/detail/index?instanceId=7550630131266486311&amp;source=bitable", "202509160124")</f>
        <v>202509160124</v>
      </c>
      <c r="B472" t="inlineStr">
        <is>
          <t>Approved</t>
        </is>
      </c>
      <c r="C472" t="inlineStr">
        <is>
          <t>Procurement Order</t>
        </is>
      </c>
      <c r="D472" s="3">
        <v>45916.7647337963</v>
      </c>
      <c r="E472" s="3">
        <v>45917.46020833333</v>
      </c>
      <c r="F472" t="inlineStr">
        <is>
          <t>Fatima Kathleen M. FLores</t>
        </is>
      </c>
      <c r="G472" t="inlineStr">
        <is>
          <t>Procurement</t>
        </is>
      </c>
      <c r="H472"/>
      <c r="I472"/>
      <c r="J472" t="inlineStr">
        <is>
          <t>Project</t>
        </is>
      </c>
      <c r="K472" t="inlineStr">
        <is>
          <t>PDEI - Event Service</t>
        </is>
      </c>
      <c r="L472" t="inlineStr">
        <is>
          <t>MDL PH S6 Qualifiers &amp; Regular Season</t>
        </is>
      </c>
      <c r="M472" t="inlineStr">
        <is>
          <t>2025TEG-P0200</t>
        </is>
      </c>
      <c r="N472" t="inlineStr">
        <is>
          <t>Kervin</t>
        </is>
      </c>
      <c r="O472" t="inlineStr">
        <is>
          <t>202509120059-Kervin-费用报销 - 副本 - 副本 - 副本-2025-09-12 08:46:13</t>
        </is>
      </c>
      <c r="P472" t="inlineStr">
        <is>
          <t>YES</t>
        </is>
      </c>
      <c r="Q472"/>
      <c r="R472" t="inlineStr">
        <is>
          <t>NO</t>
        </is>
      </c>
      <c r="S472" t="inlineStr">
        <is>
          <t>Outsourced Highlights / Replay Operator</t>
        </is>
      </c>
      <c r="T472">
        <v>1</v>
      </c>
      <c r="U472">
        <v>19500</v>
      </c>
      <c r="V472" t="inlineStr">
        <is>
          <t>PHP</t>
        </is>
      </c>
      <c r="W472">
        <v>19500</v>
      </c>
      <c r="X472" s="2" t="str">
        <f>=HYPERLINK("https://www.larksuite.com/approval/admin/previewAttachment?key=PMgxDoIxCAXgK70HFIqXcWlDjPpPJt04u4mD6-eT8DmonrCkJNgxBlxBpbjbdCVbmhGJYDB6X3V_Xru0Tom-uV6rz2PV_nBkiCDUTCcA3v6uYWaZbvg5vgEAAP__", "2 attachment(s)")</f>
        <v>2 attachment(s)</v>
      </c>
      <c r="Y472" t="inlineStr">
        <is>
          <t>Bank Transfer</t>
        </is>
      </c>
      <c r="Z472" t="inlineStr">
        <is>
          <t>Franz Adrian Cruz Abrenica</t>
        </is>
      </c>
      <c r="AA472" t="inlineStr">
        <is>
          <t>1094 2955 9930</t>
        </is>
      </c>
      <c r="AB472" t="inlineStr">
        <is>
          <t>Unionbank</t>
        </is>
      </c>
      <c r="AC472" t="inlineStr">
        <is>
          <t>Block 83 Lot 16 Patricia Homes 8, Magat Salamat Street, Brgy. Concepcion Dos, Marikina City</t>
        </is>
      </c>
      <c r="AD472" s="4">
        <v>45888</v>
      </c>
      <c r="AE472" t="inlineStr">
        <is>
          <t>1st Payment - Sept. 19, 2025
2nd Payment - Sept. 26, 2025
Final Payment - Oct. 24, 2025</t>
        </is>
      </c>
      <c r="AF472" s="2"/>
      <c r="AG472" t="inlineStr">
        <is>
          <t>NzQyNTk5MTgyNzQ4MTg3MDM0MTpGQjJDQzI2OC1CMUQwLTQyRjAtQTc1Ri02MkZGRkRBRjMxMTUtMTo0ZmRiZTYyMmMyNzViNDAwMjQzYmRkOTA3MGMyNmQ2ZTox</t>
        </is>
      </c>
      <c r="AH472" t="inlineStr">
        <is>
          <t>Franz Adrian Cruz Abrenica</t>
        </is>
      </c>
      <c r="AI472"/>
      <c r="AJ472"/>
      <c r="AK472"/>
    </row>
    <row r="473" ht="25.5" customHeight="1">
      <c r="A473" s="2" t="str">
        <f>=HYPERLINK("https://applink.larksuite.com/client/mini_program/open?appId=cli_9c7cc8a9a9edd105&amp;mode=appCenter&amp;path_pc=pc/pages/requested/index?instanceId=7550637524532625447&amp;source=bitable&amp;path=pages/detail/index?instanceId=7550637524532625447&amp;source=bitable", "202509160131")</f>
        <v>202509160131</v>
      </c>
      <c r="B473" t="inlineStr">
        <is>
          <t>Approved</t>
        </is>
      </c>
      <c r="C473" t="inlineStr">
        <is>
          <t>Procurement Order</t>
        </is>
      </c>
      <c r="D473" s="3">
        <v>45916.78465277778</v>
      </c>
      <c r="E473" s="3">
        <v>45917.69594907408</v>
      </c>
      <c r="F473" t="inlineStr">
        <is>
          <t>Fatima Kathleen M. FLores</t>
        </is>
      </c>
      <c r="G473" t="inlineStr">
        <is>
          <t>Procurement</t>
        </is>
      </c>
      <c r="H473"/>
      <c r="I473"/>
      <c r="J473" t="inlineStr">
        <is>
          <t>Project</t>
        </is>
      </c>
      <c r="K473" t="inlineStr">
        <is>
          <t>GG - Event Service</t>
        </is>
      </c>
      <c r="L473" t="inlineStr">
        <is>
          <t>HOK Philippine Kings League - Fall Season</t>
        </is>
      </c>
      <c r="M473" t="inlineStr">
        <is>
          <t>2025TEG-P0219</t>
        </is>
      </c>
      <c r="N473" t="inlineStr">
        <is>
          <t>Carla Andrea Calma Crespo</t>
        </is>
      </c>
      <c r="O473" t="inlineStr">
        <is>
          <t>202509010118-Carla Andrea Calma Crespo-费用报销 - 副本 - 副本 - 副本-2025-09-01 09:52:30</t>
        </is>
      </c>
      <c r="P473" t="inlineStr">
        <is>
          <t>YES</t>
        </is>
      </c>
      <c r="Q473"/>
      <c r="R473" t="inlineStr">
        <is>
          <t>YES</t>
        </is>
      </c>
      <c r="S473" t="inlineStr">
        <is>
          <t>Outsourced Social Media Manager</t>
        </is>
      </c>
      <c r="T473">
        <v>1</v>
      </c>
      <c r="U473">
        <v>70000</v>
      </c>
      <c r="V473" t="inlineStr">
        <is>
          <t>PHP</t>
        </is>
      </c>
      <c r="W473">
        <v>70000</v>
      </c>
      <c r="X473" s="2" t="str">
        <f>=HYPERLINK("https://www.larksuite.com/approval/admin/previewAttachment?key=PMg9CsJAEAXgK735fTtexiZhESUiCCsWc3bBIu2XQ5AjxLLgJVqQZgTSGOphmhrubG0hCxQKez_m9XWf38-B9azH2Nbqddvm_pYoqoLmbgOAXE43untVOv6OXwAAAP__", "2 attachment(s)")</f>
        <v>2 attachment(s)</v>
      </c>
      <c r="Y473" t="inlineStr">
        <is>
          <t>Bank Transfer</t>
        </is>
      </c>
      <c r="Z473" t="inlineStr">
        <is>
          <t>Kathleen Chryss D Calajate</t>
        </is>
      </c>
      <c r="AA473" t="inlineStr">
        <is>
          <t>1999219329</t>
        </is>
      </c>
      <c r="AB473" t="inlineStr">
        <is>
          <t>BPI</t>
        </is>
      </c>
      <c r="AC473" t="inlineStr">
        <is>
          <t>JA 112, KM3, Brgy. Balili, La Trinidad, Benguet</t>
        </is>
      </c>
      <c r="AD473" s="4">
        <v>45887</v>
      </c>
      <c r="AE473" t="inlineStr">
        <is>
          <t>1st Payment - Sept. 12, 2025
2nd Payment - Oct. 3, 2025
3rd Payment - Oct. 24, 2025
Final Payment - Nov. 14, 2025</t>
        </is>
      </c>
      <c r="AF473" s="2"/>
      <c r="AG473" t="inlineStr">
        <is>
          <t>NzQyNTk5MTgyNzQ4MTg3MDM0MTpGNUFGODMxMi0yMjA5LTRCMjItOUE5Qy02NjU4MjJCM0I1MjAtMToyMDhmMzU3ZDdiMmVlYTNmZjU0YzNjNDNhZjFhNWJkYjox</t>
        </is>
      </c>
      <c r="AH473" t="inlineStr">
        <is>
          <t>Kathleen Chryss D Calajate</t>
        </is>
      </c>
      <c r="AI473"/>
      <c r="AJ473"/>
      <c r="AK473"/>
    </row>
    <row r="474" ht="25.5" customHeight="1">
      <c r="A474" s="2" t="str">
        <f>=HYPERLINK("https://applink.larksuite.com/client/mini_program/open?appId=cli_9c7cc8a9a9edd105&amp;mode=appCenter&amp;path_pc=pc/pages/requested/index?instanceId=7550639445498740767&amp;source=bitable&amp;path=pages/detail/index?instanceId=7550639445498740767&amp;source=bitable", "202509160132")</f>
        <v>202509160132</v>
      </c>
      <c r="B474" t="inlineStr">
        <is>
          <t>Approved</t>
        </is>
      </c>
      <c r="C474" t="inlineStr">
        <is>
          <t>Procurement Order</t>
        </is>
      </c>
      <c r="D474" s="3">
        <v>45916.78983796296</v>
      </c>
      <c r="E474" s="3">
        <v>45917.43612268518</v>
      </c>
      <c r="F474" t="inlineStr">
        <is>
          <t>Fatima Kathleen M. FLores</t>
        </is>
      </c>
      <c r="G474" t="inlineStr">
        <is>
          <t>Procurement</t>
        </is>
      </c>
      <c r="H474"/>
      <c r="I474"/>
      <c r="J474" t="inlineStr">
        <is>
          <t>Project</t>
        </is>
      </c>
      <c r="K474" t="inlineStr">
        <is>
          <t>PDEI - Event Service</t>
        </is>
      </c>
      <c r="L474" t="inlineStr">
        <is>
          <t>MPL PH S16 - Regular Season</t>
        </is>
      </c>
      <c r="M474" t="inlineStr">
        <is>
          <t>2025TEG-P0214</t>
        </is>
      </c>
      <c r="N474" t="inlineStr">
        <is>
          <t>Jessica Jane Lor Felicilda</t>
        </is>
      </c>
      <c r="O474" t="inlineStr">
        <is>
          <t>202507280011-Jessica Jane Lor Felicilda-费用报销 - 副本 - 副本 - 副本-2025-07-28 02:54:48</t>
        </is>
      </c>
      <c r="P474" t="inlineStr">
        <is>
          <t>YES</t>
        </is>
      </c>
      <c r="Q474"/>
      <c r="R474" t="inlineStr">
        <is>
          <t>NO</t>
        </is>
      </c>
      <c r="S474" t="inlineStr">
        <is>
          <t>Outsourced Lead Project Manager</t>
        </is>
      </c>
      <c r="T474">
        <v>1</v>
      </c>
      <c r="U474">
        <v>105000</v>
      </c>
      <c r="V474" t="inlineStr">
        <is>
          <t>PHP</t>
        </is>
      </c>
      <c r="W474">
        <v>105000</v>
      </c>
      <c r="X474" s="2" t="str">
        <f>=HYPERLINK("https://www.larksuite.com/approval/admin/previewAttachment?key=PMgxCkJBDATQK02S2czGy9jsZ1HESr5gkbMLFrYvpyHnsMgCy7xgrTGQUeRgTRFKtbdJBZlMfTz3dZ1zf-6P5Tpjh_f7tvbxslFyh4KMCcAufw-RrEri5_gGAAD__w", "2 attachment(s)")</f>
        <v>2 attachment(s)</v>
      </c>
      <c r="Y474" t="inlineStr">
        <is>
          <t>Bank Transfer</t>
        </is>
      </c>
      <c r="Z474" t="inlineStr">
        <is>
          <t>Regner John R. Peneza</t>
        </is>
      </c>
      <c r="AA474" t="inlineStr">
        <is>
          <t>109654013457</t>
        </is>
      </c>
      <c r="AB474" t="inlineStr">
        <is>
          <t>Unionbank</t>
        </is>
      </c>
      <c r="AC474" t="inlineStr">
        <is>
          <t>Bldg 3 unit 102 Residencias De Manila, pandacan Manila</t>
        </is>
      </c>
      <c r="AD474" s="4">
        <v>45862</v>
      </c>
      <c r="AE474" t="inlineStr">
        <is>
          <t>1st Payment - Sept. 19, 2025
2nd Payment - Oct. 3, 2025
3rd Payment - Oct. 24, 2025
Final Payment - Nov. 14, 2025</t>
        </is>
      </c>
      <c r="AF474" s="2"/>
      <c r="AG474" t="inlineStr">
        <is>
          <t>NzQyNTk5MTgyNzQ4MTg3MDM0MTowNkU5MzdGRC1COEJGLTQ2MTMtOENCRC1FOThGQzQ1MjI2RjktMTo3YzM2M2Q4MTI0M2NmOGQ5ZjY2YTk0NzE2MTM5MWNlMDox</t>
        </is>
      </c>
      <c r="AH474" t="inlineStr">
        <is>
          <t>Regner John R. Peneza</t>
        </is>
      </c>
      <c r="AI474"/>
      <c r="AJ474"/>
      <c r="AK474"/>
    </row>
    <row r="475" ht="25.5" customHeight="1">
      <c r="A475" s="2" t="str">
        <f>=HYPERLINK("https://applink.larksuite.com/client/mini_program/open?appId=cli_9c7cc8a9a9edd105&amp;mode=appCenter&amp;path_pc=pc/pages/requested/index?instanceId=7550642438415581223&amp;source=bitable&amp;path=pages/detail/index?instanceId=7550642438415581223&amp;source=bitable", "202509160133")</f>
        <v>202509160133</v>
      </c>
      <c r="B475" t="inlineStr">
        <is>
          <t>Approved</t>
        </is>
      </c>
      <c r="C475" t="inlineStr">
        <is>
          <t>Procurement Order</t>
        </is>
      </c>
      <c r="D475" s="3">
        <v>45916.79790509259</v>
      </c>
      <c r="E475" s="3">
        <v>45917.442928240744</v>
      </c>
      <c r="F475" t="inlineStr">
        <is>
          <t>Fatima Kathleen M. FLores</t>
        </is>
      </c>
      <c r="G475" t="inlineStr">
        <is>
          <t>Procurement</t>
        </is>
      </c>
      <c r="H475"/>
      <c r="I475"/>
      <c r="J475" t="inlineStr">
        <is>
          <t>Project</t>
        </is>
      </c>
      <c r="K475" t="inlineStr">
        <is>
          <t>PDEI - Event Service</t>
        </is>
      </c>
      <c r="L475" t="inlineStr">
        <is>
          <t>MPL PH S16 - Regular Season</t>
        </is>
      </c>
      <c r="M475" t="inlineStr">
        <is>
          <t>2025TEG-P0214</t>
        </is>
      </c>
      <c r="N475" t="inlineStr">
        <is>
          <t>Jessica Jane Lor Felicilda</t>
        </is>
      </c>
      <c r="O475" t="inlineStr">
        <is>
          <t>202509120016-Jessica Jane Lor Felicilda-费用报销 - 副本 - 副本 - 副本-2025-09-12 04:28:57</t>
        </is>
      </c>
      <c r="P475" t="inlineStr">
        <is>
          <t>YES</t>
        </is>
      </c>
      <c r="Q475"/>
      <c r="R475" t="inlineStr">
        <is>
          <t>NO</t>
        </is>
      </c>
      <c r="S475" t="inlineStr">
        <is>
          <t>Outsourced Logistic Associates (Event Days)</t>
        </is>
      </c>
      <c r="T475">
        <v>1</v>
      </c>
      <c r="U475">
        <v>36450</v>
      </c>
      <c r="V475" t="inlineStr">
        <is>
          <t>PHP</t>
        </is>
      </c>
      <c r="W475">
        <v>36450</v>
      </c>
      <c r="X475" s="2" t="str">
        <f>=HYPERLINK("https://www.larksuite.com/approval/admin/previewAttachment?key=PMhBqgJBDATQK1UllU7nX-ZvehgEFQRx1EXOLrhw-8Ykxgz6KKhoBXZGYMjkU4yYNPO2ZmYhmczervt_xHo-pPW63OJ9Pvo4rX27MyrNkC75BMC_n3tKqhrC1_EJAAD__w", "2 attachment(s)")</f>
        <v>2 attachment(s)</v>
      </c>
      <c r="Y475" t="inlineStr">
        <is>
          <t>Bank Transfer</t>
        </is>
      </c>
      <c r="Z475" t="inlineStr">
        <is>
          <t>Marc Kevin Serrano</t>
        </is>
      </c>
      <c r="AA475" t="inlineStr">
        <is>
          <t>1519218972</t>
        </is>
      </c>
      <c r="AB475" t="inlineStr">
        <is>
          <t>BPI</t>
        </is>
      </c>
      <c r="AC475" t="inlineStr">
        <is>
          <t>3 Don Guillermo Street, Barangay Holy Spirit, Commonwealth, Quezon City</t>
        </is>
      </c>
      <c r="AD475" s="4">
        <v>45891</v>
      </c>
      <c r="AE475" t="inlineStr">
        <is>
          <t>1st Payment - Sept. 19, 2025
2nd Payment - Oct. 3, 2025
Final Payment - Oct. 31, 2025</t>
        </is>
      </c>
      <c r="AF475" s="2"/>
      <c r="AG475" t="inlineStr">
        <is>
          <t>NzQyNTk5MTgyNzQ4MTg3MDM0MTo3REEzMkU2Ri0yQThCLTQwNzQtQkVBQS05RjgxMTQzMDIxRjItMTo3MjNiY2NjYTYzZDM1OTE3NTI5YzAyMjE4YjNlMTQxNjox</t>
        </is>
      </c>
      <c r="AH475" t="inlineStr">
        <is>
          <t>Marc Kevin Serrano</t>
        </is>
      </c>
      <c r="AI475"/>
      <c r="AJ475"/>
      <c r="AK475"/>
    </row>
    <row r="476" ht="25.5" customHeight="1">
      <c r="A476" s="2" t="str">
        <f>=HYPERLINK("https://applink.larksuite.com/client/mini_program/open?appId=cli_9c7cc8a9a9edd105&amp;mode=appCenter&amp;path_pc=pc/pages/requested/index?instanceId=7550643721272836127&amp;source=bitable&amp;path=pages/detail/index?instanceId=7550643721272836127&amp;source=bitable", "202509160135")</f>
        <v>202509160135</v>
      </c>
      <c r="B476" t="inlineStr">
        <is>
          <t>Approved</t>
        </is>
      </c>
      <c r="C476" t="inlineStr">
        <is>
          <t>Procurement Order</t>
        </is>
      </c>
      <c r="D476" s="3">
        <v>45916.801354166666</v>
      </c>
      <c r="E476" s="3">
        <v>45917.44194444444</v>
      </c>
      <c r="F476" t="inlineStr">
        <is>
          <t>Fatima Kathleen M. FLores</t>
        </is>
      </c>
      <c r="G476" t="inlineStr">
        <is>
          <t>Procurement</t>
        </is>
      </c>
      <c r="H476"/>
      <c r="I476"/>
      <c r="J476" t="inlineStr">
        <is>
          <t>Project</t>
        </is>
      </c>
      <c r="K476" t="inlineStr">
        <is>
          <t>PDEI - Event Service</t>
        </is>
      </c>
      <c r="L476" t="inlineStr">
        <is>
          <t>MPL PH S16 - Regular Season</t>
        </is>
      </c>
      <c r="M476" t="inlineStr">
        <is>
          <t>2025TEG-P0214</t>
        </is>
      </c>
      <c r="N476" t="inlineStr">
        <is>
          <t>Jessica Jane Lor Felicilda</t>
        </is>
      </c>
      <c r="O476" t="inlineStr">
        <is>
          <t>202509120016-Jessica Jane Lor Felicilda-费用报销 - 副本 - 副本 - 副本-2025-09-12 04:28:57</t>
        </is>
      </c>
      <c r="P476" t="inlineStr">
        <is>
          <t>YES</t>
        </is>
      </c>
      <c r="Q476"/>
      <c r="R476" t="inlineStr">
        <is>
          <t>NO</t>
        </is>
      </c>
      <c r="S476" t="inlineStr">
        <is>
          <t>Outsourced Logistic Associates (Event Days)</t>
        </is>
      </c>
      <c r="T476">
        <v>1</v>
      </c>
      <c r="U476">
        <v>180000</v>
      </c>
      <c r="V476" t="inlineStr">
        <is>
          <t>PHP</t>
        </is>
      </c>
      <c r="W476">
        <v>180000</v>
      </c>
      <c r="X476" s="2" t="str">
        <f>=HYPERLINK("https://www.larksuite.com/approval/admin/previewAttachment?key=PMgxCgJBDAXQK_2fZPInXsbGZRB1YUFQLHJ2wcL25SRyDnoWomgFtsZAhstosulJU1tTKoiietvX-bitz3sesZvdH7X163pZ25OjZAZ5hE8APP3dFRFVGfg5vgEAAP__", "2 attachment(s)")</f>
        <v>2 attachment(s)</v>
      </c>
      <c r="Y476" t="inlineStr">
        <is>
          <t>Bank Transfer</t>
        </is>
      </c>
      <c r="Z476" t="inlineStr">
        <is>
          <t>Rizel John Obong</t>
        </is>
      </c>
      <c r="AA476" t="inlineStr">
        <is>
          <t>09709731174</t>
        </is>
      </c>
      <c r="AB476" t="inlineStr">
        <is>
          <t>GCash</t>
        </is>
      </c>
      <c r="AC476" t="inlineStr">
        <is>
          <t>Blk 1j Lot 31 Phase 3 E-1 Dagat Dagatan Caloocan City</t>
        </is>
      </c>
      <c r="AD476" s="4">
        <v>45891</v>
      </c>
      <c r="AE476" t="inlineStr">
        <is>
          <t>1st Payment - Sept. 19, 2025
2nd Payment - Oct. 3, 2025
Final Payment - Oct. 17, 2025</t>
        </is>
      </c>
      <c r="AF476" s="2"/>
      <c r="AG476" t="inlineStr">
        <is>
          <t>NzQyNTk5MTgyNzQ4MTg3MDM0MTpGNTczMUFGMi0xNDI3LTQ0MDYtQUY3OC02MjlFQjNGQUQxRkQtMTo4MzM1Yjc5MDU3ODQxNGU4ZDNmOTZlMjAwNTVmNWNkYjox</t>
        </is>
      </c>
      <c r="AH476" t="inlineStr">
        <is>
          <t>Rizel John Obong</t>
        </is>
      </c>
      <c r="AI476"/>
      <c r="AJ476"/>
      <c r="AK476"/>
    </row>
    <row r="477" ht="25.5" customHeight="1">
      <c r="A477" s="2" t="str">
        <f>=HYPERLINK("https://applink.larksuite.com/client/mini_program/open?appId=cli_9c7cc8a9a9edd105&amp;mode=appCenter&amp;path_pc=pc/pages/requested/index?instanceId=7550651649409171488&amp;source=bitable&amp;path=pages/detail/index?instanceId=7550651649409171488&amp;source=bitable", "202509160137")</f>
        <v>202509160137</v>
      </c>
      <c r="B477" t="inlineStr">
        <is>
          <t>Approved</t>
        </is>
      </c>
      <c r="C477" t="inlineStr">
        <is>
          <t>Procurement Order</t>
        </is>
      </c>
      <c r="D477" s="3">
        <v>45916.82271990741</v>
      </c>
      <c r="E477" s="3">
        <v>45917.44020833333</v>
      </c>
      <c r="F477" t="inlineStr">
        <is>
          <t>Fatima Kathleen M. FLores</t>
        </is>
      </c>
      <c r="G477" t="inlineStr">
        <is>
          <t>Procurement</t>
        </is>
      </c>
      <c r="H477"/>
      <c r="I477"/>
      <c r="J477" t="inlineStr">
        <is>
          <t>Project</t>
        </is>
      </c>
      <c r="K477" t="inlineStr">
        <is>
          <t>PDEI - Event Service</t>
        </is>
      </c>
      <c r="L477" t="inlineStr">
        <is>
          <t>MPL PH S16 - Regular Season</t>
        </is>
      </c>
      <c r="M477" t="inlineStr">
        <is>
          <t>2025TEG-P0214</t>
        </is>
      </c>
      <c r="N477" t="inlineStr">
        <is>
          <t>Jessica Jane Lor Felicilda</t>
        </is>
      </c>
      <c r="O477" t="inlineStr">
        <is>
          <t>202509130009-Katherine Denise Lee Sy-费用报销 - 副本 - 副本 - 副本-2025-09-13 10:33:10</t>
        </is>
      </c>
      <c r="P477" t="inlineStr">
        <is>
          <t>YES</t>
        </is>
      </c>
      <c r="Q477"/>
      <c r="R477" t="inlineStr">
        <is>
          <t>NO</t>
        </is>
      </c>
      <c r="S477" t="inlineStr">
        <is>
          <t>Outsourced Graphics Artist</t>
        </is>
      </c>
      <c r="T477">
        <v>1</v>
      </c>
      <c r="U477">
        <v>40000</v>
      </c>
      <c r="V477" t="inlineStr">
        <is>
          <t>PHP</t>
        </is>
      </c>
      <c r="W477">
        <v>40000</v>
      </c>
      <c r="X477" s="2" t="str">
        <f>=HYPERLINK("https://www.larksuite.com/approval/admin/previewAttachment?key=PMgxCkIxEATQK80kk51dL2PzQxBREYTf5eyChe2LJCIHexRUbAVuj4EYDJVQNJW526ZdME3v-VzX2XO9iPvpdfjx3uftWPPDUW4N7lJPALz8vVtSVQg_xzcAAP__", "2 attachment(s)")</f>
        <v>2 attachment(s)</v>
      </c>
      <c r="Y477" t="inlineStr">
        <is>
          <t>Bank Transfer</t>
        </is>
      </c>
      <c r="Z477" t="inlineStr">
        <is>
          <t>Jm Joaquin Ferrer</t>
        </is>
      </c>
      <c r="AA477" t="inlineStr">
        <is>
          <t>0169241465</t>
        </is>
      </c>
      <c r="AB477" t="inlineStr">
        <is>
          <t>BPI</t>
        </is>
      </c>
      <c r="AC477" t="inlineStr">
        <is>
          <t>Blk 41-B Lot 26, Brgy. Longos Malabon City</t>
        </is>
      </c>
      <c r="AD477" s="4">
        <v>45883</v>
      </c>
      <c r="AE477" t="inlineStr">
        <is>
          <t>1st Payment - Sept. 19, 2025
Final Payment - Oct. 3, 2025</t>
        </is>
      </c>
      <c r="AF477" s="2"/>
      <c r="AG477" t="inlineStr">
        <is>
          <t>NzQyNTk5MTgyNzQ4MTg3MDM0MTpDOTNCMEIwQS1CRDMwLTQzN0UtQjI1Ri1BREI5NzVBNUY4RDEtMTo1NjY3MzgxNTEzMjY3OTg2N2NmMzlkYjFlYzYzNTljYjox</t>
        </is>
      </c>
      <c r="AH477" t="inlineStr">
        <is>
          <t>Jm Joaquin Ferrer</t>
        </is>
      </c>
      <c r="AI477"/>
      <c r="AJ477"/>
      <c r="AK477"/>
    </row>
    <row r="478" ht="25.5" customHeight="1">
      <c r="A478" s="2" t="str">
        <f>=HYPERLINK("https://applink.larksuite.com/client/mini_program/open?appId=cli_9c7cc8a9a9edd105&amp;mode=appCenter&amp;path_pc=pc/pages/requested/index?instanceId=7550882927597453343&amp;source=bitable&amp;path=pages/detail/index?instanceId=7550882927597453343&amp;source=bitable", "202509170005")</f>
        <v>202509170005</v>
      </c>
      <c r="B478" t="inlineStr">
        <is>
          <t>Approved</t>
        </is>
      </c>
      <c r="C478" t="inlineStr">
        <is>
          <t>Procurement Order</t>
        </is>
      </c>
      <c r="D478" s="3">
        <v>45917.445972222224</v>
      </c>
      <c r="E478" s="3">
        <v>45917.46329861111</v>
      </c>
      <c r="F478" t="inlineStr">
        <is>
          <t>Fatima Kathleen M. FLores</t>
        </is>
      </c>
      <c r="G478" t="inlineStr">
        <is>
          <t>Procurement</t>
        </is>
      </c>
      <c r="H478"/>
      <c r="I478"/>
      <c r="J478" t="inlineStr">
        <is>
          <t>Project</t>
        </is>
      </c>
      <c r="K478" t="inlineStr">
        <is>
          <t>PDEI - Event Service</t>
        </is>
      </c>
      <c r="L478" t="inlineStr">
        <is>
          <t>MPL PH S16 - Regular Season</t>
        </is>
      </c>
      <c r="M478" t="inlineStr">
        <is>
          <t>2025TEG-P0214</t>
        </is>
      </c>
      <c r="N478" t="inlineStr">
        <is>
          <t>Jessica Jane Lor Felicilda</t>
        </is>
      </c>
      <c r="O478" t="inlineStr">
        <is>
          <t>202509030098-Jessica Jane Lor Felicilda-费用报销 - 副本 - 副本 - 副本-2025-09-03 11:19:31</t>
        </is>
      </c>
      <c r="P478" t="inlineStr">
        <is>
          <t>YES</t>
        </is>
      </c>
      <c r="Q478"/>
      <c r="R478" t="inlineStr">
        <is>
          <t>NO</t>
        </is>
      </c>
      <c r="S478" t="inlineStr">
        <is>
          <t>Outsourced API Operator</t>
        </is>
      </c>
      <c r="T478">
        <v>1</v>
      </c>
      <c r="U478">
        <v>3350</v>
      </c>
      <c r="V478" t="inlineStr">
        <is>
          <t>PHP</t>
        </is>
      </c>
      <c r="W478">
        <v>3350</v>
      </c>
      <c r="X478" s="2" t="str">
        <f>=HYPERLINK("https://www.larksuite.com/approval/admin/previewAttachment?key=PMg9CgIxFATgK837y7zxMjaGIK7aCNvl7IKF7TfaMLoshpAyF2yzCt0uZ4lZERnbt5ECjdZ7vtb18LkOe3s-nnGW9nm_rfmxEt3ByIwGYJe_BzNTGomf4xsAAP__", "2 attachment(s)")</f>
        <v>2 attachment(s)</v>
      </c>
      <c r="Y478" t="inlineStr">
        <is>
          <t>Bank Transfer</t>
        </is>
      </c>
      <c r="Z478" t="inlineStr">
        <is>
          <t>Jay Lawrence Rivera</t>
        </is>
      </c>
      <c r="AA478" t="inlineStr">
        <is>
          <t>0000049934381</t>
        </is>
      </c>
      <c r="AB478" t="inlineStr">
        <is>
          <t>Security Bank</t>
        </is>
      </c>
      <c r="AC478" t="inlineStr">
        <is>
          <t>023 Kasunduan St. Brgy. Commonwealth Quezon City</t>
        </is>
      </c>
      <c r="AD478" s="4">
        <v>45887</v>
      </c>
      <c r="AE478" t="inlineStr">
        <is>
          <t>100% Full Payment - Sept. 19, 2025</t>
        </is>
      </c>
      <c r="AF478" s="2"/>
      <c r="AG478" t="inlineStr">
        <is>
          <t>NzQyNTk5MTgyNzQ4MTg3MDM0MTpGNTg4NjUyQS0xMDU3LTRBQ0UtQjc4NC0yNTJCODk3QzMyQ0EtMTphOWJhNjVkOGU4NTJhZGFlYTVhMWZjYjczZDEwNmQ5YTox</t>
        </is>
      </c>
      <c r="AH478" t="inlineStr">
        <is>
          <t>Jay Lawrence Rivera</t>
        </is>
      </c>
      <c r="AI478"/>
      <c r="AJ478"/>
      <c r="AK478"/>
    </row>
    <row r="479" ht="25.5" customHeight="1">
      <c r="A479" s="2" t="str">
        <f>=HYPERLINK("https://applink.larksuite.com/client/mini_program/open?appId=cli_9c7cc8a9a9edd105&amp;mode=appCenter&amp;path_pc=pc/pages/requested/index?instanceId=7550884991958319136&amp;source=bitable&amp;path=pages/detail/index?instanceId=7550884991958319136&amp;source=bitable", "202509170008")</f>
        <v>202509170008</v>
      </c>
      <c r="B479" t="inlineStr">
        <is>
          <t>Approved</t>
        </is>
      </c>
      <c r="C479" t="inlineStr">
        <is>
          <t>Procurement Order</t>
        </is>
      </c>
      <c r="D479" s="3">
        <v>45917.451527777775</v>
      </c>
      <c r="E479" s="3">
        <v>45923.69793981482</v>
      </c>
      <c r="F479" t="inlineStr">
        <is>
          <t>Fatima Kathleen M. FLores</t>
        </is>
      </c>
      <c r="G479" t="inlineStr">
        <is>
          <t>Procurement</t>
        </is>
      </c>
      <c r="H479"/>
      <c r="I479"/>
      <c r="J479" t="inlineStr">
        <is>
          <t>Project</t>
        </is>
      </c>
      <c r="K479" t="inlineStr">
        <is>
          <t>PDEI - Event Service</t>
        </is>
      </c>
      <c r="L479" t="inlineStr">
        <is>
          <t>MPL PH S16 - Regular Season</t>
        </is>
      </c>
      <c r="M479" t="inlineStr">
        <is>
          <t>2025TEG-P0214</t>
        </is>
      </c>
      <c r="N479" t="inlineStr">
        <is>
          <t>Jessica Jane Lor Felicilda</t>
        </is>
      </c>
      <c r="O479" t="inlineStr">
        <is>
          <t>202508300011-Jessica Jane Lor Felicilda-费用报销 - 副本 - 副本 - 副本-2025-08-30 07:40:16</t>
        </is>
      </c>
      <c r="P479" t="inlineStr">
        <is>
          <t>YES</t>
        </is>
      </c>
      <c r="Q479"/>
      <c r="R479" t="inlineStr">
        <is>
          <t>YES</t>
        </is>
      </c>
      <c r="S479" t="inlineStr">
        <is>
          <t>Outsourced Show Producer</t>
        </is>
      </c>
      <c r="T479">
        <v>1</v>
      </c>
      <c r="U479">
        <v>155556</v>
      </c>
      <c r="V479" t="inlineStr">
        <is>
          <t>PHP</t>
        </is>
      </c>
      <c r="W479">
        <v>155556</v>
      </c>
      <c r="X479" s="2" t="str">
        <f>=HYPERLINK("https://www.larksuite.com/approval/admin/previewAttachment?key=PMg9igJBFATgK1X1-629zCYzDCJoItjRO7tgYPplE9lBS8HFJXAqAt0uUdFG0XLWsEooFnvOx_UfcWzu_dwV4N3mfTuu88VQrYUyd2sA_Pu5lbtL6fg6PgEAAP__", "2 attachment(s)")</f>
        <v>2 attachment(s)</v>
      </c>
      <c r="Y479" t="inlineStr">
        <is>
          <t>Bank Transfer</t>
        </is>
      </c>
      <c r="Z479" t="inlineStr">
        <is>
          <t>Maouie Jeem Reyes</t>
        </is>
      </c>
      <c r="AA479" t="inlineStr">
        <is>
          <t>4139323535</t>
        </is>
      </c>
      <c r="AB479" t="inlineStr">
        <is>
          <t>BPI</t>
        </is>
      </c>
      <c r="AC479" t="inlineStr">
        <is>
          <t>#3 A. Plata St., Caniogan, Pasig City</t>
        </is>
      </c>
      <c r="AD479" s="4">
        <v>45905</v>
      </c>
      <c r="AE479" t="inlineStr">
        <is>
          <t>1st Payment - Sept. 26, 2025
2nd Payment - Oct. 17, 2025
3rd Payment - Oct. 31, 2025
4th Payment - Nov. 14, 2025
Final Payment - Nov. 28, 2025</t>
        </is>
      </c>
      <c r="AF479" s="2"/>
      <c r="AG479" t="inlineStr">
        <is>
          <t>NzQyNTk5MTgyNzQ4MTg3MDM0MTo0MkI0MTVCRi1GRURBLTQ0NEUtQjUzNC0yMjVCQzhFNkI2N0ItMTo5OWU1NWU2ODBhODMxYTQ3OWI1MTNhZDA4YmEyNGY1NDox</t>
        </is>
      </c>
      <c r="AH479" t="inlineStr">
        <is>
          <t>Maouie Jeem Reyes</t>
        </is>
      </c>
      <c r="AI479"/>
      <c r="AJ479"/>
      <c r="AK479"/>
    </row>
    <row r="480" ht="25.5" customHeight="1">
      <c r="A480" s="2" t="str">
        <f>=HYPERLINK("https://applink.larksuite.com/client/mini_program/open?appId=cli_9c7cc8a9a9edd105&amp;mode=appCenter&amp;path_pc=pc/pages/requested/index?instanceId=7550887028553023519&amp;source=bitable&amp;path=pages/detail/index?instanceId=7550887028553023519&amp;source=bitable", "202509170009")</f>
        <v>202509170009</v>
      </c>
      <c r="B480" t="inlineStr">
        <is>
          <t>Approved</t>
        </is>
      </c>
      <c r="C480" t="inlineStr">
        <is>
          <t>Procurement Order</t>
        </is>
      </c>
      <c r="D480" s="3">
        <v>45917.457025462965</v>
      </c>
      <c r="E480" s="3">
        <v>45930.70905092593</v>
      </c>
      <c r="F480" t="inlineStr">
        <is>
          <t>Fatima Kathleen M. FLores</t>
        </is>
      </c>
      <c r="G480" t="inlineStr">
        <is>
          <t>Procurement</t>
        </is>
      </c>
      <c r="H480"/>
      <c r="I480"/>
      <c r="J480" t="inlineStr">
        <is>
          <t>Project</t>
        </is>
      </c>
      <c r="K480" t="inlineStr">
        <is>
          <t>PDEI - Event Service</t>
        </is>
      </c>
      <c r="L480" t="inlineStr">
        <is>
          <t>MPL PH S16 - Regular Season</t>
        </is>
      </c>
      <c r="M480" t="inlineStr">
        <is>
          <t>2025TEG-P0214</t>
        </is>
      </c>
      <c r="N480" t="inlineStr">
        <is>
          <t>Katherine Denise Lee Sy</t>
        </is>
      </c>
      <c r="O480" t="inlineStr">
        <is>
          <t>202509120040-Katherine Denise Lee Sy-费用报销 - 副本 - 副本 - 副本-2025-09-12 07:58:10</t>
        </is>
      </c>
      <c r="P480" t="inlineStr">
        <is>
          <t>YES</t>
        </is>
      </c>
      <c r="Q480"/>
      <c r="R480" t="inlineStr">
        <is>
          <t>YES</t>
        </is>
      </c>
      <c r="S480" t="inlineStr">
        <is>
          <t>Outsourced Motion Graphics Artist</t>
        </is>
      </c>
      <c r="T480">
        <v>1</v>
      </c>
      <c r="U480">
        <v>25000</v>
      </c>
      <c r="V480" t="inlineStr">
        <is>
          <t>PHP</t>
        </is>
      </c>
      <c r="W480">
        <v>25000</v>
      </c>
      <c r="X480" s="2" t="str">
        <f>=HYPERLINK("https://www.larksuite.com/approval/admin/previewAttachment?key=PMg9CgJBDAXgK72Xn0niZWxcBgdZWBAGm5xdsLD9RhIjnToKVpQCO9yRGZB0V4g6q6UZUQgGs49z3te-5ks-ZetcW6_ez8c83vQKEYSaaQLg7e8aZlY1DD_HNwAA__8", "2 attachment(s)")</f>
        <v>2 attachment(s)</v>
      </c>
      <c r="Y480" t="inlineStr">
        <is>
          <t>Bank Transfer</t>
        </is>
      </c>
      <c r="Z480" t="inlineStr">
        <is>
          <t>Jeric Angelo C. Asinas</t>
        </is>
      </c>
      <c r="AA480" t="inlineStr">
        <is>
          <t>4519301747</t>
        </is>
      </c>
      <c r="AB480" t="inlineStr">
        <is>
          <t>BPI</t>
        </is>
      </c>
      <c r="AC480" t="inlineStr">
        <is>
          <t>1723 Lirio St. Camarin, Brgy 174 Caloocan City</t>
        </is>
      </c>
      <c r="AD480" s="4">
        <v>45894</v>
      </c>
      <c r="AE480" t="inlineStr">
        <is>
          <t>100% Full Payment - Sept. 26, 2025</t>
        </is>
      </c>
      <c r="AF480" s="2"/>
      <c r="AG480" t="inlineStr">
        <is>
          <t>NzQyNTk5MTgyNzQ4MTg3MDM0MTpGQTk0ODBCRC01MDk4LTQ2QjMtQTczNy1FODExQ0ZBMzA4RDgtMTpkYzcyOWY1MWEwMWU5NzUyZmExYWMwNmE2ODRjYTgzMjox</t>
        </is>
      </c>
      <c r="AH480" t="inlineStr">
        <is>
          <t>Jeric Angelo C. Asinas</t>
        </is>
      </c>
      <c r="AI480"/>
      <c r="AJ480"/>
      <c r="AK480"/>
    </row>
    <row r="481" ht="25.5" customHeight="1">
      <c r="A481" s="2" t="str">
        <f>=HYPERLINK("https://applink.larksuite.com/client/mini_program/open?appId=cli_9c7cc8a9a9edd105&amp;mode=appCenter&amp;path_pc=pc/pages/requested/index?instanceId=7550891438322516000&amp;source=bitable&amp;path=pages/detail/index?instanceId=7550891438322516000&amp;source=bitable", "202509170011")</f>
        <v>202509170011</v>
      </c>
      <c r="B481" t="inlineStr">
        <is>
          <t>Approved</t>
        </is>
      </c>
      <c r="C481" t="inlineStr">
        <is>
          <t>Procurement Order</t>
        </is>
      </c>
      <c r="D481" s="3">
        <v>45917.46890046296</v>
      </c>
      <c r="E481" s="3">
        <v>45917.70559027778</v>
      </c>
      <c r="F481" t="inlineStr">
        <is>
          <t>Fatima Kathleen M. FLores</t>
        </is>
      </c>
      <c r="G481" t="inlineStr">
        <is>
          <t>Procurement</t>
        </is>
      </c>
      <c r="H481"/>
      <c r="I481"/>
      <c r="J481" t="inlineStr">
        <is>
          <t>Project</t>
        </is>
      </c>
      <c r="K481" t="inlineStr">
        <is>
          <t>PDEI - Event Service</t>
        </is>
      </c>
      <c r="L481" t="inlineStr">
        <is>
          <t>MPL PH S16 - Regular Season</t>
        </is>
      </c>
      <c r="M481" t="inlineStr">
        <is>
          <t>2025TEG-P0214</t>
        </is>
      </c>
      <c r="N481" t="inlineStr">
        <is>
          <t>Katherine Denise Lee Sy</t>
        </is>
      </c>
      <c r="O481" t="inlineStr">
        <is>
          <t>202509130010-Katherine Denise Lee Sy-费用报销 - 副本 - 副本 - 副本-2025-09-13 10:36:14</t>
        </is>
      </c>
      <c r="P481" t="inlineStr">
        <is>
          <t>YES</t>
        </is>
      </c>
      <c r="Q481"/>
      <c r="R481" t="inlineStr">
        <is>
          <t>NO</t>
        </is>
      </c>
      <c r="S481" t="inlineStr">
        <is>
          <t>Outsourced Ushers</t>
        </is>
      </c>
      <c r="T481">
        <v>1</v>
      </c>
      <c r="U481">
        <v>115200</v>
      </c>
      <c r="V481" t="inlineStr">
        <is>
          <t>PHP</t>
        </is>
      </c>
      <c r="W481">
        <v>115200</v>
      </c>
      <c r="X481" s="2" t="str">
        <f>=HYPERLINK("https://www.larksuite.com/approval/admin/previewAttachment?key=PMgxisNQDATQK81Ioy9pL7NNjAkB_ybgTmcPpEj7VhGrgr4aalqDkxGoprzcLLgAjA0zG8lkzXGd_6X7wgumvdN2zP18nMeb0WmGdMkLAP9-7impewlfxycAAP__", "2 attachment(s)")</f>
        <v>2 attachment(s)</v>
      </c>
      <c r="Y481" t="inlineStr">
        <is>
          <t>Bank Transfer</t>
        </is>
      </c>
      <c r="Z481" t="inlineStr">
        <is>
          <t>Marc Kevin Serrano</t>
        </is>
      </c>
      <c r="AA481" t="inlineStr">
        <is>
          <t>1519218972</t>
        </is>
      </c>
      <c r="AB481" t="inlineStr">
        <is>
          <t>BPI</t>
        </is>
      </c>
      <c r="AC481" t="inlineStr">
        <is>
          <t>3 Don Guillermo Street, Barangay Holy Spirit, Commonwealth, Quezon City</t>
        </is>
      </c>
      <c r="AD481" s="4">
        <v>45894</v>
      </c>
      <c r="AE481" t="inlineStr">
        <is>
          <t>1st Payment  - Sept. 26, 2025
2nd Payment - Oct. 17, 2025
3rd Payment - Oct. 31, 2025
4th Payment - Nov. 14, 2025
Final Payment - Nov. 28, 2025</t>
        </is>
      </c>
      <c r="AF481" s="2"/>
      <c r="AG481" t="inlineStr">
        <is>
          <t>NzQyNTk5MTgyNzQ4MTg3MDM0MTpDQTI0N0QwNC0wNDBFLTQwMUEtOTcwMi1BNDBCNDY2QkEyRjYtMTpiNTZhNmMzM2FhZmVlZjhlOGYwYzIzZmZhNzUzMWM2ODox</t>
        </is>
      </c>
      <c r="AH481" t="inlineStr">
        <is>
          <t>Marc Kevin Serrano</t>
        </is>
      </c>
      <c r="AI481"/>
      <c r="AJ481"/>
      <c r="AK481"/>
    </row>
    <row r="482" ht="25.5" customHeight="1">
      <c r="A482" s="2" t="str">
        <f>=HYPERLINK("https://applink.larksuite.com/client/mini_program/open?appId=cli_9c7cc8a9a9edd105&amp;mode=appCenter&amp;path_pc=pc/pages/requested/index?instanceId=7550928670439456807&amp;source=bitable&amp;path=pages/detail/index?instanceId=7550928670439456807&amp;source=bitable", "202509170038")</f>
        <v>202509170038</v>
      </c>
      <c r="B482" t="inlineStr">
        <is>
          <t>Approved</t>
        </is>
      </c>
      <c r="C482" t="inlineStr">
        <is>
          <t>Procurement Order</t>
        </is>
      </c>
      <c r="D482" s="3">
        <v>45917.569236111114</v>
      </c>
      <c r="E482" s="3">
        <v>45917.70018518518</v>
      </c>
      <c r="F482" t="inlineStr">
        <is>
          <t>Fatima Kathleen M. FLores</t>
        </is>
      </c>
      <c r="G482" t="inlineStr">
        <is>
          <t>Procurement</t>
        </is>
      </c>
      <c r="H482"/>
      <c r="I482"/>
      <c r="J482" t="inlineStr">
        <is>
          <t>Project</t>
        </is>
      </c>
      <c r="K482" t="inlineStr">
        <is>
          <t>GG - Event Service</t>
        </is>
      </c>
      <c r="L482" t="inlineStr">
        <is>
          <t>HOK Philippine Kings League - Fall Season</t>
        </is>
      </c>
      <c r="M482" t="inlineStr">
        <is>
          <t>2025TEG-P0219</t>
        </is>
      </c>
      <c r="N482" t="inlineStr">
        <is>
          <t>Carla Andrea Calma Crespo</t>
        </is>
      </c>
      <c r="O482" t="inlineStr">
        <is>
          <t>202508280081-Carla Andrea Calma Crespo-费用报销 - 副本 - 副本 - 副本-2025-08-28 12:29:24</t>
        </is>
      </c>
      <c r="P482" t="inlineStr">
        <is>
          <t>YES</t>
        </is>
      </c>
      <c r="Q482"/>
      <c r="R482" t="inlineStr">
        <is>
          <t>NO</t>
        </is>
      </c>
      <c r="S482" t="inlineStr">
        <is>
          <t>Outsourced Dynamic CG Operator</t>
        </is>
      </c>
      <c r="T482">
        <v>1</v>
      </c>
      <c r="U482">
        <v>50000</v>
      </c>
      <c r="V482" t="inlineStr">
        <is>
          <t>PHP</t>
        </is>
      </c>
      <c r="W482">
        <v>50000</v>
      </c>
      <c r="X482" s="2" t="str">
        <f>=HYPERLINK("https://www.larksuite.com/approval/admin/previewAttachment?key=PMgxCgIxFATQK81PJn_-eBkblyAs2ogrFjm7YLHtywpkjehp0NGMWBoDbpUCuzmyoNVWSIZCUWt7zOv7O5-fXeFDu8R13G9ze8WwWoM62QtAXE7vImkn8Xf8AgAA__8", "2 attachment(s)")</f>
        <v>2 attachment(s)</v>
      </c>
      <c r="Y482" t="inlineStr">
        <is>
          <t>Bank Transfer</t>
        </is>
      </c>
      <c r="Z482" t="inlineStr">
        <is>
          <t>Lucky Rodriguez</t>
        </is>
      </c>
      <c r="AA482" t="inlineStr">
        <is>
          <t>9809306523</t>
        </is>
      </c>
      <c r="AB482" t="inlineStr">
        <is>
          <t>BPI</t>
        </is>
      </c>
      <c r="AC482" t="inlineStr">
        <is>
          <t>Purok 3 Zone 1 Lot B Gumamela Drive, Mahabang Parang, Angono Rizal</t>
        </is>
      </c>
      <c r="AD482" s="4">
        <v>45897</v>
      </c>
      <c r="AE482" t="inlineStr">
        <is>
          <t>1st Payment - Sept. 26, 2025
2nd Payment - Oct. 10, 2025
Final Payment - Oct. 24, 2025</t>
        </is>
      </c>
      <c r="AF482" s="2"/>
      <c r="AG482" t="inlineStr">
        <is>
          <t>NzQyNTk5MTgyNzQ4MTg3MDM0MTo3NjdFNEY4OC1CNEI3LTQzNEQtOEZGNC0xMzM4RTg0NEJFRkMtMTpkNDNkNWJiMmU3ZGMyNTMwM2U0ODBmZGJhMTMxNDBiMDox</t>
        </is>
      </c>
      <c r="AH482" t="inlineStr">
        <is>
          <t>Lucky Rodriguez</t>
        </is>
      </c>
      <c r="AI482"/>
      <c r="AJ482"/>
      <c r="AK482"/>
    </row>
    <row r="483" ht="25.5" customHeight="1">
      <c r="A483" s="2" t="str">
        <f>=HYPERLINK("https://applink.larksuite.com/client/mini_program/open?appId=cli_9c7cc8a9a9edd105&amp;mode=appCenter&amp;path_pc=pc/pages/requested/index?instanceId=7550930268455010343&amp;source=bitable&amp;path=pages/detail/index?instanceId=7550930268455010343&amp;source=bitable", "202509170040")</f>
        <v>202509170040</v>
      </c>
      <c r="B483" t="inlineStr">
        <is>
          <t>Approved</t>
        </is>
      </c>
      <c r="C483" t="inlineStr">
        <is>
          <t>Procurement Order</t>
        </is>
      </c>
      <c r="D483" s="3">
        <v>45917.573541666665</v>
      </c>
      <c r="E483" s="3">
        <v>45917.70333333333</v>
      </c>
      <c r="F483" t="inlineStr">
        <is>
          <t>Fatima Kathleen M. FLores</t>
        </is>
      </c>
      <c r="G483" t="inlineStr">
        <is>
          <t>Procurement</t>
        </is>
      </c>
      <c r="H483"/>
      <c r="I483"/>
      <c r="J483" t="inlineStr">
        <is>
          <t>Project</t>
        </is>
      </c>
      <c r="K483" t="inlineStr">
        <is>
          <t>GG - Event Service</t>
        </is>
      </c>
      <c r="L483" t="inlineStr">
        <is>
          <t>HOK Philippine Kings League - Fall Season</t>
        </is>
      </c>
      <c r="M483" t="inlineStr">
        <is>
          <t>2025TEG-P0219</t>
        </is>
      </c>
      <c r="N483" t="inlineStr">
        <is>
          <t>Carla Andrea Calma Crespo</t>
        </is>
      </c>
      <c r="O483" t="inlineStr">
        <is>
          <t>202509130026-Carla Andrea Calma Crespo-费用报销 - 副本 - 副本 - 副本-2025-09-13 16:18:48</t>
        </is>
      </c>
      <c r="P483" t="inlineStr">
        <is>
          <t>YES</t>
        </is>
      </c>
      <c r="Q483"/>
      <c r="R483" t="inlineStr">
        <is>
          <t>YES</t>
        </is>
      </c>
      <c r="S483" t="inlineStr">
        <is>
          <t>Outsourced Photo and Video Documentation Team</t>
        </is>
      </c>
      <c r="T483">
        <v>1</v>
      </c>
      <c r="U483">
        <v>222000</v>
      </c>
      <c r="V483" t="inlineStr">
        <is>
          <t>PHP</t>
        </is>
      </c>
      <c r="W483">
        <v>222000</v>
      </c>
      <c r="X483" s="2" t="str">
        <f>=HYPERLINK("https://www.larksuite.com/approval/admin/previewAttachment?key=PMhBCsJADAXQK_2f_EwmXsaNZRClIkhbXMzZBRfdvtaJ1oPeCipagTMjUA5rXREgXD5tMrOQTPa5rOO6fcfreG7vx7HuYZr7_TaWD6PSDOmSdwC8nO4pqaoJf8cvAAD__w", "2 attachment(s)")</f>
        <v>2 attachment(s)</v>
      </c>
      <c r="Y483" t="inlineStr">
        <is>
          <t>Bank Transfer</t>
        </is>
      </c>
      <c r="Z483" t="inlineStr">
        <is>
          <t>Harold Lance Pialda</t>
        </is>
      </c>
      <c r="AA483" t="inlineStr">
        <is>
          <t>0000050859073</t>
        </is>
      </c>
      <c r="AB483" t="inlineStr">
        <is>
          <t>Security Bank</t>
        </is>
      </c>
      <c r="AC483" t="inlineStr">
        <is>
          <t>Unit 6 M Gabriel Compound Fairview Quezon City</t>
        </is>
      </c>
      <c r="AD483" s="4">
        <v>45897</v>
      </c>
      <c r="AE483" t="inlineStr">
        <is>
          <t>1st Payment - Sept. 26, 2025
2nd Payment - Oct. 10, 2025
Final Payment - Oct. 24, 2025</t>
        </is>
      </c>
      <c r="AF483" s="2"/>
      <c r="AG483" t="inlineStr">
        <is>
          <t>NzQyNTk5MTgyNzQ4MTg3MDM0MTo0QTU0MkJGMS05QzQ5LTQ0NTUtQjkwMC05ODAwMEE3NUI5NTctMTpmNjYxOWMwYjJiM2JiNWE4Yzk4MjBhMGYyMzQ0MWRhMTox</t>
        </is>
      </c>
      <c r="AH483" t="inlineStr">
        <is>
          <t>Harold Lance Pialda</t>
        </is>
      </c>
      <c r="AI483"/>
      <c r="AJ483"/>
      <c r="AK483"/>
    </row>
    <row r="484" ht="25.5" customHeight="1">
      <c r="A484" s="2" t="str">
        <f>=HYPERLINK("https://applink.larksuite.com/client/mini_program/open?appId=cli_9c7cc8a9a9edd105&amp;mode=appCenter&amp;path_pc=pc/pages/requested/index?instanceId=7550931906288680991&amp;source=bitable&amp;path=pages/detail/index?instanceId=7550931906288680991&amp;source=bitable", "202509170044")</f>
        <v>202509170044</v>
      </c>
      <c r="B484" t="inlineStr">
        <is>
          <t>Approved</t>
        </is>
      </c>
      <c r="C484" t="inlineStr">
        <is>
          <t>Procurement Order</t>
        </is>
      </c>
      <c r="D484" s="3">
        <v>45917.57796296296</v>
      </c>
      <c r="E484" s="3">
        <v>45917.70144675926</v>
      </c>
      <c r="F484" t="inlineStr">
        <is>
          <t>Fatima Kathleen M. FLores</t>
        </is>
      </c>
      <c r="G484" t="inlineStr">
        <is>
          <t>Procurement</t>
        </is>
      </c>
      <c r="H484"/>
      <c r="I484"/>
      <c r="J484" t="inlineStr">
        <is>
          <t>Project</t>
        </is>
      </c>
      <c r="K484" t="inlineStr">
        <is>
          <t>GG - Event Service</t>
        </is>
      </c>
      <c r="L484" t="inlineStr">
        <is>
          <t>HOK Philippine Kings League - Fall Season</t>
        </is>
      </c>
      <c r="M484" t="inlineStr">
        <is>
          <t>2025TEG-P0219</t>
        </is>
      </c>
      <c r="N484" t="inlineStr">
        <is>
          <t>Carla Andrea Calma Crespo</t>
        </is>
      </c>
      <c r="O484" t="inlineStr">
        <is>
          <t>202509110097-Carla Andrea Calma Crespo-费用报销 - 副本 - 副本 - 副本-2025-09-11 09:36:02</t>
        </is>
      </c>
      <c r="P484" t="inlineStr">
        <is>
          <t>YES</t>
        </is>
      </c>
      <c r="Q484"/>
      <c r="R484" t="inlineStr">
        <is>
          <t>YES</t>
        </is>
      </c>
      <c r="S484" t="inlineStr">
        <is>
          <t>Outsorced Creative Director</t>
        </is>
      </c>
      <c r="T484">
        <v>1</v>
      </c>
      <c r="U484">
        <v>45000</v>
      </c>
      <c r="V484" t="inlineStr">
        <is>
          <t>PHP</t>
        </is>
      </c>
      <c r="W484">
        <v>45000</v>
      </c>
      <c r="X484" s="2" t="str">
        <f>=HYPERLINK("https://www.larksuite.com/approval/admin/previewAttachment?key=PMhBCsIwEAXQK_2fmczM9zJuWoooKYIQ3OTsgotuXxQR1WkhuNgEruwdMgrRqqIgcbXFTCGZrLWP427jtD7n-4vX2J7nmo_t2D_sytaQ5m4FgLfLLd1dCsff8QsAAP__", "2 attachment(s)")</f>
        <v>2 attachment(s)</v>
      </c>
      <c r="Y484" t="inlineStr">
        <is>
          <t>Bank Transfer</t>
        </is>
      </c>
      <c r="Z484" t="inlineStr">
        <is>
          <t>Ruben A. Mercado Jr.</t>
        </is>
      </c>
      <c r="AA484" t="inlineStr">
        <is>
          <t>1096 6595 8663</t>
        </is>
      </c>
      <c r="AB484" t="inlineStr">
        <is>
          <t>Unionbank</t>
        </is>
      </c>
      <c r="AC484" t="inlineStr">
        <is>
          <t>L 33 Blk 15 DM8 Subd. San Andress Hagonoy St. Cainta Rizal</t>
        </is>
      </c>
      <c r="AD484" s="4">
        <v>45894</v>
      </c>
      <c r="AE484" t="inlineStr">
        <is>
          <t>1st Payment - Sept. 26, 2025
2nd Payment - Oct. 17, 2025
Final Payment - Oct. 31, 2025</t>
        </is>
      </c>
      <c r="AF484" s="2"/>
      <c r="AG484" t="inlineStr">
        <is>
          <t>NzQyNTk5MTgyNzQ4MTg3MDM0MTpGMjhBNjVCRS02MzRDLTRFNDItQUZBMi04MTA4QkQwMUVDQzEtMTo2NmRkZDRkZTM2MTk1M2Y0ZGY2ZjllYjQ5N2M2NTRiOTox</t>
        </is>
      </c>
      <c r="AH484" t="inlineStr">
        <is>
          <t>Ruben A. Mercado Jr.</t>
        </is>
      </c>
      <c r="AI484"/>
      <c r="AJ484"/>
      <c r="AK484"/>
    </row>
    <row r="485" ht="25.5" customHeight="1">
      <c r="A485" s="2" t="str">
        <f>=HYPERLINK("https://applink.larksuite.com/client/mini_program/open?appId=cli_9c7cc8a9a9edd105&amp;mode=appCenter&amp;path_pc=pc/pages/requested/index?instanceId=7550932743975157792&amp;source=bitable&amp;path=pages/detail/index?instanceId=7550932743975157792&amp;source=bitable", "202509170047")</f>
        <v>202509170047</v>
      </c>
      <c r="B485" t="inlineStr">
        <is>
          <t>Approved</t>
        </is>
      </c>
      <c r="C485" t="inlineStr">
        <is>
          <t>Procurement Order</t>
        </is>
      </c>
      <c r="D485" s="3">
        <v>45917.58021990741</v>
      </c>
      <c r="E485" s="3">
        <v>45917.702210648145</v>
      </c>
      <c r="F485" t="inlineStr">
        <is>
          <t>Fatima Kathleen M. FLores</t>
        </is>
      </c>
      <c r="G485" t="inlineStr">
        <is>
          <t>Procurement</t>
        </is>
      </c>
      <c r="H485"/>
      <c r="I485"/>
      <c r="J485" t="inlineStr">
        <is>
          <t>Project</t>
        </is>
      </c>
      <c r="K485" t="inlineStr">
        <is>
          <t>GG - Event Service</t>
        </is>
      </c>
      <c r="L485" t="inlineStr">
        <is>
          <t>HOK Philippine Kings League - Fall Season</t>
        </is>
      </c>
      <c r="M485" t="inlineStr">
        <is>
          <t>2025TEG-P0219</t>
        </is>
      </c>
      <c r="N485" t="inlineStr">
        <is>
          <t>Carla Andrea Calma Crespo</t>
        </is>
      </c>
      <c r="O485" t="inlineStr">
        <is>
          <t>202509160138-Carla Andrea Calma Crespo-费用报销 - 副本 - 副本 - 副本-2025-09-16 11:44:48</t>
        </is>
      </c>
      <c r="P485" t="inlineStr">
        <is>
          <t>YES</t>
        </is>
      </c>
      <c r="Q485"/>
      <c r="R485" t="inlineStr">
        <is>
          <t>YES</t>
        </is>
      </c>
      <c r="S485" t="inlineStr">
        <is>
          <t>Outsourced Registration Manpower</t>
        </is>
      </c>
      <c r="T485">
        <v>1</v>
      </c>
      <c r="U485">
        <v>66000</v>
      </c>
      <c r="V485" t="inlineStr">
        <is>
          <t>PHP</t>
        </is>
      </c>
      <c r="W485">
        <v>66000</v>
      </c>
      <c r="X485" s="2" t="str">
        <f>=HYPERLINK("https://www.larksuite.com/approval/admin/previewAttachment?key=PMg9CsJAFATgK83729nxMjaGRQslIARTvLMLFrbfmIYxy2IIKXPBmlVQODPEsiLl7W2kQKPN3p7r-jj2xY9vr_PMjL2P-21tbyvRHYzMmADs8vdgZkoj8XN8AwAA__8", "2 attachment(s)")</f>
        <v>2 attachment(s)</v>
      </c>
      <c r="Y485" t="inlineStr">
        <is>
          <t>Bank Transfer</t>
        </is>
      </c>
      <c r="Z485" t="inlineStr">
        <is>
          <t>Jhun Aldrin Manes</t>
        </is>
      </c>
      <c r="AA485" t="inlineStr">
        <is>
          <t>09668330217</t>
        </is>
      </c>
      <c r="AB485" t="inlineStr">
        <is>
          <t>GCash</t>
        </is>
      </c>
      <c r="AC485" t="inlineStr">
        <is>
          <t>2042 Candido St. Brgy. Mapulang Lupa. Valenzuela City</t>
        </is>
      </c>
      <c r="AD485" s="4">
        <v>45898</v>
      </c>
      <c r="AE485" t="inlineStr">
        <is>
          <t>1st Payment - Sept. 26, 2025
2nd Payment - Oct. 10, 2025
Final Payment - Oct. 31, 2025</t>
        </is>
      </c>
      <c r="AF485" s="2"/>
      <c r="AG485" t="inlineStr">
        <is>
          <t>NzQyNTk5MTgyNzQ4MTg3MDM0MTpCMjU1MDU0My0yRTlDLTREODUtQTZDMC04MzdGQUEwMTU2NDgtMTo2YzNiMTY5NjMxYjZlNWZlMDA1ODdmMzQ3NWM3MWQzODox</t>
        </is>
      </c>
      <c r="AH485" t="inlineStr">
        <is>
          <t>Jhun Aldrin Manes</t>
        </is>
      </c>
      <c r="AI485"/>
      <c r="AJ485"/>
      <c r="AK485"/>
    </row>
    <row r="486" ht="25.5" customHeight="1">
      <c r="A486" s="2" t="str">
        <f>=HYPERLINK("https://applink.larksuite.com/client/mini_program/open?appId=cli_9c7cc8a9a9edd105&amp;mode=appCenter&amp;path_pc=pc/pages/requested/index?instanceId=7550968034220064799&amp;source=bitable&amp;path=pages/detail/index?instanceId=7550968034220064799&amp;source=bitable", "202509170067")</f>
        <v>202509170067</v>
      </c>
      <c r="B486" t="inlineStr">
        <is>
          <t>Approved</t>
        </is>
      </c>
      <c r="C486" t="inlineStr">
        <is>
          <t>Procurement Order</t>
        </is>
      </c>
      <c r="D486" s="3">
        <v>45917.6753125</v>
      </c>
      <c r="E486" s="3">
        <v>45917.876284722224</v>
      </c>
      <c r="F486" t="inlineStr">
        <is>
          <t>Fatima Kathleen M. FLores</t>
        </is>
      </c>
      <c r="G486" t="inlineStr">
        <is>
          <t>Procurement</t>
        </is>
      </c>
      <c r="H486"/>
      <c r="I486"/>
      <c r="J486" t="inlineStr">
        <is>
          <t>Project</t>
        </is>
      </c>
      <c r="K486" t="inlineStr">
        <is>
          <t>PDEI - Event Service</t>
        </is>
      </c>
      <c r="L486" t="inlineStr">
        <is>
          <t>GTCC 2025: September Arena</t>
        </is>
      </c>
      <c r="M486" t="inlineStr">
        <is>
          <t>2025TEG-P0236</t>
        </is>
      </c>
      <c r="N486" t="inlineStr">
        <is>
          <t>Juvie Anne Asis Castres</t>
        </is>
      </c>
      <c r="O486" t="inlineStr">
        <is>
          <t>202509150021-Juvie Anne Asis Castres-费用报销 - 副本 - 副本 - 副本-2025-09-15 03:39:58</t>
        </is>
      </c>
      <c r="P486" t="inlineStr">
        <is>
          <t>NO</t>
        </is>
      </c>
      <c r="Q486"/>
      <c r="R486" t="inlineStr">
        <is>
          <t>NO</t>
        </is>
      </c>
      <c r="S486" t="inlineStr">
        <is>
          <t>Sticker on Sintra 36” x 30”</t>
        </is>
      </c>
      <c r="T486">
        <v>1</v>
      </c>
      <c r="U486">
        <v>5400</v>
      </c>
      <c r="V486" t="inlineStr">
        <is>
          <t>PHP</t>
        </is>
      </c>
      <c r="W486">
        <v>5400</v>
      </c>
      <c r="X486" s="2" t="str">
        <f>=HYPERLINK("https://www.larksuite.com/approval/admin/previewAttachment?key=PMgxCgJBDAXQK_1kMvn5XsZml8FmRRBlLXJ2wcL2ZRmypo0UQuaCNeeEsjDCHcig1N5GCjRa9X6s6_aqZY95cjuPz937fdvW_rQpuoMjYhQAu_x9MCKkDPwc3wAAAP__", "3 attachment(s)")</f>
        <v>3 attachment(s)</v>
      </c>
      <c r="Y486" t="inlineStr">
        <is>
          <t>Bank Transfer</t>
        </is>
      </c>
      <c r="Z486" t="inlineStr">
        <is>
          <t>MaxPrecision Corporation</t>
        </is>
      </c>
      <c r="AA486" t="inlineStr">
        <is>
          <t>4440117166</t>
        </is>
      </c>
      <c r="AB486" t="inlineStr">
        <is>
          <t>BDO</t>
        </is>
      </c>
      <c r="AC486" t="inlineStr">
        <is>
          <t>No. 5 Lt. Artiaga Street, Brgy Corazon De Jesus San Juan City</t>
        </is>
      </c>
      <c r="AD486" s="4">
        <v>45915</v>
      </c>
      <c r="AE486" t="inlineStr">
        <is>
          <t>100% Full Payment - 30 days upon complete delivery</t>
        </is>
      </c>
      <c r="AF486" s="2"/>
      <c r="AG486" t="inlineStr">
        <is>
          <t>NzQyNTk5MTgyNzQ4MTg3MDM0MTowMEY0Q0Y5QS0zQzU3LTRBQkMtODg0QS02MkQ4NTYwQzIyMzktMTo4YWI5MTkxYTE5ZTdhNTMwZjJhNmU4OTFmN2I5OTQzYzox</t>
        </is>
      </c>
      <c r="AH486" t="inlineStr">
        <is>
          <t>MaxPrecision Corporation</t>
        </is>
      </c>
      <c r="AI486"/>
      <c r="AJ486"/>
      <c r="AK486"/>
    </row>
    <row r="487" ht="25.5" customHeight="1">
      <c r="A487" s="2" t="str">
        <f>=HYPERLINK("https://applink.larksuite.com/client/mini_program/open?appId=cli_9c7cc8a9a9edd105&amp;mode=appCenter&amp;path_pc=pc/pages/requested/index?instanceId=7550970060999770144&amp;source=bitable&amp;path=pages/detail/index?instanceId=7550970060999770144&amp;source=bitable", "202509170068")</f>
        <v>202509170068</v>
      </c>
      <c r="B487" t="inlineStr">
        <is>
          <t>Approved</t>
        </is>
      </c>
      <c r="C487" t="inlineStr">
        <is>
          <t>Procurement Order</t>
        </is>
      </c>
      <c r="D487" s="3">
        <v>45917.68077546296</v>
      </c>
      <c r="E487" s="3">
        <v>45919.481145833335</v>
      </c>
      <c r="F487" t="inlineStr">
        <is>
          <t>Fatima Kathleen M. FLores</t>
        </is>
      </c>
      <c r="G487" t="inlineStr">
        <is>
          <t>Procurement</t>
        </is>
      </c>
      <c r="H487"/>
      <c r="I487"/>
      <c r="J487" t="inlineStr">
        <is>
          <t>Project</t>
        </is>
      </c>
      <c r="K487" t="inlineStr">
        <is>
          <t>PDEI - Event Service</t>
        </is>
      </c>
      <c r="L487" t="inlineStr">
        <is>
          <t>GTCC 2025: September Arena</t>
        </is>
      </c>
      <c r="M487" t="inlineStr">
        <is>
          <t>2025TEG-P0236</t>
        </is>
      </c>
      <c r="N487" t="inlineStr">
        <is>
          <t>Juvie Anne Asis Castres</t>
        </is>
      </c>
      <c r="O487" t="inlineStr">
        <is>
          <t>202509150021-Juvie Anne Asis Castres-费用报销 - 副本 - 副本 - 副本-2025-09-15 03:39:58</t>
        </is>
      </c>
      <c r="P487" t="inlineStr">
        <is>
          <t>NO</t>
        </is>
      </c>
      <c r="Q487"/>
      <c r="R487" t="inlineStr">
        <is>
          <t>YES</t>
        </is>
      </c>
      <c r="S487" t="inlineStr">
        <is>
          <t>2.75ft x 6.5ft PULL UP BANNER WITH MECHANISM</t>
        </is>
      </c>
      <c r="T487">
        <v>6</v>
      </c>
      <c r="U487">
        <v>1700</v>
      </c>
      <c r="V487" t="inlineStr">
        <is>
          <t>PHP</t>
        </is>
      </c>
      <c r="W487">
        <v>10200</v>
      </c>
      <c r="X487" s="2"/>
      <c r="Y487" t="inlineStr">
        <is>
          <t>Bank Transfer</t>
        </is>
      </c>
      <c r="Z487" t="inlineStr">
        <is>
          <t>iLIGHT PRODUCTION</t>
        </is>
      </c>
      <c r="AA487" t="inlineStr">
        <is>
          <t>007960010274</t>
        </is>
      </c>
      <c r="AB487" t="inlineStr">
        <is>
          <t>BDO</t>
        </is>
      </c>
      <c r="AC487" t="inlineStr">
        <is>
          <t>3791 Mascardo St. Brgy, Sta Cruz, Makati City</t>
        </is>
      </c>
      <c r="AD487" s="4">
        <v>45919</v>
      </c>
      <c r="AE487" t="inlineStr">
        <is>
          <t>100% Full Payment upon complete delivery</t>
        </is>
      </c>
      <c r="AF487" s="2"/>
      <c r="AG487" t="inlineStr">
        <is>
          <t>NzQyNTk5MTgyNzQ4MTg3MDM0MTpEMkJFNzhGQy1EOEEyLTREQjMtOTAwMi00QThDMjBEMjJGOUUtMTplMTNiNGIyYjQ1N2U4YjFlM2Q5MGVkM2VjNTNhMjY1NTox</t>
        </is>
      </c>
      <c r="AH487" t="inlineStr">
        <is>
          <t>iLIGHT PRODUCTION</t>
        </is>
      </c>
      <c r="AI487"/>
      <c r="AJ487"/>
      <c r="AK487"/>
    </row>
    <row r="488" ht="25.5" customHeight="1">
      <c r="A488" s="2" t="str">
        <f>=HYPERLINK("https://applink.larksuite.com/client/mini_program/open?appId=cli_9c7cc8a9a9edd105&amp;mode=appCenter&amp;path_pc=pc/pages/requested/index?instanceId=7550970060999770144&amp;source=bitable&amp;path=pages/detail/index?instanceId=7550970060999770144&amp;source=bitable", "202509170068")</f>
        <v>202509170068</v>
      </c>
      <c r="B488" t="inlineStr">
        <is>
          <t>Approved</t>
        </is>
      </c>
      <c r="C488" t="inlineStr">
        <is>
          <t>Procurement Order</t>
        </is>
      </c>
      <c r="D488" s="3">
        <v>45917.68077546296</v>
      </c>
      <c r="E488" s="3">
        <v>45919.481145833335</v>
      </c>
      <c r="F488" t="inlineStr">
        <is>
          <t>Fatima Kathleen M. FLores</t>
        </is>
      </c>
      <c r="G488" t="inlineStr">
        <is>
          <t>Procurement</t>
        </is>
      </c>
      <c r="H488"/>
      <c r="I488"/>
      <c r="J488" t="inlineStr">
        <is>
          <t>Project</t>
        </is>
      </c>
      <c r="K488" t="inlineStr">
        <is>
          <t>PDEI - Event Service</t>
        </is>
      </c>
      <c r="L488" t="inlineStr">
        <is>
          <t>GTCC 2025: September Arena</t>
        </is>
      </c>
      <c r="M488" t="inlineStr">
        <is>
          <t>2025TEG-P0236</t>
        </is>
      </c>
      <c r="N488" t="inlineStr">
        <is>
          <t>Juvie Anne Asis Castres</t>
        </is>
      </c>
      <c r="O488" t="inlineStr">
        <is>
          <t>202509150021-Juvie Anne Asis Castres-费用报销 - 副本 - 副本 - 副本-2025-09-15 03:39:58</t>
        </is>
      </c>
      <c r="P488" t="inlineStr">
        <is>
          <t>NO</t>
        </is>
      </c>
      <c r="Q488"/>
      <c r="R488" t="inlineStr">
        <is>
          <t>YES</t>
        </is>
      </c>
      <c r="S488" t="inlineStr">
        <is>
          <t>2FT X 7FT FEATHER BANNER WITH METAL STAND</t>
        </is>
      </c>
      <c r="T488">
        <v>10</v>
      </c>
      <c r="U488">
        <v>5800</v>
      </c>
      <c r="V488" t="inlineStr">
        <is>
          <t>PHP</t>
        </is>
      </c>
      <c r="W488">
        <v>58000</v>
      </c>
      <c r="X488" s="2" t="str">
        <f>=HYPERLINK("https://www.larksuite.com/approval/admin/previewAttachment?key=PMhBCsIwFATQK80kP5k_XsZNSxDEUhDd_bMLLrp9M4mZg30aYTaDpTFgARO2JTCiWlEyRDFrf6379snF8zjy7Hxmq-9jW_ubw2oN6hE9AfB2eVdE2DPwd_4CAAD__w", "2 attachment(s)")</f>
        <v>2 attachment(s)</v>
      </c>
      <c r="Y488"/>
      <c r="Z488"/>
      <c r="AA488"/>
      <c r="AB488"/>
      <c r="AC488"/>
      <c r="AD488" s="4"/>
      <c r="AE488"/>
      <c r="AF488" s="2"/>
      <c r="AG488" t="inlineStr">
        <is>
          <t>NzQyNTk5MTgyNzQ4MTg3MDM0MTpEMkJFNzhGQy1EOEEyLTREQjMtOTAwMi00QThDMjBEMjJGOUUtMjpiOTQ4MGNlOGI5YzkwODMzNTY4NmY2YzU3NmMxODc0Mzox</t>
        </is>
      </c>
      <c r="AH488"/>
      <c r="AI488"/>
      <c r="AJ488"/>
      <c r="AK488"/>
    </row>
    <row r="489" ht="25.5" customHeight="1">
      <c r="A489" s="2" t="str">
        <f>=HYPERLINK("https://applink.larksuite.com/client/mini_program/open?appId=cli_9c7cc8a9a9edd105&amp;mode=appCenter&amp;path_pc=pc/pages/requested/index?instanceId=7550973170019287079&amp;source=bitable&amp;path=pages/detail/index?instanceId=7550973170019287079&amp;source=bitable", "202509170070")</f>
        <v>202509170070</v>
      </c>
      <c r="B489" t="inlineStr">
        <is>
          <t>Approved</t>
        </is>
      </c>
      <c r="C489" t="inlineStr">
        <is>
          <t>Procurement Order</t>
        </is>
      </c>
      <c r="D489" s="3">
        <v>45917.689155092594</v>
      </c>
      <c r="E489" s="3">
        <v>45917.87875</v>
      </c>
      <c r="F489" t="inlineStr">
        <is>
          <t>Fatima Kathleen M. FLores</t>
        </is>
      </c>
      <c r="G489" t="inlineStr">
        <is>
          <t>Procurement</t>
        </is>
      </c>
      <c r="H489"/>
      <c r="I489"/>
      <c r="J489" t="inlineStr">
        <is>
          <t>Project</t>
        </is>
      </c>
      <c r="K489" t="inlineStr">
        <is>
          <t>PDEI - Event Service</t>
        </is>
      </c>
      <c r="L489" t="inlineStr">
        <is>
          <t>GTCC 2025: September Arena</t>
        </is>
      </c>
      <c r="M489" t="inlineStr">
        <is>
          <t>2025TEG-P0236</t>
        </is>
      </c>
      <c r="N489" t="inlineStr">
        <is>
          <t>Juvie Anne Asis Castres</t>
        </is>
      </c>
      <c r="O489" t="inlineStr">
        <is>
          <t>202509150023-Juvie Anne Asis Castres-费用报销 - 副本 - 副本 - 副本-2025-09-15 04:01:42</t>
        </is>
      </c>
      <c r="P489" t="inlineStr">
        <is>
          <t>NO</t>
        </is>
      </c>
      <c r="Q489"/>
      <c r="R489" t="inlineStr">
        <is>
          <t>NO</t>
        </is>
      </c>
      <c r="S489" t="inlineStr">
        <is>
          <t>4FT X 2FT MOCK CHEQUES STICKER WITH 5MM SINTRA</t>
        </is>
      </c>
      <c r="T489">
        <v>3</v>
      </c>
      <c r="U489">
        <v>1728</v>
      </c>
      <c r="V489" t="inlineStr">
        <is>
          <t>PHP</t>
        </is>
      </c>
      <c r="W489">
        <v>5184</v>
      </c>
      <c r="X489" s="2"/>
      <c r="Y489" t="inlineStr">
        <is>
          <t>Bank Transfer</t>
        </is>
      </c>
      <c r="Z489" t="inlineStr">
        <is>
          <t>iLIGHT PRODUCTION</t>
        </is>
      </c>
      <c r="AA489" t="inlineStr">
        <is>
          <t>007960010274</t>
        </is>
      </c>
      <c r="AB489" t="inlineStr">
        <is>
          <t>BDO</t>
        </is>
      </c>
      <c r="AC489" t="inlineStr">
        <is>
          <t>3791 Mascardo St. Brgy, Sta Cruz, Makati City</t>
        </is>
      </c>
      <c r="AD489" s="4">
        <v>45919</v>
      </c>
      <c r="AE489" t="inlineStr">
        <is>
          <t>100% Full Payment upon complete delivery</t>
        </is>
      </c>
      <c r="AF489" s="2"/>
      <c r="AG489" t="inlineStr">
        <is>
          <t>NzQyNTk5MTgyNzQ4MTg3MDM0MTozREVFRjRERC01REI1LTQzQTMtQjExQi05NDQwNTM3RUMzQ0ItMTpkMWQzY2M3NjE3MGRlN2EzNmQyZmJmYzk1OTRiZjg4NDox</t>
        </is>
      </c>
      <c r="AH489" t="inlineStr">
        <is>
          <t>iLIGHT PRODUCTION</t>
        </is>
      </c>
      <c r="AI489"/>
      <c r="AJ489"/>
      <c r="AK489"/>
    </row>
    <row r="490" ht="25.5" customHeight="1">
      <c r="A490" s="2" t="str">
        <f>=HYPERLINK("https://applink.larksuite.com/client/mini_program/open?appId=cli_9c7cc8a9a9edd105&amp;mode=appCenter&amp;path_pc=pc/pages/requested/index?instanceId=7550973170019287079&amp;source=bitable&amp;path=pages/detail/index?instanceId=7550973170019287079&amp;source=bitable", "202509170070")</f>
        <v>202509170070</v>
      </c>
      <c r="B490" t="inlineStr">
        <is>
          <t>Approved</t>
        </is>
      </c>
      <c r="C490" t="inlineStr">
        <is>
          <t>Procurement Order</t>
        </is>
      </c>
      <c r="D490" s="3">
        <v>45917.689155092594</v>
      </c>
      <c r="E490" s="3">
        <v>45917.87875</v>
      </c>
      <c r="F490" t="inlineStr">
        <is>
          <t>Fatima Kathleen M. FLores</t>
        </is>
      </c>
      <c r="G490" t="inlineStr">
        <is>
          <t>Procurement</t>
        </is>
      </c>
      <c r="H490"/>
      <c r="I490"/>
      <c r="J490" t="inlineStr">
        <is>
          <t>Project</t>
        </is>
      </c>
      <c r="K490" t="inlineStr">
        <is>
          <t>PDEI - Event Service</t>
        </is>
      </c>
      <c r="L490" t="inlineStr">
        <is>
          <t>GTCC 2025: September Arena</t>
        </is>
      </c>
      <c r="M490" t="inlineStr">
        <is>
          <t>2025TEG-P0236</t>
        </is>
      </c>
      <c r="N490" t="inlineStr">
        <is>
          <t>Juvie Anne Asis Castres</t>
        </is>
      </c>
      <c r="O490" t="inlineStr">
        <is>
          <t>202509150023-Juvie Anne Asis Castres-费用报销 - 副本 - 副本 - 副本-2025-09-15 04:01:42</t>
        </is>
      </c>
      <c r="P490" t="inlineStr">
        <is>
          <t>NO</t>
        </is>
      </c>
      <c r="Q490"/>
      <c r="R490" t="inlineStr">
        <is>
          <t>NO</t>
        </is>
      </c>
      <c r="S490" t="inlineStr">
        <is>
          <t>A5 SIZE GUEST CARD</t>
        </is>
      </c>
      <c r="T490">
        <v>50</v>
      </c>
      <c r="U490">
        <v>12</v>
      </c>
      <c r="V490" t="inlineStr">
        <is>
          <t>PHP</t>
        </is>
      </c>
      <c r="W490">
        <v>600</v>
      </c>
      <c r="X490" s="2"/>
      <c r="Y490"/>
      <c r="Z490"/>
      <c r="AA490"/>
      <c r="AB490"/>
      <c r="AC490"/>
      <c r="AD490" s="4"/>
      <c r="AE490"/>
      <c r="AF490" s="2"/>
      <c r="AG490" t="inlineStr">
        <is>
          <t>NzQyNTk5MTgyNzQ4MTg3MDM0MTozREVFRjRERC01REI1LTQzQTMtQjExQi05NDQwNTM3RUMzQ0ItMjo5NzFjMzIxNGQyZDUxZjk1OGQxY2RkZTc2YTViNmJkNzox</t>
        </is>
      </c>
      <c r="AH490"/>
      <c r="AI490"/>
      <c r="AJ490"/>
      <c r="AK490"/>
    </row>
    <row r="491" ht="25.5" customHeight="1">
      <c r="A491" s="2" t="str">
        <f>=HYPERLINK("https://applink.larksuite.com/client/mini_program/open?appId=cli_9c7cc8a9a9edd105&amp;mode=appCenter&amp;path_pc=pc/pages/requested/index?instanceId=7550973170019287079&amp;source=bitable&amp;path=pages/detail/index?instanceId=7550973170019287079&amp;source=bitable", "202509170070")</f>
        <v>202509170070</v>
      </c>
      <c r="B491" t="inlineStr">
        <is>
          <t>Approved</t>
        </is>
      </c>
      <c r="C491" t="inlineStr">
        <is>
          <t>Procurement Order</t>
        </is>
      </c>
      <c r="D491" s="3">
        <v>45917.689155092594</v>
      </c>
      <c r="E491" s="3">
        <v>45917.87875</v>
      </c>
      <c r="F491" t="inlineStr">
        <is>
          <t>Fatima Kathleen M. FLores</t>
        </is>
      </c>
      <c r="G491" t="inlineStr">
        <is>
          <t>Procurement</t>
        </is>
      </c>
      <c r="H491"/>
      <c r="I491"/>
      <c r="J491" t="inlineStr">
        <is>
          <t>Project</t>
        </is>
      </c>
      <c r="K491" t="inlineStr">
        <is>
          <t>PDEI - Event Service</t>
        </is>
      </c>
      <c r="L491" t="inlineStr">
        <is>
          <t>GTCC 2025: September Arena</t>
        </is>
      </c>
      <c r="M491" t="inlineStr">
        <is>
          <t>2025TEG-P0236</t>
        </is>
      </c>
      <c r="N491" t="inlineStr">
        <is>
          <t>Juvie Anne Asis Castres</t>
        </is>
      </c>
      <c r="O491" t="inlineStr">
        <is>
          <t>202509150023-Juvie Anne Asis Castres-费用报销 - 副本 - 副本 - 副本-2025-09-15 04:01:42</t>
        </is>
      </c>
      <c r="P491" t="inlineStr">
        <is>
          <t>NO</t>
        </is>
      </c>
      <c r="Q491"/>
      <c r="R491" t="inlineStr">
        <is>
          <t>NO</t>
        </is>
      </c>
      <c r="S491" t="inlineStr">
        <is>
          <t>A5 SIZE CUECARD STICKER WITH 1.5MM SINTRA</t>
        </is>
      </c>
      <c r="T491">
        <v>10</v>
      </c>
      <c r="U491">
        <v>80</v>
      </c>
      <c r="V491" t="inlineStr">
        <is>
          <t>PHP</t>
        </is>
      </c>
      <c r="W491">
        <v>800</v>
      </c>
      <c r="X491" s="2"/>
      <c r="Y491"/>
      <c r="Z491"/>
      <c r="AA491"/>
      <c r="AB491"/>
      <c r="AC491"/>
      <c r="AD491" s="4"/>
      <c r="AE491"/>
      <c r="AF491" s="2"/>
      <c r="AG491" t="inlineStr">
        <is>
          <t>NzQyNTk5MTgyNzQ4MTg3MDM0MTozREVFRjRERC01REI1LTQzQTMtQjExQi05NDQwNTM3RUMzQ0ItMzo5OGM2MWFhMjJkMDJkY2ZkODBjYTBkMWI4MWM5MDk4MDox</t>
        </is>
      </c>
      <c r="AH491"/>
      <c r="AI491"/>
      <c r="AJ491"/>
      <c r="AK491"/>
    </row>
    <row r="492" ht="25.5" customHeight="1">
      <c r="A492" s="2" t="str">
        <f>=HYPERLINK("https://applink.larksuite.com/client/mini_program/open?appId=cli_9c7cc8a9a9edd105&amp;mode=appCenter&amp;path_pc=pc/pages/requested/index?instanceId=7550973170019287079&amp;source=bitable&amp;path=pages/detail/index?instanceId=7550973170019287079&amp;source=bitable", "202509170070")</f>
        <v>202509170070</v>
      </c>
      <c r="B492" t="inlineStr">
        <is>
          <t>Approved</t>
        </is>
      </c>
      <c r="C492" t="inlineStr">
        <is>
          <t>Procurement Order</t>
        </is>
      </c>
      <c r="D492" s="3">
        <v>45917.689155092594</v>
      </c>
      <c r="E492" s="3">
        <v>45917.87875</v>
      </c>
      <c r="F492" t="inlineStr">
        <is>
          <t>Fatima Kathleen M. FLores</t>
        </is>
      </c>
      <c r="G492" t="inlineStr">
        <is>
          <t>Procurement</t>
        </is>
      </c>
      <c r="H492"/>
      <c r="I492"/>
      <c r="J492" t="inlineStr">
        <is>
          <t>Project</t>
        </is>
      </c>
      <c r="K492" t="inlineStr">
        <is>
          <t>PDEI - Event Service</t>
        </is>
      </c>
      <c r="L492" t="inlineStr">
        <is>
          <t>GTCC 2025: September Arena</t>
        </is>
      </c>
      <c r="M492" t="inlineStr">
        <is>
          <t>2025TEG-P0236</t>
        </is>
      </c>
      <c r="N492" t="inlineStr">
        <is>
          <t>Juvie Anne Asis Castres</t>
        </is>
      </c>
      <c r="O492" t="inlineStr">
        <is>
          <t>202509150023-Juvie Anne Asis Castres-费用报销 - 副本 - 副本 - 副本-2025-09-15 04:01:42</t>
        </is>
      </c>
      <c r="P492" t="inlineStr">
        <is>
          <t>NO</t>
        </is>
      </c>
      <c r="Q492"/>
      <c r="R492" t="inlineStr">
        <is>
          <t>NO</t>
        </is>
      </c>
      <c r="S492" t="inlineStr">
        <is>
          <t>8.5” x 11.5” HANDBOOK BROCHURE</t>
        </is>
      </c>
      <c r="T492">
        <v>400</v>
      </c>
      <c r="U492">
        <v>24</v>
      </c>
      <c r="V492" t="inlineStr">
        <is>
          <t>PHP</t>
        </is>
      </c>
      <c r="W492">
        <v>9600</v>
      </c>
      <c r="X492" s="2"/>
      <c r="Y492"/>
      <c r="Z492"/>
      <c r="AA492"/>
      <c r="AB492"/>
      <c r="AC492"/>
      <c r="AD492" s="4"/>
      <c r="AE492"/>
      <c r="AF492" s="2"/>
      <c r="AG492" t="inlineStr">
        <is>
          <t>NzQyNTk5MTgyNzQ4MTg3MDM0MTozREVFRjRERC01REI1LTQzQTMtQjExQi05NDQwNTM3RUMzQ0ItNDo1ZTMwMWQxOGRmNzhmYjdkMzI2ZTY3YWMwZjJkOTA2ZTox</t>
        </is>
      </c>
      <c r="AH492"/>
      <c r="AI492"/>
      <c r="AJ492"/>
      <c r="AK492"/>
    </row>
    <row r="493" ht="25.5" customHeight="1">
      <c r="A493" s="2" t="str">
        <f>=HYPERLINK("https://applink.larksuite.com/client/mini_program/open?appId=cli_9c7cc8a9a9edd105&amp;mode=appCenter&amp;path_pc=pc/pages/requested/index?instanceId=7550973170019287079&amp;source=bitable&amp;path=pages/detail/index?instanceId=7550973170019287079&amp;source=bitable", "202509170070")</f>
        <v>202509170070</v>
      </c>
      <c r="B493" t="inlineStr">
        <is>
          <t>Approved</t>
        </is>
      </c>
      <c r="C493" t="inlineStr">
        <is>
          <t>Procurement Order</t>
        </is>
      </c>
      <c r="D493" s="3">
        <v>45917.689155092594</v>
      </c>
      <c r="E493" s="3">
        <v>45917.87875</v>
      </c>
      <c r="F493" t="inlineStr">
        <is>
          <t>Fatima Kathleen M. FLores</t>
        </is>
      </c>
      <c r="G493" t="inlineStr">
        <is>
          <t>Procurement</t>
        </is>
      </c>
      <c r="H493"/>
      <c r="I493"/>
      <c r="J493" t="inlineStr">
        <is>
          <t>Project</t>
        </is>
      </c>
      <c r="K493" t="inlineStr">
        <is>
          <t>PDEI - Event Service</t>
        </is>
      </c>
      <c r="L493" t="inlineStr">
        <is>
          <t>GTCC 2025: September Arena</t>
        </is>
      </c>
      <c r="M493" t="inlineStr">
        <is>
          <t>2025TEG-P0236</t>
        </is>
      </c>
      <c r="N493" t="inlineStr">
        <is>
          <t>Juvie Anne Asis Castres</t>
        </is>
      </c>
      <c r="O493" t="inlineStr">
        <is>
          <t>202509150023-Juvie Anne Asis Castres-费用报销 - 副本 - 副本 - 副本-2025-09-15 04:01:42</t>
        </is>
      </c>
      <c r="P493" t="inlineStr">
        <is>
          <t>NO</t>
        </is>
      </c>
      <c r="Q493"/>
      <c r="R493" t="inlineStr">
        <is>
          <t>NO</t>
        </is>
      </c>
      <c r="S493" t="inlineStr">
        <is>
          <t>MICROPHONE HANDLE</t>
        </is>
      </c>
      <c r="T493">
        <v>2</v>
      </c>
      <c r="U493">
        <v>720</v>
      </c>
      <c r="V493" t="inlineStr">
        <is>
          <t>PHP</t>
        </is>
      </c>
      <c r="W493">
        <v>1440</v>
      </c>
      <c r="X493" s="2" t="str">
        <f>=HYPERLINK("https://www.larksuite.com/approval/admin/previewAttachment?key=PMhBqgIxEATQK1UlnVTXv8zfOAQR4kYYnEWfXXDh9s0kZg72aYTZDJbGgNUpgG4pyNWKkiGKWcde_9e53tiPPZ5irqvO-20dLw6rNahH9ATAv593RYQ9A1-PTwAAAP__", "2 attachment(s)")</f>
        <v>2 attachment(s)</v>
      </c>
      <c r="Y493"/>
      <c r="Z493"/>
      <c r="AA493"/>
      <c r="AB493"/>
      <c r="AC493"/>
      <c r="AD493" s="4"/>
      <c r="AE493"/>
      <c r="AF493" s="2"/>
      <c r="AG493" t="inlineStr">
        <is>
          <t>NzQyNTk5MTgyNzQ4MTg3MDM0MTozREVFRjRERC01REI1LTQzQTMtQjExQi05NDQwNTM3RUMzQ0ItNTo3NjFjMmE0NDM5ZDYxMGM3YjFkZjc2NjkxZjM0MDRkMDox</t>
        </is>
      </c>
      <c r="AH493"/>
      <c r="AI493"/>
      <c r="AJ493"/>
      <c r="AK493"/>
    </row>
    <row r="494" ht="25.5" customHeight="1">
      <c r="A494" s="2" t="str">
        <f>=HYPERLINK("https://applink.larksuite.com/client/mini_program/open?appId=cli_9c7cc8a9a9edd105&amp;mode=appCenter&amp;path_pc=pc/pages/requested/index?instanceId=7550975142579486759&amp;source=bitable&amp;path=pages/detail/index?instanceId=7550975142579486759&amp;source=bitable", "202509170075")</f>
        <v>202509170075</v>
      </c>
      <c r="B494" t="inlineStr">
        <is>
          <t>Approved</t>
        </is>
      </c>
      <c r="C494" t="inlineStr">
        <is>
          <t>Procurement Order</t>
        </is>
      </c>
      <c r="D494" s="3">
        <v>45917.69446759259</v>
      </c>
      <c r="E494" s="3">
        <v>45917.88045138889</v>
      </c>
      <c r="F494" t="inlineStr">
        <is>
          <t>Fatima Kathleen M. FLores</t>
        </is>
      </c>
      <c r="G494" t="inlineStr">
        <is>
          <t>Procurement</t>
        </is>
      </c>
      <c r="H494"/>
      <c r="I494"/>
      <c r="J494" t="inlineStr">
        <is>
          <t>Project</t>
        </is>
      </c>
      <c r="K494" t="inlineStr">
        <is>
          <t>PDEI - Event Service</t>
        </is>
      </c>
      <c r="L494" t="inlineStr">
        <is>
          <t>GTCC 2025: September Arena</t>
        </is>
      </c>
      <c r="M494" t="inlineStr">
        <is>
          <t>2025TEG-P0236</t>
        </is>
      </c>
      <c r="N494" t="inlineStr">
        <is>
          <t>Juvie Anne Asis Castres</t>
        </is>
      </c>
      <c r="O494" t="inlineStr">
        <is>
          <t>202509150023-Juvie Anne Asis Castres-费用报销 - 副本 - 副本 - 副本-2025-09-15 04:01:42</t>
        </is>
      </c>
      <c r="P494" t="inlineStr">
        <is>
          <t>NO</t>
        </is>
      </c>
      <c r="Q494"/>
      <c r="R494" t="inlineStr">
        <is>
          <t>NO</t>
        </is>
      </c>
      <c r="S494" t="inlineStr">
        <is>
          <t>Wristbands w/ security cut</t>
        </is>
      </c>
      <c r="T494">
        <v>700</v>
      </c>
      <c r="U494">
        <v>5.6</v>
      </c>
      <c r="V494" t="inlineStr">
        <is>
          <t>PHP</t>
        </is>
      </c>
      <c r="W494">
        <v>3920</v>
      </c>
      <c r="X494" s="2" t="str">
        <f>=HYPERLINK("https://www.larksuite.com/approval/admin/previewAttachment?key=PMgxCgJBDAXQK_1kkvn5XsbGYRFhRZBdbHJ2wcL2zTLMShtTCJkL1syEmBaeVNRkqr2NFGi06rVv14pzX3i86nj658g-77dtvS1Fd3BEjAJgl78PRoQ0Az_HNwAA__8", "2 attachment(s)")</f>
        <v>2 attachment(s)</v>
      </c>
      <c r="Y494" t="inlineStr">
        <is>
          <t>Bank Transfer</t>
        </is>
      </c>
      <c r="Z494" t="inlineStr">
        <is>
          <t>CLVISION ENTERPRISE</t>
        </is>
      </c>
      <c r="AA494" t="inlineStr">
        <is>
          <t>4470 0762 92</t>
        </is>
      </c>
      <c r="AB494" t="inlineStr">
        <is>
          <t>BPI</t>
        </is>
      </c>
      <c r="AC494" t="inlineStr">
        <is>
          <t>6B Kalapati St., Villilia Village, Brgy. Talipapa, Novaliches, QC</t>
        </is>
      </c>
      <c r="AD494" s="4">
        <v>45919</v>
      </c>
      <c r="AE494" t="inlineStr">
        <is>
          <t>100% Full Payment upon complete delivery</t>
        </is>
      </c>
      <c r="AF494" s="2"/>
      <c r="AG494" t="inlineStr">
        <is>
          <t>NzQyNTk5MTgyNzQ4MTg3MDM0MTpENTc4RTY4NS00NjdCLTRBRTctQUFBNS1GMkE2OEVDNzQ0QjItMToxZTdjYjZiZDFhOWMzNTM1ZjQzNDQwYjZmOTM2NmEwOTox</t>
        </is>
      </c>
      <c r="AH494" t="inlineStr">
        <is>
          <t>CLVISION ENTERPRISE</t>
        </is>
      </c>
      <c r="AI494"/>
      <c r="AJ494"/>
      <c r="AK494"/>
    </row>
    <row r="495" ht="25.5" customHeight="1">
      <c r="A495" s="2" t="str">
        <f>=HYPERLINK("https://applink.larksuite.com/client/mini_program/open?appId=cli_9c7cc8a9a9edd105&amp;mode=appCenter&amp;path_pc=pc/pages/requested/index?instanceId=7551002945886634016&amp;source=bitable&amp;path=pages/detail/index?instanceId=7551002945886634016&amp;source=bitable", "202509170087")</f>
        <v>202509170087</v>
      </c>
      <c r="B495" t="inlineStr">
        <is>
          <t>Approved</t>
        </is>
      </c>
      <c r="C495" t="inlineStr">
        <is>
          <t>Procurement Order</t>
        </is>
      </c>
      <c r="D495" s="3">
        <v>45917.76939814815</v>
      </c>
      <c r="E495" s="3">
        <v>45918.64701388889</v>
      </c>
      <c r="F495" t="inlineStr">
        <is>
          <t>Fatima Kathleen M. FLores</t>
        </is>
      </c>
      <c r="G495" t="inlineStr">
        <is>
          <t>Procurement</t>
        </is>
      </c>
      <c r="H495"/>
      <c r="I495"/>
      <c r="J495" t="inlineStr">
        <is>
          <t>Project</t>
        </is>
      </c>
      <c r="K495" t="inlineStr">
        <is>
          <t>PDEI - Event Service</t>
        </is>
      </c>
      <c r="L495" t="inlineStr">
        <is>
          <t>GTCC 2025: September Arena</t>
        </is>
      </c>
      <c r="M495" t="inlineStr">
        <is>
          <t>2025TEG-P0236</t>
        </is>
      </c>
      <c r="N495" t="inlineStr">
        <is>
          <t>Reign Santos Fortea</t>
        </is>
      </c>
      <c r="O495" t="inlineStr">
        <is>
          <t>202509160059-Reign Santos Fortea-费用报销 - 副本 - 副本 - 副本-2025-09-16 06:46:35</t>
        </is>
      </c>
      <c r="P495" t="inlineStr">
        <is>
          <t>NO</t>
        </is>
      </c>
      <c r="Q495"/>
      <c r="R495" t="inlineStr">
        <is>
          <t>YES</t>
        </is>
      </c>
      <c r="S495" t="inlineStr">
        <is>
          <t>LOGITECH G PRO X GAMING HEADSET (part number: 981-000820)</t>
        </is>
      </c>
      <c r="T495">
        <v>27</v>
      </c>
      <c r="U495">
        <v>5000</v>
      </c>
      <c r="V495" t="inlineStr">
        <is>
          <t>PHP</t>
        </is>
      </c>
      <c r="W495">
        <v>135000</v>
      </c>
      <c r="X495" s="2" t="str">
        <f>=HYPERLINK("https://www.larksuite.com/approval/admin/previewAttachment?key=PMg9qgJBEATgK1X11PTPu8xLdhgEXRDEzfrsgoHp50l4Tg4vqGgFdsxJwEoz030I9LZmRCEYzF7n_r_b2ufj0nutw57W1-3Y68VZYYYY0kgA_Pv5CElVLnwdnwAAAP__", "2 attachment(s)")</f>
        <v>2 attachment(s)</v>
      </c>
      <c r="Y495" t="inlineStr">
        <is>
          <t>Bank Transfer</t>
        </is>
      </c>
      <c r="Z495" t="inlineStr">
        <is>
          <t>Iontech Inc</t>
        </is>
      </c>
      <c r="AA495" t="inlineStr">
        <is>
          <t>004-763-0449-34</t>
        </is>
      </c>
      <c r="AB495" t="inlineStr">
        <is>
          <t>BPI</t>
        </is>
      </c>
      <c r="AC495" t="inlineStr">
        <is>
          <t>Rm 200, Timbol-Singh Building, 915 Aurora Blvd. Cubao, Quezon City</t>
        </is>
      </c>
      <c r="AD495" s="4">
        <v>45919</v>
      </c>
      <c r="AE495" t="inlineStr">
        <is>
          <t>100% Full payment before delivery</t>
        </is>
      </c>
      <c r="AF495" s="2" t="str">
        <f>=HYPERLINK("https://www.larksuite.com/approval/admin/previewAttachment?key=TMg9qgJRDAXgLZ2Tm9-3mddMuAg6IIjTZe2Cle3nSXgalxe0KAVOmBGQUst0Xwr6yDCiEAzm9Ln_79L7fFz67j7kKXPdjt0vei6HlqmyAPDvx0lULl9fxycAAP__", "1 attachment(s)")</f>
        <v>1 attachment(s)</v>
      </c>
      <c r="AG495" t="inlineStr">
        <is>
          <t>NzQyNTk5MTgyNzQ4MTg3MDM0MTpGNUY5Qzg4Mi0zQjJDLTQyMkEtOTVERC00MDIxOUYzM0I4NDYtMTo1YTZiYWE5Mjc2YTBhMjc5MTI3ZjRhZjRmMzMyYzcwNDox</t>
        </is>
      </c>
      <c r="AH495" t="inlineStr">
        <is>
          <t>Iontech Inc</t>
        </is>
      </c>
      <c r="AI495"/>
      <c r="AJ495"/>
      <c r="AK495"/>
    </row>
    <row r="496" ht="25.5" customHeight="1">
      <c r="A496" s="2" t="str">
        <f>=HYPERLINK("https://applink.larksuite.com/client/mini_program/open?appId=cli_9c7cc8a9a9edd105&amp;mode=appCenter&amp;path_pc=pc/pages/requested/index?instanceId=7551006990680473638&amp;source=bitable&amp;path=pages/detail/index?instanceId=7551006990680473638&amp;source=bitable", "202509170089")</f>
        <v>202509170089</v>
      </c>
      <c r="B496" t="inlineStr">
        <is>
          <t>Approved</t>
        </is>
      </c>
      <c r="C496" t="inlineStr">
        <is>
          <t>Procurement Order</t>
        </is>
      </c>
      <c r="D496" s="3">
        <v>45917.78030092592</v>
      </c>
      <c r="E496" s="3">
        <v>45919.501076388886</v>
      </c>
      <c r="F496" t="inlineStr">
        <is>
          <t>Fatima Kathleen M. FLores</t>
        </is>
      </c>
      <c r="G496" t="inlineStr">
        <is>
          <t>Procurement</t>
        </is>
      </c>
      <c r="H496"/>
      <c r="I496"/>
      <c r="J496" t="inlineStr">
        <is>
          <t>Project</t>
        </is>
      </c>
      <c r="K496" t="inlineStr">
        <is>
          <t>PDEI - Event Service</t>
        </is>
      </c>
      <c r="L496" t="inlineStr">
        <is>
          <t>GTCC 2025: September Arena</t>
        </is>
      </c>
      <c r="M496" t="inlineStr">
        <is>
          <t>2025TEG-P0236</t>
        </is>
      </c>
      <c r="N496" t="inlineStr">
        <is>
          <t>Juvie Anne Asis Castres</t>
        </is>
      </c>
      <c r="O496" t="inlineStr">
        <is>
          <t>202509170071-Juvie Anne Asis Castres-费用报销 - 副本 - 副本 - 副本-2025-09-17 08:34:16</t>
        </is>
      </c>
      <c r="P496" t="inlineStr">
        <is>
          <t>NO</t>
        </is>
      </c>
      <c r="Q496"/>
      <c r="R496" t="inlineStr">
        <is>
          <t>YES</t>
        </is>
      </c>
      <c r="S496" t="inlineStr">
        <is>
          <t>Referee Uniform (Full Sublimation)</t>
        </is>
      </c>
      <c r="T496">
        <v>13</v>
      </c>
      <c r="U496">
        <v>1100</v>
      </c>
      <c r="V496" t="inlineStr">
        <is>
          <t>PHP</t>
        </is>
      </c>
      <c r="W496">
        <v>14300</v>
      </c>
      <c r="X496" s="2"/>
      <c r="Y496" t="inlineStr">
        <is>
          <t>Bank Transfer</t>
        </is>
      </c>
      <c r="Z496" t="inlineStr">
        <is>
          <t>Get-Wrecked Prod Co</t>
        </is>
      </c>
      <c r="AA496" t="inlineStr">
        <is>
          <t>9055058933</t>
        </is>
      </c>
      <c r="AB496" t="inlineStr">
        <is>
          <t>RCBC</t>
        </is>
      </c>
      <c r="AC496" t="inlineStr">
        <is>
          <t>17 North Polytech, Potrero, Malabon city</t>
        </is>
      </c>
      <c r="AD496" s="4">
        <v>45919</v>
      </c>
      <c r="AE496" t="inlineStr">
        <is>
          <t>100% Full Payment before delivery</t>
        </is>
      </c>
      <c r="AF496" s="2" t="str">
        <f>=HYPERLINK("https://www.larksuite.com/approval/admin/previewAttachment?key=TMgxCgJBDAXQK_0_yST5XsbGYRBlK2HBImcXrLZ9UUTUpIXg4hDYOSeBkBAFTwurHs1MIZmsXse-v8fahyde9rVzqs_nY68Poyzgmu4UAN4uTkJlYX_HLwAA__8", "2 attachment(s)")</f>
        <v>2 attachment(s)</v>
      </c>
      <c r="AG496" t="inlineStr">
        <is>
          <t>NzQyNTk5MTgyNzQ4MTg3MDM0MTpBQjE4NDRFRS1EMzBCLTQ2OEQtQkUzOS0wNDJDRUE5OUQ0QjQtMTo5YmQ3ZGU1YzA2NDRkZjM5ZWY1NTQyYjMxNzgwZGExZDox</t>
        </is>
      </c>
      <c r="AH496" t="inlineStr">
        <is>
          <t>Get-Wrecked Prod Co</t>
        </is>
      </c>
      <c r="AI496"/>
      <c r="AJ496"/>
      <c r="AK496"/>
    </row>
    <row r="497" ht="25.5" customHeight="1">
      <c r="A497" s="2" t="str">
        <f>=HYPERLINK("https://applink.larksuite.com/client/mini_program/open?appId=cli_9c7cc8a9a9edd105&amp;mode=appCenter&amp;path_pc=pc/pages/requested/index?instanceId=7551006990680473638&amp;source=bitable&amp;path=pages/detail/index?instanceId=7551006990680473638&amp;source=bitable", "202509170089")</f>
        <v>202509170089</v>
      </c>
      <c r="B497" t="inlineStr">
        <is>
          <t>Approved</t>
        </is>
      </c>
      <c r="C497" t="inlineStr">
        <is>
          <t>Procurement Order</t>
        </is>
      </c>
      <c r="D497" s="3">
        <v>45917.78030092592</v>
      </c>
      <c r="E497" s="3">
        <v>45919.501076388886</v>
      </c>
      <c r="F497" t="inlineStr">
        <is>
          <t>Fatima Kathleen M. FLores</t>
        </is>
      </c>
      <c r="G497" t="inlineStr">
        <is>
          <t>Procurement</t>
        </is>
      </c>
      <c r="H497"/>
      <c r="I497"/>
      <c r="J497" t="inlineStr">
        <is>
          <t>Project</t>
        </is>
      </c>
      <c r="K497" t="inlineStr">
        <is>
          <t>PDEI - Event Service</t>
        </is>
      </c>
      <c r="L497" t="inlineStr">
        <is>
          <t>GTCC 2025: September Arena</t>
        </is>
      </c>
      <c r="M497" t="inlineStr">
        <is>
          <t>2025TEG-P0236</t>
        </is>
      </c>
      <c r="N497" t="inlineStr">
        <is>
          <t>Juvie Anne Asis Castres</t>
        </is>
      </c>
      <c r="O497" t="inlineStr">
        <is>
          <t>202509170071-Juvie Anne Asis Castres-费用报销 - 副本 - 副本 - 副本-2025-09-17 08:34:16</t>
        </is>
      </c>
      <c r="P497" t="inlineStr">
        <is>
          <t>NO</t>
        </is>
      </c>
      <c r="Q497"/>
      <c r="R497" t="inlineStr">
        <is>
          <t>YES</t>
        </is>
      </c>
      <c r="S497" t="inlineStr">
        <is>
          <t>Rush Fee</t>
        </is>
      </c>
      <c r="T497">
        <v>1</v>
      </c>
      <c r="U497">
        <v>2860</v>
      </c>
      <c r="V497" t="inlineStr">
        <is>
          <t>PHP</t>
        </is>
      </c>
      <c r="W497">
        <v>2860</v>
      </c>
      <c r="X497" s="2" t="str">
        <f>=HYPERLINK("https://www.larksuite.com/approval/admin/previewAttachment?key=PMgxCgJBDAXQK_0_yST5XsbGYRBlK2HBImcXLLZ9UUTUpIXg4hDYOSeBkBAFTwurHs1MIZmsXse-v8fahyde9rVzqs_nY68Pp3IMpLlbAeDtckt3l8Lxd_4CAAD__w", "2 attachment(s)")</f>
        <v>2 attachment(s)</v>
      </c>
      <c r="Y497"/>
      <c r="Z497"/>
      <c r="AA497"/>
      <c r="AB497"/>
      <c r="AC497"/>
      <c r="AD497" s="4"/>
      <c r="AE497"/>
      <c r="AF497" s="2"/>
      <c r="AG497" t="inlineStr">
        <is>
          <t>NzQyNTk5MTgyNzQ4MTg3MDM0MTpBQjE4NDRFRS1EMzBCLTQ2OEQtQkUzOS0wNDJDRUE5OUQ0QjQtMjo4NjNkNzE1ZGJlNGM2NGNlZDgxNTg0YjU0MDRhZmM1ODox</t>
        </is>
      </c>
      <c r="AH497"/>
      <c r="AI497"/>
      <c r="AJ497"/>
      <c r="AK497"/>
    </row>
    <row r="498" ht="25.5" customHeight="1">
      <c r="A498" s="2" t="str">
        <f>=HYPERLINK("https://applink.larksuite.com/client/mini_program/open?appId=cli_9c7cc8a9a9edd105&amp;mode=appCenter&amp;path_pc=pc/pages/requested/index?instanceId=7551012574956044319&amp;source=bitable&amp;path=pages/detail/index?instanceId=7551012574956044319&amp;source=bitable", "202509170092")</f>
        <v>202509170092</v>
      </c>
      <c r="B498" t="inlineStr">
        <is>
          <t>Approved</t>
        </is>
      </c>
      <c r="C498" t="inlineStr">
        <is>
          <t>Procurement Order</t>
        </is>
      </c>
      <c r="D498" s="3">
        <v>45917.79534722222</v>
      </c>
      <c r="E498" s="3">
        <v>45917.8840162037</v>
      </c>
      <c r="F498" t="inlineStr">
        <is>
          <t>Fatima Kathleen M. FLores</t>
        </is>
      </c>
      <c r="G498" t="inlineStr">
        <is>
          <t>Procurement</t>
        </is>
      </c>
      <c r="H498"/>
      <c r="I498"/>
      <c r="J498" t="inlineStr">
        <is>
          <t>Project</t>
        </is>
      </c>
      <c r="K498" t="inlineStr">
        <is>
          <t>PDEI - Event Service</t>
        </is>
      </c>
      <c r="L498" t="inlineStr">
        <is>
          <t>GTCC 2025: September Arena</t>
        </is>
      </c>
      <c r="M498" t="inlineStr">
        <is>
          <t>2025TEG-P0236</t>
        </is>
      </c>
      <c r="N498" t="inlineStr">
        <is>
          <t>Juvie Anne Asis Castres</t>
        </is>
      </c>
      <c r="O498" t="inlineStr">
        <is>
          <t>202509170074-Juvie Anne Asis Castres-费用报销 - 副本 - 副本 - 副本-2025-09-17 08:39:30;202509170078-Juvie Anne Asis Castres-费用报销 - 副本 - 副本 - 副本-2025-09-17 08:48:37;202509170079-Juvie Anne Asis Castres-费用报销 - 副本 - 副本 - 副本-2025-09-17 08:58:02</t>
        </is>
      </c>
      <c r="P498" t="inlineStr">
        <is>
          <t>NO</t>
        </is>
      </c>
      <c r="Q498"/>
      <c r="R498" t="inlineStr">
        <is>
          <t>NO</t>
        </is>
      </c>
      <c r="S498" t="inlineStr">
        <is>
          <t>Fabrication of Main Stage</t>
        </is>
      </c>
      <c r="T498">
        <v>1</v>
      </c>
      <c r="U498">
        <v>1120000</v>
      </c>
      <c r="V498" t="inlineStr">
        <is>
          <t>PHP</t>
        </is>
      </c>
      <c r="W498">
        <v>1120000</v>
      </c>
      <c r="X498" s="2"/>
      <c r="Y498" t="inlineStr">
        <is>
          <t>Bank Transfer</t>
        </is>
      </c>
      <c r="Z498" t="inlineStr">
        <is>
          <t>STAGE ONE EVENT SERVICES CORP.</t>
        </is>
      </c>
      <c r="AA498" t="inlineStr">
        <is>
          <t>0124 0800 3549</t>
        </is>
      </c>
      <c r="AB498" t="inlineStr">
        <is>
          <t>BDO</t>
        </is>
      </c>
      <c r="AC498" t="inlineStr">
        <is>
          <t>Kamagong St. cor. Ipil St. Hillcrest Village, Brgy. 173 Camarin, Caloocan</t>
        </is>
      </c>
      <c r="AD498" s="4">
        <v>45919</v>
      </c>
      <c r="AE498" t="inlineStr">
        <is>
          <t>60% Down Payment upon confirmation
40% Final Payment - 30 days upon completion of services</t>
        </is>
      </c>
      <c r="AF498" s="2"/>
      <c r="AG498" t="inlineStr">
        <is>
          <t>NzQyNTk5MTgyNzQ4MTg3MDM0MTo0QzAzMUZDRC0wMTQ5LTQ3MzUtQjIxMS1BQkRCQTQwRDJGMzItMToyNjEzYzFhYmNkMzRhMTI4YzRkZTY3NzhhMjk2YTFjNzox</t>
        </is>
      </c>
      <c r="AH498" t="inlineStr">
        <is>
          <t>STAGE ONE EVENT SERVICES CORP.</t>
        </is>
      </c>
      <c r="AI498"/>
      <c r="AJ498"/>
      <c r="AK498"/>
    </row>
    <row r="499" ht="25.5" customHeight="1">
      <c r="A499" s="2" t="str">
        <f>=HYPERLINK("https://applink.larksuite.com/client/mini_program/open?appId=cli_9c7cc8a9a9edd105&amp;mode=appCenter&amp;path_pc=pc/pages/requested/index?instanceId=7551012574956044319&amp;source=bitable&amp;path=pages/detail/index?instanceId=7551012574956044319&amp;source=bitable", "202509170092")</f>
        <v>202509170092</v>
      </c>
      <c r="B499" t="inlineStr">
        <is>
          <t>Approved</t>
        </is>
      </c>
      <c r="C499" t="inlineStr">
        <is>
          <t>Procurement Order</t>
        </is>
      </c>
      <c r="D499" s="3">
        <v>45917.79534722222</v>
      </c>
      <c r="E499" s="3">
        <v>45917.8840162037</v>
      </c>
      <c r="F499" t="inlineStr">
        <is>
          <t>Fatima Kathleen M. FLores</t>
        </is>
      </c>
      <c r="G499" t="inlineStr">
        <is>
          <t>Procurement</t>
        </is>
      </c>
      <c r="H499"/>
      <c r="I499"/>
      <c r="J499" t="inlineStr">
        <is>
          <t>Project</t>
        </is>
      </c>
      <c r="K499" t="inlineStr">
        <is>
          <t>PDEI - Event Service</t>
        </is>
      </c>
      <c r="L499" t="inlineStr">
        <is>
          <t>GTCC 2025: September Arena</t>
        </is>
      </c>
      <c r="M499" t="inlineStr">
        <is>
          <t>2025TEG-P0236</t>
        </is>
      </c>
      <c r="N499" t="inlineStr">
        <is>
          <t>Juvie Anne Asis Castres</t>
        </is>
      </c>
      <c r="O499" t="inlineStr">
        <is>
          <t>202509170074-Juvie Anne Asis Castres-费用报销 - 副本 - 副本 - 副本-2025-09-17 08:39:30;202509170078-Juvie Anne Asis Castres-费用报销 - 副本 - 副本 - 副本-2025-09-17 08:48:37;202509170079-Juvie Anne Asis Castres-费用报销 - 副本 - 副本 - 副本-2025-09-17 08:58:02</t>
        </is>
      </c>
      <c r="P499" t="inlineStr">
        <is>
          <t>NO</t>
        </is>
      </c>
      <c r="Q499"/>
      <c r="R499" t="inlineStr">
        <is>
          <t>NO</t>
        </is>
      </c>
      <c r="S499" t="inlineStr">
        <is>
          <t>Fabrication of Satellite Stage</t>
        </is>
      </c>
      <c r="T499">
        <v>1</v>
      </c>
      <c r="U499">
        <v>224000</v>
      </c>
      <c r="V499" t="inlineStr">
        <is>
          <t>PHP</t>
        </is>
      </c>
      <c r="W499">
        <v>224000</v>
      </c>
      <c r="X499" s="2"/>
      <c r="Y499"/>
      <c r="Z499"/>
      <c r="AA499"/>
      <c r="AB499"/>
      <c r="AC499"/>
      <c r="AD499" s="4"/>
      <c r="AE499"/>
      <c r="AF499" s="2"/>
      <c r="AG499" t="inlineStr">
        <is>
          <t>NzQyNTk5MTgyNzQ4MTg3MDM0MTo0QzAzMUZDRC0wMTQ5LTQ3MzUtQjIxMS1BQkRCQTQwRDJGMzItMjo1NDczYWFjZGQwMzQ5MTVmZjhiNjRmNjcwNDY4YTVkNjox</t>
        </is>
      </c>
      <c r="AH499"/>
      <c r="AI499"/>
      <c r="AJ499"/>
      <c r="AK499"/>
    </row>
    <row r="500" ht="25.5" customHeight="1">
      <c r="A500" s="2" t="str">
        <f>=HYPERLINK("https://applink.larksuite.com/client/mini_program/open?appId=cli_9c7cc8a9a9edd105&amp;mode=appCenter&amp;path_pc=pc/pages/requested/index?instanceId=7551012574956044319&amp;source=bitable&amp;path=pages/detail/index?instanceId=7551012574956044319&amp;source=bitable", "202509170092")</f>
        <v>202509170092</v>
      </c>
      <c r="B500" t="inlineStr">
        <is>
          <t>Approved</t>
        </is>
      </c>
      <c r="C500" t="inlineStr">
        <is>
          <t>Procurement Order</t>
        </is>
      </c>
      <c r="D500" s="3">
        <v>45917.79534722222</v>
      </c>
      <c r="E500" s="3">
        <v>45917.8840162037</v>
      </c>
      <c r="F500" t="inlineStr">
        <is>
          <t>Fatima Kathleen M. FLores</t>
        </is>
      </c>
      <c r="G500" t="inlineStr">
        <is>
          <t>Procurement</t>
        </is>
      </c>
      <c r="H500"/>
      <c r="I500"/>
      <c r="J500" t="inlineStr">
        <is>
          <t>Project</t>
        </is>
      </c>
      <c r="K500" t="inlineStr">
        <is>
          <t>PDEI - Event Service</t>
        </is>
      </c>
      <c r="L500" t="inlineStr">
        <is>
          <t>GTCC 2025: September Arena</t>
        </is>
      </c>
      <c r="M500" t="inlineStr">
        <is>
          <t>2025TEG-P0236</t>
        </is>
      </c>
      <c r="N500" t="inlineStr">
        <is>
          <t>Juvie Anne Asis Castres</t>
        </is>
      </c>
      <c r="O500" t="inlineStr">
        <is>
          <t>202509170074-Juvie Anne Asis Castres-费用报销 - 副本 - 副本 - 副本-2025-09-17 08:39:30;202509170078-Juvie Anne Asis Castres-费用报销 - 副本 - 副本 - 副本-2025-09-17 08:48:37;202509170079-Juvie Anne Asis Castres-费用报销 - 副本 - 副本 - 副本-2025-09-17 08:58:02</t>
        </is>
      </c>
      <c r="P500" t="inlineStr">
        <is>
          <t>NO</t>
        </is>
      </c>
      <c r="Q500"/>
      <c r="R500" t="inlineStr">
        <is>
          <t>NO</t>
        </is>
      </c>
      <c r="S500" t="inlineStr">
        <is>
          <t>Fabrication of Board up Rooms</t>
        </is>
      </c>
      <c r="T500">
        <v>1</v>
      </c>
      <c r="U500">
        <v>127680</v>
      </c>
      <c r="V500" t="inlineStr">
        <is>
          <t>PHP</t>
        </is>
      </c>
      <c r="W500">
        <v>127680</v>
      </c>
      <c r="X500" s="2"/>
      <c r="Y500"/>
      <c r="Z500"/>
      <c r="AA500"/>
      <c r="AB500"/>
      <c r="AC500"/>
      <c r="AD500" s="4"/>
      <c r="AE500"/>
      <c r="AF500" s="2"/>
      <c r="AG500" t="inlineStr">
        <is>
          <t>NzQyNTk5MTgyNzQ4MTg3MDM0MTo0QzAzMUZDRC0wMTQ5LTQ3MzUtQjIxMS1BQkRCQTQwRDJGMzItMzoyNTgxNmRjMjkyYTZkOGIxYjg1MTU3MDExZjcxMTZhZjox</t>
        </is>
      </c>
      <c r="AH500"/>
      <c r="AI500"/>
      <c r="AJ500"/>
      <c r="AK500"/>
    </row>
    <row r="501" ht="25.5" customHeight="1">
      <c r="A501" s="2" t="str">
        <f>=HYPERLINK("https://applink.larksuite.com/client/mini_program/open?appId=cli_9c7cc8a9a9edd105&amp;mode=appCenter&amp;path_pc=pc/pages/requested/index?instanceId=7551012574956044319&amp;source=bitable&amp;path=pages/detail/index?instanceId=7551012574956044319&amp;source=bitable", "202509170092")</f>
        <v>202509170092</v>
      </c>
      <c r="B501" t="inlineStr">
        <is>
          <t>Approved</t>
        </is>
      </c>
      <c r="C501" t="inlineStr">
        <is>
          <t>Procurement Order</t>
        </is>
      </c>
      <c r="D501" s="3">
        <v>45917.79534722222</v>
      </c>
      <c r="E501" s="3">
        <v>45917.8840162037</v>
      </c>
      <c r="F501" t="inlineStr">
        <is>
          <t>Fatima Kathleen M. FLores</t>
        </is>
      </c>
      <c r="G501" t="inlineStr">
        <is>
          <t>Procurement</t>
        </is>
      </c>
      <c r="H501"/>
      <c r="I501"/>
      <c r="J501" t="inlineStr">
        <is>
          <t>Project</t>
        </is>
      </c>
      <c r="K501" t="inlineStr">
        <is>
          <t>PDEI - Event Service</t>
        </is>
      </c>
      <c r="L501" t="inlineStr">
        <is>
          <t>GTCC 2025: September Arena</t>
        </is>
      </c>
      <c r="M501" t="inlineStr">
        <is>
          <t>2025TEG-P0236</t>
        </is>
      </c>
      <c r="N501" t="inlineStr">
        <is>
          <t>Juvie Anne Asis Castres</t>
        </is>
      </c>
      <c r="O501" t="inlineStr">
        <is>
          <t>202509170074-Juvie Anne Asis Castres-费用报销 - 副本 - 副本 - 副本-2025-09-17 08:39:30;202509170078-Juvie Anne Asis Castres-费用报销 - 副本 - 副本 - 副本-2025-09-17 08:48:37;202509170079-Juvie Anne Asis Castres-费用报销 - 副本 - 副本 - 副本-2025-09-17 08:58:02</t>
        </is>
      </c>
      <c r="P501" t="inlineStr">
        <is>
          <t>NO</t>
        </is>
      </c>
      <c r="Q501"/>
      <c r="R501" t="inlineStr">
        <is>
          <t>NO</t>
        </is>
      </c>
      <c r="S501" t="inlineStr">
        <is>
          <t>Fabrication of Foyer Area</t>
        </is>
      </c>
      <c r="T501">
        <v>1</v>
      </c>
      <c r="U501">
        <v>56000</v>
      </c>
      <c r="V501" t="inlineStr">
        <is>
          <t>PHP</t>
        </is>
      </c>
      <c r="W501">
        <v>56000</v>
      </c>
      <c r="X501" s="2"/>
      <c r="Y501"/>
      <c r="Z501"/>
      <c r="AA501"/>
      <c r="AB501"/>
      <c r="AC501"/>
      <c r="AD501" s="4"/>
      <c r="AE501"/>
      <c r="AF501" s="2"/>
      <c r="AG501" t="inlineStr">
        <is>
          <t>NzQyNTk5MTgyNzQ4MTg3MDM0MTo0QzAzMUZDRC0wMTQ5LTQ3MzUtQjIxMS1BQkRCQTQwRDJGMzItNDpmNTRhMTMyYTU2YTE0ZTJlNjUzNGI2YmMxMmU4MDRhNDox</t>
        </is>
      </c>
      <c r="AH501"/>
      <c r="AI501"/>
      <c r="AJ501"/>
      <c r="AK501"/>
    </row>
    <row r="502" ht="25.5" customHeight="1">
      <c r="A502" s="2" t="str">
        <f>=HYPERLINK("https://applink.larksuite.com/client/mini_program/open?appId=cli_9c7cc8a9a9edd105&amp;mode=appCenter&amp;path_pc=pc/pages/requested/index?instanceId=7551012574956044319&amp;source=bitable&amp;path=pages/detail/index?instanceId=7551012574956044319&amp;source=bitable", "202509170092")</f>
        <v>202509170092</v>
      </c>
      <c r="B502" t="inlineStr">
        <is>
          <t>Approved</t>
        </is>
      </c>
      <c r="C502" t="inlineStr">
        <is>
          <t>Procurement Order</t>
        </is>
      </c>
      <c r="D502" s="3">
        <v>45917.79534722222</v>
      </c>
      <c r="E502" s="3">
        <v>45917.8840162037</v>
      </c>
      <c r="F502" t="inlineStr">
        <is>
          <t>Fatima Kathleen M. FLores</t>
        </is>
      </c>
      <c r="G502" t="inlineStr">
        <is>
          <t>Procurement</t>
        </is>
      </c>
      <c r="H502"/>
      <c r="I502"/>
      <c r="J502" t="inlineStr">
        <is>
          <t>Project</t>
        </is>
      </c>
      <c r="K502" t="inlineStr">
        <is>
          <t>PDEI - Event Service</t>
        </is>
      </c>
      <c r="L502" t="inlineStr">
        <is>
          <t>GTCC 2025: September Arena</t>
        </is>
      </c>
      <c r="M502" t="inlineStr">
        <is>
          <t>2025TEG-P0236</t>
        </is>
      </c>
      <c r="N502" t="inlineStr">
        <is>
          <t>Juvie Anne Asis Castres</t>
        </is>
      </c>
      <c r="O502" t="inlineStr">
        <is>
          <t>202509170074-Juvie Anne Asis Castres-费用报销 - 副本 - 副本 - 副本-2025-09-17 08:39:30;202509170078-Juvie Anne Asis Castres-费用报销 - 副本 - 副本 - 副本-2025-09-17 08:48:37;202509170079-Juvie Anne Asis Castres-费用报销 - 副本 - 副本 - 副本-2025-09-17 08:58:02</t>
        </is>
      </c>
      <c r="P502" t="inlineStr">
        <is>
          <t>NO</t>
        </is>
      </c>
      <c r="Q502"/>
      <c r="R502" t="inlineStr">
        <is>
          <t>NO</t>
        </is>
      </c>
      <c r="S502" t="inlineStr">
        <is>
          <t>Refurbishment of Tables and Podium</t>
        </is>
      </c>
      <c r="T502">
        <v>1</v>
      </c>
      <c r="U502">
        <v>22400</v>
      </c>
      <c r="V502" t="inlineStr">
        <is>
          <t>PHP</t>
        </is>
      </c>
      <c r="W502">
        <v>22400</v>
      </c>
      <c r="X502" s="2"/>
      <c r="Y502"/>
      <c r="Z502"/>
      <c r="AA502"/>
      <c r="AB502"/>
      <c r="AC502"/>
      <c r="AD502" s="4"/>
      <c r="AE502"/>
      <c r="AF502" s="2"/>
      <c r="AG502" t="inlineStr">
        <is>
          <t>NzQyNTk5MTgyNzQ4MTg3MDM0MTo0QzAzMUZDRC0wMTQ5LTQ3MzUtQjIxMS1BQkRCQTQwRDJGMzItNTo3N2E5OGE4NTBlMWM2ZjM4NTE4ZTViOWEyNzU0Y2YzNjox</t>
        </is>
      </c>
      <c r="AH502"/>
      <c r="AI502"/>
      <c r="AJ502"/>
      <c r="AK502"/>
    </row>
    <row r="503" ht="25.5" customHeight="1">
      <c r="A503" s="2" t="str">
        <f>=HYPERLINK("https://applink.larksuite.com/client/mini_program/open?appId=cli_9c7cc8a9a9edd105&amp;mode=appCenter&amp;path_pc=pc/pages/requested/index?instanceId=7551012574956044319&amp;source=bitable&amp;path=pages/detail/index?instanceId=7551012574956044319&amp;source=bitable", "202509170092")</f>
        <v>202509170092</v>
      </c>
      <c r="B503" t="inlineStr">
        <is>
          <t>Approved</t>
        </is>
      </c>
      <c r="C503" t="inlineStr">
        <is>
          <t>Procurement Order</t>
        </is>
      </c>
      <c r="D503" s="3">
        <v>45917.79534722222</v>
      </c>
      <c r="E503" s="3">
        <v>45917.8840162037</v>
      </c>
      <c r="F503" t="inlineStr">
        <is>
          <t>Fatima Kathleen M. FLores</t>
        </is>
      </c>
      <c r="G503" t="inlineStr">
        <is>
          <t>Procurement</t>
        </is>
      </c>
      <c r="H503"/>
      <c r="I503"/>
      <c r="J503" t="inlineStr">
        <is>
          <t>Project</t>
        </is>
      </c>
      <c r="K503" t="inlineStr">
        <is>
          <t>PDEI - Event Service</t>
        </is>
      </c>
      <c r="L503" t="inlineStr">
        <is>
          <t>GTCC 2025: September Arena</t>
        </is>
      </c>
      <c r="M503" t="inlineStr">
        <is>
          <t>2025TEG-P0236</t>
        </is>
      </c>
      <c r="N503" t="inlineStr">
        <is>
          <t>Juvie Anne Asis Castres</t>
        </is>
      </c>
      <c r="O503" t="inlineStr">
        <is>
          <t>202509170074-Juvie Anne Asis Castres-费用报销 - 副本 - 副本 - 副本-2025-09-17 08:39:30;202509170078-Juvie Anne Asis Castres-费用报销 - 副本 - 副本 - 副本-2025-09-17 08:48:37;202509170079-Juvie Anne Asis Castres-费用报销 - 副本 - 副本 - 副本-2025-09-17 08:58:02</t>
        </is>
      </c>
      <c r="P503" t="inlineStr">
        <is>
          <t>NO</t>
        </is>
      </c>
      <c r="Q503"/>
      <c r="R503" t="inlineStr">
        <is>
          <t>NO</t>
        </is>
      </c>
      <c r="S503" t="inlineStr">
        <is>
          <t>Manpower and Crew Service</t>
        </is>
      </c>
      <c r="T503">
        <v>1</v>
      </c>
      <c r="U503">
        <v>250600</v>
      </c>
      <c r="V503" t="inlineStr">
        <is>
          <t>PHP</t>
        </is>
      </c>
      <c r="W503">
        <v>250600</v>
      </c>
      <c r="X503" s="2"/>
      <c r="Y503"/>
      <c r="Z503"/>
      <c r="AA503"/>
      <c r="AB503"/>
      <c r="AC503"/>
      <c r="AD503" s="4"/>
      <c r="AE503"/>
      <c r="AF503" s="2"/>
      <c r="AG503" t="inlineStr">
        <is>
          <t>NzQyNTk5MTgyNzQ4MTg3MDM0MTo0QzAzMUZDRC0wMTQ5LTQ3MzUtQjIxMS1BQkRCQTQwRDJGMzItNjoxMDg0M2JlNTM0OTMyMDFmZDU0MGYxMjcyYzg0NmUwZjox</t>
        </is>
      </c>
      <c r="AH503"/>
      <c r="AI503"/>
      <c r="AJ503"/>
      <c r="AK503"/>
    </row>
    <row r="504" ht="25.5" customHeight="1">
      <c r="A504" s="2" t="str">
        <f>=HYPERLINK("https://applink.larksuite.com/client/mini_program/open?appId=cli_9c7cc8a9a9edd105&amp;mode=appCenter&amp;path_pc=pc/pages/requested/index?instanceId=7551012574956044319&amp;source=bitable&amp;path=pages/detail/index?instanceId=7551012574956044319&amp;source=bitable", "202509170092")</f>
        <v>202509170092</v>
      </c>
      <c r="B504" t="inlineStr">
        <is>
          <t>Approved</t>
        </is>
      </c>
      <c r="C504" t="inlineStr">
        <is>
          <t>Procurement Order</t>
        </is>
      </c>
      <c r="D504" s="3">
        <v>45917.79534722222</v>
      </c>
      <c r="E504" s="3">
        <v>45917.8840162037</v>
      </c>
      <c r="F504" t="inlineStr">
        <is>
          <t>Fatima Kathleen M. FLores</t>
        </is>
      </c>
      <c r="G504" t="inlineStr">
        <is>
          <t>Procurement</t>
        </is>
      </c>
      <c r="H504"/>
      <c r="I504"/>
      <c r="J504" t="inlineStr">
        <is>
          <t>Project</t>
        </is>
      </c>
      <c r="K504" t="inlineStr">
        <is>
          <t>PDEI - Event Service</t>
        </is>
      </c>
      <c r="L504" t="inlineStr">
        <is>
          <t>GTCC 2025: September Arena</t>
        </is>
      </c>
      <c r="M504" t="inlineStr">
        <is>
          <t>2025TEG-P0236</t>
        </is>
      </c>
      <c r="N504" t="inlineStr">
        <is>
          <t>Juvie Anne Asis Castres</t>
        </is>
      </c>
      <c r="O504" t="inlineStr">
        <is>
          <t>202509170074-Juvie Anne Asis Castres-费用报销 - 副本 - 副本 - 副本-2025-09-17 08:39:30;202509170078-Juvie Anne Asis Castres-费用报销 - 副本 - 副本 - 副本-2025-09-17 08:48:37;202509170079-Juvie Anne Asis Castres-费用报销 - 副本 - 副本 - 副本-2025-09-17 08:58:02</t>
        </is>
      </c>
      <c r="P504" t="inlineStr">
        <is>
          <t>NO</t>
        </is>
      </c>
      <c r="Q504"/>
      <c r="R504" t="inlineStr">
        <is>
          <t>NO</t>
        </is>
      </c>
      <c r="S504" t="inlineStr">
        <is>
          <t>Less: Discount</t>
        </is>
      </c>
      <c r="T504">
        <v>1</v>
      </c>
      <c r="U504">
        <v>-200680</v>
      </c>
      <c r="V504" t="inlineStr">
        <is>
          <t>PHP</t>
        </is>
      </c>
      <c r="W504">
        <v>-200680</v>
      </c>
      <c r="X504" s="2" t="str">
        <f>=HYPERLINK("https://www.larksuite.com/approval/admin/previewAttachment?key=PMg9CsJAFATgK83szvvzMjZZghaCIEYs3tkFi7SfJ-FpnF5QcRTYYUZwWKjMIU1Wj2ZEIRjMXo_9arZ9nnfwnetrOPq4bft60SrGQExpJgBeTp8hqcqFv_svAAD__w", "4 attachment(s)")</f>
        <v>4 attachment(s)</v>
      </c>
      <c r="Y504"/>
      <c r="Z504"/>
      <c r="AA504"/>
      <c r="AB504"/>
      <c r="AC504"/>
      <c r="AD504" s="4"/>
      <c r="AE504"/>
      <c r="AF504" s="2"/>
      <c r="AG504" t="inlineStr">
        <is>
          <t>NzQyNTk5MTgyNzQ4MTg3MDM0MTo0QzAzMUZDRC0wMTQ5LTQ3MzUtQjIxMS1BQkRCQTQwRDJGMzItNzo3OGFhNjJkYTVkZDAxNWYzNzNmYzQxZTc5NjM3YzI4OTox</t>
        </is>
      </c>
      <c r="AH504"/>
      <c r="AI504"/>
      <c r="AJ504"/>
      <c r="AK504"/>
    </row>
    <row r="505" ht="25.5" customHeight="1">
      <c r="A505" s="2" t="str">
        <f>=HYPERLINK("https://applink.larksuite.com/client/mini_program/open?appId=cli_9c7cc8a9a9edd105&amp;mode=appCenter&amp;path_pc=pc/pages/requested/index?instanceId=7551274402504081446&amp;source=bitable&amp;path=pages/detail/index?instanceId=7551274402504081446&amp;source=bitable", "202509180008")</f>
        <v>202509180008</v>
      </c>
      <c r="B505" t="inlineStr">
        <is>
          <t>Approved</t>
        </is>
      </c>
      <c r="C505" t="inlineStr">
        <is>
          <t>Procurement Order</t>
        </is>
      </c>
      <c r="D505" s="3">
        <v>45918.500914351855</v>
      </c>
      <c r="E505" s="3">
        <v>45918.729409722226</v>
      </c>
      <c r="F505" t="inlineStr">
        <is>
          <t>Fatima Kathleen M. FLores</t>
        </is>
      </c>
      <c r="G505" t="inlineStr">
        <is>
          <t>Procurement</t>
        </is>
      </c>
      <c r="H505"/>
      <c r="I505"/>
      <c r="J505" t="inlineStr">
        <is>
          <t>Project</t>
        </is>
      </c>
      <c r="K505" t="inlineStr">
        <is>
          <t>PDEI - Event Service</t>
        </is>
      </c>
      <c r="L505" t="inlineStr">
        <is>
          <t>GTCC 2025: September Arena</t>
        </is>
      </c>
      <c r="M505" t="inlineStr">
        <is>
          <t>2025TEG-P0236</t>
        </is>
      </c>
      <c r="N505" t="inlineStr">
        <is>
          <t>Juvie Anne Asis Castres</t>
        </is>
      </c>
      <c r="O505" t="inlineStr">
        <is>
          <t>202509170056-Juvie Anne Asis Castres-费用报销 - 副本 - 副本 - 副本-2025-09-17 07:04:36</t>
        </is>
      </c>
      <c r="P505" t="inlineStr">
        <is>
          <t>NO</t>
        </is>
      </c>
      <c r="Q505"/>
      <c r="R505" t="inlineStr">
        <is>
          <t>NO</t>
        </is>
      </c>
      <c r="S505" t="inlineStr">
        <is>
          <t>Confetti Blizzard (10lbs / Loose Metallic Gold &amp; Red)</t>
        </is>
      </c>
      <c r="T505">
        <v>2</v>
      </c>
      <c r="U505">
        <v>8000</v>
      </c>
      <c r="V505" t="inlineStr">
        <is>
          <t>PHP</t>
        </is>
      </c>
      <c r="W505">
        <v>16000</v>
      </c>
      <c r="X505" s="2"/>
      <c r="Y505" t="inlineStr">
        <is>
          <t>Bank Transfer</t>
        </is>
      </c>
      <c r="Z505" t="inlineStr">
        <is>
          <t>Confetti Effects, Inc.</t>
        </is>
      </c>
      <c r="AA505" t="inlineStr">
        <is>
          <t>3221-0180-78</t>
        </is>
      </c>
      <c r="AB505" t="inlineStr">
        <is>
          <t>BPI</t>
        </is>
      </c>
      <c r="AC505" t="inlineStr">
        <is>
          <t>2550 New Panaderos St., Brgy. 885 Zone 097, Sta. Ana, Manila</t>
        </is>
      </c>
      <c r="AD505" s="4">
        <v>45921</v>
      </c>
      <c r="AE505" t="inlineStr">
        <is>
          <t>100% Full Payment upon completion of services</t>
        </is>
      </c>
      <c r="AF505" s="2"/>
      <c r="AG505" t="inlineStr">
        <is>
          <t>NzQyNTk5MTgyNzQ4MTg3MDM0MToyRTkxNDgyOS1GQkU2LTQzQTYtQTM4RC1BMzVBOURCNTFDNjItMTpmNjY4N2JiYTUwODkwMmZlMTVjYzBkZDFlZmI2ZDhhMjox</t>
        </is>
      </c>
      <c r="AH505" t="inlineStr">
        <is>
          <t>Confetti Effects, Inc.</t>
        </is>
      </c>
      <c r="AI505"/>
      <c r="AJ505"/>
      <c r="AK505"/>
    </row>
    <row r="506" ht="25.5" customHeight="1">
      <c r="A506" s="2" t="str">
        <f>=HYPERLINK("https://applink.larksuite.com/client/mini_program/open?appId=cli_9c7cc8a9a9edd105&amp;mode=appCenter&amp;path_pc=pc/pages/requested/index?instanceId=7551274402504081446&amp;source=bitable&amp;path=pages/detail/index?instanceId=7551274402504081446&amp;source=bitable", "202509180008")</f>
        <v>202509180008</v>
      </c>
      <c r="B506" t="inlineStr">
        <is>
          <t>Approved</t>
        </is>
      </c>
      <c r="C506" t="inlineStr">
        <is>
          <t>Procurement Order</t>
        </is>
      </c>
      <c r="D506" s="3">
        <v>45918.500914351855</v>
      </c>
      <c r="E506" s="3">
        <v>45918.729409722226</v>
      </c>
      <c r="F506" t="inlineStr">
        <is>
          <t>Fatima Kathleen M. FLores</t>
        </is>
      </c>
      <c r="G506" t="inlineStr">
        <is>
          <t>Procurement</t>
        </is>
      </c>
      <c r="H506"/>
      <c r="I506"/>
      <c r="J506" t="inlineStr">
        <is>
          <t>Project</t>
        </is>
      </c>
      <c r="K506" t="inlineStr">
        <is>
          <t>PDEI - Event Service</t>
        </is>
      </c>
      <c r="L506" t="inlineStr">
        <is>
          <t>GTCC 2025: September Arena</t>
        </is>
      </c>
      <c r="M506" t="inlineStr">
        <is>
          <t>2025TEG-P0236</t>
        </is>
      </c>
      <c r="N506" t="inlineStr">
        <is>
          <t>Juvie Anne Asis Castres</t>
        </is>
      </c>
      <c r="O506" t="inlineStr">
        <is>
          <t>202509170056-Juvie Anne Asis Castres-费用报销 - 副本 - 副本 - 副本-2025-09-17 07:04:36</t>
        </is>
      </c>
      <c r="P506" t="inlineStr">
        <is>
          <t>NO</t>
        </is>
      </c>
      <c r="Q506"/>
      <c r="R506" t="inlineStr">
        <is>
          <t>NO</t>
        </is>
      </c>
      <c r="S506" t="inlineStr">
        <is>
          <t>Cryo Jets Floor Mount</t>
        </is>
      </c>
      <c r="T506">
        <v>4</v>
      </c>
      <c r="U506">
        <v>4800</v>
      </c>
      <c r="V506" t="inlineStr">
        <is>
          <t>PHP</t>
        </is>
      </c>
      <c r="W506">
        <v>19200</v>
      </c>
      <c r="X506" s="2"/>
      <c r="Y506"/>
      <c r="Z506"/>
      <c r="AA506"/>
      <c r="AB506"/>
      <c r="AC506"/>
      <c r="AD506" s="4"/>
      <c r="AE506"/>
      <c r="AF506" s="2"/>
      <c r="AG506" t="inlineStr">
        <is>
          <t>NzQyNTk5MTgyNzQ4MTg3MDM0MToyRTkxNDgyOS1GQkU2LTQzQTYtQTM4RC1BMzVBOURCNTFDNjItMjo5ODQwZTAzZjM3Y2YxNmE1ZjE5MDFmYTc4ZTc0NzNhNTox</t>
        </is>
      </c>
      <c r="AH506"/>
      <c r="AI506"/>
      <c r="AJ506"/>
      <c r="AK506"/>
    </row>
    <row r="507" ht="25.5" customHeight="1">
      <c r="A507" s="2" t="str">
        <f>=HYPERLINK("https://applink.larksuite.com/client/mini_program/open?appId=cli_9c7cc8a9a9edd105&amp;mode=appCenter&amp;path_pc=pc/pages/requested/index?instanceId=7551274402504081446&amp;source=bitable&amp;path=pages/detail/index?instanceId=7551274402504081446&amp;source=bitable", "202509180008")</f>
        <v>202509180008</v>
      </c>
      <c r="B507" t="inlineStr">
        <is>
          <t>Approved</t>
        </is>
      </c>
      <c r="C507" t="inlineStr">
        <is>
          <t>Procurement Order</t>
        </is>
      </c>
      <c r="D507" s="3">
        <v>45918.500914351855</v>
      </c>
      <c r="E507" s="3">
        <v>45918.729409722226</v>
      </c>
      <c r="F507" t="inlineStr">
        <is>
          <t>Fatima Kathleen M. FLores</t>
        </is>
      </c>
      <c r="G507" t="inlineStr">
        <is>
          <t>Procurement</t>
        </is>
      </c>
      <c r="H507"/>
      <c r="I507"/>
      <c r="J507" t="inlineStr">
        <is>
          <t>Project</t>
        </is>
      </c>
      <c r="K507" t="inlineStr">
        <is>
          <t>PDEI - Event Service</t>
        </is>
      </c>
      <c r="L507" t="inlineStr">
        <is>
          <t>GTCC 2025: September Arena</t>
        </is>
      </c>
      <c r="M507" t="inlineStr">
        <is>
          <t>2025TEG-P0236</t>
        </is>
      </c>
      <c r="N507" t="inlineStr">
        <is>
          <t>Juvie Anne Asis Castres</t>
        </is>
      </c>
      <c r="O507" t="inlineStr">
        <is>
          <t>202509170056-Juvie Anne Asis Castres-费用报销 - 副本 - 副本 - 副本-2025-09-17 07:04:36</t>
        </is>
      </c>
      <c r="P507" t="inlineStr">
        <is>
          <t>NO</t>
        </is>
      </c>
      <c r="Q507"/>
      <c r="R507" t="inlineStr">
        <is>
          <t>NO</t>
        </is>
      </c>
      <c r="S507" t="inlineStr">
        <is>
          <t>Delivery and Installation</t>
        </is>
      </c>
      <c r="T507">
        <v>1</v>
      </c>
      <c r="U507">
        <v>1980</v>
      </c>
      <c r="V507" t="inlineStr">
        <is>
          <t>PHP</t>
        </is>
      </c>
      <c r="W507">
        <v>1980</v>
      </c>
      <c r="X507" s="2" t="str">
        <f>=HYPERLINK("https://www.larksuite.com/approval/admin/previewAttachment?key=PMgrjgMxEATQK1W1y_3ZyyyZkRXgQZHM-uyRAkKfJ-E5ObygohXYMSctJNiEkJS8rRlRCAaz72f9H659lFt7P7jY53Wt-81ZYYYY0kgA_Pv5CElVLnzdPgEAAP__", "2 attachment(s)")</f>
        <v>2 attachment(s)</v>
      </c>
      <c r="Y507"/>
      <c r="Z507"/>
      <c r="AA507"/>
      <c r="AB507"/>
      <c r="AC507"/>
      <c r="AD507" s="4"/>
      <c r="AE507"/>
      <c r="AF507" s="2"/>
      <c r="AG507" t="inlineStr">
        <is>
          <t>NzQyNTk5MTgyNzQ4MTg3MDM0MToyRTkxNDgyOS1GQkU2LTQzQTYtQTM4RC1BMzVBOURCNTFDNjItMzpiYjJhOTQxNjcyMzY3ZjlkMzIwZDM4OTZjYmRjODRlYzox</t>
        </is>
      </c>
      <c r="AH507"/>
      <c r="AI507"/>
      <c r="AJ507"/>
      <c r="AK507"/>
    </row>
    <row r="508" ht="25.5" customHeight="1">
      <c r="A508" s="2" t="str">
        <f>=HYPERLINK("https://applink.larksuite.com/client/mini_program/open?appId=cli_9c7cc8a9a9edd105&amp;mode=appCenter&amp;path_pc=pc/pages/requested/index?instanceId=7551278420609548327&amp;source=bitable&amp;path=pages/detail/index?instanceId=7551278420609548327&amp;source=bitable", "202509180013")</f>
        <v>202509180013</v>
      </c>
      <c r="B508" t="inlineStr">
        <is>
          <t>Approved</t>
        </is>
      </c>
      <c r="C508" t="inlineStr">
        <is>
          <t>Procurement Order</t>
        </is>
      </c>
      <c r="D508" s="3">
        <v>45918.51174768519</v>
      </c>
      <c r="E508" s="3">
        <v>45918.73451388889</v>
      </c>
      <c r="F508" t="inlineStr">
        <is>
          <t>Fatima Kathleen M. FLores</t>
        </is>
      </c>
      <c r="G508" t="inlineStr">
        <is>
          <t>Procurement</t>
        </is>
      </c>
      <c r="H508"/>
      <c r="I508"/>
      <c r="J508" t="inlineStr">
        <is>
          <t>Project</t>
        </is>
      </c>
      <c r="K508" t="inlineStr">
        <is>
          <t>PDEI - Event Service</t>
        </is>
      </c>
      <c r="L508" t="inlineStr">
        <is>
          <t>GTCC 2025: September Arena</t>
        </is>
      </c>
      <c r="M508" t="inlineStr">
        <is>
          <t>2025TEG-P0236</t>
        </is>
      </c>
      <c r="N508" t="inlineStr">
        <is>
          <t>Juvie Anne Asis Castres</t>
        </is>
      </c>
      <c r="O508" t="inlineStr">
        <is>
          <t>202509170061-Juvie Anne Asis Castres-费用报销 - 副本 - 副本 - 副本-2025-09-17 07:45:13</t>
        </is>
      </c>
      <c r="P508" t="inlineStr">
        <is>
          <t>NO</t>
        </is>
      </c>
      <c r="Q508"/>
      <c r="R508" t="inlineStr">
        <is>
          <t>NO</t>
        </is>
      </c>
      <c r="S508" t="inlineStr">
        <is>
          <t>Rental of 8-Seater Round Tables w/ Cover (3 days)</t>
        </is>
      </c>
      <c r="T508">
        <v>12</v>
      </c>
      <c r="U508">
        <v>937.5</v>
      </c>
      <c r="V508" t="inlineStr">
        <is>
          <t>PHP</t>
        </is>
      </c>
      <c r="W508">
        <v>11250</v>
      </c>
      <c r="X508" s="2"/>
      <c r="Y508" t="inlineStr">
        <is>
          <t>Bank Transfer</t>
        </is>
      </c>
      <c r="Z508" t="inlineStr">
        <is>
          <t>SPE Events Management And Services Party Needs Rental</t>
        </is>
      </c>
      <c r="AA508" t="inlineStr">
        <is>
          <t>141102017588</t>
        </is>
      </c>
      <c r="AB508" t="inlineStr">
        <is>
          <t>China Bank Corporation</t>
        </is>
      </c>
      <c r="AC508" t="inlineStr">
        <is>
          <t>10A St. Benedict, Paradise Village, Sangandaan, QC</t>
        </is>
      </c>
      <c r="AD508" s="4">
        <v>45919</v>
      </c>
      <c r="AE508" t="inlineStr">
        <is>
          <t>50% Down Payment upon confirmation
50% Final Payment - Oct. 3, 2025</t>
        </is>
      </c>
      <c r="AF508" s="2"/>
      <c r="AG508" t="inlineStr">
        <is>
          <t>NzQyNTk5MTgyNzQ4MTg3MDM0MTo3MUREODc2Qi1BMkEyLTRCM0ItOThGRC04REY4NDhEN0EwNjYtMTpkYzExYmZiMGY0NzBiZjU0OGIwYjJhZGIwZTY3ZGFiZTox</t>
        </is>
      </c>
      <c r="AH508" t="inlineStr">
        <is>
          <t>SPE Events Management And Services Party Needs Rental</t>
        </is>
      </c>
      <c r="AI508"/>
      <c r="AJ508"/>
      <c r="AK508"/>
    </row>
    <row r="509" ht="25.5" customHeight="1">
      <c r="A509" s="2" t="str">
        <f>=HYPERLINK("https://applink.larksuite.com/client/mini_program/open?appId=cli_9c7cc8a9a9edd105&amp;mode=appCenter&amp;path_pc=pc/pages/requested/index?instanceId=7551278420609548327&amp;source=bitable&amp;path=pages/detail/index?instanceId=7551278420609548327&amp;source=bitable", "202509180013")</f>
        <v>202509180013</v>
      </c>
      <c r="B509" t="inlineStr">
        <is>
          <t>Approved</t>
        </is>
      </c>
      <c r="C509" t="inlineStr">
        <is>
          <t>Procurement Order</t>
        </is>
      </c>
      <c r="D509" s="3">
        <v>45918.51174768519</v>
      </c>
      <c r="E509" s="3">
        <v>45918.73451388889</v>
      </c>
      <c r="F509" t="inlineStr">
        <is>
          <t>Fatima Kathleen M. FLores</t>
        </is>
      </c>
      <c r="G509" t="inlineStr">
        <is>
          <t>Procurement</t>
        </is>
      </c>
      <c r="H509"/>
      <c r="I509"/>
      <c r="J509" t="inlineStr">
        <is>
          <t>Project</t>
        </is>
      </c>
      <c r="K509" t="inlineStr">
        <is>
          <t>PDEI - Event Service</t>
        </is>
      </c>
      <c r="L509" t="inlineStr">
        <is>
          <t>GTCC 2025: September Arena</t>
        </is>
      </c>
      <c r="M509" t="inlineStr">
        <is>
          <t>2025TEG-P0236</t>
        </is>
      </c>
      <c r="N509" t="inlineStr">
        <is>
          <t>Juvie Anne Asis Castres</t>
        </is>
      </c>
      <c r="O509" t="inlineStr">
        <is>
          <t>202509170061-Juvie Anne Asis Castres-费用报销 - 副本 - 副本 - 副本-2025-09-17 07:45:13</t>
        </is>
      </c>
      <c r="P509" t="inlineStr">
        <is>
          <t>NO</t>
        </is>
      </c>
      <c r="Q509"/>
      <c r="R509" t="inlineStr">
        <is>
          <t>NO</t>
        </is>
      </c>
      <c r="S509" t="inlineStr">
        <is>
          <t>Rental of 6-Seater Round Tables w/ Cover (3 days)</t>
        </is>
      </c>
      <c r="T509">
        <v>15</v>
      </c>
      <c r="U509">
        <v>600</v>
      </c>
      <c r="V509" t="inlineStr">
        <is>
          <t>PHP</t>
        </is>
      </c>
      <c r="W509">
        <v>9000</v>
      </c>
      <c r="X509" s="2"/>
      <c r="Y509"/>
      <c r="Z509"/>
      <c r="AA509"/>
      <c r="AB509"/>
      <c r="AC509"/>
      <c r="AD509" s="4"/>
      <c r="AE509"/>
      <c r="AF509" s="2"/>
      <c r="AG509" t="inlineStr">
        <is>
          <t>NzQyNTk5MTgyNzQ4MTg3MDM0MTo3MUREODc2Qi1BMkEyLTRCM0ItOThGRC04REY4NDhEN0EwNjYtMjowZTM2NzBiMDMyMzhmMGMxZDM0NWY1NDI5ZGYxNTcwMzox</t>
        </is>
      </c>
      <c r="AH509"/>
      <c r="AI509"/>
      <c r="AJ509"/>
      <c r="AK509"/>
    </row>
    <row r="510" ht="25.5" customHeight="1">
      <c r="A510" s="2" t="str">
        <f>=HYPERLINK("https://applink.larksuite.com/client/mini_program/open?appId=cli_9c7cc8a9a9edd105&amp;mode=appCenter&amp;path_pc=pc/pages/requested/index?instanceId=7551278420609548327&amp;source=bitable&amp;path=pages/detail/index?instanceId=7551278420609548327&amp;source=bitable", "202509180013")</f>
        <v>202509180013</v>
      </c>
      <c r="B510" t="inlineStr">
        <is>
          <t>Approved</t>
        </is>
      </c>
      <c r="C510" t="inlineStr">
        <is>
          <t>Procurement Order</t>
        </is>
      </c>
      <c r="D510" s="3">
        <v>45918.51174768519</v>
      </c>
      <c r="E510" s="3">
        <v>45918.73451388889</v>
      </c>
      <c r="F510" t="inlineStr">
        <is>
          <t>Fatima Kathleen M. FLores</t>
        </is>
      </c>
      <c r="G510" t="inlineStr">
        <is>
          <t>Procurement</t>
        </is>
      </c>
      <c r="H510"/>
      <c r="I510"/>
      <c r="J510" t="inlineStr">
        <is>
          <t>Project</t>
        </is>
      </c>
      <c r="K510" t="inlineStr">
        <is>
          <t>PDEI - Event Service</t>
        </is>
      </c>
      <c r="L510" t="inlineStr">
        <is>
          <t>GTCC 2025: September Arena</t>
        </is>
      </c>
      <c r="M510" t="inlineStr">
        <is>
          <t>2025TEG-P0236</t>
        </is>
      </c>
      <c r="N510" t="inlineStr">
        <is>
          <t>Juvie Anne Asis Castres</t>
        </is>
      </c>
      <c r="O510" t="inlineStr">
        <is>
          <t>202509170061-Juvie Anne Asis Castres-费用报销 - 副本 - 副本 - 副本-2025-09-17 07:45:13</t>
        </is>
      </c>
      <c r="P510" t="inlineStr">
        <is>
          <t>NO</t>
        </is>
      </c>
      <c r="Q510"/>
      <c r="R510" t="inlineStr">
        <is>
          <t>NO</t>
        </is>
      </c>
      <c r="S510" t="inlineStr">
        <is>
          <t>Rental of 6ft rectangle Lifetime tables with cover (3 days)</t>
        </is>
      </c>
      <c r="T510">
        <v>50</v>
      </c>
      <c r="U510">
        <v>750</v>
      </c>
      <c r="V510" t="inlineStr">
        <is>
          <t>PHP</t>
        </is>
      </c>
      <c r="W510">
        <v>37500</v>
      </c>
      <c r="X510" s="2"/>
      <c r="Y510"/>
      <c r="Z510"/>
      <c r="AA510"/>
      <c r="AB510"/>
      <c r="AC510"/>
      <c r="AD510" s="4"/>
      <c r="AE510"/>
      <c r="AF510" s="2"/>
      <c r="AG510" t="inlineStr">
        <is>
          <t>NzQyNTk5MTgyNzQ4MTg3MDM0MTo3MUREODc2Qi1BMkEyLTRCM0ItOThGRC04REY4NDhEN0EwNjYtMzoyODgxOTQwMGNhMDE3NjY5MzdkODE1NTUyMzk4YzBjZDox</t>
        </is>
      </c>
      <c r="AH510"/>
      <c r="AI510"/>
      <c r="AJ510"/>
      <c r="AK510"/>
    </row>
    <row r="511" ht="25.5" customHeight="1">
      <c r="A511" s="2" t="str">
        <f>=HYPERLINK("https://applink.larksuite.com/client/mini_program/open?appId=cli_9c7cc8a9a9edd105&amp;mode=appCenter&amp;path_pc=pc/pages/requested/index?instanceId=7551278420609548327&amp;source=bitable&amp;path=pages/detail/index?instanceId=7551278420609548327&amp;source=bitable", "202509180013")</f>
        <v>202509180013</v>
      </c>
      <c r="B511" t="inlineStr">
        <is>
          <t>Approved</t>
        </is>
      </c>
      <c r="C511" t="inlineStr">
        <is>
          <t>Procurement Order</t>
        </is>
      </c>
      <c r="D511" s="3">
        <v>45918.51174768519</v>
      </c>
      <c r="E511" s="3">
        <v>45918.73451388889</v>
      </c>
      <c r="F511" t="inlineStr">
        <is>
          <t>Fatima Kathleen M. FLores</t>
        </is>
      </c>
      <c r="G511" t="inlineStr">
        <is>
          <t>Procurement</t>
        </is>
      </c>
      <c r="H511"/>
      <c r="I511"/>
      <c r="J511" t="inlineStr">
        <is>
          <t>Project</t>
        </is>
      </c>
      <c r="K511" t="inlineStr">
        <is>
          <t>PDEI - Event Service</t>
        </is>
      </c>
      <c r="L511" t="inlineStr">
        <is>
          <t>GTCC 2025: September Arena</t>
        </is>
      </c>
      <c r="M511" t="inlineStr">
        <is>
          <t>2025TEG-P0236</t>
        </is>
      </c>
      <c r="N511" t="inlineStr">
        <is>
          <t>Juvie Anne Asis Castres</t>
        </is>
      </c>
      <c r="O511" t="inlineStr">
        <is>
          <t>202509170061-Juvie Anne Asis Castres-费用报销 - 副本 - 副本 - 副本-2025-09-17 07:45:13</t>
        </is>
      </c>
      <c r="P511" t="inlineStr">
        <is>
          <t>NO</t>
        </is>
      </c>
      <c r="Q511"/>
      <c r="R511" t="inlineStr">
        <is>
          <t>NO</t>
        </is>
      </c>
      <c r="S511" t="inlineStr">
        <is>
          <t>Rental of Folding Chairs (3 days)</t>
        </is>
      </c>
      <c r="T511">
        <v>150</v>
      </c>
      <c r="U511">
        <v>360</v>
      </c>
      <c r="V511" t="inlineStr">
        <is>
          <t>PHP</t>
        </is>
      </c>
      <c r="W511">
        <v>54000</v>
      </c>
      <c r="X511" s="2"/>
      <c r="Y511"/>
      <c r="Z511"/>
      <c r="AA511"/>
      <c r="AB511"/>
      <c r="AC511"/>
      <c r="AD511" s="4"/>
      <c r="AE511"/>
      <c r="AF511" s="2"/>
      <c r="AG511" t="inlineStr">
        <is>
          <t>NzQyNTk5MTgyNzQ4MTg3MDM0MTo3MUREODc2Qi1BMkEyLTRCM0ItOThGRC04REY4NDhEN0EwNjYtNDpmMzM3MWUyZTUzYTNmYWEyNDE5MThhMDkyZThhODQ5MDox</t>
        </is>
      </c>
      <c r="AH511"/>
      <c r="AI511"/>
      <c r="AJ511"/>
      <c r="AK511"/>
    </row>
    <row r="512" ht="25.5" customHeight="1">
      <c r="A512" s="2" t="str">
        <f>=HYPERLINK("https://applink.larksuite.com/client/mini_program/open?appId=cli_9c7cc8a9a9edd105&amp;mode=appCenter&amp;path_pc=pc/pages/requested/index?instanceId=7551278420609548327&amp;source=bitable&amp;path=pages/detail/index?instanceId=7551278420609548327&amp;source=bitable", "202509180013")</f>
        <v>202509180013</v>
      </c>
      <c r="B512" t="inlineStr">
        <is>
          <t>Approved</t>
        </is>
      </c>
      <c r="C512" t="inlineStr">
        <is>
          <t>Procurement Order</t>
        </is>
      </c>
      <c r="D512" s="3">
        <v>45918.51174768519</v>
      </c>
      <c r="E512" s="3">
        <v>45918.73451388889</v>
      </c>
      <c r="F512" t="inlineStr">
        <is>
          <t>Fatima Kathleen M. FLores</t>
        </is>
      </c>
      <c r="G512" t="inlineStr">
        <is>
          <t>Procurement</t>
        </is>
      </c>
      <c r="H512"/>
      <c r="I512"/>
      <c r="J512" t="inlineStr">
        <is>
          <t>Project</t>
        </is>
      </c>
      <c r="K512" t="inlineStr">
        <is>
          <t>PDEI - Event Service</t>
        </is>
      </c>
      <c r="L512" t="inlineStr">
        <is>
          <t>GTCC 2025: September Arena</t>
        </is>
      </c>
      <c r="M512" t="inlineStr">
        <is>
          <t>2025TEG-P0236</t>
        </is>
      </c>
      <c r="N512" t="inlineStr">
        <is>
          <t>Juvie Anne Asis Castres</t>
        </is>
      </c>
      <c r="O512" t="inlineStr">
        <is>
          <t>202509170061-Juvie Anne Asis Castres-费用报销 - 副本 - 副本 - 副本-2025-09-17 07:45:13</t>
        </is>
      </c>
      <c r="P512" t="inlineStr">
        <is>
          <t>NO</t>
        </is>
      </c>
      <c r="Q512"/>
      <c r="R512" t="inlineStr">
        <is>
          <t>NO</t>
        </is>
      </c>
      <c r="S512" t="inlineStr">
        <is>
          <t>Rental of Monobloc Chairs (3 days)</t>
        </is>
      </c>
      <c r="T512">
        <v>200</v>
      </c>
      <c r="U512">
        <v>45</v>
      </c>
      <c r="V512" t="inlineStr">
        <is>
          <t>PHP</t>
        </is>
      </c>
      <c r="W512">
        <v>9000</v>
      </c>
      <c r="X512" s="2"/>
      <c r="Y512"/>
      <c r="Z512"/>
      <c r="AA512"/>
      <c r="AB512"/>
      <c r="AC512"/>
      <c r="AD512" s="4"/>
      <c r="AE512"/>
      <c r="AF512" s="2"/>
      <c r="AG512" t="inlineStr">
        <is>
          <t>NzQyNTk5MTgyNzQ4MTg3MDM0MTo3MUREODc2Qi1BMkEyLTRCM0ItOThGRC04REY4NDhEN0EwNjYtNTo1YTk0MWNjMTYzNTE5MDJjNDdkNmNjOWRjMDVmOTU2Nzox</t>
        </is>
      </c>
      <c r="AH512"/>
      <c r="AI512"/>
      <c r="AJ512"/>
      <c r="AK512"/>
    </row>
    <row r="513" ht="25.5" customHeight="1">
      <c r="A513" s="2" t="str">
        <f>=HYPERLINK("https://applink.larksuite.com/client/mini_program/open?appId=cli_9c7cc8a9a9edd105&amp;mode=appCenter&amp;path_pc=pc/pages/requested/index?instanceId=7551278420609548327&amp;source=bitable&amp;path=pages/detail/index?instanceId=7551278420609548327&amp;source=bitable", "202509180013")</f>
        <v>202509180013</v>
      </c>
      <c r="B513" t="inlineStr">
        <is>
          <t>Approved</t>
        </is>
      </c>
      <c r="C513" t="inlineStr">
        <is>
          <t>Procurement Order</t>
        </is>
      </c>
      <c r="D513" s="3">
        <v>45918.51174768519</v>
      </c>
      <c r="E513" s="3">
        <v>45918.73451388889</v>
      </c>
      <c r="F513" t="inlineStr">
        <is>
          <t>Fatima Kathleen M. FLores</t>
        </is>
      </c>
      <c r="G513" t="inlineStr">
        <is>
          <t>Procurement</t>
        </is>
      </c>
      <c r="H513"/>
      <c r="I513"/>
      <c r="J513" t="inlineStr">
        <is>
          <t>Project</t>
        </is>
      </c>
      <c r="K513" t="inlineStr">
        <is>
          <t>PDEI - Event Service</t>
        </is>
      </c>
      <c r="L513" t="inlineStr">
        <is>
          <t>GTCC 2025: September Arena</t>
        </is>
      </c>
      <c r="M513" t="inlineStr">
        <is>
          <t>2025TEG-P0236</t>
        </is>
      </c>
      <c r="N513" t="inlineStr">
        <is>
          <t>Juvie Anne Asis Castres</t>
        </is>
      </c>
      <c r="O513" t="inlineStr">
        <is>
          <t>202509170061-Juvie Anne Asis Castres-费用报销 - 副本 - 副本 - 副本-2025-09-17 07:45:13</t>
        </is>
      </c>
      <c r="P513" t="inlineStr">
        <is>
          <t>NO</t>
        </is>
      </c>
      <c r="Q513"/>
      <c r="R513" t="inlineStr">
        <is>
          <t>NO</t>
        </is>
      </c>
      <c r="S513" t="inlineStr">
        <is>
          <t>Rental of Black chair covers (3 days)</t>
        </is>
      </c>
      <c r="T513">
        <v>100</v>
      </c>
      <c r="U513">
        <v>45</v>
      </c>
      <c r="V513" t="inlineStr">
        <is>
          <t>PHP</t>
        </is>
      </c>
      <c r="W513">
        <v>4500</v>
      </c>
      <c r="X513" s="2"/>
      <c r="Y513"/>
      <c r="Z513"/>
      <c r="AA513"/>
      <c r="AB513"/>
      <c r="AC513"/>
      <c r="AD513" s="4"/>
      <c r="AE513"/>
      <c r="AF513" s="2"/>
      <c r="AG513" t="inlineStr">
        <is>
          <t>NzQyNTk5MTgyNzQ4MTg3MDM0MTo3MUREODc2Qi1BMkEyLTRCM0ItOThGRC04REY4NDhEN0EwNjYtNjowYmFlMDM1ZTk0ZjcyZDYyMmRlOGI0OGE2ZmFlMGI2Mjox</t>
        </is>
      </c>
      <c r="AH513"/>
      <c r="AI513"/>
      <c r="AJ513"/>
      <c r="AK513"/>
    </row>
    <row r="514" ht="25.5" customHeight="1">
      <c r="A514" s="2" t="str">
        <f>=HYPERLINK("https://applink.larksuite.com/client/mini_program/open?appId=cli_9c7cc8a9a9edd105&amp;mode=appCenter&amp;path_pc=pc/pages/requested/index?instanceId=7551278420609548327&amp;source=bitable&amp;path=pages/detail/index?instanceId=7551278420609548327&amp;source=bitable", "202509180013")</f>
        <v>202509180013</v>
      </c>
      <c r="B514" t="inlineStr">
        <is>
          <t>Approved</t>
        </is>
      </c>
      <c r="C514" t="inlineStr">
        <is>
          <t>Procurement Order</t>
        </is>
      </c>
      <c r="D514" s="3">
        <v>45918.51174768519</v>
      </c>
      <c r="E514" s="3">
        <v>45918.73451388889</v>
      </c>
      <c r="F514" t="inlineStr">
        <is>
          <t>Fatima Kathleen M. FLores</t>
        </is>
      </c>
      <c r="G514" t="inlineStr">
        <is>
          <t>Procurement</t>
        </is>
      </c>
      <c r="H514"/>
      <c r="I514"/>
      <c r="J514" t="inlineStr">
        <is>
          <t>Project</t>
        </is>
      </c>
      <c r="K514" t="inlineStr">
        <is>
          <t>PDEI - Event Service</t>
        </is>
      </c>
      <c r="L514" t="inlineStr">
        <is>
          <t>GTCC 2025: September Arena</t>
        </is>
      </c>
      <c r="M514" t="inlineStr">
        <is>
          <t>2025TEG-P0236</t>
        </is>
      </c>
      <c r="N514" t="inlineStr">
        <is>
          <t>Juvie Anne Asis Castres</t>
        </is>
      </c>
      <c r="O514" t="inlineStr">
        <is>
          <t>202509170061-Juvie Anne Asis Castres-费用报销 - 副本 - 副本 - 副本-2025-09-17 07:45:13</t>
        </is>
      </c>
      <c r="P514" t="inlineStr">
        <is>
          <t>NO</t>
        </is>
      </c>
      <c r="Q514"/>
      <c r="R514" t="inlineStr">
        <is>
          <t>NO</t>
        </is>
      </c>
      <c r="S514" t="inlineStr">
        <is>
          <t>Rental Gold Stanchions w/ red velvet rope (3 days)</t>
        </is>
      </c>
      <c r="T514">
        <v>40</v>
      </c>
      <c r="U514">
        <v>1125</v>
      </c>
      <c r="V514" t="inlineStr">
        <is>
          <t>PHP</t>
        </is>
      </c>
      <c r="W514">
        <v>45000</v>
      </c>
      <c r="X514" s="2"/>
      <c r="Y514"/>
      <c r="Z514"/>
      <c r="AA514"/>
      <c r="AB514"/>
      <c r="AC514"/>
      <c r="AD514" s="4"/>
      <c r="AE514"/>
      <c r="AF514" s="2"/>
      <c r="AG514" t="inlineStr">
        <is>
          <t>NzQyNTk5MTgyNzQ4MTg3MDM0MTo3MUREODc2Qi1BMkEyLTRCM0ItOThGRC04REY4NDhEN0EwNjYtNzo1MDMyMDA4OTUzNmY0N2FkYTgyYTRhYzZlMGE3OWEzMDox</t>
        </is>
      </c>
      <c r="AH514"/>
      <c r="AI514"/>
      <c r="AJ514"/>
      <c r="AK514"/>
    </row>
    <row r="515" ht="25.5" customHeight="1">
      <c r="A515" s="2" t="str">
        <f>=HYPERLINK("https://applink.larksuite.com/client/mini_program/open?appId=cli_9c7cc8a9a9edd105&amp;mode=appCenter&amp;path_pc=pc/pages/requested/index?instanceId=7551278420609548327&amp;source=bitable&amp;path=pages/detail/index?instanceId=7551278420609548327&amp;source=bitable", "202509180013")</f>
        <v>202509180013</v>
      </c>
      <c r="B515" t="inlineStr">
        <is>
          <t>Approved</t>
        </is>
      </c>
      <c r="C515" t="inlineStr">
        <is>
          <t>Procurement Order</t>
        </is>
      </c>
      <c r="D515" s="3">
        <v>45918.51174768519</v>
      </c>
      <c r="E515" s="3">
        <v>45918.73451388889</v>
      </c>
      <c r="F515" t="inlineStr">
        <is>
          <t>Fatima Kathleen M. FLores</t>
        </is>
      </c>
      <c r="G515" t="inlineStr">
        <is>
          <t>Procurement</t>
        </is>
      </c>
      <c r="H515"/>
      <c r="I515"/>
      <c r="J515" t="inlineStr">
        <is>
          <t>Project</t>
        </is>
      </c>
      <c r="K515" t="inlineStr">
        <is>
          <t>PDEI - Event Service</t>
        </is>
      </c>
      <c r="L515" t="inlineStr">
        <is>
          <t>GTCC 2025: September Arena</t>
        </is>
      </c>
      <c r="M515" t="inlineStr">
        <is>
          <t>2025TEG-P0236</t>
        </is>
      </c>
      <c r="N515" t="inlineStr">
        <is>
          <t>Juvie Anne Asis Castres</t>
        </is>
      </c>
      <c r="O515" t="inlineStr">
        <is>
          <t>202509170061-Juvie Anne Asis Castres-费用报销 - 副本 - 副本 - 副本-2025-09-17 07:45:13</t>
        </is>
      </c>
      <c r="P515" t="inlineStr">
        <is>
          <t>NO</t>
        </is>
      </c>
      <c r="Q515"/>
      <c r="R515" t="inlineStr">
        <is>
          <t>NO</t>
        </is>
      </c>
      <c r="S515" t="inlineStr">
        <is>
          <t>Rental of Iwata Aircooler Fans (3 days)</t>
        </is>
      </c>
      <c r="T515">
        <v>6</v>
      </c>
      <c r="U515">
        <v>4500</v>
      </c>
      <c r="V515" t="inlineStr">
        <is>
          <t>PHP</t>
        </is>
      </c>
      <c r="W515">
        <v>27000</v>
      </c>
      <c r="X515" s="2"/>
      <c r="Y515"/>
      <c r="Z515"/>
      <c r="AA515"/>
      <c r="AB515"/>
      <c r="AC515"/>
      <c r="AD515" s="4"/>
      <c r="AE515"/>
      <c r="AF515" s="2"/>
      <c r="AG515" t="inlineStr">
        <is>
          <t>NzQyNTk5MTgyNzQ4MTg3MDM0MTo3MUREODc2Qi1BMkEyLTRCM0ItOThGRC04REY4NDhEN0EwNjYtODo2ZmE3NWFiYmNiZTVjNTk3YTNjOWNjOWU1YzczYWIyZTox</t>
        </is>
      </c>
      <c r="AH515"/>
      <c r="AI515"/>
      <c r="AJ515"/>
      <c r="AK515"/>
    </row>
    <row r="516" ht="25.5" customHeight="1">
      <c r="A516" s="2" t="str">
        <f>=HYPERLINK("https://applink.larksuite.com/client/mini_program/open?appId=cli_9c7cc8a9a9edd105&amp;mode=appCenter&amp;path_pc=pc/pages/requested/index?instanceId=7551278420609548327&amp;source=bitable&amp;path=pages/detail/index?instanceId=7551278420609548327&amp;source=bitable", "202509180013")</f>
        <v>202509180013</v>
      </c>
      <c r="B516" t="inlineStr">
        <is>
          <t>Approved</t>
        </is>
      </c>
      <c r="C516" t="inlineStr">
        <is>
          <t>Procurement Order</t>
        </is>
      </c>
      <c r="D516" s="3">
        <v>45918.51174768519</v>
      </c>
      <c r="E516" s="3">
        <v>45918.73451388889</v>
      </c>
      <c r="F516" t="inlineStr">
        <is>
          <t>Fatima Kathleen M. FLores</t>
        </is>
      </c>
      <c r="G516" t="inlineStr">
        <is>
          <t>Procurement</t>
        </is>
      </c>
      <c r="H516"/>
      <c r="I516"/>
      <c r="J516" t="inlineStr">
        <is>
          <t>Project</t>
        </is>
      </c>
      <c r="K516" t="inlineStr">
        <is>
          <t>PDEI - Event Service</t>
        </is>
      </c>
      <c r="L516" t="inlineStr">
        <is>
          <t>GTCC 2025: September Arena</t>
        </is>
      </c>
      <c r="M516" t="inlineStr">
        <is>
          <t>2025TEG-P0236</t>
        </is>
      </c>
      <c r="N516" t="inlineStr">
        <is>
          <t>Juvie Anne Asis Castres</t>
        </is>
      </c>
      <c r="O516" t="inlineStr">
        <is>
          <t>202509170061-Juvie Anne Asis Castres-费用报销 - 副本 - 副本 - 副本-2025-09-17 07:45:13</t>
        </is>
      </c>
      <c r="P516" t="inlineStr">
        <is>
          <t>NO</t>
        </is>
      </c>
      <c r="Q516"/>
      <c r="R516" t="inlineStr">
        <is>
          <t>NO</t>
        </is>
      </c>
      <c r="S516" t="inlineStr">
        <is>
          <t>Rental 2 seater Black Sofa (3 days)</t>
        </is>
      </c>
      <c r="T516">
        <v>1</v>
      </c>
      <c r="U516">
        <v>12000</v>
      </c>
      <c r="V516" t="inlineStr">
        <is>
          <t>PHP</t>
        </is>
      </c>
      <c r="W516">
        <v>12000</v>
      </c>
      <c r="X516" s="2"/>
      <c r="Y516"/>
      <c r="Z516"/>
      <c r="AA516"/>
      <c r="AB516"/>
      <c r="AC516"/>
      <c r="AD516" s="4"/>
      <c r="AE516"/>
      <c r="AF516" s="2"/>
      <c r="AG516" t="inlineStr">
        <is>
          <t>NzQyNTk5MTgyNzQ4MTg3MDM0MTo3MUREODc2Qi1BMkEyLTRCM0ItOThGRC04REY4NDhEN0EwNjYtOTphZDE5NWUwMjllMzI3MDlhN2UyZjgyNWIzMTM4ZGJkYzox</t>
        </is>
      </c>
      <c r="AH516"/>
      <c r="AI516"/>
      <c r="AJ516"/>
      <c r="AK516"/>
    </row>
    <row r="517" ht="25.5" customHeight="1">
      <c r="A517" s="2" t="str">
        <f>=HYPERLINK("https://applink.larksuite.com/client/mini_program/open?appId=cli_9c7cc8a9a9edd105&amp;mode=appCenter&amp;path_pc=pc/pages/requested/index?instanceId=7551278420609548327&amp;source=bitable&amp;path=pages/detail/index?instanceId=7551278420609548327&amp;source=bitable", "202509180013")</f>
        <v>202509180013</v>
      </c>
      <c r="B517" t="inlineStr">
        <is>
          <t>Approved</t>
        </is>
      </c>
      <c r="C517" t="inlineStr">
        <is>
          <t>Procurement Order</t>
        </is>
      </c>
      <c r="D517" s="3">
        <v>45918.51174768519</v>
      </c>
      <c r="E517" s="3">
        <v>45918.73451388889</v>
      </c>
      <c r="F517" t="inlineStr">
        <is>
          <t>Fatima Kathleen M. FLores</t>
        </is>
      </c>
      <c r="G517" t="inlineStr">
        <is>
          <t>Procurement</t>
        </is>
      </c>
      <c r="H517"/>
      <c r="I517"/>
      <c r="J517" t="inlineStr">
        <is>
          <t>Project</t>
        </is>
      </c>
      <c r="K517" t="inlineStr">
        <is>
          <t>PDEI - Event Service</t>
        </is>
      </c>
      <c r="L517" t="inlineStr">
        <is>
          <t>GTCC 2025: September Arena</t>
        </is>
      </c>
      <c r="M517" t="inlineStr">
        <is>
          <t>2025TEG-P0236</t>
        </is>
      </c>
      <c r="N517" t="inlineStr">
        <is>
          <t>Juvie Anne Asis Castres</t>
        </is>
      </c>
      <c r="O517" t="inlineStr">
        <is>
          <t>202509170061-Juvie Anne Asis Castres-费用报销 - 副本 - 副本 - 副本-2025-09-17 07:45:13</t>
        </is>
      </c>
      <c r="P517" t="inlineStr">
        <is>
          <t>NO</t>
        </is>
      </c>
      <c r="Q517"/>
      <c r="R517" t="inlineStr">
        <is>
          <t>NO</t>
        </is>
      </c>
      <c r="S517" t="inlineStr">
        <is>
          <t>Rental 1 seater Black Sofa (3 days)</t>
        </is>
      </c>
      <c r="T517">
        <v>1</v>
      </c>
      <c r="U517">
        <v>9000</v>
      </c>
      <c r="V517" t="inlineStr">
        <is>
          <t>PHP</t>
        </is>
      </c>
      <c r="W517">
        <v>9000</v>
      </c>
      <c r="X517" s="2" t="str">
        <f>=HYPERLINK("https://www.larksuite.com/approval/admin/previewAttachment?key=PMgxDgIxEAPAL9kbJ97lMzQXRTRXIQ5R5O1IFLQzkhjZ2UZBxShwu3eGU4GB6soW3rFpF0wz9zzX_Xjlwtv6nMA1ta_HseaTvRwBN6klAN7-3iypagg_r28AAAD__w", "2 attachment(s)")</f>
        <v>2 attachment(s)</v>
      </c>
      <c r="Y517"/>
      <c r="Z517"/>
      <c r="AA517"/>
      <c r="AB517"/>
      <c r="AC517"/>
      <c r="AD517" s="4"/>
      <c r="AE517"/>
      <c r="AF517" s="2"/>
      <c r="AG517" t="inlineStr">
        <is>
          <t>NzQyNTk5MTgyNzQ4MTg3MDM0MTo3MUREODc2Qi1BMkEyLTRCM0ItOThGRC04REY4NDhEN0EwNjYtMTA6NjQ2MWMzNTcwZjk1NTIxYjBjYzcyNzk5NWM3ZTRkYzk6MQ==</t>
        </is>
      </c>
      <c r="AH517"/>
      <c r="AI517"/>
      <c r="AJ517"/>
      <c r="AK517"/>
    </row>
    <row r="518" ht="25.5" customHeight="1">
      <c r="A518" s="2" t="str">
        <f>=HYPERLINK("https://applink.larksuite.com/client/mini_program/open?appId=cli_9c7cc8a9a9edd105&amp;mode=appCenter&amp;path_pc=pc/pages/requested/index?instanceId=7551341039299133471&amp;source=bitable&amp;path=pages/detail/index?instanceId=7551341039299133471&amp;source=bitable", "202509180037")</f>
        <v>202509180037</v>
      </c>
      <c r="B518" t="inlineStr">
        <is>
          <t>Approved</t>
        </is>
      </c>
      <c r="C518" t="inlineStr">
        <is>
          <t>Procurement Order</t>
        </is>
      </c>
      <c r="D518" s="3">
        <v>45918.68048611111</v>
      </c>
      <c r="E518" s="3">
        <v>45918.73849537037</v>
      </c>
      <c r="F518" t="inlineStr">
        <is>
          <t>Fatima Kathleen M. FLores</t>
        </is>
      </c>
      <c r="G518" t="inlineStr">
        <is>
          <t>Procurement</t>
        </is>
      </c>
      <c r="H518"/>
      <c r="I518"/>
      <c r="J518" t="inlineStr">
        <is>
          <t>Project</t>
        </is>
      </c>
      <c r="K518" t="inlineStr">
        <is>
          <t>GG - Event Service</t>
        </is>
      </c>
      <c r="L518" t="inlineStr">
        <is>
          <t>HOK Philippine Kings League - Fall Season</t>
        </is>
      </c>
      <c r="M518" t="inlineStr">
        <is>
          <t>2025TEG-P0219</t>
        </is>
      </c>
      <c r="N518" t="inlineStr">
        <is>
          <t>Carla Andrea Calma Crespo</t>
        </is>
      </c>
      <c r="O518" t="inlineStr">
        <is>
          <t>202509160036-Carla Andrea Calma Crespo-费用报销 - 副本 - 副本 - 副本-2025-09-16 04:20:22</t>
        </is>
      </c>
      <c r="P518" t="inlineStr">
        <is>
          <t>YES</t>
        </is>
      </c>
      <c r="Q518"/>
      <c r="R518" t="inlineStr">
        <is>
          <t>NO</t>
        </is>
      </c>
      <c r="S518" t="inlineStr">
        <is>
          <t>Outsourced Trophy Designer</t>
        </is>
      </c>
      <c r="T518">
        <v>1</v>
      </c>
      <c r="U518">
        <v>5600</v>
      </c>
      <c r="V518" t="inlineStr">
        <is>
          <t>PHP</t>
        </is>
      </c>
      <c r="W518">
        <v>5600</v>
      </c>
      <c r="X518" s="2" t="str">
        <f>=HYPERLINK("https://www.larksuite.com/approval/admin/previewAttachment?key=PMg9CsJQEATgK83sz9s3XsYmIQjRShJMsWcXLGy_MYkxkz6EEE1gVyY9CJdJdI9iW7NKKBZnr6_tbufxubS7nst-HdnnY9nWN1NlhvIInwB4-7tXREgj8HN8AwAA__8", "2 attachment(s)")</f>
        <v>2 attachment(s)</v>
      </c>
      <c r="Y518" t="inlineStr">
        <is>
          <t>Bank Transfer</t>
        </is>
      </c>
      <c r="Z518" t="inlineStr">
        <is>
          <t>Joel Heinzl Ng</t>
        </is>
      </c>
      <c r="AA518" t="inlineStr">
        <is>
          <t>0065 9022 9294</t>
        </is>
      </c>
      <c r="AB518" t="inlineStr">
        <is>
          <t>BDO</t>
        </is>
      </c>
      <c r="AC518" t="inlineStr">
        <is>
          <t>7 Agueda street Project 8 Quezon City</t>
        </is>
      </c>
      <c r="AD518" s="4">
        <v>45916</v>
      </c>
      <c r="AE518" t="inlineStr">
        <is>
          <t>100% Full Payment - Sept. 26, 2025</t>
        </is>
      </c>
      <c r="AF518" s="2"/>
      <c r="AG518" t="inlineStr">
        <is>
          <t>NzQyNTk5MTgyNzQ4MTg3MDM0MTpBNzU4MjU3Mi01OEI1LTQ3QzEtQkI2RC1DRUQyQkRBNThEMTEtMTplNTAwMTFhYzkzNDIyNTlmNmE1ZmEwY2ZlNmZmYjM4YTox</t>
        </is>
      </c>
      <c r="AH518" t="inlineStr">
        <is>
          <t>Joel Heinzl Ng</t>
        </is>
      </c>
      <c r="AI518"/>
      <c r="AJ518"/>
      <c r="AK518"/>
    </row>
    <row r="519" ht="25.5" customHeight="1">
      <c r="A519" s="2" t="str">
        <f>=HYPERLINK("https://applink.larksuite.com/client/mini_program/open?appId=cli_9c7cc8a9a9edd105&amp;mode=appCenter&amp;path_pc=pc/pages/requested/index?instanceId=7551345527644864550&amp;source=bitable&amp;path=pages/detail/index?instanceId=7551345527644864550&amp;source=bitable", "202509180043")</f>
        <v>202509180043</v>
      </c>
      <c r="B519" t="inlineStr">
        <is>
          <t>Approved</t>
        </is>
      </c>
      <c r="C519" t="inlineStr">
        <is>
          <t>Procurement Order</t>
        </is>
      </c>
      <c r="D519" s="3">
        <v>45918.69258101852</v>
      </c>
      <c r="E519" s="3">
        <v>45926.59148148148</v>
      </c>
      <c r="F519" t="inlineStr">
        <is>
          <t>Fatima Kathleen M. FLores</t>
        </is>
      </c>
      <c r="G519" t="inlineStr">
        <is>
          <t>Procurement</t>
        </is>
      </c>
      <c r="H519"/>
      <c r="I519"/>
      <c r="J519" t="inlineStr">
        <is>
          <t>Project</t>
        </is>
      </c>
      <c r="K519" t="inlineStr">
        <is>
          <t>PDEI - Event Service</t>
        </is>
      </c>
      <c r="L519" t="inlineStr">
        <is>
          <t>GG Truck x Megabet</t>
        </is>
      </c>
      <c r="M519" t="inlineStr">
        <is>
          <t>2025TEG-P0124</t>
        </is>
      </c>
      <c r="N519" t="inlineStr">
        <is>
          <t>Anteaus Villena</t>
        </is>
      </c>
      <c r="O519" t="inlineStr">
        <is>
          <t>202509090020-Anteaus Villena-费用报销 - 副本 - 副本 - 副本-2025-09-09 03:11:24</t>
        </is>
      </c>
      <c r="P519" t="inlineStr">
        <is>
          <t>YES</t>
        </is>
      </c>
      <c r="Q519"/>
      <c r="R519" t="inlineStr">
        <is>
          <t>YES</t>
        </is>
      </c>
      <c r="S519" t="inlineStr">
        <is>
          <t>Outsourced Broadcast Associate</t>
        </is>
      </c>
      <c r="T519">
        <v>1</v>
      </c>
      <c r="U519">
        <v>8500</v>
      </c>
      <c r="V519" t="inlineStr">
        <is>
          <t>PHP</t>
        </is>
      </c>
      <c r="W519">
        <v>8500</v>
      </c>
      <c r="X519" s="2" t="str">
        <f>=HYPERLINK("https://www.larksuite.com/approval/admin/previewAttachment?key=PMg9igJBFATgK1W9rve3l9lkhkaQMREbkz67YGD6RRFRzhENNa3Bne4ccrcMqULu2LaZ2Ugma5_X_D9eNd9rPa5Dd9L2uh3zfNI7zZBDGgWAfz8fKak7hK_jEwAA__8", "2 attachment(s)")</f>
        <v>2 attachment(s)</v>
      </c>
      <c r="Y519" t="inlineStr">
        <is>
          <t>Bank Transfer</t>
        </is>
      </c>
      <c r="Z519" t="inlineStr">
        <is>
          <t>Kenneth Singian</t>
        </is>
      </c>
      <c r="AA519" t="inlineStr">
        <is>
          <t>09176559151</t>
        </is>
      </c>
      <c r="AB519" t="inlineStr">
        <is>
          <t>GCash</t>
        </is>
      </c>
      <c r="AC519" t="inlineStr">
        <is>
          <t>84 Montreal St. Cubao Quezon City</t>
        </is>
      </c>
      <c r="AD519" s="4">
        <v>45850</v>
      </c>
      <c r="AE519" t="inlineStr">
        <is>
          <t>100% Full Payment - Sept. 26, 2025</t>
        </is>
      </c>
      <c r="AF519" s="2"/>
      <c r="AG519" t="inlineStr">
        <is>
          <t>NzQyNTk5MTgyNzQ4MTg3MDM0MTpCNTlFNTU1Mi1BQjEwLTRDMzEtOEVBMS01MjFEMTYzMzE0RUYtMTpjMzQ3YmM4YmRkN2RhZDkzMjI3ZTNiOTdmMWFkYWYyODox</t>
        </is>
      </c>
      <c r="AH519" t="inlineStr">
        <is>
          <t>Kenneth Singian</t>
        </is>
      </c>
      <c r="AI519"/>
      <c r="AJ519"/>
      <c r="AK519"/>
    </row>
    <row r="520" ht="25.5" customHeight="1">
      <c r="A520" s="2" t="str">
        <f>=HYPERLINK("https://applink.larksuite.com/client/mini_program/open?appId=cli_9c7cc8a9a9edd105&amp;mode=appCenter&amp;path_pc=pc/pages/requested/index?instanceId=7551348804432216103&amp;source=bitable&amp;path=pages/detail/index?instanceId=7551348804432216103&amp;source=bitable", "202509180047")</f>
        <v>202509180047</v>
      </c>
      <c r="B520" t="inlineStr">
        <is>
          <t>Approved</t>
        </is>
      </c>
      <c r="C520" t="inlineStr">
        <is>
          <t>Procurement Order</t>
        </is>
      </c>
      <c r="D520" s="3">
        <v>45918.70141203704</v>
      </c>
      <c r="E520" s="3">
        <v>45930.72840277778</v>
      </c>
      <c r="F520" t="inlineStr">
        <is>
          <t>Fatima Kathleen M. FLores</t>
        </is>
      </c>
      <c r="G520" t="inlineStr">
        <is>
          <t>Procurement</t>
        </is>
      </c>
      <c r="H520"/>
      <c r="I520"/>
      <c r="J520" t="inlineStr">
        <is>
          <t>GAE</t>
        </is>
      </c>
      <c r="K520"/>
      <c r="L520"/>
      <c r="M520"/>
      <c r="N520"/>
      <c r="O520" t="inlineStr">
        <is>
          <t>202509030024-Bernadeth Español Villaflor-费用报销 - 副本 - 副本 - 副本-2025-09-03 04:55:27</t>
        </is>
      </c>
      <c r="P520"/>
      <c r="Q520" t="inlineStr">
        <is>
          <t>IT</t>
        </is>
      </c>
      <c r="R520"/>
      <c r="S520" t="inlineStr">
        <is>
          <t>Outsourced IT Associate</t>
        </is>
      </c>
      <c r="T520">
        <v>1</v>
      </c>
      <c r="U520">
        <v>3340</v>
      </c>
      <c r="V520" t="inlineStr">
        <is>
          <t>PHP</t>
        </is>
      </c>
      <c r="W520">
        <v>3340</v>
      </c>
      <c r="X520" s="2" t="str">
        <f>=HYPERLINK("https://www.larksuite.com/approval/admin/previewAttachment?key=PMgxCgJBDAXQK_2f_EwSL2OzwyKKNsKKxZxdsNj2jSJGBX001LQGV0bQVQXJzTgIX7aY2Ugma83nfo3YPvbK6fN7r8exjtu2zzej0wzpkhcAXk73lNQ9hL_jFwAA__8", "2 attachment(s)")</f>
        <v>2 attachment(s)</v>
      </c>
      <c r="Y520" t="inlineStr">
        <is>
          <t>Bank Transfer</t>
        </is>
      </c>
      <c r="Z520" t="inlineStr">
        <is>
          <t>Wilson Mazaredo</t>
        </is>
      </c>
      <c r="AA520" t="inlineStr">
        <is>
          <t>09662375484</t>
        </is>
      </c>
      <c r="AB520" t="inlineStr">
        <is>
          <t>GCash</t>
        </is>
      </c>
      <c r="AC520" t="inlineStr">
        <is>
          <t>20 P. Ladia St. Proj 4. Quezon City</t>
        </is>
      </c>
      <c r="AD520" s="4">
        <v>45892</v>
      </c>
      <c r="AE520" t="inlineStr">
        <is>
          <t>100% Full Payment - Oct. 3, 2025</t>
        </is>
      </c>
      <c r="AF520" s="2"/>
      <c r="AG520" t="inlineStr">
        <is>
          <t>NzQyNTk5MTgyNzQ4MTg3MDM0MTo2NTlDRDVGMy1CREFGLTQ2RjctQjczMC04QTY5QjQ5NTFFODYtMToyZWZlZjk5MDAzZmVmYmZmNWQyNDc4ODE0MzE1NzI2Njox</t>
        </is>
      </c>
      <c r="AH520" t="inlineStr">
        <is>
          <t>Wilson Mazaredo</t>
        </is>
      </c>
      <c r="AI520"/>
      <c r="AJ520"/>
      <c r="AK520"/>
    </row>
    <row r="521" ht="25.5" customHeight="1">
      <c r="A521" s="2" t="str">
        <f>=HYPERLINK("https://applink.larksuite.com/client/mini_program/open?appId=cli_9c7cc8a9a9edd105&amp;mode=appCenter&amp;path_pc=pc/pages/requested/index?instanceId=7551377164197724191&amp;source=bitable&amp;path=pages/detail/index?instanceId=7551377164197724191&amp;source=bitable", "202509180072")</f>
        <v>202509180072</v>
      </c>
      <c r="B521" t="inlineStr">
        <is>
          <t>Approved</t>
        </is>
      </c>
      <c r="C521" t="inlineStr">
        <is>
          <t>Procurement Order</t>
        </is>
      </c>
      <c r="D521" s="3">
        <v>45918.77783564815</v>
      </c>
      <c r="E521" s="3">
        <v>45919.507002314815</v>
      </c>
      <c r="F521" t="inlineStr">
        <is>
          <t>Fatima Kathleen M. FLores</t>
        </is>
      </c>
      <c r="G521" t="inlineStr">
        <is>
          <t>Procurement</t>
        </is>
      </c>
      <c r="H521"/>
      <c r="I521"/>
      <c r="J521" t="inlineStr">
        <is>
          <t>Project</t>
        </is>
      </c>
      <c r="K521" t="inlineStr">
        <is>
          <t>PDEI - Game Marketing</t>
        </is>
      </c>
      <c r="L521" t="inlineStr">
        <is>
          <t>WCG 2025 Creator Rumble</t>
        </is>
      </c>
      <c r="M521" t="inlineStr">
        <is>
          <t>2025TEG-P0041</t>
        </is>
      </c>
      <c r="N521" t="inlineStr">
        <is>
          <t>Maura Aurel Atilano Yap</t>
        </is>
      </c>
      <c r="O521" t="inlineStr">
        <is>
          <t>202509160029-Maura Aurel Atilano Yap-费用报销 - 副本 - 副本 - 副本-2025-09-16 03:51:32</t>
        </is>
      </c>
      <c r="P521" t="inlineStr">
        <is>
          <t>NO</t>
        </is>
      </c>
      <c r="Q521"/>
      <c r="R521" t="inlineStr">
        <is>
          <t>YES</t>
        </is>
      </c>
      <c r="S521" t="inlineStr">
        <is>
          <t>Outsourced Photography and Videography Team</t>
        </is>
      </c>
      <c r="T521">
        <v>1</v>
      </c>
      <c r="U521">
        <v>649000</v>
      </c>
      <c r="V521" t="inlineStr">
        <is>
          <t>PHP</t>
        </is>
      </c>
      <c r="W521">
        <v>649000</v>
      </c>
      <c r="X521" s="2" t="str">
        <f>=HYPERLINK("https://www.larksuite.com/approval/admin/previewAttachment?key=PMhLCgIxEATQK1UllVS3l3HjMPhhQBADLvrsggu3bwYxY7DPhJItwfIY7DanmHYTk9WKdsI0o7ZjP4fWwXhLzzs_t0et62XfXhzp1uAu9QDA09-7JWVO4ef4BgAA__8", "2 attachment(s)")</f>
        <v>2 attachment(s)</v>
      </c>
      <c r="Y521" t="inlineStr">
        <is>
          <t>Bank Transfer</t>
        </is>
      </c>
      <c r="Z521" t="inlineStr">
        <is>
          <t>Leo Angelo Zeta Capeding</t>
        </is>
      </c>
      <c r="AA521" t="inlineStr">
        <is>
          <t>0000023005038</t>
        </is>
      </c>
      <c r="AB521" t="inlineStr">
        <is>
          <t>Security Bank</t>
        </is>
      </c>
      <c r="AC521" t="inlineStr">
        <is>
          <t>Unit 5 Purok 6 Paco Manila</t>
        </is>
      </c>
      <c r="AD521" s="4">
        <v>45892</v>
      </c>
      <c r="AE521" t="inlineStr">
        <is>
          <t>50% Down Payment - Sept. 19, 2025
Final payment - Oct. 31, 2025</t>
        </is>
      </c>
      <c r="AF521" s="2" t="str">
        <f>=HYPERLINK("https://www.larksuite.com/approval/admin/previewAttachment?key=TMg7CsJQEIXhLZ0_d-483IyNIfggIIgBi1m7YGX7eSLPyfCSFUuJjjkZEbhREYtR9NJElIIge923c9qxk2-z553P7dHH9bKtLzyHy2qaUZI4_Tmocvj4ub4BAAD__w", "2 attachment(s)")</f>
        <v>2 attachment(s)</v>
      </c>
      <c r="AG521" t="inlineStr">
        <is>
          <t>NzQyNTk5MTgyNzQ4MTg3MDM0MTo3Q0Q2MjA2RS00NkI4LTRERjYtOTYwNy03OEY1MjkxMEFDRDAtMTphNzBmZGRhMjFiODkyMmRiMDZjNDgxNzhhOTNiY2IxNDox</t>
        </is>
      </c>
      <c r="AH521" t="inlineStr">
        <is>
          <t>TIRADORES MEDIA PRODUCTIONS</t>
        </is>
      </c>
      <c r="AI521"/>
      <c r="AJ521"/>
      <c r="AK521"/>
    </row>
    <row r="522" ht="25.5" customHeight="1">
      <c r="A522" s="2" t="str">
        <f>=HYPERLINK("https://applink.larksuite.com/client/mini_program/open?appId=cli_9c7cc8a9a9edd105&amp;mode=appCenter&amp;path_pc=pc/pages/requested/index?instanceId=7551387935006818343&amp;source=bitable&amp;path=pages/detail/index?instanceId=7551387935006818343&amp;source=bitable", "202509180076")</f>
        <v>202509180076</v>
      </c>
      <c r="B522" t="inlineStr">
        <is>
          <t>Approved</t>
        </is>
      </c>
      <c r="C522" t="inlineStr">
        <is>
          <t>Procurement Order</t>
        </is>
      </c>
      <c r="D522" s="3">
        <v>45918.806863425925</v>
      </c>
      <c r="E522" s="3">
        <v>45919.518912037034</v>
      </c>
      <c r="F522" t="inlineStr">
        <is>
          <t>Fatima Kathleen M. FLores</t>
        </is>
      </c>
      <c r="G522" t="inlineStr">
        <is>
          <t>Procurement</t>
        </is>
      </c>
      <c r="H522"/>
      <c r="I522"/>
      <c r="J522" t="inlineStr">
        <is>
          <t>Project</t>
        </is>
      </c>
      <c r="K522" t="inlineStr">
        <is>
          <t>GG - Event Service</t>
        </is>
      </c>
      <c r="L522" t="inlineStr">
        <is>
          <t>PKL Season 2 - Social Media Management</t>
        </is>
      </c>
      <c r="M522" t="inlineStr">
        <is>
          <t>2025TEG-P0239</t>
        </is>
      </c>
      <c r="N522" t="inlineStr">
        <is>
          <t>Maura Aurel Atilano Yap</t>
        </is>
      </c>
      <c r="O522" t="inlineStr">
        <is>
          <t>202508280031-Maura Aurel Atilano Yap-费用报销 - 副本 - 副本 - 副本-2025-08-28 05:22:30</t>
        </is>
      </c>
      <c r="P522" t="inlineStr">
        <is>
          <t>NO</t>
        </is>
      </c>
      <c r="Q522"/>
      <c r="R522" t="inlineStr">
        <is>
          <t>YES</t>
        </is>
      </c>
      <c r="S522" t="inlineStr">
        <is>
          <t>Outsourced Videography Team</t>
        </is>
      </c>
      <c r="T522">
        <v>1</v>
      </c>
      <c r="U522">
        <v>85000</v>
      </c>
      <c r="V522" t="inlineStr">
        <is>
          <t>PHP</t>
        </is>
      </c>
      <c r="W522">
        <v>85000</v>
      </c>
      <c r="X522" s="2" t="str">
        <f>=HYPERLINK("https://www.larksuite.com/approval/admin/previewAttachment?key=PMgxCkJBDATQK81skp3Ey9i4LFr4G0G0yNkFi9--mcTMoM2CF0eBrQhaqiyAmUxz69GUCqKYvZ77uiz3Z31dj2PriH7fb3u9GKUxIHO3BMDL6SZ3r5qOv-MXAAD__w", "2 attachment(s)")</f>
        <v>2 attachment(s)</v>
      </c>
      <c r="Y522" t="inlineStr">
        <is>
          <t>Bank Transfer</t>
        </is>
      </c>
      <c r="Z522" t="inlineStr">
        <is>
          <t>Leo Angelo Zeta Capeding</t>
        </is>
      </c>
      <c r="AA522" t="inlineStr">
        <is>
          <t>0000023005038</t>
        </is>
      </c>
      <c r="AB522" t="inlineStr">
        <is>
          <t>Security Bank</t>
        </is>
      </c>
      <c r="AC522" t="inlineStr">
        <is>
          <t>Unit 5 Purok 6 Paco Manila</t>
        </is>
      </c>
      <c r="AD522" s="4">
        <v>45917</v>
      </c>
      <c r="AE522" t="inlineStr">
        <is>
          <t>50% Down Payment - Sept. 19, 2025
Final payment - Oct. 17, 2025</t>
        </is>
      </c>
      <c r="AF522" s="2" t="str">
        <f>=HYPERLINK("https://www.larksuite.com/approval/admin/previewAttachment?key=TMg9igJREATgK1VN_1XvZTbx8dDASQTRoM8uGJl-KSIVtGx482hwKoKmagsgRZnbHMOqRrGoWff9v0z7td5et3PXGfO8XvZ6MGUJ73BnA-Dfj5NoWdrX8QkAAP__", "2 attachment(s)")</f>
        <v>2 attachment(s)</v>
      </c>
      <c r="AG522" t="inlineStr">
        <is>
          <t>NzQyNTk5MTgyNzQ4MTg3MDM0MTpENTUzM0Q0Qy1EQjNDLTRFRkUtQTYxRS0zQzQwQzRERUI3MTYtMTo3NjhlOTUwOTdhZTVjMWZjYjc3MzY0MDllNTlkZWRkYzox</t>
        </is>
      </c>
      <c r="AH522" t="inlineStr">
        <is>
          <t>TIRADORES MEDIA PRODUCTIONS</t>
        </is>
      </c>
      <c r="AI522"/>
      <c r="AJ522"/>
      <c r="AK522"/>
    </row>
    <row r="523" ht="25.5" customHeight="1">
      <c r="A523" s="2" t="str">
        <f>=HYPERLINK("https://applink.larksuite.com/client/mini_program/open?appId=cli_9c7cc8a9a9edd105&amp;mode=appCenter&amp;path_pc=pc/pages/requested/index?instanceId=7551620898881552416&amp;source=bitable&amp;path=pages/detail/index?instanceId=7551620898881552416&amp;source=bitable", "202509190008")</f>
        <v>202509190008</v>
      </c>
      <c r="B523" t="inlineStr">
        <is>
          <t>Approved</t>
        </is>
      </c>
      <c r="C523" t="inlineStr">
        <is>
          <t>Procurement Order</t>
        </is>
      </c>
      <c r="D523" s="3">
        <v>45919.434652777774</v>
      </c>
      <c r="E523" s="3">
        <v>45919.50347222222</v>
      </c>
      <c r="F523" t="inlineStr">
        <is>
          <t>Arlyn Castillo</t>
        </is>
      </c>
      <c r="G523" t="inlineStr">
        <is>
          <t>Procurement</t>
        </is>
      </c>
      <c r="H523"/>
      <c r="I523"/>
      <c r="J523" t="inlineStr">
        <is>
          <t>Project</t>
        </is>
      </c>
      <c r="K523" t="inlineStr">
        <is>
          <t>PDEI - Event Service</t>
        </is>
      </c>
      <c r="L523" t="inlineStr">
        <is>
          <t>GTCC 2025: September Arena</t>
        </is>
      </c>
      <c r="M523" t="inlineStr">
        <is>
          <t>2025TEG-P0236</t>
        </is>
      </c>
      <c r="N523" t="inlineStr">
        <is>
          <t>Reign Santos Fortea</t>
        </is>
      </c>
      <c r="O523" t="inlineStr">
        <is>
          <t>202509170030-Reign Santos Fortea-费用报销 - 副本 - 副本 - 副本-2025-09-17 05:05:03;202509170055-Reign Santos Fortea-费用报销 - 副本 - 副本 - 副本-2025-09-17 06:53:11</t>
        </is>
      </c>
      <c r="P523" t="inlineStr">
        <is>
          <t>NO</t>
        </is>
      </c>
      <c r="Q523"/>
      <c r="R523" t="inlineStr">
        <is>
          <t>YES</t>
        </is>
      </c>
      <c r="S523" t="inlineStr">
        <is>
          <t>Phone Dongles (UGREEN USB-C To 3*USB 3.0 A+HDMI+VGA+RJ45 Gigabit+SD/TF+AUX3.5mm+PD Converter (10-in-1)</t>
        </is>
      </c>
      <c r="T523">
        <v>10</v>
      </c>
      <c r="U523">
        <v>1799</v>
      </c>
      <c r="V523" t="inlineStr">
        <is>
          <t>PHP</t>
        </is>
      </c>
      <c r="W523">
        <v>17990</v>
      </c>
      <c r="X523" s="2" t="str">
        <f>=HYPERLINK("https://www.larksuite.com/approval/admin/previewAttachment?key=PMg9CgIxFATgK828zPvzMja7BEG2EqJNzi5Y2H5RRJRzRENNa3CnO8NQXVV0NzG2bWY2ksna5zXvb83DnPN6rs9w7fU45vmid5ohhzQKAG9_HympO4Sf4xsAAP__", "2 attachment(s)")</f>
        <v>2 attachment(s)</v>
      </c>
      <c r="Y523" t="inlineStr">
        <is>
          <t>Bank Transfer</t>
        </is>
      </c>
      <c r="Z523" t="inlineStr">
        <is>
          <t>Iontech Inc</t>
        </is>
      </c>
      <c r="AA523" t="inlineStr">
        <is>
          <t>004-763-0449-34</t>
        </is>
      </c>
      <c r="AB523" t="inlineStr">
        <is>
          <t>BPI</t>
        </is>
      </c>
      <c r="AC523" t="inlineStr">
        <is>
          <t>Rm 200, Timbol-Singh Building, 915 Aurora Blvd. Cubao, Quezon City</t>
        </is>
      </c>
      <c r="AD523" s="4">
        <v>45919</v>
      </c>
      <c r="AE523" t="inlineStr">
        <is>
          <t>100% Full payment before delivery</t>
        </is>
      </c>
      <c r="AF523" s="2" t="str">
        <f>=HYPERLINK("https://www.larksuite.com/approval/admin/previewAttachment?key=TMg7CgJBEATQK1X1v72MyS6DIBsJo0mfXTAyfVFElFOjYU1pcNKdIaiuKrqLMUaGmY1ksua81v1t6xDnup77o26zH8c6X4zSgLWbsQHw9uckujT05_gGAAD__w", "1 attachment(s)")</f>
        <v>1 attachment(s)</v>
      </c>
      <c r="AG523" t="inlineStr">
        <is>
          <t>NzQyNTk5MTgyNzQ4MTg3MDM0MTowNjkwNDNDQi03RjM4LTQyMkUtQTY1NC1FOTVCMkM2MzRDNkYtMTo0YzFiYTVhODAwNWQyZTg2OTRlNWYzZDZhMjYxN2FmZTox</t>
        </is>
      </c>
      <c r="AH523" t="inlineStr">
        <is>
          <t>Iontech Inc</t>
        </is>
      </c>
      <c r="AI523"/>
      <c r="AJ523"/>
      <c r="AK523"/>
    </row>
    <row r="524" ht="25.5" customHeight="1">
      <c r="A524" s="2" t="str">
        <f>=HYPERLINK("https://applink.larksuite.com/client/mini_program/open?appId=cli_9c7cc8a9a9edd105&amp;mode=appCenter&amp;path_pc=pc/pages/requested/index?instanceId=7551620898881552416&amp;source=bitable&amp;path=pages/detail/index?instanceId=7551620898881552416&amp;source=bitable", "202509190008")</f>
        <v>202509190008</v>
      </c>
      <c r="B524" t="inlineStr">
        <is>
          <t>Approved</t>
        </is>
      </c>
      <c r="C524" t="inlineStr">
        <is>
          <t>Procurement Order</t>
        </is>
      </c>
      <c r="D524" s="3">
        <v>45919.434652777774</v>
      </c>
      <c r="E524" s="3">
        <v>45919.50347222222</v>
      </c>
      <c r="F524" t="inlineStr">
        <is>
          <t>Arlyn Castillo</t>
        </is>
      </c>
      <c r="G524" t="inlineStr">
        <is>
          <t>Procurement</t>
        </is>
      </c>
      <c r="H524"/>
      <c r="I524"/>
      <c r="J524" t="inlineStr">
        <is>
          <t>Project</t>
        </is>
      </c>
      <c r="K524" t="inlineStr">
        <is>
          <t>PDEI - Event Service</t>
        </is>
      </c>
      <c r="L524" t="inlineStr">
        <is>
          <t>GTCC 2025: September Arena</t>
        </is>
      </c>
      <c r="M524" t="inlineStr">
        <is>
          <t>2025TEG-P0236</t>
        </is>
      </c>
      <c r="N524" t="inlineStr">
        <is>
          <t>Reign Santos Fortea</t>
        </is>
      </c>
      <c r="O524" t="inlineStr">
        <is>
          <t>202509170030-Reign Santos Fortea-费用报销 - 副本 - 副本 - 副本-2025-09-17 05:05:03;202509170055-Reign Santos Fortea-费用报销 - 副本 - 副本 - 副本-2025-09-17 06:53:11</t>
        </is>
      </c>
      <c r="P524" t="inlineStr">
        <is>
          <t>NO</t>
        </is>
      </c>
      <c r="Q524"/>
      <c r="R524" t="inlineStr">
        <is>
          <t>YES</t>
        </is>
      </c>
      <c r="S524" t="inlineStr">
        <is>
          <t>UGREEN Type C Male To 3.5mm Audio Adapter</t>
        </is>
      </c>
      <c r="T524">
        <v>27</v>
      </c>
      <c r="U524">
        <v>155</v>
      </c>
      <c r="V524" t="inlineStr">
        <is>
          <t>PHP</t>
        </is>
      </c>
      <c r="W524">
        <v>4185</v>
      </c>
      <c r="X524" s="2" t="str">
        <f>=HYPERLINK("https://www.larksuite.com/approval/admin/previewAttachment?key=PMg9CgIxFATgK828zPvzMja7BEG2EqJNzi5Y2H5RRJRzRENNa3CnO8NQXVV0NzG2bWY2ksna5zXvb83DnPN6rs9w7fU45vmid5ohhzQKAG9_HympO4Sf8xsAAP__", "2 attachment(s)")</f>
        <v>2 attachment(s)</v>
      </c>
      <c r="Y524"/>
      <c r="Z524"/>
      <c r="AA524"/>
      <c r="AB524"/>
      <c r="AC524"/>
      <c r="AD524" s="4"/>
      <c r="AE524"/>
      <c r="AF524" s="2"/>
      <c r="AG524" t="inlineStr">
        <is>
          <t>NzQyNTk5MTgyNzQ4MTg3MDM0MTowNjkwNDNDQi03RjM4LTQyMkUtQTY1NC1FOTVCMkM2MzRDNkYtMjoyYzExYmIzZDc3NTdhMjIwNTM5MDgxNDg1NmRjZmY4ZTox</t>
        </is>
      </c>
      <c r="AH524"/>
      <c r="AI524"/>
      <c r="AJ524"/>
      <c r="AK524"/>
    </row>
    <row r="525" ht="25.5" customHeight="1">
      <c r="A525" s="2" t="str">
        <f>=HYPERLINK("https://applink.larksuite.com/client/mini_program/open?appId=cli_9c7cc8a9a9edd105&amp;mode=appCenter&amp;path_pc=pc/pages/requested/index?instanceId=7551625881907724319&amp;source=bitable&amp;path=pages/detail/index?instanceId=7551625881907724319&amp;source=bitable", "202509190010")</f>
        <v>202509190010</v>
      </c>
      <c r="B525" t="inlineStr">
        <is>
          <t>Approved</t>
        </is>
      </c>
      <c r="C525" t="inlineStr">
        <is>
          <t>Procurement Order</t>
        </is>
      </c>
      <c r="D525" s="3">
        <v>45919.4480787037</v>
      </c>
      <c r="E525" s="3">
        <v>45919.51070601852</v>
      </c>
      <c r="F525" t="inlineStr">
        <is>
          <t>Arlyn Castillo</t>
        </is>
      </c>
      <c r="G525" t="inlineStr">
        <is>
          <t>Procurement</t>
        </is>
      </c>
      <c r="H525"/>
      <c r="I525"/>
      <c r="J525" t="inlineStr">
        <is>
          <t>Project</t>
        </is>
      </c>
      <c r="K525" t="inlineStr">
        <is>
          <t>GG - Event Service</t>
        </is>
      </c>
      <c r="L525" t="inlineStr">
        <is>
          <t>HOK Philippine Kings League - Fall Season</t>
        </is>
      </c>
      <c r="M525" t="inlineStr">
        <is>
          <t>2025TEG-P0219</t>
        </is>
      </c>
      <c r="N525" t="inlineStr">
        <is>
          <t>Carla Andrea Calma Crespo</t>
        </is>
      </c>
      <c r="O525" t="inlineStr">
        <is>
          <t>202509150124-Carla Andrea Calma Crespo-费用报销 - 副本 - 副本 - 副本-2025-09-15 13:29:23</t>
        </is>
      </c>
      <c r="P525" t="inlineStr">
        <is>
          <t>NO</t>
        </is>
      </c>
      <c r="Q525"/>
      <c r="R525" t="inlineStr">
        <is>
          <t>YES</t>
        </is>
      </c>
      <c r="S525" t="inlineStr">
        <is>
          <t>Phone Dongles (UGREEN USB-C To 3*USB 3.0 A+HDMI+VGA+RJ45 Gigabit+SD/TF+AUX3.5mm+PD Converter (10-in-1)</t>
        </is>
      </c>
      <c r="T525">
        <v>10</v>
      </c>
      <c r="U525">
        <v>1799</v>
      </c>
      <c r="V525" t="inlineStr">
        <is>
          <t>PHP</t>
        </is>
      </c>
      <c r="W525">
        <v>17990</v>
      </c>
      <c r="X525" s="2" t="str">
        <f>=HYPERLINK("https://www.larksuite.com/approval/admin/previewAttachment?key=PMgxrsJADATQK814vR77X-Y3RCuESIUShcJnR6KgfZFE5OSIghetwNacDJuZLEjmg9XWlAqimL3t69_O48L7yf16LPjR5_22thdnyQwa7iMB8O_nQ-5eFY6v4xMAAP__", "2 attachment(s)")</f>
        <v>2 attachment(s)</v>
      </c>
      <c r="Y525" t="inlineStr">
        <is>
          <t>Bank Transfer</t>
        </is>
      </c>
      <c r="Z525" t="inlineStr">
        <is>
          <t>Iontech Inc</t>
        </is>
      </c>
      <c r="AA525" t="inlineStr">
        <is>
          <t>004-763-0449-34</t>
        </is>
      </c>
      <c r="AB525" t="inlineStr">
        <is>
          <t>BPI</t>
        </is>
      </c>
      <c r="AC525" t="inlineStr">
        <is>
          <t>Rm 200, Timbol-Singh Building, 915 Aurora Blvd. Cubao, Quezon City</t>
        </is>
      </c>
      <c r="AD525" s="4">
        <v>45919</v>
      </c>
      <c r="AE525" t="inlineStr">
        <is>
          <t>100% Full payment before delivery</t>
        </is>
      </c>
      <c r="AF525" s="2" t="str">
        <f>=HYPERLINK("https://www.larksuite.com/approval/admin/previewAttachment?key=TMg7qsJgEAXgLZ0z77mbuY3hR8RUkhCLWbtgZftFEVFOjYY1pcFJd4Z4FRuZYsoeGWY2ksmabV__ch4X3k_u12PBjjnvt7W9GKUBazdjA-Dfj5Po0tCv4xMAAP__", "1 attachment(s)")</f>
        <v>1 attachment(s)</v>
      </c>
      <c r="AG525" t="inlineStr">
        <is>
          <t>NzQyNTk5MTgyNzQ4MTg3MDM0MTo2OTUyRDQ1QS02RkM4LTRFN0QtQUYyOS03MkJFQzY1MzU4MzItMTo0ZjM2NjE4MzU4NmI4NWJkN2U1MjlmMTExOTQ2MWI0NTox</t>
        </is>
      </c>
      <c r="AH525" t="inlineStr">
        <is>
          <t>Iontech Inc</t>
        </is>
      </c>
      <c r="AI525"/>
      <c r="AJ525"/>
      <c r="AK525"/>
    </row>
    <row r="526" ht="25.5" customHeight="1">
      <c r="A526" s="2" t="str">
        <f>=HYPERLINK("https://applink.larksuite.com/client/mini_program/open?appId=cli_9c7cc8a9a9edd105&amp;mode=appCenter&amp;path_pc=pc/pages/requested/index?instanceId=7552759403531812902&amp;source=bitable&amp;path=pages/detail/index?instanceId=7552759403531812902&amp;source=bitable", "202509220028")</f>
        <v>202509220028</v>
      </c>
      <c r="B526" t="inlineStr">
        <is>
          <t>Approved</t>
        </is>
      </c>
      <c r="C526" t="inlineStr">
        <is>
          <t>Procurement Order</t>
        </is>
      </c>
      <c r="D526" s="3">
        <v>45922.50269675926</v>
      </c>
      <c r="E526" s="3">
        <v>45923.603125</v>
      </c>
      <c r="F526" t="inlineStr">
        <is>
          <t>Fatima Kathleen M. FLores</t>
        </is>
      </c>
      <c r="G526" t="inlineStr">
        <is>
          <t>Procurement</t>
        </is>
      </c>
      <c r="H526"/>
      <c r="I526"/>
      <c r="J526" t="inlineStr">
        <is>
          <t>Project</t>
        </is>
      </c>
      <c r="K526" t="inlineStr">
        <is>
          <t>PDEI - Game Marketing</t>
        </is>
      </c>
      <c r="L526" t="inlineStr">
        <is>
          <t>Met Park: Rainy Day Tails Pet Party</t>
        </is>
      </c>
      <c r="M526" t="inlineStr">
        <is>
          <t>2025TEG-P0190</t>
        </is>
      </c>
      <c r="N526" t="inlineStr">
        <is>
          <t>Clifford Markus Ortiz Martinez</t>
        </is>
      </c>
      <c r="O526" t="inlineStr">
        <is>
          <t>202509200008-Clifford Markus Ortiz Martinez-费用报销 - 副本 - 副本 - 副本-2025-09-20 05:37:03</t>
        </is>
      </c>
      <c r="P526" t="inlineStr">
        <is>
          <t>NO</t>
        </is>
      </c>
      <c r="Q526"/>
      <c r="R526" t="inlineStr">
        <is>
          <t>YES</t>
        </is>
      </c>
      <c r="S526" t="inlineStr">
        <is>
          <t>Rental of Audio System</t>
        </is>
      </c>
      <c r="T526">
        <v>1</v>
      </c>
      <c r="U526">
        <v>55000</v>
      </c>
      <c r="V526" t="inlineStr">
        <is>
          <t>PHP</t>
        </is>
      </c>
      <c r="W526">
        <v>55000</v>
      </c>
      <c r="X526" s="2" t="str">
        <f>=HYPERLINK("https://www.larksuite.com/approval/admin/previewAttachment?key=PMg7CgJBEATQK1X1Z2ray5g4LKJuJAob9NlFA9M3JjFm0kchilZgK9OUFfB0zq9ZW1MqiOLstW_nu60Dtr9uxyNB6_f1sq0ns2QGeYRPADz93RURVSPwc3wCAAD__w", "2 attachment(s)")</f>
        <v>2 attachment(s)</v>
      </c>
      <c r="Y526" t="inlineStr">
        <is>
          <t>Bank Transfer</t>
        </is>
      </c>
      <c r="Z526" t="inlineStr">
        <is>
          <t>Music Matrix Lights &amp; Sound Co.</t>
        </is>
      </c>
      <c r="AA526" t="inlineStr">
        <is>
          <t>288-7-28852354-8</t>
        </is>
      </c>
      <c r="AB526" t="inlineStr">
        <is>
          <t>Metrobank</t>
        </is>
      </c>
      <c r="AC526" t="inlineStr">
        <is>
          <t>570 M. Gonzaga St., Hagdang Bato Itaas, Mandaluyong City</t>
        </is>
      </c>
      <c r="AD526" s="4">
        <v>45921</v>
      </c>
      <c r="AE526" t="inlineStr">
        <is>
          <t>100% Full Payment</t>
        </is>
      </c>
      <c r="AF526" s="2" t="str">
        <f>=HYPERLINK("https://www.larksuite.com/approval/admin/previewAttachment?key=TMi7CQJhEATglmb2vTZj4s8h6kWicMHWLhqZflFElFOjYU1pcNJd0tugrqyvycgws5FM1qx9O99lHZD9dTseDsq8r5dtPRmlAWs3YwPg6c9JdGnoz_EJAAD__w", "3 attachment(s)")</f>
        <v>3 attachment(s)</v>
      </c>
      <c r="AG526" t="inlineStr">
        <is>
          <t>NzQyNTk5MTgyNzQ4MTg3MDM0MTpCNTc5NzI0QS1GRUM1LTQ0RjktQTg0Qi0wMkIxQzVBMzZEMTEtMTpjYTJjYWZmNGY4ZWNmZjI4YWM0NDhjMzQyN2JhNjY3Yjox</t>
        </is>
      </c>
      <c r="AH526" t="inlineStr">
        <is>
          <t>Music Matrix Lights &amp; Sound Co.</t>
        </is>
      </c>
      <c r="AI526"/>
      <c r="AJ526"/>
      <c r="AK526"/>
    </row>
    <row r="527" ht="25.5" customHeight="1">
      <c r="A527" s="2" t="str">
        <f>=HYPERLINK("https://applink.larksuite.com/client/mini_program/open?appId=cli_9c7cc8a9a9edd105&amp;mode=appCenter&amp;path_pc=pc/pages/requested/index?instanceId=7553149363933954086&amp;source=bitable&amp;path=pages/detail/index?instanceId=7553149363933954086&amp;source=bitable", "202509230027")</f>
        <v>202509230027</v>
      </c>
      <c r="B527" t="inlineStr">
        <is>
          <t>Approved</t>
        </is>
      </c>
      <c r="C527" t="inlineStr">
        <is>
          <t>Procurement Order</t>
        </is>
      </c>
      <c r="D527" s="3">
        <v>45923.553564814814</v>
      </c>
      <c r="E527" s="3">
        <v>45923.60450231482</v>
      </c>
      <c r="F527" t="inlineStr">
        <is>
          <t>Fatima Kathleen M. FLores</t>
        </is>
      </c>
      <c r="G527" t="inlineStr">
        <is>
          <t>Procurement</t>
        </is>
      </c>
      <c r="H527"/>
      <c r="I527"/>
      <c r="J527" t="inlineStr">
        <is>
          <t>Project</t>
        </is>
      </c>
      <c r="K527" t="inlineStr">
        <is>
          <t>PDEI - Game Marketing</t>
        </is>
      </c>
      <c r="L527" t="inlineStr">
        <is>
          <t>Met Park: Rainy Day Tails Pet Party</t>
        </is>
      </c>
      <c r="M527" t="inlineStr">
        <is>
          <t>2025TEG-P0190</t>
        </is>
      </c>
      <c r="N527" t="inlineStr">
        <is>
          <t>Clifford Markus Ortiz Martinez</t>
        </is>
      </c>
      <c r="O527" t="inlineStr">
        <is>
          <t>202509120160-Clifford Markus Ortiz Martinez-费用报销 - 副本 - 副本 - 副本-2025-09-12 15:22:27</t>
        </is>
      </c>
      <c r="P527" t="inlineStr">
        <is>
          <t>NO</t>
        </is>
      </c>
      <c r="Q527"/>
      <c r="R527" t="inlineStr">
        <is>
          <t>NO</t>
        </is>
      </c>
      <c r="S527" t="inlineStr">
        <is>
          <t>12” X 12” FLOOR STICKERS</t>
        </is>
      </c>
      <c r="T527">
        <v>10</v>
      </c>
      <c r="U527">
        <v>216</v>
      </c>
      <c r="V527" t="inlineStr">
        <is>
          <t>PHP</t>
        </is>
      </c>
      <c r="W527">
        <v>2160</v>
      </c>
      <c r="X527" s="2"/>
      <c r="Y527" t="inlineStr">
        <is>
          <t>Bank Transfer</t>
        </is>
      </c>
      <c r="Z527" t="inlineStr">
        <is>
          <t>iLIGHT PRODUCTION</t>
        </is>
      </c>
      <c r="AA527" t="inlineStr">
        <is>
          <t>007960010274</t>
        </is>
      </c>
      <c r="AB527" t="inlineStr">
        <is>
          <t>BDO</t>
        </is>
      </c>
      <c r="AC527" t="inlineStr">
        <is>
          <t>3791 Mascardo St. Brgy, Sta Cruz, Makati City</t>
        </is>
      </c>
      <c r="AD527" s="4">
        <v>45918</v>
      </c>
      <c r="AE527" t="inlineStr">
        <is>
          <t>100% Full Payment</t>
        </is>
      </c>
      <c r="AF527" s="2"/>
      <c r="AG527" t="inlineStr">
        <is>
          <t>NzQyNTk5MTgyNzQ4MTg3MDM0MTozNDRCMjEzRi1GOUU1LTQxNEUtQTAwNS02ODQ0RERCRUQyQ0QtMTo4ZWFmN2ZhYWUwOTg2OTA0YmMzM2ExMzIyZjM4Mzk3ZTox</t>
        </is>
      </c>
      <c r="AH527" t="inlineStr">
        <is>
          <t>iLIGHT PRODUCTION</t>
        </is>
      </c>
      <c r="AI527"/>
      <c r="AJ527"/>
      <c r="AK527"/>
    </row>
    <row r="528" ht="25.5" customHeight="1">
      <c r="A528" s="2" t="str">
        <f>=HYPERLINK("https://applink.larksuite.com/client/mini_program/open?appId=cli_9c7cc8a9a9edd105&amp;mode=appCenter&amp;path_pc=pc/pages/requested/index?instanceId=7553149363933954086&amp;source=bitable&amp;path=pages/detail/index?instanceId=7553149363933954086&amp;source=bitable", "202509230027")</f>
        <v>202509230027</v>
      </c>
      <c r="B528" t="inlineStr">
        <is>
          <t>Approved</t>
        </is>
      </c>
      <c r="C528" t="inlineStr">
        <is>
          <t>Procurement Order</t>
        </is>
      </c>
      <c r="D528" s="3">
        <v>45923.553564814814</v>
      </c>
      <c r="E528" s="3">
        <v>45923.60450231482</v>
      </c>
      <c r="F528" t="inlineStr">
        <is>
          <t>Fatima Kathleen M. FLores</t>
        </is>
      </c>
      <c r="G528" t="inlineStr">
        <is>
          <t>Procurement</t>
        </is>
      </c>
      <c r="H528"/>
      <c r="I528"/>
      <c r="J528" t="inlineStr">
        <is>
          <t>Project</t>
        </is>
      </c>
      <c r="K528" t="inlineStr">
        <is>
          <t>PDEI - Game Marketing</t>
        </is>
      </c>
      <c r="L528" t="inlineStr">
        <is>
          <t>Met Park: Rainy Day Tails Pet Party</t>
        </is>
      </c>
      <c r="M528" t="inlineStr">
        <is>
          <t>2025TEG-P0190</t>
        </is>
      </c>
      <c r="N528" t="inlineStr">
        <is>
          <t>Clifford Markus Ortiz Martinez</t>
        </is>
      </c>
      <c r="O528" t="inlineStr">
        <is>
          <t>202509120160-Clifford Markus Ortiz Martinez-费用报销 - 副本 - 副本 - 副本-2025-09-12 15:22:27</t>
        </is>
      </c>
      <c r="P528" t="inlineStr">
        <is>
          <t>NO</t>
        </is>
      </c>
      <c r="Q528"/>
      <c r="R528" t="inlineStr">
        <is>
          <t>NO</t>
        </is>
      </c>
      <c r="S528" t="inlineStr">
        <is>
          <t>12CM X 10CM KISS CUT STICKERS</t>
        </is>
      </c>
      <c r="T528">
        <v>100</v>
      </c>
      <c r="U528">
        <v>34</v>
      </c>
      <c r="V528" t="inlineStr">
        <is>
          <t>PHP</t>
        </is>
      </c>
      <c r="W528">
        <v>3400</v>
      </c>
      <c r="X528" s="2"/>
      <c r="Y528"/>
      <c r="Z528"/>
      <c r="AA528"/>
      <c r="AB528"/>
      <c r="AC528"/>
      <c r="AD528" s="4"/>
      <c r="AE528"/>
      <c r="AF528" s="2"/>
      <c r="AG528" t="inlineStr">
        <is>
          <t>NzQyNTk5MTgyNzQ4MTg3MDM0MTozNDRCMjEzRi1GOUU1LTQxNEUtQTAwNS02ODQ0RERCRUQyQ0QtMjowYzg3MjQ1MTQ4YzIyMjFkOTYzM2Q1NWU5YjUyYjg0NDox</t>
        </is>
      </c>
      <c r="AH528"/>
      <c r="AI528"/>
      <c r="AJ528"/>
      <c r="AK528"/>
    </row>
    <row r="529" ht="25.5" customHeight="1">
      <c r="A529" s="2" t="str">
        <f>=HYPERLINK("https://applink.larksuite.com/client/mini_program/open?appId=cli_9c7cc8a9a9edd105&amp;mode=appCenter&amp;path_pc=pc/pages/requested/index?instanceId=7553149363933954086&amp;source=bitable&amp;path=pages/detail/index?instanceId=7553149363933954086&amp;source=bitable", "202509230027")</f>
        <v>202509230027</v>
      </c>
      <c r="B529" t="inlineStr">
        <is>
          <t>Approved</t>
        </is>
      </c>
      <c r="C529" t="inlineStr">
        <is>
          <t>Procurement Order</t>
        </is>
      </c>
      <c r="D529" s="3">
        <v>45923.553564814814</v>
      </c>
      <c r="E529" s="3">
        <v>45923.60450231482</v>
      </c>
      <c r="F529" t="inlineStr">
        <is>
          <t>Fatima Kathleen M. FLores</t>
        </is>
      </c>
      <c r="G529" t="inlineStr">
        <is>
          <t>Procurement</t>
        </is>
      </c>
      <c r="H529"/>
      <c r="I529"/>
      <c r="J529" t="inlineStr">
        <is>
          <t>Project</t>
        </is>
      </c>
      <c r="K529" t="inlineStr">
        <is>
          <t>PDEI - Game Marketing</t>
        </is>
      </c>
      <c r="L529" t="inlineStr">
        <is>
          <t>Met Park: Rainy Day Tails Pet Party</t>
        </is>
      </c>
      <c r="M529" t="inlineStr">
        <is>
          <t>2025TEG-P0190</t>
        </is>
      </c>
      <c r="N529" t="inlineStr">
        <is>
          <t>Clifford Markus Ortiz Martinez</t>
        </is>
      </c>
      <c r="O529" t="inlineStr">
        <is>
          <t>202509120160-Clifford Markus Ortiz Martinez-费用报销 - 副本 - 副本 - 副本-2025-09-12 15:22:27</t>
        </is>
      </c>
      <c r="P529" t="inlineStr">
        <is>
          <t>NO</t>
        </is>
      </c>
      <c r="Q529"/>
      <c r="R529" t="inlineStr">
        <is>
          <t>NO</t>
        </is>
      </c>
      <c r="S529" t="inlineStr">
        <is>
          <t>16FT X 8FT BACKDROP TARP</t>
        </is>
      </c>
      <c r="T529">
        <v>1</v>
      </c>
      <c r="U529">
        <v>3200</v>
      </c>
      <c r="V529" t="inlineStr">
        <is>
          <t>PHP</t>
        </is>
      </c>
      <c r="W529">
        <v>3200</v>
      </c>
      <c r="X529" s="2"/>
      <c r="Y529"/>
      <c r="Z529"/>
      <c r="AA529"/>
      <c r="AB529"/>
      <c r="AC529"/>
      <c r="AD529" s="4"/>
      <c r="AE529"/>
      <c r="AF529" s="2"/>
      <c r="AG529" t="inlineStr">
        <is>
          <t>NzQyNTk5MTgyNzQ4MTg3MDM0MTozNDRCMjEzRi1GOUU1LTQxNEUtQTAwNS02ODQ0RERCRUQyQ0QtMzphMWQwZmRjNThmNzgwMDM2N2Y4ODExMjljNDkzYTk3MTox</t>
        </is>
      </c>
      <c r="AH529"/>
      <c r="AI529"/>
      <c r="AJ529"/>
      <c r="AK529"/>
    </row>
    <row r="530" ht="25.5" customHeight="1">
      <c r="A530" s="2" t="str">
        <f>=HYPERLINK("https://applink.larksuite.com/client/mini_program/open?appId=cli_9c7cc8a9a9edd105&amp;mode=appCenter&amp;path_pc=pc/pages/requested/index?instanceId=7553149363933954086&amp;source=bitable&amp;path=pages/detail/index?instanceId=7553149363933954086&amp;source=bitable", "202509230027")</f>
        <v>202509230027</v>
      </c>
      <c r="B530" t="inlineStr">
        <is>
          <t>Approved</t>
        </is>
      </c>
      <c r="C530" t="inlineStr">
        <is>
          <t>Procurement Order</t>
        </is>
      </c>
      <c r="D530" s="3">
        <v>45923.553564814814</v>
      </c>
      <c r="E530" s="3">
        <v>45923.60450231482</v>
      </c>
      <c r="F530" t="inlineStr">
        <is>
          <t>Fatima Kathleen M. FLores</t>
        </is>
      </c>
      <c r="G530" t="inlineStr">
        <is>
          <t>Procurement</t>
        </is>
      </c>
      <c r="H530"/>
      <c r="I530"/>
      <c r="J530" t="inlineStr">
        <is>
          <t>Project</t>
        </is>
      </c>
      <c r="K530" t="inlineStr">
        <is>
          <t>PDEI - Game Marketing</t>
        </is>
      </c>
      <c r="L530" t="inlineStr">
        <is>
          <t>Met Park: Rainy Day Tails Pet Party</t>
        </is>
      </c>
      <c r="M530" t="inlineStr">
        <is>
          <t>2025TEG-P0190</t>
        </is>
      </c>
      <c r="N530" t="inlineStr">
        <is>
          <t>Clifford Markus Ortiz Martinez</t>
        </is>
      </c>
      <c r="O530" t="inlineStr">
        <is>
          <t>202509120160-Clifford Markus Ortiz Martinez-费用报销 - 副本 - 副本 - 副本-2025-09-12 15:22:27</t>
        </is>
      </c>
      <c r="P530" t="inlineStr">
        <is>
          <t>NO</t>
        </is>
      </c>
      <c r="Q530"/>
      <c r="R530" t="inlineStr">
        <is>
          <t>NO</t>
        </is>
      </c>
      <c r="S530" t="inlineStr">
        <is>
          <t>4” X 6” STAMP CARD</t>
        </is>
      </c>
      <c r="T530">
        <v>100</v>
      </c>
      <c r="U530">
        <v>8</v>
      </c>
      <c r="V530" t="inlineStr">
        <is>
          <t>PHP</t>
        </is>
      </c>
      <c r="W530">
        <v>800</v>
      </c>
      <c r="X530" s="2" t="str">
        <f>=HYPERLINK("https://www.larksuite.com/approval/admin/previewAttachment?key=PMg5DsIwFATQK_3x_MXDZWhsRSyCBikihc-ORJH2ZYdlDzBlLjQZVkUQLiZFKtx6rrZQJSsU-pqv7Rox7vNxfNt4x_Hc134b2_wgVK1Z0Z3dzHA5neXuUrr9nb8AAAD__w", "2 attachment(s)")</f>
        <v>2 attachment(s)</v>
      </c>
      <c r="Y530"/>
      <c r="Z530"/>
      <c r="AA530"/>
      <c r="AB530"/>
      <c r="AC530"/>
      <c r="AD530" s="4"/>
      <c r="AE530"/>
      <c r="AF530" s="2"/>
      <c r="AG530" t="inlineStr">
        <is>
          <t>NzQyNTk5MTgyNzQ4MTg3MDM0MTozNDRCMjEzRi1GOUU1LTQxNEUtQTAwNS02ODQ0RERCRUQyQ0QtNDo2ZGRiMDg4YmY3Mjk5ZTQ0ZGVkMjAwMWI3NWU5ODY4Mzox</t>
        </is>
      </c>
      <c r="AH530"/>
      <c r="AI530"/>
      <c r="AJ530"/>
      <c r="AK530"/>
    </row>
    <row r="531" ht="25.5" customHeight="1">
      <c r="A531" s="2" t="str">
        <f>=HYPERLINK("https://applink.larksuite.com/client/mini_program/open?appId=cli_9c7cc8a9a9edd105&amp;mode=appCenter&amp;path_pc=pc/pages/requested/index?instanceId=7553192357978538016&amp;source=bitable&amp;path=pages/detail/index?instanceId=7553192357978538016&amp;source=bitable", "202509230055")</f>
        <v>202509230055</v>
      </c>
      <c r="B531" t="inlineStr">
        <is>
          <t>Recalled</t>
        </is>
      </c>
      <c r="C531" t="inlineStr">
        <is>
          <t>Procurement Order</t>
        </is>
      </c>
      <c r="D531" s="3">
        <v>45923.6694212963</v>
      </c>
      <c r="E531" s="3">
        <v>45923.678391203706</v>
      </c>
      <c r="F531" t="inlineStr">
        <is>
          <t>Fatima Kathleen M. FLores</t>
        </is>
      </c>
      <c r="G531" t="inlineStr">
        <is>
          <t>Procurement</t>
        </is>
      </c>
      <c r="H531"/>
      <c r="I531"/>
      <c r="J531" t="inlineStr">
        <is>
          <t>Project</t>
        </is>
      </c>
      <c r="K531" t="inlineStr">
        <is>
          <t>PDEI - Event Service</t>
        </is>
      </c>
      <c r="L531" t="inlineStr">
        <is>
          <t>GTCC 2025: September Arena</t>
        </is>
      </c>
      <c r="M531" t="inlineStr">
        <is>
          <t>2025TEG-P0236</t>
        </is>
      </c>
      <c r="N531" t="inlineStr">
        <is>
          <t>Carla Andrea Calma Crespo</t>
        </is>
      </c>
      <c r="O531" t="inlineStr">
        <is>
          <t>202509140012-Carla Andrea Calma Crespo-费用报销 - 副本 - 副本 - 副本-2025-09-14 14:04:20</t>
        </is>
      </c>
      <c r="P531" t="inlineStr">
        <is>
          <t>YES</t>
        </is>
      </c>
      <c r="Q531"/>
      <c r="R531" t="inlineStr">
        <is>
          <t>NO</t>
        </is>
      </c>
      <c r="S531" t="inlineStr">
        <is>
          <t>Outsourced Host</t>
        </is>
      </c>
      <c r="T531">
        <v>1</v>
      </c>
      <c r="U531">
        <v>30000</v>
      </c>
      <c r="V531" t="inlineStr">
        <is>
          <t>PHP</t>
        </is>
      </c>
      <c r="W531">
        <v>30000</v>
      </c>
      <c r="X531" s="2" t="str">
        <f>=HYPERLINK("https://www.larksuite.com/approval/admin/previewAttachment?key=PMg5qoJBEATgK1X1MtX9LvMSh0FcfgRBTObsgoHpN4oYlfTRiKY1uJXpbPNUq9ILHNs2pYYo1p739f-4rON21bHK3m1zv86nNZ_MlhnkEV4A-PdzV0R0j8DX8QkAAP__", "2 attachment(s)")</f>
        <v>2 attachment(s)</v>
      </c>
      <c r="Y531" t="inlineStr">
        <is>
          <t>Bank Transfer</t>
        </is>
      </c>
      <c r="Z531" t="inlineStr">
        <is>
          <t>Joshua Francis Villamar</t>
        </is>
      </c>
      <c r="AA531" t="inlineStr">
        <is>
          <t>1094 8518 9048</t>
        </is>
      </c>
      <c r="AB531" t="inlineStr">
        <is>
          <t>Unionbank</t>
        </is>
      </c>
      <c r="AC531" t="inlineStr">
        <is>
          <t>Block 14 Lot 8 Primrose st., Bloomfields subd., Brgy.Pasong Putik Proper, Quezon City</t>
        </is>
      </c>
      <c r="AD531" s="4">
        <v>45919</v>
      </c>
      <c r="AE531" t="inlineStr">
        <is>
          <t>1st Payment - Oct. 10, 2025
Final Payment - Oct. 24, 2025</t>
        </is>
      </c>
      <c r="AF531" s="2"/>
      <c r="AG531" t="inlineStr">
        <is>
          <t>NzQyNTk5MTgyNzQ4MTg3MDM0MTo4NDYyN0MxQi1GN0FFLTQ2OTEtODFCRC0xQkMyQkY4MkM0NTItMTpkZTc1Y2MyNTBmZmViNWU4NGZhZTJjNDAwYTc5NmY1Yzox</t>
        </is>
      </c>
      <c r="AH531" t="inlineStr">
        <is>
          <t>Joshua Francis Villamar</t>
        </is>
      </c>
      <c r="AI531"/>
      <c r="AJ531"/>
      <c r="AK531"/>
    </row>
    <row r="532" ht="25.5" customHeight="1">
      <c r="A532" s="2" t="str">
        <f>=HYPERLINK("https://applink.larksuite.com/client/mini_program/open?appId=cli_9c7cc8a9a9edd105&amp;mode=appCenter&amp;path_pc=pc/pages/requested/index?instanceId=7553195798146629664&amp;source=bitable&amp;path=pages/detail/index?instanceId=7553195798146629664&amp;source=bitable", "202509230068")</f>
        <v>202509230068</v>
      </c>
      <c r="B532" t="inlineStr">
        <is>
          <t>Approved</t>
        </is>
      </c>
      <c r="C532" t="inlineStr">
        <is>
          <t>Procurement Order</t>
        </is>
      </c>
      <c r="D532" s="3">
        <v>45923.67869212963</v>
      </c>
      <c r="E532" s="3">
        <v>45923.91741898148</v>
      </c>
      <c r="F532" t="inlineStr">
        <is>
          <t>Fatima Kathleen M. FLores</t>
        </is>
      </c>
      <c r="G532" t="inlineStr">
        <is>
          <t>Procurement</t>
        </is>
      </c>
      <c r="H532"/>
      <c r="I532"/>
      <c r="J532" t="inlineStr">
        <is>
          <t>Project</t>
        </is>
      </c>
      <c r="K532" t="inlineStr">
        <is>
          <t>PDEI - Event Service</t>
        </is>
      </c>
      <c r="L532" t="inlineStr">
        <is>
          <t>GTCC 2025: September Arena</t>
        </is>
      </c>
      <c r="M532" t="inlineStr">
        <is>
          <t>2025TEG-P0236</t>
        </is>
      </c>
      <c r="N532" t="inlineStr">
        <is>
          <t>Carla Andrea Calma Crespo</t>
        </is>
      </c>
      <c r="O532" t="inlineStr">
        <is>
          <t>202509140012-Carla Andrea Calma Crespo-费用报销 - 副本 - 副本 - 副本-2025-09-14 14:04:20</t>
        </is>
      </c>
      <c r="P532" t="inlineStr">
        <is>
          <t>YES</t>
        </is>
      </c>
      <c r="Q532"/>
      <c r="R532" t="inlineStr">
        <is>
          <t>NO</t>
        </is>
      </c>
      <c r="S532" t="inlineStr">
        <is>
          <t>Outsourced Caster / Analyst</t>
        </is>
      </c>
      <c r="T532">
        <v>1</v>
      </c>
      <c r="U532">
        <v>30000</v>
      </c>
      <c r="V532" t="inlineStr">
        <is>
          <t>PHP</t>
        </is>
      </c>
      <c r="W532">
        <v>30000</v>
      </c>
      <c r="X532" s="2" t="str">
        <f>=HYPERLINK("https://www.larksuite.com/approval/admin/previewAttachment?key=PMg9CgIxFATgK73J-5mMl7FJWERZEQRli5xdsNj2qw6rnvCShdBkWMx0KKmOqGqqitUWSBlB9DX37XrfZx6M1_F9-niM9bmNbb6RYmtGj_BuZric7owIqcL-br8AAAD__w", "2 attachment(s)")</f>
        <v>2 attachment(s)</v>
      </c>
      <c r="Y532" t="inlineStr">
        <is>
          <t>Bank Transfer</t>
        </is>
      </c>
      <c r="Z532" t="inlineStr">
        <is>
          <t>Joshua Francis Villamar</t>
        </is>
      </c>
      <c r="AA532" t="inlineStr">
        <is>
          <t>1094 8518 9048</t>
        </is>
      </c>
      <c r="AB532" t="inlineStr">
        <is>
          <t>Unionbank</t>
        </is>
      </c>
      <c r="AC532" t="inlineStr">
        <is>
          <t>Block 14 Lot 8 Primrose st., Bloomfields subd., Brgy.Pasong Putik Proper, Quezon City</t>
        </is>
      </c>
      <c r="AD532" s="4">
        <v>45919</v>
      </c>
      <c r="AE532" t="inlineStr">
        <is>
          <t>1st Payment - Oct. 10, 2025
Final Payment - Oct. 24, 2025</t>
        </is>
      </c>
      <c r="AF532" s="2"/>
      <c r="AG532" t="inlineStr">
        <is>
          <t>NzQyNTk5MTgyNzQ4MTg3MDM0MTpFQjU4RjA4Qy02NDU4LTRFMzItODg0OC03MEM5NDQxRjAzNDYtMTozYmUzZGY1ZTViYTdmZmYzYjE1YzY5MjcxOGQyNjVkYjox</t>
        </is>
      </c>
      <c r="AH532" t="inlineStr">
        <is>
          <t>Joshua Francis Villamar</t>
        </is>
      </c>
      <c r="AI532"/>
      <c r="AJ532"/>
      <c r="AK532"/>
    </row>
    <row r="533" ht="25.5" customHeight="1">
      <c r="A533" s="2" t="str">
        <f>=HYPERLINK("https://applink.larksuite.com/client/mini_program/open?appId=cli_9c7cc8a9a9edd105&amp;mode=appCenter&amp;path_pc=pc/pages/requested/index?instanceId=7553196165710430247&amp;source=bitable&amp;path=pages/detail/index?instanceId=7553196165710430247&amp;source=bitable", "202509230069")</f>
        <v>202509230069</v>
      </c>
      <c r="B533" t="inlineStr">
        <is>
          <t>Approved</t>
        </is>
      </c>
      <c r="C533" t="inlineStr">
        <is>
          <t>Procurement Order</t>
        </is>
      </c>
      <c r="D533" s="3">
        <v>45923.6796875</v>
      </c>
      <c r="E533" s="3">
        <v>45923.91769675926</v>
      </c>
      <c r="F533" t="inlineStr">
        <is>
          <t>Fatima Kathleen M. FLores</t>
        </is>
      </c>
      <c r="G533" t="inlineStr">
        <is>
          <t>Procurement</t>
        </is>
      </c>
      <c r="H533"/>
      <c r="I533"/>
      <c r="J533" t="inlineStr">
        <is>
          <t>Project</t>
        </is>
      </c>
      <c r="K533" t="inlineStr">
        <is>
          <t>PDEI - Event Service</t>
        </is>
      </c>
      <c r="L533" t="inlineStr">
        <is>
          <t>GTCC 2025: September Arena</t>
        </is>
      </c>
      <c r="M533" t="inlineStr">
        <is>
          <t>2025TEG-P0236</t>
        </is>
      </c>
      <c r="N533" t="inlineStr">
        <is>
          <t>Carla Andrea Calma Crespo</t>
        </is>
      </c>
      <c r="O533" t="inlineStr">
        <is>
          <t>202509140012-Carla Andrea Calma Crespo-费用报销 - 副本 - 副本 - 副本-2025-09-14 14:04:20</t>
        </is>
      </c>
      <c r="P533" t="inlineStr">
        <is>
          <t>YES</t>
        </is>
      </c>
      <c r="Q533"/>
      <c r="R533" t="inlineStr">
        <is>
          <t>NO</t>
        </is>
      </c>
      <c r="S533" t="inlineStr">
        <is>
          <t>Outsourced Caster / Analyst</t>
        </is>
      </c>
      <c r="T533">
        <v>1</v>
      </c>
      <c r="U533">
        <v>30000</v>
      </c>
      <c r="V533" t="inlineStr">
        <is>
          <t>PHP</t>
        </is>
      </c>
      <c r="W533">
        <v>30000</v>
      </c>
      <c r="X533" s="2" t="str">
        <f>=HYPERLINK("https://www.larksuite.com/approval/admin/previewAttachment?key=PMg7CoJBDATgK80k2WTHy9i4LOILQbDL2QWLv_1yEjkHPYUQTWDXGE4lcxQRDotqa1YJxeLs9dzn922_HrGpKdxt9fd62evDoTJDeYRPADwd7hURUgb-jl8AAAD__w", "2 attachment(s)")</f>
        <v>2 attachment(s)</v>
      </c>
      <c r="Y533" t="inlineStr">
        <is>
          <t>Bank Transfer</t>
        </is>
      </c>
      <c r="Z533" t="inlineStr">
        <is>
          <t>Matthew Jose A. Duma</t>
        </is>
      </c>
      <c r="AA533" t="inlineStr">
        <is>
          <t>631110013410</t>
        </is>
      </c>
      <c r="AB533" t="inlineStr">
        <is>
          <t>PSBank</t>
        </is>
      </c>
      <c r="AC533" t="inlineStr">
        <is>
          <t>006 San Francisco Terrace Subd., San Pablo City, Laguna</t>
        </is>
      </c>
      <c r="AD533" s="4">
        <v>45919</v>
      </c>
      <c r="AE533" t="inlineStr">
        <is>
          <t>1st Payment - Oct. 10, 2025
Final Payment - Oct. 24, 2025</t>
        </is>
      </c>
      <c r="AF533" s="2"/>
      <c r="AG533" t="inlineStr">
        <is>
          <t>NzQyNTk5MTgyNzQ4MTg3MDM0MTo1QUMyODdGMC0yQkRELTQ2QTQtOTU1My04Rjc5M0QyRDlENEItMTo2MmU3Y2IzNmQ2OGNiMWFkNWY4YWQ2ZTUzM2VkYzM0Njox</t>
        </is>
      </c>
      <c r="AH533" t="inlineStr">
        <is>
          <t>Matthew Jose A. Duma</t>
        </is>
      </c>
      <c r="AI533"/>
      <c r="AJ533"/>
      <c r="AK533"/>
    </row>
    <row r="534" ht="25.5" customHeight="1">
      <c r="A534" s="2" t="str">
        <f>=HYPERLINK("https://applink.larksuite.com/client/mini_program/open?appId=cli_9c7cc8a9a9edd105&amp;mode=appCenter&amp;path_pc=pc/pages/requested/index?instanceId=7553199983877472287&amp;source=bitable&amp;path=pages/detail/index?instanceId=7553199983877472287&amp;source=bitable", "202509230073")</f>
        <v>202509230073</v>
      </c>
      <c r="B534" t="inlineStr">
        <is>
          <t>Approved</t>
        </is>
      </c>
      <c r="C534" t="inlineStr">
        <is>
          <t>Procurement Order</t>
        </is>
      </c>
      <c r="D534" s="3">
        <v>45923.68997685185</v>
      </c>
      <c r="E534" s="3">
        <v>45923.91680555556</v>
      </c>
      <c r="F534" t="inlineStr">
        <is>
          <t>Fatima Kathleen M. FLores</t>
        </is>
      </c>
      <c r="G534" t="inlineStr">
        <is>
          <t>Procurement</t>
        </is>
      </c>
      <c r="H534"/>
      <c r="I534"/>
      <c r="J534" t="inlineStr">
        <is>
          <t>Project</t>
        </is>
      </c>
      <c r="K534" t="inlineStr">
        <is>
          <t>PDEI - Event Service</t>
        </is>
      </c>
      <c r="L534" t="inlineStr">
        <is>
          <t>GTCC 2025: September Arena</t>
        </is>
      </c>
      <c r="M534" t="inlineStr">
        <is>
          <t>2025TEG-P0236</t>
        </is>
      </c>
      <c r="N534" t="inlineStr">
        <is>
          <t>Carla Andrea Calma Crespo</t>
        </is>
      </c>
      <c r="O534" t="inlineStr">
        <is>
          <t>202509140010-Carla Andrea Calma Crespo-费用报销 - 副本 - 副本 - 副本-2025-09-14 13:42:31</t>
        </is>
      </c>
      <c r="P534" t="inlineStr">
        <is>
          <t>YES</t>
        </is>
      </c>
      <c r="Q534"/>
      <c r="R534" t="inlineStr">
        <is>
          <t>NO</t>
        </is>
      </c>
      <c r="S534" t="inlineStr">
        <is>
          <t>Outsourced Host (Ingan)</t>
        </is>
      </c>
      <c r="T534">
        <v>1</v>
      </c>
      <c r="U534">
        <v>60000</v>
      </c>
      <c r="V534" t="inlineStr">
        <is>
          <t>PHP</t>
        </is>
      </c>
      <c r="W534">
        <v>60000</v>
      </c>
      <c r="X534" s="2" t="str">
        <f>=HYPERLINK("https://www.larksuite.com/approval/admin/previewAttachment?key=PMgxCsJQEATQK83uzv-z42VsEoIgiiCm-2cXLGzf7MDsETUNOtKIpTEqbHe1RGW2Vq6QDIWi1_44rtun78Xzxaegk-u8bcf-jmFlQkVWA4jL30sk7Un8HN8AAAD__w", "2 attachment(s)")</f>
        <v>2 attachment(s)</v>
      </c>
      <c r="Y534" t="inlineStr">
        <is>
          <t>Bank Transfer</t>
        </is>
      </c>
      <c r="Z534" t="inlineStr">
        <is>
          <t>Jose Emmanuel V. Ingan</t>
        </is>
      </c>
      <c r="AA534" t="inlineStr">
        <is>
          <t>2679189061</t>
        </is>
      </c>
      <c r="AB534" t="inlineStr">
        <is>
          <t>BPI</t>
        </is>
      </c>
      <c r="AC534" t="inlineStr">
        <is>
          <t>D3 RSG Townhomes, Rosario, Pasig City</t>
        </is>
      </c>
      <c r="AD534" s="4">
        <v>45919</v>
      </c>
      <c r="AE534" t="inlineStr">
        <is>
          <t>1st Payment - Oct. 10, 2025
2nd Payment - Oct. 24, 2025
Final Payment - Nov. 7, 2025</t>
        </is>
      </c>
      <c r="AF534" s="2"/>
      <c r="AG534" t="inlineStr">
        <is>
          <t>NzQyNTk5MTgyNzQ4MTg3MDM0MTpFQkFCRDdCQy01NTcxLTRDNEItQUQyNC1DRTUxNEQ4NTgzQ0EtMTozNTM3NDExNmQxNTM0YmRkZWRiMGJlMTZhNmNmNzA1ZDox</t>
        </is>
      </c>
      <c r="AH534" t="inlineStr">
        <is>
          <t>Jose Emmanuel V. Ingan</t>
        </is>
      </c>
      <c r="AI534"/>
      <c r="AJ534"/>
      <c r="AK534"/>
    </row>
    <row r="535" ht="25.5" customHeight="1">
      <c r="A535" s="2" t="str">
        <f>=HYPERLINK("https://applink.larksuite.com/client/mini_program/open?appId=cli_9c7cc8a9a9edd105&amp;mode=appCenter&amp;path_pc=pc/pages/requested/index?instanceId=7553211564048891943&amp;source=bitable&amp;path=pages/detail/index?instanceId=7553211564048891943&amp;source=bitable", "202509230081")</f>
        <v>202509230081</v>
      </c>
      <c r="B535" t="inlineStr">
        <is>
          <t>Approved</t>
        </is>
      </c>
      <c r="C535" t="inlineStr">
        <is>
          <t>Procurement Order</t>
        </is>
      </c>
      <c r="D535" s="3">
        <v>45923.721180555556</v>
      </c>
      <c r="E535" s="3">
        <v>45923.91612268519</v>
      </c>
      <c r="F535" t="inlineStr">
        <is>
          <t>Fatima Kathleen M. FLores</t>
        </is>
      </c>
      <c r="G535" t="inlineStr">
        <is>
          <t>Procurement</t>
        </is>
      </c>
      <c r="H535"/>
      <c r="I535"/>
      <c r="J535" t="inlineStr">
        <is>
          <t>Project</t>
        </is>
      </c>
      <c r="K535" t="inlineStr">
        <is>
          <t>PDEI - Event Service</t>
        </is>
      </c>
      <c r="L535" t="inlineStr">
        <is>
          <t>GTCC 2025: September Arena</t>
        </is>
      </c>
      <c r="M535" t="inlineStr">
        <is>
          <t>2025TEG-P0236</t>
        </is>
      </c>
      <c r="N535" t="inlineStr">
        <is>
          <t>Carla Andrea Calma Crespo</t>
        </is>
      </c>
      <c r="O535" t="inlineStr">
        <is>
          <t>202509140011-Carla Andrea Calma Crespo-费用报销 - 副本 - 副本 - 副本-2025-09-14 13:55:30</t>
        </is>
      </c>
      <c r="P535" t="inlineStr">
        <is>
          <t>YES</t>
        </is>
      </c>
      <c r="Q535"/>
      <c r="R535" t="inlineStr">
        <is>
          <t>NO</t>
        </is>
      </c>
      <c r="S535" t="inlineStr">
        <is>
          <t>Outsourced HMUA</t>
        </is>
      </c>
      <c r="T535">
        <v>1</v>
      </c>
      <c r="U535">
        <v>20900</v>
      </c>
      <c r="V535" t="inlineStr">
        <is>
          <t>PHP</t>
        </is>
      </c>
      <c r="W535">
        <v>20900</v>
      </c>
      <c r="X535" s="2" t="str">
        <f>=HYPERLINK("https://www.larksuite.com/approval/admin/previewAttachment?key=PMgxCgJBDAXQK_0_SeYnXsZml0GFqQSxydkFi23fTGJm0GbBi6PAVoQNMqbDM4vl1qMpFUQx-9zrHnE892uJ-HJt9edxrPPNKI0BmbslAN4uN7l71XT8Hb8AAAD__w", "2 attachment(s)")</f>
        <v>2 attachment(s)</v>
      </c>
      <c r="Y535" t="inlineStr">
        <is>
          <t>Bank Transfer</t>
        </is>
      </c>
      <c r="Z535" t="inlineStr">
        <is>
          <t>Grace Filomeno</t>
        </is>
      </c>
      <c r="AA535" t="inlineStr">
        <is>
          <t>007340484415</t>
        </is>
      </c>
      <c r="AB535" t="inlineStr">
        <is>
          <t>BDO</t>
        </is>
      </c>
      <c r="AC535" t="inlineStr">
        <is>
          <t>89 T Santos St. San Jose, Rodriguez, Rizal</t>
        </is>
      </c>
      <c r="AD535" s="4">
        <v>45919</v>
      </c>
      <c r="AE535" t="inlineStr">
        <is>
          <t>100% Full Payment - Oct. 3, 2025</t>
        </is>
      </c>
      <c r="AF535" s="2"/>
      <c r="AG535" t="inlineStr">
        <is>
          <t>NzQyNTk5MTgyNzQ4MTg3MDM0MTo2QUZFREJGMC00QzExLTQ5QzgtOTFEQi0xRDg2QjE4N0E4QjAtMTo2YjRmYzNiNTZlNTAyYTRkNTU4NjVhODNlNzY3YzE5NTox</t>
        </is>
      </c>
      <c r="AH535" t="inlineStr">
        <is>
          <t>Grace Filomeno</t>
        </is>
      </c>
      <c r="AI535"/>
      <c r="AJ535"/>
      <c r="AK535"/>
    </row>
    <row r="536" ht="25.5" customHeight="1">
      <c r="A536" s="2" t="str">
        <f>=HYPERLINK("https://applink.larksuite.com/client/mini_program/open?appId=cli_9c7cc8a9a9edd105&amp;mode=appCenter&amp;path_pc=pc/pages/requested/index?instanceId=7553235846405554207&amp;source=bitable&amp;path=pages/detail/index?instanceId=7553235846405554207&amp;source=bitable", "202509230110")</f>
        <v>202509230110</v>
      </c>
      <c r="B536" t="inlineStr">
        <is>
          <t>Approved</t>
        </is>
      </c>
      <c r="C536" t="inlineStr">
        <is>
          <t>Procurement Order</t>
        </is>
      </c>
      <c r="D536" s="3">
        <v>45923.7866087963</v>
      </c>
      <c r="E536" s="3">
        <v>45923.87126157407</v>
      </c>
      <c r="F536" t="inlineStr">
        <is>
          <t>Fatima Kathleen M. FLores</t>
        </is>
      </c>
      <c r="G536" t="inlineStr">
        <is>
          <t>Procurement</t>
        </is>
      </c>
      <c r="H536"/>
      <c r="I536"/>
      <c r="J536" t="inlineStr">
        <is>
          <t>Project</t>
        </is>
      </c>
      <c r="K536" t="inlineStr">
        <is>
          <t>PDEI - Game Marketing</t>
        </is>
      </c>
      <c r="L536" t="inlineStr">
        <is>
          <t>WCG 2025 Creator Rumble</t>
        </is>
      </c>
      <c r="M536" t="inlineStr">
        <is>
          <t>2025TEG-P0041</t>
        </is>
      </c>
      <c r="N536" t="inlineStr">
        <is>
          <t>Maura Aurel Atilano Yap</t>
        </is>
      </c>
      <c r="O536" t="inlineStr">
        <is>
          <t>202509080119-Maura Aurel Atilano Yap-费用报销 - 副本 - 副本 - 副本-2025-09-08 10:53:19</t>
        </is>
      </c>
      <c r="P536" t="inlineStr">
        <is>
          <t>YES</t>
        </is>
      </c>
      <c r="Q536"/>
      <c r="R536" t="inlineStr">
        <is>
          <t>NO</t>
        </is>
      </c>
      <c r="S536" t="inlineStr">
        <is>
          <t>Outsourced KOL (Chichi)</t>
        </is>
      </c>
      <c r="T536">
        <v>1</v>
      </c>
      <c r="U536">
        <v>165000</v>
      </c>
      <c r="V536" t="inlineStr">
        <is>
          <t>PHP</t>
        </is>
      </c>
      <c r="W536">
        <v>165000</v>
      </c>
      <c r="X536" s="2" t="str">
        <f>=HYPERLINK("https://www.larksuite.com/approval/admin/previewAttachment?key=PMg7DoJBCATgKw0wLOBlbH6y0Rgr46Ph7CYWtt9KwUoXWwWWaEEm3E3Nk4twdypidCSiEBKS0_d9bstbv_P6seO5-5jX5dj9EK9QRRhpCUBOf7cgWbWIn-MbAAD__w", "2 attachment(s)")</f>
        <v>2 attachment(s)</v>
      </c>
      <c r="Y536" t="inlineStr">
        <is>
          <t>Bank Transfer</t>
        </is>
      </c>
      <c r="Z536" t="inlineStr">
        <is>
          <t>Cristina Gutierrez</t>
        </is>
      </c>
      <c r="AA536" t="inlineStr">
        <is>
          <t>109321692252</t>
        </is>
      </c>
      <c r="AB536" t="inlineStr">
        <is>
          <t>Unionbank</t>
        </is>
      </c>
      <c r="AC536" t="inlineStr">
        <is>
          <t>Unit 5A 504 Mariano Marcos, Brgy. Maytunas, San Juan City</t>
        </is>
      </c>
      <c r="AD536" s="4">
        <v>45908</v>
      </c>
      <c r="AE536" t="inlineStr">
        <is>
          <t>1st Payment - Sept. 26, 2025
2nd Payment - Oct. 17, 2025
3rd Payment - Nov. 7, 2025
Final Payment - Nov. 28, 2025</t>
        </is>
      </c>
      <c r="AF536" s="2"/>
      <c r="AG536" t="inlineStr">
        <is>
          <t>NzQyNTk5MTgyNzQ4MTg3MDM0MTpBNUZDQUExOC05MDdGLTRCNTItQjM0My1CMTA4Rjk5N0U5QzItMTozMTRiMDQ5NjJiMjg2NWFjOWFmMzkxOTcxNDcxYzQ3Yjox</t>
        </is>
      </c>
      <c r="AH536" t="inlineStr">
        <is>
          <t>Cristina Gutierrez</t>
        </is>
      </c>
      <c r="AI536"/>
      <c r="AJ536"/>
      <c r="AK536"/>
    </row>
    <row r="537" ht="25.5" customHeight="1">
      <c r="A537" s="2" t="str">
        <f>=HYPERLINK("https://applink.larksuite.com/client/mini_program/open?appId=cli_9c7cc8a9a9edd105&amp;mode=appCenter&amp;path_pc=pc/pages/requested/index?instanceId=7553237021792141350&amp;source=bitable&amp;path=pages/detail/index?instanceId=7553237021792141350&amp;source=bitable", "202509230111")</f>
        <v>202509230111</v>
      </c>
      <c r="B537" t="inlineStr">
        <is>
          <t>Approved</t>
        </is>
      </c>
      <c r="C537" t="inlineStr">
        <is>
          <t>Procurement Order</t>
        </is>
      </c>
      <c r="D537" s="3">
        <v>45923.78978009259</v>
      </c>
      <c r="E537" s="3">
        <v>45923.87149305556</v>
      </c>
      <c r="F537" t="inlineStr">
        <is>
          <t>Fatima Kathleen M. FLores</t>
        </is>
      </c>
      <c r="G537" t="inlineStr">
        <is>
          <t>Procurement</t>
        </is>
      </c>
      <c r="H537"/>
      <c r="I537"/>
      <c r="J537" t="inlineStr">
        <is>
          <t>Project</t>
        </is>
      </c>
      <c r="K537" t="inlineStr">
        <is>
          <t>PDEI - Game Marketing</t>
        </is>
      </c>
      <c r="L537" t="inlineStr">
        <is>
          <t>WCG 2025 Creator Rumble</t>
        </is>
      </c>
      <c r="M537" t="inlineStr">
        <is>
          <t>2025TEG-P0041</t>
        </is>
      </c>
      <c r="N537" t="inlineStr">
        <is>
          <t>Maura Aurel Atilano Yap</t>
        </is>
      </c>
      <c r="O537" t="inlineStr">
        <is>
          <t>202509080119-Maura Aurel Atilano Yap-费用报销 - 副本 - 副本 - 副本-2025-09-08 10:53:19</t>
        </is>
      </c>
      <c r="P537" t="inlineStr">
        <is>
          <t>YES</t>
        </is>
      </c>
      <c r="Q537"/>
      <c r="R537" t="inlineStr">
        <is>
          <t>NO</t>
        </is>
      </c>
      <c r="S537" t="inlineStr">
        <is>
          <t>Outsourced KOL (Archer Perez)</t>
        </is>
      </c>
      <c r="T537">
        <v>1</v>
      </c>
      <c r="U537">
        <v>165000</v>
      </c>
      <c r="V537" t="inlineStr">
        <is>
          <t>PHP</t>
        </is>
      </c>
      <c r="W537">
        <v>165000</v>
      </c>
      <c r="X537" s="2" t="str">
        <f>=HYPERLINK("https://www.larksuite.com/approval/admin/previewAttachment?key=PMgxqgJBEATQK1V190xN_cv8xGURdUUQzfrsgoHpm4uYazCnUWYYbI2RkUJQDhZzoKMpGaK4ejv2f1-OF_1Yt7wWce_3-bRvTw4rAsqqXAD49_NUVdmz8HV8AgAA__8", "2 attachment(s)")</f>
        <v>2 attachment(s)</v>
      </c>
      <c r="Y537" t="inlineStr">
        <is>
          <t>Bank Transfer</t>
        </is>
      </c>
      <c r="Z537" t="inlineStr">
        <is>
          <t>Jomari David Perez</t>
        </is>
      </c>
      <c r="AA537" t="inlineStr">
        <is>
          <t>1094 2852 6040</t>
        </is>
      </c>
      <c r="AB537" t="inlineStr">
        <is>
          <t>Unionbank</t>
        </is>
      </c>
      <c r="AC537" t="inlineStr">
        <is>
          <t>18 Wayfield St. Laguna BelAir 1</t>
        </is>
      </c>
      <c r="AD537" s="4">
        <v>45908</v>
      </c>
      <c r="AE537" t="inlineStr">
        <is>
          <t>1st Payment - Sept. 26, 2025
2nd Payment - Oct. 17, 2025
3rd Payment - Nov. 7, 2025
Final Payment - Nov. 28, 2025</t>
        </is>
      </c>
      <c r="AF537" s="2"/>
      <c r="AG537" t="inlineStr">
        <is>
          <t>NzQyNTk5MTgyNzQ4MTg3MDM0MTpBMDZFREI4Mi1EREMwLTQ3NzMtOTlGQi04MEMzNDAwMDEyMkYtMToxYTdjZmMxZDY1ODI5NDljM2Q0MDI4ODIwYWNkZTYzMjox</t>
        </is>
      </c>
      <c r="AH537" t="inlineStr">
        <is>
          <t>Jomari David Perez</t>
        </is>
      </c>
      <c r="AI537"/>
      <c r="AJ537"/>
      <c r="AK537"/>
    </row>
    <row r="538" ht="25.5" customHeight="1">
      <c r="A538" s="2" t="str">
        <f>=HYPERLINK("https://applink.larksuite.com/client/mini_program/open?appId=cli_9c7cc8a9a9edd105&amp;mode=appCenter&amp;path_pc=pc/pages/requested/index?instanceId=7553238468634132511&amp;source=bitable&amp;path=pages/detail/index?instanceId=7553238468634132511&amp;source=bitable", "202509230112")</f>
        <v>202509230112</v>
      </c>
      <c r="B538" t="inlineStr">
        <is>
          <t>Approved</t>
        </is>
      </c>
      <c r="C538" t="inlineStr">
        <is>
          <t>Procurement Order</t>
        </is>
      </c>
      <c r="D538" s="3">
        <v>45923.79368055556</v>
      </c>
      <c r="E538" s="3">
        <v>45923.871979166666</v>
      </c>
      <c r="F538" t="inlineStr">
        <is>
          <t>Fatima Kathleen M. FLores</t>
        </is>
      </c>
      <c r="G538" t="inlineStr">
        <is>
          <t>Procurement</t>
        </is>
      </c>
      <c r="H538"/>
      <c r="I538"/>
      <c r="J538" t="inlineStr">
        <is>
          <t>Project</t>
        </is>
      </c>
      <c r="K538" t="inlineStr">
        <is>
          <t>PDEI - Game Marketing</t>
        </is>
      </c>
      <c r="L538" t="inlineStr">
        <is>
          <t>WCG 2025 Creator Rumble</t>
        </is>
      </c>
      <c r="M538" t="inlineStr">
        <is>
          <t>2025TEG-P0041</t>
        </is>
      </c>
      <c r="N538" t="inlineStr">
        <is>
          <t>Maura Aurel Atilano Yap</t>
        </is>
      </c>
      <c r="O538" t="inlineStr">
        <is>
          <t>202509080119-Maura Aurel Atilano Yap-费用报销 - 副本 - 副本 - 副本-2025-09-08 10:53:19</t>
        </is>
      </c>
      <c r="P538" t="inlineStr">
        <is>
          <t>YES</t>
        </is>
      </c>
      <c r="Q538"/>
      <c r="R538" t="inlineStr">
        <is>
          <t>NO</t>
        </is>
      </c>
      <c r="S538" t="inlineStr">
        <is>
          <t>Outsourced KOL (Kristian PH)</t>
        </is>
      </c>
      <c r="T538">
        <v>1</v>
      </c>
      <c r="U538">
        <v>165000</v>
      </c>
      <c r="V538" t="inlineStr">
        <is>
          <t>PHP</t>
        </is>
      </c>
      <c r="W538">
        <v>165000</v>
      </c>
      <c r="X538" s="2" t="str">
        <f>=HYPERLINK("https://www.larksuite.com/approval/admin/previewAttachment?key=PMg7CkJBDAXQLd2bZPJxMzYzDIIfBOHBK7J2wcL2eBKeg-oFK0qBHWOoaJqnq1FlkC3NiEIwmL2e-3oe-y2PLVjna857H7e514ejQgShZpoAePm7hplVueHn-AYAAP__", "2 attachment(s)")</f>
        <v>2 attachment(s)</v>
      </c>
      <c r="Y538" t="inlineStr">
        <is>
          <t>Bank Transfer</t>
        </is>
      </c>
      <c r="Z538" t="inlineStr">
        <is>
          <t>Kristian Carl F. Mackay</t>
        </is>
      </c>
      <c r="AA538" t="inlineStr">
        <is>
          <t>005830594634</t>
        </is>
      </c>
      <c r="AB538" t="inlineStr">
        <is>
          <t>BDO</t>
        </is>
      </c>
      <c r="AC538" t="inlineStr">
        <is>
          <t>1635 Rizal Avenue, West-Tapinac, Olongapo City, Zambales</t>
        </is>
      </c>
      <c r="AD538" s="4">
        <v>45908</v>
      </c>
      <c r="AE538" t="inlineStr">
        <is>
          <t>1st Payment - Sept. 26, 2025
2nd Payment - Oct. 17, 2025
3rd Payment - Nov. 7, 2025
Final Payment - Nov. 28, 2025</t>
        </is>
      </c>
      <c r="AF538" s="2"/>
      <c r="AG538" t="inlineStr">
        <is>
          <t>NzQyNTk5MTgyNzQ4MTg3MDM0MToxRkY1RUExQy02OTlBLTQwOUItOTlBNC1ERkJFNEFBOTkwQjQtMTpkYTk0NmFlMTE2MDMzNzhiN2ZmODRhMDAxMWViYjhhNDox</t>
        </is>
      </c>
      <c r="AH538" t="inlineStr">
        <is>
          <t>Kristian Carl F. Mackay</t>
        </is>
      </c>
      <c r="AI538"/>
      <c r="AJ538"/>
      <c r="AK538"/>
    </row>
    <row r="539" ht="25.5" customHeight="1">
      <c r="A539" s="2" t="str">
        <f>=HYPERLINK("https://applink.larksuite.com/client/mini_program/open?appId=cli_9c7cc8a9a9edd105&amp;mode=appCenter&amp;path_pc=pc/pages/requested/index?instanceId=7553239502802731046&amp;source=bitable&amp;path=pages/detail/index?instanceId=7553239502802731046&amp;source=bitable", "202509230113")</f>
        <v>202509230113</v>
      </c>
      <c r="B539" t="inlineStr">
        <is>
          <t>Approved</t>
        </is>
      </c>
      <c r="C539" t="inlineStr">
        <is>
          <t>Procurement Order</t>
        </is>
      </c>
      <c r="D539" s="3">
        <v>45923.79646990741</v>
      </c>
      <c r="E539" s="3">
        <v>45923.872349537036</v>
      </c>
      <c r="F539" t="inlineStr">
        <is>
          <t>Fatima Kathleen M. FLores</t>
        </is>
      </c>
      <c r="G539" t="inlineStr">
        <is>
          <t>Procurement</t>
        </is>
      </c>
      <c r="H539"/>
      <c r="I539"/>
      <c r="J539" t="inlineStr">
        <is>
          <t>Project</t>
        </is>
      </c>
      <c r="K539" t="inlineStr">
        <is>
          <t>PDEI - Game Marketing</t>
        </is>
      </c>
      <c r="L539" t="inlineStr">
        <is>
          <t>WCG 2025 Creator Rumble</t>
        </is>
      </c>
      <c r="M539" t="inlineStr">
        <is>
          <t>2025TEG-P0041</t>
        </is>
      </c>
      <c r="N539" t="inlineStr">
        <is>
          <t>Maura Aurel Atilano Yap</t>
        </is>
      </c>
      <c r="O539" t="inlineStr">
        <is>
          <t>202509080119-Maura Aurel Atilano Yap-费用报销 - 副本 - 副本 - 副本-2025-09-08 10:53:19</t>
        </is>
      </c>
      <c r="P539" t="inlineStr">
        <is>
          <t>YES</t>
        </is>
      </c>
      <c r="Q539"/>
      <c r="R539" t="inlineStr">
        <is>
          <t>NO</t>
        </is>
      </c>
      <c r="S539" t="inlineStr">
        <is>
          <t>Outsourced KOL (Manjean)</t>
        </is>
      </c>
      <c r="T539">
        <v>1</v>
      </c>
      <c r="U539">
        <v>55600</v>
      </c>
      <c r="V539" t="inlineStr">
        <is>
          <t>PHP</t>
        </is>
      </c>
      <c r="W539">
        <v>55600</v>
      </c>
      <c r="X539" s="2" t="str">
        <f>=HYPERLINK("https://www.larksuite.com/approval/admin/previewAttachment?key=PMg7CsJgEATgK83se72MTcKPIEpADFjs2QUL2y-KiHJqNKwpDU66q2g7pCCphMXIMLORTNbsj3Xd3nXX5-dYx9niNudtW_uL3imCVDMtALz8XdPMusPwc3wDAAD__w", "2 attachment(s)")</f>
        <v>2 attachment(s)</v>
      </c>
      <c r="Y539" t="inlineStr">
        <is>
          <t>Bank Transfer</t>
        </is>
      </c>
      <c r="Z539" t="inlineStr">
        <is>
          <t>Manjean F. Faldas</t>
        </is>
      </c>
      <c r="AA539" t="inlineStr">
        <is>
          <t>6086272286</t>
        </is>
      </c>
      <c r="AB539" t="inlineStr">
        <is>
          <t>BPI</t>
        </is>
      </c>
      <c r="AC539" t="inlineStr">
        <is>
          <t>257 - 259 Galvez Building Unit 317 A. Arnaiz St. Pasay City</t>
        </is>
      </c>
      <c r="AD539" s="4">
        <v>45908</v>
      </c>
      <c r="AE539" t="inlineStr">
        <is>
          <t>1st Payment - Sept. 26, 2025
Final Payment - Nov. 7, 2025</t>
        </is>
      </c>
      <c r="AF539" s="2"/>
      <c r="AG539" t="inlineStr">
        <is>
          <t>NzQyNTk5MTgyNzQ4MTg3MDM0MTpGQzk1MDQwMC1FQjc5LTREQUQtQTBFNC05MjU4MEIwNjg0MEUtMTpiOGUzODIyOTVkYWQyZjc2Njk5OTM5NDQ0ZDgxNjRlOTox</t>
        </is>
      </c>
      <c r="AH539" t="inlineStr">
        <is>
          <t>Manjean F. Faldas</t>
        </is>
      </c>
      <c r="AI539"/>
      <c r="AJ539"/>
      <c r="AK539"/>
    </row>
    <row r="540" ht="25.5" customHeight="1">
      <c r="A540" s="2" t="str">
        <f>=HYPERLINK("https://applink.larksuite.com/client/mini_program/open?appId=cli_9c7cc8a9a9edd105&amp;mode=appCenter&amp;path_pc=pc/pages/requested/index?instanceId=7553240837795086367&amp;source=bitable&amp;path=pages/detail/index?instanceId=7553240837795086367&amp;source=bitable", "202509230115")</f>
        <v>202509230115</v>
      </c>
      <c r="B540" t="inlineStr">
        <is>
          <t>Approved</t>
        </is>
      </c>
      <c r="C540" t="inlineStr">
        <is>
          <t>Procurement Order</t>
        </is>
      </c>
      <c r="D540" s="3">
        <v>45923.80006944444</v>
      </c>
      <c r="E540" s="3">
        <v>45923.87293981481</v>
      </c>
      <c r="F540" t="inlineStr">
        <is>
          <t>Fatima Kathleen M. FLores</t>
        </is>
      </c>
      <c r="G540" t="inlineStr">
        <is>
          <t>Procurement</t>
        </is>
      </c>
      <c r="H540"/>
      <c r="I540"/>
      <c r="J540" t="inlineStr">
        <is>
          <t>Project</t>
        </is>
      </c>
      <c r="K540" t="inlineStr">
        <is>
          <t>PDEI - Game Marketing</t>
        </is>
      </c>
      <c r="L540" t="inlineStr">
        <is>
          <t>WCG 2025 Creator Rumble</t>
        </is>
      </c>
      <c r="M540" t="inlineStr">
        <is>
          <t>2025TEG-P0041</t>
        </is>
      </c>
      <c r="N540" t="inlineStr">
        <is>
          <t>Maura Aurel Atilano Yap</t>
        </is>
      </c>
      <c r="O540" t="inlineStr">
        <is>
          <t>202509080119-Maura Aurel Atilano Yap-费用报销 - 副本 - 副本 - 副本-2025-09-08 10:53:19</t>
        </is>
      </c>
      <c r="P540" t="inlineStr">
        <is>
          <t>YES</t>
        </is>
      </c>
      <c r="Q540"/>
      <c r="R540" t="inlineStr">
        <is>
          <t>NO</t>
        </is>
      </c>
      <c r="S540" t="inlineStr">
        <is>
          <t>Outsourced KOL (Razzie Binx)</t>
        </is>
      </c>
      <c r="T540">
        <v>1</v>
      </c>
      <c r="U540">
        <v>165000</v>
      </c>
      <c r="V540" t="inlineStr">
        <is>
          <t>PHP</t>
        </is>
      </c>
      <c r="W540">
        <v>165000</v>
      </c>
      <c r="X540" s="2" t="str">
        <f>=HYPERLINK("https://www.larksuite.com/approval/admin/previewAttachment?key=PMg9CgJBDAXgK71Mfl7iZWxcFhccEYRBi5xdsNj2ixREumgUrGQUpOmuw5BKliNDgz1ayAKFkr3N_Qq14zOf68B3veaj1_22b2_x4higmmkCkMvpSjOrCsPf8QsAAP__", "2 attachment(s)")</f>
        <v>2 attachment(s)</v>
      </c>
      <c r="Y540" t="inlineStr">
        <is>
          <t>Bank Transfer</t>
        </is>
      </c>
      <c r="Z540" t="inlineStr">
        <is>
          <t>Raemon Oscar F Bingcang</t>
        </is>
      </c>
      <c r="AA540" t="inlineStr">
        <is>
          <t>006000379721</t>
        </is>
      </c>
      <c r="AB540" t="inlineStr">
        <is>
          <t>BDO</t>
        </is>
      </c>
      <c r="AC540" t="inlineStr">
        <is>
          <t>Lot 38 Blk 17 Cuenca St, South Forbes Villas</t>
        </is>
      </c>
      <c r="AD540" s="4">
        <v>45908</v>
      </c>
      <c r="AE540" t="inlineStr">
        <is>
          <t>1st Payment - Sept. 26, 2025
2nd Payment - Oct. 17, 2025
3rd Payment - Nov. 7, 2025
Final Payment - Nov. 28, 2025</t>
        </is>
      </c>
      <c r="AF540" s="2"/>
      <c r="AG540" t="inlineStr">
        <is>
          <t>NzQyNTk5MTgyNzQ4MTg3MDM0MTozRTc3M0VGRi0zOENCLTQ1QzUtQTAxOS1CNzcxNEUzNDhENTYtMTozOGYzNDBhMTEwNWRlZGJhNjRmNThlMGM5YTliMjc5Nzox</t>
        </is>
      </c>
      <c r="AH540" t="inlineStr">
        <is>
          <t>Raemon Oscar F Bingcang</t>
        </is>
      </c>
      <c r="AI540"/>
      <c r="AJ540"/>
      <c r="AK540"/>
    </row>
    <row r="541" ht="25.5" customHeight="1">
      <c r="A541" s="2" t="str">
        <f>=HYPERLINK("https://applink.larksuite.com/client/mini_program/open?appId=cli_9c7cc8a9a9edd105&amp;mode=appCenter&amp;path_pc=pc/pages/requested/index?instanceId=7553241908399652902&amp;source=bitable&amp;path=pages/detail/index?instanceId=7553241908399652902&amp;source=bitable", "202509230116")</f>
        <v>202509230116</v>
      </c>
      <c r="B541" t="inlineStr">
        <is>
          <t>Approved</t>
        </is>
      </c>
      <c r="C541" t="inlineStr">
        <is>
          <t>Procurement Order</t>
        </is>
      </c>
      <c r="D541" s="3">
        <v>45923.80295138889</v>
      </c>
      <c r="E541" s="3">
        <v>45925.50266203703</v>
      </c>
      <c r="F541" t="inlineStr">
        <is>
          <t>Fatima Kathleen M. FLores</t>
        </is>
      </c>
      <c r="G541" t="inlineStr">
        <is>
          <t>Procurement</t>
        </is>
      </c>
      <c r="H541"/>
      <c r="I541"/>
      <c r="J541" t="inlineStr">
        <is>
          <t>Project</t>
        </is>
      </c>
      <c r="K541" t="inlineStr">
        <is>
          <t>PDEI - Game Marketing</t>
        </is>
      </c>
      <c r="L541" t="inlineStr">
        <is>
          <t>WCG 2025 Creator Rumble</t>
        </is>
      </c>
      <c r="M541" t="inlineStr">
        <is>
          <t>2025TEG-P0041</t>
        </is>
      </c>
      <c r="N541" t="inlineStr">
        <is>
          <t>Maura Aurel Atilano Yap</t>
        </is>
      </c>
      <c r="O541" t="inlineStr">
        <is>
          <t>202509080119-Maura Aurel Atilano Yap-费用报销 - 副本 - 副本 - 副本-2025-09-08 10:53:19</t>
        </is>
      </c>
      <c r="P541" t="inlineStr">
        <is>
          <t>YES</t>
        </is>
      </c>
      <c r="Q541"/>
      <c r="R541" t="inlineStr">
        <is>
          <t>NO</t>
        </is>
      </c>
      <c r="S541" t="inlineStr">
        <is>
          <t>Outsourced KOL (King FB)</t>
        </is>
      </c>
      <c r="T541">
        <v>1</v>
      </c>
      <c r="U541">
        <v>165000</v>
      </c>
      <c r="V541" t="inlineStr">
        <is>
          <t>PHP</t>
        </is>
      </c>
      <c r="W541">
        <v>165000</v>
      </c>
      <c r="X541" s="2" t="str">
        <f>=HYPERLINK("https://www.larksuite.com/approval/admin/previewAttachment?key=PMhBCsJQDATQK80k-T8ZL-OmpSjSbkSLi5xdcOH2zSJmDfoUQjSBnWO4BYVyaQ4TrK2ZKSST1eu-XZdXPfy4n2Lun-Ps923Z1ieH0gzpEV4AePm7Z0RIM_BzfAMAAP__", "2 attachment(s)")</f>
        <v>2 attachment(s)</v>
      </c>
      <c r="Y541" t="inlineStr">
        <is>
          <t>Bank Transfer</t>
        </is>
      </c>
      <c r="Z541" t="inlineStr">
        <is>
          <t>Royce John I. Sy</t>
        </is>
      </c>
      <c r="AA541" t="inlineStr">
        <is>
          <t>012680008681</t>
        </is>
      </c>
      <c r="AB541" t="inlineStr">
        <is>
          <t>BDO</t>
        </is>
      </c>
      <c r="AC541" t="inlineStr">
        <is>
          <t>B 6 L 11 Regina Lane, Diamond Village Brgy. Kaligayahan Nova. QC</t>
        </is>
      </c>
      <c r="AD541" s="4">
        <v>45908</v>
      </c>
      <c r="AE541" t="inlineStr">
        <is>
          <t>1st Payment - Sept. 26, 2025
2nd Payment - Oct. 17, 2025
3rd Payment - Nov. 7, 2025
Final Payment - Nov. 28, 2025</t>
        </is>
      </c>
      <c r="AF541" s="2"/>
      <c r="AG541" t="inlineStr">
        <is>
          <t>NzQyNTk5MTgyNzQ4MTg3MDM0MTpFMDNFQUI4RC1CN0E5LTQ5QjItQUU2Qi00RUFCNDA4NjRBNkUtMTpjMjNhMzg0ZTViZWFhZTVkM2EyOWRiZjk5ZjU2MGU3NTox</t>
        </is>
      </c>
      <c r="AH541" t="inlineStr">
        <is>
          <t>Royce John I. Sy</t>
        </is>
      </c>
      <c r="AI541"/>
      <c r="AJ541"/>
      <c r="AK541"/>
    </row>
    <row r="542" ht="25.5" customHeight="1">
      <c r="A542" s="2" t="str">
        <f>=HYPERLINK("https://applink.larksuite.com/client/mini_program/open?appId=cli_9c7cc8a9a9edd105&amp;mode=appCenter&amp;path_pc=pc/pages/requested/index?instanceId=7558729482043949088&amp;source=bitable&amp;path=pages/detail/index?instanceId=7558729482043949088&amp;source=bitable", "202510080031")</f>
        <v>202510080031</v>
      </c>
      <c r="B542" t="inlineStr">
        <is>
          <t>Approved</t>
        </is>
      </c>
      <c r="C542" t="inlineStr">
        <is>
          <t>Procurement Order</t>
        </is>
      </c>
      <c r="D542" s="3">
        <v>45938.59085648148</v>
      </c>
      <c r="E542" s="3">
        <v>45951.679074074076</v>
      </c>
      <c r="F542" t="inlineStr">
        <is>
          <t>Arlyn Castillo</t>
        </is>
      </c>
      <c r="G542" t="inlineStr">
        <is>
          <t>Procurement</t>
        </is>
      </c>
      <c r="H542"/>
      <c r="I542"/>
      <c r="J542" t="inlineStr">
        <is>
          <t>Project</t>
        </is>
      </c>
      <c r="K542" t="inlineStr">
        <is>
          <t>GG - Event Service</t>
        </is>
      </c>
      <c r="L542" t="inlineStr">
        <is>
          <t>HOK Philippine Kings League - Fall Season</t>
        </is>
      </c>
      <c r="M542" t="inlineStr">
        <is>
          <t>2025TEG-P0219</t>
        </is>
      </c>
      <c r="N542" t="inlineStr">
        <is>
          <t>Frances Angelita Arreglado</t>
        </is>
      </c>
      <c r="O542" t="inlineStr">
        <is>
          <t>202509280009-Reign Santos Fortea-费用报销 - 副本 - 副本 - 副本-2025-09-28 08:20:36</t>
        </is>
      </c>
      <c r="P542" t="inlineStr">
        <is>
          <t>NO</t>
        </is>
      </c>
      <c r="Q542"/>
      <c r="R542" t="inlineStr">
        <is>
          <t>YES</t>
        </is>
      </c>
      <c r="S542" t="inlineStr">
        <is>
          <t>Rental of Folding Chairs (4days)</t>
        </is>
      </c>
      <c r="T542">
        <v>200</v>
      </c>
      <c r="U542">
        <v>320</v>
      </c>
      <c r="V542" t="inlineStr">
        <is>
          <t>PHP</t>
        </is>
      </c>
      <c r="W542">
        <v>64000</v>
      </c>
      <c r="X542" s="2"/>
      <c r="Y542" t="inlineStr">
        <is>
          <t>Bank Transfer</t>
        </is>
      </c>
      <c r="Z542" t="inlineStr">
        <is>
          <t>SPE Events Management And Services Party Needs Rental</t>
        </is>
      </c>
      <c r="AA542" t="inlineStr">
        <is>
          <t>141102017588</t>
        </is>
      </c>
      <c r="AB542" t="inlineStr">
        <is>
          <t>China Bank Corporation</t>
        </is>
      </c>
      <c r="AC542" t="inlineStr">
        <is>
          <t>10A St. Benedict, Paradise Village, Sangandaan, QC</t>
        </is>
      </c>
      <c r="AD542" s="4">
        <v>45938</v>
      </c>
      <c r="AE542" t="inlineStr">
        <is>
          <t>50% down-payment
50% day of service</t>
        </is>
      </c>
      <c r="AF542" s="2"/>
      <c r="AG542" t="inlineStr">
        <is>
          <t>NzQyNTk5MTgyNzQ4MTg3MDM0MTpGMTQzNzAyOS0yNUFCLTQ1NDktOTcyMC0zQTI5NjJCQTE3ODgtMTo1MDIwOTM3N2EzNzg4Yzc0NjVmMzEyNmFkMmJjMDBkYTox</t>
        </is>
      </c>
      <c r="AH542" t="inlineStr">
        <is>
          <t>SPE Events Management And Services Party Needs Rental</t>
        </is>
      </c>
      <c r="AI542"/>
      <c r="AJ542" t="inlineStr">
        <is>
          <t>LIQUIDITY PLAN (PAR # 202508190134 / 2025TEG-P0219)
INTERNAL 0820 COST ESTIMATE &gt; PLAYOFFS &gt;
AUDIENCE AREA &gt;
Audience Chair
Stancions/ Barricades
This Budget: Php 52,000.00
This Request: Php 121,000.00
Balance: (Php 69,000.00) OVERBUDGET</t>
        </is>
      </c>
      <c r="AK542"/>
    </row>
    <row r="543" ht="25.5" customHeight="1">
      <c r="A543" s="2" t="str">
        <f>=HYPERLINK("https://applink.larksuite.com/client/mini_program/open?appId=cli_9c7cc8a9a9edd105&amp;mode=appCenter&amp;path_pc=pc/pages/requested/index?instanceId=7558729482043949088&amp;source=bitable&amp;path=pages/detail/index?instanceId=7558729482043949088&amp;source=bitable", "202510080031")</f>
        <v>202510080031</v>
      </c>
      <c r="B543" t="inlineStr">
        <is>
          <t>Approved</t>
        </is>
      </c>
      <c r="C543" t="inlineStr">
        <is>
          <t>Procurement Order</t>
        </is>
      </c>
      <c r="D543" s="3">
        <v>45938.59085648148</v>
      </c>
      <c r="E543" s="3">
        <v>45951.679074074076</v>
      </c>
      <c r="F543" t="inlineStr">
        <is>
          <t>Arlyn Castillo</t>
        </is>
      </c>
      <c r="G543" t="inlineStr">
        <is>
          <t>Procurement</t>
        </is>
      </c>
      <c r="H543"/>
      <c r="I543"/>
      <c r="J543" t="inlineStr">
        <is>
          <t>Project</t>
        </is>
      </c>
      <c r="K543" t="inlineStr">
        <is>
          <t>GG - Event Service</t>
        </is>
      </c>
      <c r="L543" t="inlineStr">
        <is>
          <t>HOK Philippine Kings League - Fall Season</t>
        </is>
      </c>
      <c r="M543" t="inlineStr">
        <is>
          <t>2025TEG-P0219</t>
        </is>
      </c>
      <c r="N543" t="inlineStr">
        <is>
          <t>Frances Angelita Arreglado</t>
        </is>
      </c>
      <c r="O543" t="inlineStr">
        <is>
          <t>202509280009-Reign Santos Fortea-费用报销 - 副本 - 副本 - 副本-2025-09-28 08:20:36</t>
        </is>
      </c>
      <c r="P543" t="inlineStr">
        <is>
          <t>NO</t>
        </is>
      </c>
      <c r="Q543"/>
      <c r="R543" t="inlineStr">
        <is>
          <t>YES</t>
        </is>
      </c>
      <c r="S543" t="inlineStr">
        <is>
          <t>Rental of Gold Stanchions w/ red velvet rope (4days)</t>
        </is>
      </c>
      <c r="T543">
        <v>30</v>
      </c>
      <c r="U543">
        <v>1500</v>
      </c>
      <c r="V543" t="inlineStr">
        <is>
          <t>PHP</t>
        </is>
      </c>
      <c r="W543">
        <v>45000</v>
      </c>
      <c r="X543" s="2"/>
      <c r="Y543"/>
      <c r="Z543"/>
      <c r="AA543"/>
      <c r="AB543"/>
      <c r="AC543"/>
      <c r="AD543" s="4"/>
      <c r="AE543"/>
      <c r="AF543" s="2"/>
      <c r="AG543" t="inlineStr">
        <is>
          <t>NzQyNTk5MTgyNzQ4MTg3MDM0MTpGMTQzNzAyOS0yNUFCLTQ1NDktOTcyMC0zQTI5NjJCQTE3ODgtMjpkNTU0Y2NhYmQxYzg0N2IzZDNhNTIwODgzMjFmOTdlNzox</t>
        </is>
      </c>
      <c r="AH543"/>
      <c r="AI543"/>
      <c r="AJ543" t="inlineStr">
        <is>
          <t>LIQUIDITY PLAN (PAR # 202508190134 / 2025TEG-P0219)
INTERNAL 0820 COST ESTIMATE &gt; PLAYOFFS &gt;
AUDIENCE AREA &gt;
Audience Chair
Stancions/ Barricades
This Budget: Php 52,000.00
This Request: Php 121,000.00
Balance: (Php 69,000.00) OVERBUDGET</t>
        </is>
      </c>
      <c r="AK543"/>
    </row>
    <row r="544" ht="25.5" customHeight="1">
      <c r="A544" s="2" t="str">
        <f>=HYPERLINK("https://applink.larksuite.com/client/mini_program/open?appId=cli_9c7cc8a9a9edd105&amp;mode=appCenter&amp;path_pc=pc/pages/requested/index?instanceId=7558729482043949088&amp;source=bitable&amp;path=pages/detail/index?instanceId=7558729482043949088&amp;source=bitable", "202510080031")</f>
        <v>202510080031</v>
      </c>
      <c r="B544" t="inlineStr">
        <is>
          <t>Approved</t>
        </is>
      </c>
      <c r="C544" t="inlineStr">
        <is>
          <t>Procurement Order</t>
        </is>
      </c>
      <c r="D544" s="3">
        <v>45938.59085648148</v>
      </c>
      <c r="E544" s="3">
        <v>45951.679074074076</v>
      </c>
      <c r="F544" t="inlineStr">
        <is>
          <t>Arlyn Castillo</t>
        </is>
      </c>
      <c r="G544" t="inlineStr">
        <is>
          <t>Procurement</t>
        </is>
      </c>
      <c r="H544"/>
      <c r="I544"/>
      <c r="J544" t="inlineStr">
        <is>
          <t>Project</t>
        </is>
      </c>
      <c r="K544" t="inlineStr">
        <is>
          <t>GG - Event Service</t>
        </is>
      </c>
      <c r="L544" t="inlineStr">
        <is>
          <t>HOK Philippine Kings League - Fall Season</t>
        </is>
      </c>
      <c r="M544" t="inlineStr">
        <is>
          <t>2025TEG-P0219</t>
        </is>
      </c>
      <c r="N544" t="inlineStr">
        <is>
          <t>Frances Angelita Arreglado</t>
        </is>
      </c>
      <c r="O544" t="inlineStr">
        <is>
          <t>202509280009-Reign Santos Fortea-费用报销 - 副本 - 副本 - 副本-2025-09-28 08:20:36</t>
        </is>
      </c>
      <c r="P544" t="inlineStr">
        <is>
          <t>NO</t>
        </is>
      </c>
      <c r="Q544"/>
      <c r="R544" t="inlineStr">
        <is>
          <t>YES</t>
        </is>
      </c>
      <c r="S544" t="inlineStr">
        <is>
          <t>Rental of Lifetime Table 6ft (4days)</t>
        </is>
      </c>
      <c r="T544">
        <v>10</v>
      </c>
      <c r="U544">
        <v>1000</v>
      </c>
      <c r="V544" t="inlineStr">
        <is>
          <t>PHP</t>
        </is>
      </c>
      <c r="W544">
        <v>10000</v>
      </c>
      <c r="X544" s="2"/>
      <c r="Y544"/>
      <c r="Z544"/>
      <c r="AA544"/>
      <c r="AB544"/>
      <c r="AC544"/>
      <c r="AD544" s="4"/>
      <c r="AE544"/>
      <c r="AF544" s="2"/>
      <c r="AG544" t="inlineStr">
        <is>
          <t>NzQyNTk5MTgyNzQ4MTg3MDM0MTpGMTQzNzAyOS0yNUFCLTQ1NDktOTcyMC0zQTI5NjJCQTE3ODgtMzoxY2NkMjI4YmI4ZWM4MjRhY2U0MWI3N2RjYmIwNmI2Mjox</t>
        </is>
      </c>
      <c r="AH544"/>
      <c r="AI544"/>
      <c r="AJ544" t="inlineStr">
        <is>
          <t>LIQUIDITY PLAN (PAR # 202508190134 / 2025TEG-P0219)
INTERNAL 0820 COST ESTIMATE &gt; PLAYOFFS &gt;
AUDIENCE AREA &gt;
Audience Chair
Stancions/ Barricades
This Budget: Php 52,000.00
This Request: Php 121,000.00
Balance: (Php 69,000.00) OVERBUDGET</t>
        </is>
      </c>
      <c r="AK544"/>
    </row>
    <row r="545" ht="25.5" customHeight="1">
      <c r="A545" s="2" t="str">
        <f>=HYPERLINK("https://applink.larksuite.com/client/mini_program/open?appId=cli_9c7cc8a9a9edd105&amp;mode=appCenter&amp;path_pc=pc/pages/requested/index?instanceId=7558729482043949088&amp;source=bitable&amp;path=pages/detail/index?instanceId=7558729482043949088&amp;source=bitable", "202510080031")</f>
        <v>202510080031</v>
      </c>
      <c r="B545" t="inlineStr">
        <is>
          <t>Approved</t>
        </is>
      </c>
      <c r="C545" t="inlineStr">
        <is>
          <t>Procurement Order</t>
        </is>
      </c>
      <c r="D545" s="3">
        <v>45938.59085648148</v>
      </c>
      <c r="E545" s="3">
        <v>45951.679074074076</v>
      </c>
      <c r="F545" t="inlineStr">
        <is>
          <t>Arlyn Castillo</t>
        </is>
      </c>
      <c r="G545" t="inlineStr">
        <is>
          <t>Procurement</t>
        </is>
      </c>
      <c r="H545"/>
      <c r="I545"/>
      <c r="J545" t="inlineStr">
        <is>
          <t>Project</t>
        </is>
      </c>
      <c r="K545" t="inlineStr">
        <is>
          <t>GG - Event Service</t>
        </is>
      </c>
      <c r="L545" t="inlineStr">
        <is>
          <t>HOK Philippine Kings League - Fall Season</t>
        </is>
      </c>
      <c r="M545" t="inlineStr">
        <is>
          <t>2025TEG-P0219</t>
        </is>
      </c>
      <c r="N545" t="inlineStr">
        <is>
          <t>Frances Angelita Arreglado</t>
        </is>
      </c>
      <c r="O545" t="inlineStr">
        <is>
          <t>202509280009-Reign Santos Fortea-费用报销 - 副本 - 副本 - 副本-2025-09-28 08:20:36</t>
        </is>
      </c>
      <c r="P545" t="inlineStr">
        <is>
          <t>NO</t>
        </is>
      </c>
      <c r="Q545"/>
      <c r="R545" t="inlineStr">
        <is>
          <t>YES</t>
        </is>
      </c>
      <c r="S545" t="inlineStr">
        <is>
          <t>Delivery fee</t>
        </is>
      </c>
      <c r="T545">
        <v>1</v>
      </c>
      <c r="U545">
        <v>2000</v>
      </c>
      <c r="V545" t="inlineStr">
        <is>
          <t>PHP</t>
        </is>
      </c>
      <c r="W545">
        <v>2000</v>
      </c>
      <c r="X545" s="2" t="str">
        <f>=HYPERLINK("https://www.larksuite.com/approval/admin/previewAttachment?key=PMhBCsJQDATQK02S-T8ZL-PGUrRQEUTpJmcXXHT7ZhlmDYspUOaCdY5R6WI5GKJQ1d6WKaSlRy_7etW2PzYe-MCOF579vd_W5W1D6Y4MMgqAXU6PJClN4u_xCwAA__8", "1 attachment(s)")</f>
        <v>1 attachment(s)</v>
      </c>
      <c r="Y545"/>
      <c r="Z545"/>
      <c r="AA545"/>
      <c r="AB545"/>
      <c r="AC545"/>
      <c r="AD545" s="4"/>
      <c r="AE545"/>
      <c r="AF545" s="2"/>
      <c r="AG545" t="inlineStr">
        <is>
          <t>NzQyNTk5MTgyNzQ4MTg3MDM0MTpGMTQzNzAyOS0yNUFCLTQ1NDktOTcyMC0zQTI5NjJCQTE3ODgtNDpmMjljYmQyMWQ1MzhhMzk0OTk1ZGZmODU4OWZhYzY3Nzox</t>
        </is>
      </c>
      <c r="AH545"/>
      <c r="AI545"/>
      <c r="AJ545" t="inlineStr">
        <is>
          <t>LIQUIDITY PLAN (PAR # 202508190134 / 2025TEG-P0219)
INTERNAL 0820 COST ESTIMATE &gt; PLAYOFFS &gt;
AUDIENCE AREA &gt;
Audience Chair
Stancions/ Barricades
This Budget: Php 52,000.00
This Request: Php 121,000.00
Balance: (Php 69,000.00) OVERBUDGET</t>
        </is>
      </c>
      <c r="AK545"/>
    </row>
    <row r="546" ht="25.5" customHeight="1">
      <c r="A546" s="2" t="str">
        <f>=HYPERLINK("https://applink.larksuite.com/client/mini_program/open?appId=cli_9c7cc8a9a9edd105&amp;mode=appCenter&amp;path_pc=pc/pages/requested/index?instanceId=7562030728045772831&amp;source=bitable&amp;path=pages/detail/index?instanceId=7562030728045772831&amp;source=bitable", "202510170023")</f>
        <v>202510170023</v>
      </c>
      <c r="B546" t="inlineStr">
        <is>
          <t>Approved</t>
        </is>
      </c>
      <c r="C546" t="inlineStr">
        <is>
          <t>Procurement Order</t>
        </is>
      </c>
      <c r="D546" s="3">
        <v>45947.48704861111</v>
      </c>
      <c r="E546" s="3">
        <v>45947.52978009259</v>
      </c>
      <c r="F546" t="inlineStr">
        <is>
          <t>Fatima Kathleen M. FLores</t>
        </is>
      </c>
      <c r="G546" t="inlineStr">
        <is>
          <t>Procurement</t>
        </is>
      </c>
      <c r="H546"/>
      <c r="I546"/>
      <c r="J546" t="inlineStr">
        <is>
          <t>Project</t>
        </is>
      </c>
      <c r="K546" t="inlineStr">
        <is>
          <t>PDEI - Event Service</t>
        </is>
      </c>
      <c r="L546" t="inlineStr">
        <is>
          <t>MPL PH S16 - Playoffs</t>
        </is>
      </c>
      <c r="M546" t="inlineStr">
        <is>
          <t>2025TEG-P0215</t>
        </is>
      </c>
      <c r="N546" t="inlineStr">
        <is>
          <t>Katherine Denise Lee Sy</t>
        </is>
      </c>
      <c r="O546" t="inlineStr">
        <is>
          <t>202510160058-Katherine Denise Lee Sy-费用报销 - 副本 - 副本 - 副本-2025-10-16 09:22:03</t>
        </is>
      </c>
      <c r="P546" t="inlineStr">
        <is>
          <t>NO</t>
        </is>
      </c>
      <c r="Q546"/>
      <c r="R546" t="inlineStr">
        <is>
          <t>NO</t>
        </is>
      </c>
      <c r="S546" t="inlineStr">
        <is>
          <t>Fabrication of Main Stage, Broadcast Rooms, PH Panel Area and Onground Set-up</t>
        </is>
      </c>
      <c r="T546">
        <v>1</v>
      </c>
      <c r="U546">
        <v>1000000</v>
      </c>
      <c r="V546" t="inlineStr">
        <is>
          <t>PHP</t>
        </is>
      </c>
      <c r="W546">
        <v>1000000</v>
      </c>
      <c r="X546" s="2" t="str">
        <f>=HYPERLINK("https://www.larksuite.com/approval/admin/previewAttachment?key=PMgxCsMwDAXQK_0vyf5SL9PFJrRDoFBwJp-90CHr60n0bPReiKIVuNW6wSFLRJMsnds2pYIoa3uex9PWFSPnda63c3z2eo1jftlKZpBHeALg43ZXRFT1wN_xCwAA__8", "2 attachment(s)")</f>
        <v>2 attachment(s)</v>
      </c>
      <c r="Y546" t="inlineStr">
        <is>
          <t>Bank Transfer</t>
        </is>
      </c>
      <c r="Z546" t="inlineStr">
        <is>
          <t>STAGE ONE EVENT SERVICES CORP.</t>
        </is>
      </c>
      <c r="AA546" t="inlineStr">
        <is>
          <t>0124 0800 3549</t>
        </is>
      </c>
      <c r="AB546" t="inlineStr">
        <is>
          <t>BDO</t>
        </is>
      </c>
      <c r="AC546" t="inlineStr">
        <is>
          <t>Kamagong St. cor. Ipil St. Hillcrest Village, Brgy. 173 Camarin, Caloocan</t>
        </is>
      </c>
      <c r="AD546" s="4">
        <v>45947</v>
      </c>
      <c r="AE546" t="inlineStr">
        <is>
          <t>70% Down Payment upon confirmation
30% Final Payment - 30 days upon completion of services</t>
        </is>
      </c>
      <c r="AF546" s="2"/>
      <c r="AG546" t="inlineStr">
        <is>
          <t>NzQyNTk5MTgyNzQ4MTg3MDM0MTo5NDFBQUZGMi0yMEFBLTRFOTEtOTJBQy1FMjA3RkEwRDhBNzgtMTpkNTkzZmMwZmU2M2JkMDg3MDAzNWUxNWMyZWE5NDRjMjox</t>
        </is>
      </c>
      <c r="AH546" t="inlineStr">
        <is>
          <t>STAGE ONE EVENT SERVICES CORP.</t>
        </is>
      </c>
      <c r="AI546"/>
      <c r="AJ546" t="inlineStr">
        <is>
          <t>LIQUIDITY PLAN (PAR # 202509020094 / 2025TEG-P0215)
4.1 Staging and Production &gt; 
STAGE FABRICATION PLAYOFFS &gt; R95 to 109 = Php 935,000.00
5.1 Onground Setup and Fabrication &gt; ONGROUND FABRICATION PLAYOFFS &gt;
Onground Logistic Transfer = Php 60,000.00
Total Budget = Php 995,000.00
Actual Cost = Php 1,170,000.00
Balance = (Php 175,000.00) TO BE CHARGED TO ADDENDUM)
LIQUIDITY PLAN (PAR # 202510120019 / 2025TEG-P0269)
1.1 Logistic Production &gt; Stage Platform Extension + rewiring of lights
Total Budget = Php 250,000.00
Actual Cost = Php 175,000.00 (BALANCE FROM PO CE)
Balance = Php 75,000.00</t>
        </is>
      </c>
      <c r="AK546"/>
    </row>
    <row r="547" ht="25.5" customHeight="1">
      <c r="A547" s="2" t="str">
        <f>=HYPERLINK("https://applink.larksuite.com/client/mini_program/open?appId=cli_9c7cc8a9a9edd105&amp;mode=appCenter&amp;path_pc=pc/pages/requested/index?instanceId=7562030728045772831&amp;source=bitable&amp;path=pages/detail/index?instanceId=7562030728045772831&amp;source=bitable", "202510170023")</f>
        <v>202510170023</v>
      </c>
      <c r="B547" t="inlineStr">
        <is>
          <t>Approved</t>
        </is>
      </c>
      <c r="C547" t="inlineStr">
        <is>
          <t>Procurement Order</t>
        </is>
      </c>
      <c r="D547" s="3">
        <v>45947.48704861111</v>
      </c>
      <c r="E547" s="3">
        <v>45947.52978009259</v>
      </c>
      <c r="F547" t="inlineStr">
        <is>
          <t>Fatima Kathleen M. FLores</t>
        </is>
      </c>
      <c r="G547" t="inlineStr">
        <is>
          <t>Procurement</t>
        </is>
      </c>
      <c r="H547"/>
      <c r="I547"/>
      <c r="J547" t="inlineStr">
        <is>
          <t>Project</t>
        </is>
      </c>
      <c r="K547" t="inlineStr">
        <is>
          <t>PDEI - Event Service</t>
        </is>
      </c>
      <c r="L547" t="inlineStr">
        <is>
          <t>MPL PH S16 - Playoffs</t>
        </is>
      </c>
      <c r="M547" t="inlineStr">
        <is>
          <t>2025TEG-P0215</t>
        </is>
      </c>
      <c r="N547" t="inlineStr">
        <is>
          <t>Katherine Denise Lee Sy</t>
        </is>
      </c>
      <c r="O547" t="inlineStr">
        <is>
          <t>202510160058-Katherine Denise Lee Sy-费用报销 - 副本 - 副本 - 副本-2025-10-16 09:22:03</t>
        </is>
      </c>
      <c r="P547" t="inlineStr">
        <is>
          <t>NO</t>
        </is>
      </c>
      <c r="Q547"/>
      <c r="R547" t="inlineStr">
        <is>
          <t>NO</t>
        </is>
      </c>
      <c r="S547" t="inlineStr">
        <is>
          <t>Fabrication of Podium with Acrylic Cover and Stage Platform Extension</t>
        </is>
      </c>
      <c r="T547">
        <v>1</v>
      </c>
      <c r="U547">
        <v>170000</v>
      </c>
      <c r="V547" t="inlineStr">
        <is>
          <t>PHP</t>
        </is>
      </c>
      <c r="W547">
        <v>170000</v>
      </c>
      <c r="X547" s="2" t="str">
        <f>=HYPERLINK("https://www.larksuite.com/approval/admin/previewAttachment?key=PMgxCsMwDAXQK_0vyf5SL9PFJrRDoFBwJp-90CHr60n0bPReiKIVuNW6wSFLRJMsnds2pYIoa3uex9PWFSPnda63c3z2eo1jftlKZpBHeALg43ZXRFT1wN_5CwAA__8", "2 attachment(s)")</f>
        <v>2 attachment(s)</v>
      </c>
      <c r="Y547"/>
      <c r="Z547"/>
      <c r="AA547"/>
      <c r="AB547"/>
      <c r="AC547"/>
      <c r="AD547" s="4"/>
      <c r="AE547"/>
      <c r="AF547" s="2"/>
      <c r="AG547" t="inlineStr">
        <is>
          <t>NzQyNTk5MTgyNzQ4MTg3MDM0MTo5NDFBQUZGMi0yMEFBLTRFOTEtOTJBQy1FMjA3RkEwRDhBNzgtMjo3MmZhNWZkOGM3MGZmMWQxYWExMzRlYzNlNzMxNTgwYjox</t>
        </is>
      </c>
      <c r="AH547"/>
      <c r="AI547"/>
      <c r="AJ547" t="inlineStr">
        <is>
          <t>LIQUIDITY PLAN (PAR # 202509020094 / 2025TEG-P0215)
4.1 Staging and Production &gt; 
STAGE FABRICATION PLAYOFFS &gt; R95 to 109 = Php 935,000.00
5.1 Onground Setup and Fabrication &gt; ONGROUND FABRICATION PLAYOFFS &gt;
Onground Logistic Transfer = Php 60,000.00
Total Budget = Php 995,000.00
Actual Cost = Php 1,170,000.00
Balance = (Php 175,000.00) TO BE CHARGED TO ADDENDUM)
LIQUIDITY PLAN (PAR # 202510120019 / 2025TEG-P0269)
1.1 Logistic Production &gt; Stage Platform Extension + rewiring of lights
Total Budget = Php 250,000.00
Actual Cost = Php 175,000.00 (BALANCE FROM PO CE)
Balance = Php 75,000.00</t>
        </is>
      </c>
      <c r="AK547"/>
    </row>
    <row r="548" ht="25.5" customHeight="1">
      <c r="A548" s="2" t="str">
        <f>=HYPERLINK("https://applink.larksuite.com/client/mini_program/open?appId=cli_9c7cc8a9a9edd105&amp;mode=appCenter&amp;path_pc=pc/pages/requested/index?instanceId=7562049068285886495&amp;source=bitable&amp;path=pages/detail/index?instanceId=7562049068285886495&amp;source=bitable", "202510170030")</f>
        <v>202510170030</v>
      </c>
      <c r="B548" t="inlineStr">
        <is>
          <t>Approved</t>
        </is>
      </c>
      <c r="C548" t="inlineStr">
        <is>
          <t>Procurement Order</t>
        </is>
      </c>
      <c r="D548" s="3">
        <v>45947.53648148148</v>
      </c>
      <c r="E548" s="3">
        <v>45947.638090277775</v>
      </c>
      <c r="F548" t="inlineStr">
        <is>
          <t>Fatima Kathleen M. FLores</t>
        </is>
      </c>
      <c r="G548" t="inlineStr">
        <is>
          <t>Procurement</t>
        </is>
      </c>
      <c r="H548"/>
      <c r="I548"/>
      <c r="J548" t="inlineStr">
        <is>
          <t>Project</t>
        </is>
      </c>
      <c r="K548" t="inlineStr">
        <is>
          <t>PDEI - Event Service</t>
        </is>
      </c>
      <c r="L548" t="inlineStr">
        <is>
          <t>MDL PH S6 Playoffs + Grand Finals Watch Party</t>
        </is>
      </c>
      <c r="M548" t="inlineStr">
        <is>
          <t>2025TEG-P0197</t>
        </is>
      </c>
      <c r="N548" t="inlineStr">
        <is>
          <t>Kervin</t>
        </is>
      </c>
      <c r="O548" t="inlineStr">
        <is>
          <t>202510150086-Kervin-费用报销 - 副本 - 副本 - 副本-2025-10-15 07:40:21</t>
        </is>
      </c>
      <c r="P548" t="inlineStr">
        <is>
          <t>NO</t>
        </is>
      </c>
      <c r="Q548"/>
      <c r="R548" t="inlineStr">
        <is>
          <t>NO</t>
        </is>
      </c>
      <c r="S548" t="inlineStr">
        <is>
          <t>Crew Meals (Ingress, Breakfast, Lunch and Dinner)</t>
        </is>
      </c>
      <c r="T548">
        <v>185</v>
      </c>
      <c r="U548">
        <v>120</v>
      </c>
      <c r="V548" t="inlineStr">
        <is>
          <t>PHP</t>
        </is>
      </c>
      <c r="W548">
        <v>22200</v>
      </c>
      <c r="X548" s="2"/>
      <c r="Y548" t="inlineStr">
        <is>
          <t>Bank Transfer</t>
        </is>
      </c>
      <c r="Z548" t="inlineStr">
        <is>
          <t>Kyoto Donburi Express Food Kiosk</t>
        </is>
      </c>
      <c r="AA548" t="inlineStr">
        <is>
          <t>004180137332</t>
        </is>
      </c>
      <c r="AB548" t="inlineStr">
        <is>
          <t>BDO</t>
        </is>
      </c>
      <c r="AC548" t="inlineStr">
        <is>
          <t>Unit BB-05B Bldg. B Level 2 Tiendesitas Ortigas East, E. Rodriguez Jr. Ave., Ugong, Pasig City</t>
        </is>
      </c>
      <c r="AD548" s="4">
        <v>45949</v>
      </c>
      <c r="AE548" t="inlineStr">
        <is>
          <t>50% Down Payment upon confirmation
50% Final Payment after completion of services</t>
        </is>
      </c>
      <c r="AF548" s="2" t="str">
        <f>=HYPERLINK("https://www.larksuite.com/approval/admin/previewAttachment?key=TMg5CgJBFATQK1V1_628jInNIIKDILgE_-yC0aQviohyzhBMHAI7PQZMiBrlVWHyHs1MIZnDe92385q-f955c9_l30e_rpdtPRk1AyY3owDwdHASqhnz7_gFAAD__w", "3 attachment(s)")</f>
        <v>3 attachment(s)</v>
      </c>
      <c r="AG548" t="inlineStr">
        <is>
          <t>NzQyNTk5MTgyNzQ4MTg3MDM0MTpFOEUwNjRGMy1DOTcxLTQxMDMtODUzQy01Q0NBRkEyQzExMkItMTo2NDMyNDJkMjU3NjJjOGViMmFjNjU3MGMxY2M2YTFmOTox</t>
        </is>
      </c>
      <c r="AH548" t="inlineStr">
        <is>
          <t>Kyoto Donburi Express Food Kiosk</t>
        </is>
      </c>
      <c r="AI548"/>
      <c r="AJ548" t="inlineStr">
        <is>
          <t>LIQUIDITY PLAN (PAR # 202510060066 / 2025TEG-P0197)
(ONLINE) COST ESTIMATE &gt; 5. HOSPITALITY &gt;
5.1 F&amp;B Arrangement &gt; PLAYOFFS EVENT DAY MEALS &gt;
Crew Meals (Breakfast) - TIENDESITAS
Crew Meals (Lunch) - TIENDESITAS
Crew Meals (Dinner) - TIENDESITAS
Crew Meals - MET
Talent Meals - Lunch
Talent Meals - Dinner
KOL Meals - Lunch
KOL Meals - Dinner
Total Budget = Php 48,950.00
Actual Cost = Php 28,200.00
Balance = Php 20,750.00</t>
        </is>
      </c>
      <c r="AK548"/>
    </row>
    <row r="549" ht="25.5" customHeight="1">
      <c r="A549" s="2" t="str">
        <f>=HYPERLINK("https://applink.larksuite.com/client/mini_program/open?appId=cli_9c7cc8a9a9edd105&amp;mode=appCenter&amp;path_pc=pc/pages/requested/index?instanceId=7562049068285886495&amp;source=bitable&amp;path=pages/detail/index?instanceId=7562049068285886495&amp;source=bitable", "202510170030")</f>
        <v>202510170030</v>
      </c>
      <c r="B549" t="inlineStr">
        <is>
          <t>Approved</t>
        </is>
      </c>
      <c r="C549" t="inlineStr">
        <is>
          <t>Procurement Order</t>
        </is>
      </c>
      <c r="D549" s="3">
        <v>45947.53648148148</v>
      </c>
      <c r="E549" s="3">
        <v>45947.638090277775</v>
      </c>
      <c r="F549" t="inlineStr">
        <is>
          <t>Fatima Kathleen M. FLores</t>
        </is>
      </c>
      <c r="G549" t="inlineStr">
        <is>
          <t>Procurement</t>
        </is>
      </c>
      <c r="H549"/>
      <c r="I549"/>
      <c r="J549" t="inlineStr">
        <is>
          <t>Project</t>
        </is>
      </c>
      <c r="K549" t="inlineStr">
        <is>
          <t>PDEI - Event Service</t>
        </is>
      </c>
      <c r="L549" t="inlineStr">
        <is>
          <t>MDL PH S6 Playoffs + Grand Finals Watch Party</t>
        </is>
      </c>
      <c r="M549" t="inlineStr">
        <is>
          <t>2025TEG-P0197</t>
        </is>
      </c>
      <c r="N549" t="inlineStr">
        <is>
          <t>Kervin</t>
        </is>
      </c>
      <c r="O549" t="inlineStr">
        <is>
          <t>202510150086-Kervin-费用报销 - 副本 - 副本 - 副本-2025-10-15 07:40:21</t>
        </is>
      </c>
      <c r="P549" t="inlineStr">
        <is>
          <t>NO</t>
        </is>
      </c>
      <c r="Q549"/>
      <c r="R549" t="inlineStr">
        <is>
          <t>NO</t>
        </is>
      </c>
      <c r="S549" t="inlineStr">
        <is>
          <t>Talents and Team Meals (Lunch and Dinner)</t>
        </is>
      </c>
      <c r="T549">
        <v>30</v>
      </c>
      <c r="U549">
        <v>200</v>
      </c>
      <c r="V549" t="inlineStr">
        <is>
          <t>PHP</t>
        </is>
      </c>
      <c r="W549">
        <v>6000</v>
      </c>
      <c r="X549" s="2"/>
      <c r="Y549"/>
      <c r="Z549"/>
      <c r="AA549"/>
      <c r="AB549"/>
      <c r="AC549"/>
      <c r="AD549" s="4"/>
      <c r="AE549"/>
      <c r="AF549" s="2"/>
      <c r="AG549" t="inlineStr">
        <is>
          <t>NzQyNTk5MTgyNzQ4MTg3MDM0MTpFOEUwNjRGMy1DOTcxLTQxMDMtODUzQy01Q0NBRkEyQzExMkItMjoxNmRkMWRiYmMwNDZiZGJkYjMyMTQ5YTE3MmU4NjE1Njox</t>
        </is>
      </c>
      <c r="AH549"/>
      <c r="AI549"/>
      <c r="AJ549" t="inlineStr">
        <is>
          <t>LIQUIDITY PLAN (PAR # 202510060066 / 2025TEG-P0197)
(ONLINE) COST ESTIMATE &gt; 5. HOSPITALITY &gt;
5.1 F&amp;B Arrangement &gt; PLAYOFFS EVENT DAY MEALS &gt;
Crew Meals (Breakfast) - TIENDESITAS
Crew Meals (Lunch) - TIENDESITAS
Crew Meals (Dinner) - TIENDESITAS
Crew Meals - MET
Talent Meals - Lunch
Talent Meals - Dinner
KOL Meals - Lunch
KOL Meals - Dinner
Total Budget = Php 48,950.00
Actual Cost = Php 28,200.00
Balance = Php 20,750.00</t>
        </is>
      </c>
      <c r="AK549"/>
    </row>
    <row r="550" ht="25.5" customHeight="1">
      <c r="A550" s="2" t="str">
        <f>=HYPERLINK("https://applink.larksuite.com/client/mini_program/open?appId=cli_9c7cc8a9a9edd105&amp;mode=appCenter&amp;path_pc=pc/pages/requested/index?instanceId=7562052262680330278&amp;source=bitable&amp;path=pages/detail/index?instanceId=7562052262680330278&amp;source=bitable", "202510170034")</f>
        <v>202510170034</v>
      </c>
      <c r="B550" t="inlineStr">
        <is>
          <t>Approved</t>
        </is>
      </c>
      <c r="C550" t="inlineStr">
        <is>
          <t>Procurement Order</t>
        </is>
      </c>
      <c r="D550" s="3">
        <v>45947.54508101852</v>
      </c>
      <c r="E550" s="3">
        <v>45947.6340162037</v>
      </c>
      <c r="F550" t="inlineStr">
        <is>
          <t>Fatima Kathleen M. FLores</t>
        </is>
      </c>
      <c r="G550" t="inlineStr">
        <is>
          <t>Procurement</t>
        </is>
      </c>
      <c r="H550"/>
      <c r="I550"/>
      <c r="J550" t="inlineStr">
        <is>
          <t>Project</t>
        </is>
      </c>
      <c r="K550" t="inlineStr">
        <is>
          <t>GG - Event Service</t>
        </is>
      </c>
      <c r="L550" t="inlineStr">
        <is>
          <t>HOK Philippine Kings League - Fall Season</t>
        </is>
      </c>
      <c r="M550" t="inlineStr">
        <is>
          <t>2025TEG-P0219</t>
        </is>
      </c>
      <c r="N550" t="inlineStr">
        <is>
          <t>Carla Andrea Calma Crespo</t>
        </is>
      </c>
      <c r="O550" t="inlineStr">
        <is>
          <t>202509200018-Carla Andrea Calma Crespo-费用报销 - 副本 - 副本 - 副本-2025-09-20 09:25:46</t>
        </is>
      </c>
      <c r="P550" t="inlineStr">
        <is>
          <t>NO</t>
        </is>
      </c>
      <c r="Q550"/>
      <c r="R550" t="inlineStr">
        <is>
          <t>NO</t>
        </is>
      </c>
      <c r="S550" t="inlineStr">
        <is>
          <t>3" Customized Mold</t>
        </is>
      </c>
      <c r="T550">
        <v>1</v>
      </c>
      <c r="U550">
        <v>5000</v>
      </c>
      <c r="V550" t="inlineStr">
        <is>
          <t>PHP</t>
        </is>
      </c>
      <c r="W550">
        <v>5000</v>
      </c>
      <c r="X550" s="2"/>
      <c r="Y550" t="inlineStr">
        <is>
          <t>Bank Transfer</t>
        </is>
      </c>
      <c r="Z550" t="inlineStr">
        <is>
          <t>Dessiree P. Deceana</t>
        </is>
      </c>
      <c r="AA550" t="inlineStr">
        <is>
          <t>1589509125</t>
        </is>
      </c>
      <c r="AB550" t="inlineStr">
        <is>
          <t>BPI</t>
        </is>
      </c>
      <c r="AC550" t="inlineStr">
        <is>
          <t>1761 CM Recto Sta. Cruz, Manila</t>
        </is>
      </c>
      <c r="AD550" s="4">
        <v>45954</v>
      </c>
      <c r="AE550" t="inlineStr">
        <is>
          <t>50% Down payment upon confirmation
50% Final Payment before delivery</t>
        </is>
      </c>
      <c r="AF550" s="2" t="str">
        <f>=HYPERLINK("https://www.larksuite.com/approval/admin/previewAttachment?key=TMg9CgIxEAXgK703k_nzMjYuiyERBEFs5uyCle3nSXga1QujKAV2mAtMxMUTqpDIlmZEIRhifTzO65L9_Mypq_bcq_p9v53Hi57qGGVjsADw8uckKtX15_gGAAD__w", "1 attachment(s)")</f>
        <v>1 attachment(s)</v>
      </c>
      <c r="AG550" t="inlineStr">
        <is>
          <t>NzQyNTk5MTgyNzQ4MTg3MDM0MTozMDgwQTU0MS0xNkJBLTQ1RjQtQjk4Qy0zQzcwMjVGQUUyMzAtMTo5Y2RhYTYwN2I1YWQwMWY5MWM3MzU5YTYyNGNhNzM5Nzox</t>
        </is>
      </c>
      <c r="AH550" t="inlineStr">
        <is>
          <t>BYB Trophies Shop</t>
        </is>
      </c>
      <c r="AI550"/>
      <c r="AJ550" t="inlineStr">
        <is>
          <t>LIQUIDITY PLAN (PAR # 202508190134 / 2025TEG-P0219)
INTERNAL 0820 COST ESTIMATE &gt; PLAYOFFS &gt;
Collateral &amp; Venue Skinning &gt; AWARDING &gt;
Medal Creation
Total Remaining Budget = Php 31,150.00
This Request = Php 10,200.00
Balance = Php 20,950.00
^ the medals need to be produced again since the design that was initially forwarded by the team was wrong.</t>
        </is>
      </c>
      <c r="AK550"/>
    </row>
    <row r="551" ht="25.5" customHeight="1">
      <c r="A551" s="2" t="str">
        <f>=HYPERLINK("https://applink.larksuite.com/client/mini_program/open?appId=cli_9c7cc8a9a9edd105&amp;mode=appCenter&amp;path_pc=pc/pages/requested/index?instanceId=7562052262680330278&amp;source=bitable&amp;path=pages/detail/index?instanceId=7562052262680330278&amp;source=bitable", "202510170034")</f>
        <v>202510170034</v>
      </c>
      <c r="B551" t="inlineStr">
        <is>
          <t>Approved</t>
        </is>
      </c>
      <c r="C551" t="inlineStr">
        <is>
          <t>Procurement Order</t>
        </is>
      </c>
      <c r="D551" s="3">
        <v>45947.54508101852</v>
      </c>
      <c r="E551" s="3">
        <v>45947.6340162037</v>
      </c>
      <c r="F551" t="inlineStr">
        <is>
          <t>Fatima Kathleen M. FLores</t>
        </is>
      </c>
      <c r="G551" t="inlineStr">
        <is>
          <t>Procurement</t>
        </is>
      </c>
      <c r="H551"/>
      <c r="I551"/>
      <c r="J551" t="inlineStr">
        <is>
          <t>Project</t>
        </is>
      </c>
      <c r="K551" t="inlineStr">
        <is>
          <t>GG - Event Service</t>
        </is>
      </c>
      <c r="L551" t="inlineStr">
        <is>
          <t>HOK Philippine Kings League - Fall Season</t>
        </is>
      </c>
      <c r="M551" t="inlineStr">
        <is>
          <t>2025TEG-P0219</t>
        </is>
      </c>
      <c r="N551" t="inlineStr">
        <is>
          <t>Carla Andrea Calma Crespo</t>
        </is>
      </c>
      <c r="O551" t="inlineStr">
        <is>
          <t>202509200018-Carla Andrea Calma Crespo-费用报销 - 副本 - 副本 - 副本-2025-09-20 09:25:46</t>
        </is>
      </c>
      <c r="P551" t="inlineStr">
        <is>
          <t>NO</t>
        </is>
      </c>
      <c r="Q551"/>
      <c r="R551" t="inlineStr">
        <is>
          <t>NO</t>
        </is>
      </c>
      <c r="S551" t="inlineStr">
        <is>
          <t>3" Medals with Lanyard</t>
        </is>
      </c>
      <c r="T551">
        <v>8</v>
      </c>
      <c r="U551">
        <v>650</v>
      </c>
      <c r="V551" t="inlineStr">
        <is>
          <t>PHP</t>
        </is>
      </c>
      <c r="W551">
        <v>5200</v>
      </c>
      <c r="X551" s="2" t="str">
        <f>=HYPERLINK("https://www.larksuite.com/approval/admin/previewAttachment?key=PMg9CgJBDAXgK728ZPLjZWxcFocZQRDEJmcXLGw_T4HnEPWClbAgHcOJQTo9oQpGNlsiCiHB0cfjvC7u52dOXbXnXtXv--08XjIqSISaaQKQy981zKzKDT-XbwAAAP__", "2 attachment(s)")</f>
        <v>2 attachment(s)</v>
      </c>
      <c r="Y551"/>
      <c r="Z551"/>
      <c r="AA551"/>
      <c r="AB551"/>
      <c r="AC551"/>
      <c r="AD551" s="4"/>
      <c r="AE551"/>
      <c r="AF551" s="2"/>
      <c r="AG551" t="inlineStr">
        <is>
          <t>NzQyNTk5MTgyNzQ4MTg3MDM0MTozMDgwQTU0MS0xNkJBLTQ1RjQtQjk4Qy0zQzcwMjVGQUUyMzAtMjo2NTJkNWUwMDAxNDI3ODBhMWMyMDJkNTdmNDllZjUxYzox</t>
        </is>
      </c>
      <c r="AH551"/>
      <c r="AI551"/>
      <c r="AJ551" t="inlineStr">
        <is>
          <t>LIQUIDITY PLAN (PAR # 202508190134 / 2025TEG-P0219)
INTERNAL 0820 COST ESTIMATE &gt; PLAYOFFS &gt;
Collateral &amp; Venue Skinning &gt; AWARDING &gt;
Medal Creation
Total Remaining Budget = Php 31,150.00
This Request = Php 10,200.00
Balance = Php 20,950.00
^ the medals need to be produced again since the design that was initially forwarded by the team was wrong.</t>
        </is>
      </c>
      <c r="AK551"/>
    </row>
    <row r="552" ht="25.5" customHeight="1">
      <c r="A552" s="2" t="str">
        <f>=HYPERLINK("https://applink.larksuite.com/client/mini_program/open?appId=cli_9c7cc8a9a9edd105&amp;mode=appCenter&amp;path_pc=pc/pages/requested/index?instanceId=7562103272689909792&amp;source=bitable&amp;path=pages/detail/index?instanceId=7562103272689909792&amp;source=bitable", "202510170074")</f>
        <v>202510170074</v>
      </c>
      <c r="B552" t="inlineStr">
        <is>
          <t>Approved</t>
        </is>
      </c>
      <c r="C552" t="inlineStr">
        <is>
          <t>Procurement Order</t>
        </is>
      </c>
      <c r="D552" s="3">
        <v>45947.682546296295</v>
      </c>
      <c r="E552" s="3">
        <v>45951.67246527778</v>
      </c>
      <c r="F552" t="inlineStr">
        <is>
          <t>Fatima Kathleen M. FLores</t>
        </is>
      </c>
      <c r="G552" t="inlineStr">
        <is>
          <t>Procurement</t>
        </is>
      </c>
      <c r="H552"/>
      <c r="I552"/>
      <c r="J552" t="inlineStr">
        <is>
          <t>Project</t>
        </is>
      </c>
      <c r="K552" t="inlineStr">
        <is>
          <t>GG - Event Service</t>
        </is>
      </c>
      <c r="L552" t="inlineStr">
        <is>
          <t>HOK Philippine Kings League - Fall Season</t>
        </is>
      </c>
      <c r="M552" t="inlineStr">
        <is>
          <t>2025TEG-P0219</t>
        </is>
      </c>
      <c r="N552" t="inlineStr">
        <is>
          <t>Frances Angelita Arreglado</t>
        </is>
      </c>
      <c r="O552" t="inlineStr">
        <is>
          <t>202508210070-Reign Santos Fortea-费用报销 - 副本 - 副本 - 副本-2025-08-21 10:43:51</t>
        </is>
      </c>
      <c r="P552" t="inlineStr">
        <is>
          <t>NO</t>
        </is>
      </c>
      <c r="Q552"/>
      <c r="R552" t="inlineStr">
        <is>
          <t>YES</t>
        </is>
      </c>
      <c r="S552" t="inlineStr">
        <is>
          <t>Crew Meals - Week 6 (Oct. 2 to 5, 2025)</t>
        </is>
      </c>
      <c r="T552">
        <v>1192</v>
      </c>
      <c r="U552">
        <v>115</v>
      </c>
      <c r="V552" t="inlineStr">
        <is>
          <t>PHP</t>
        </is>
      </c>
      <c r="W552">
        <v>137080</v>
      </c>
      <c r="X552" s="2" t="str">
        <f>=HYPERLINK("https://www.larksuite.com/approval/admin/previewAttachment?key=PMg5CkJBEATQK1Uv0zXlZUz8fEQcE3EL-uyCgemraag5LEpImQvWHOWGcHpNCaK8vY0UaPTR29qPsXiZr8f7umzdtk8_z6d9u9sQ3cHIjAnADn8PZqZUiZ_jGwAA__8", "2 attachment(s)")</f>
        <v>2 attachment(s)</v>
      </c>
      <c r="Y552" t="inlineStr">
        <is>
          <t>Bank Transfer</t>
        </is>
      </c>
      <c r="Z552" t="inlineStr">
        <is>
          <t>Michelle Francine G. Manuntag</t>
        </is>
      </c>
      <c r="AA552" t="inlineStr">
        <is>
          <t>000170292002</t>
        </is>
      </c>
      <c r="AB552" t="inlineStr">
        <is>
          <t>BDO</t>
        </is>
      </c>
      <c r="AC552" t="inlineStr">
        <is>
          <t>Makati City</t>
        </is>
      </c>
      <c r="AD552" s="4">
        <v>45932</v>
      </c>
      <c r="AE552" t="inlineStr">
        <is>
          <t>100% Full Payment</t>
        </is>
      </c>
      <c r="AF552" s="2"/>
      <c r="AG552" t="inlineStr">
        <is>
          <t>NzQyNTk5MTgyNzQ4MTg3MDM0MTozQ0YyRkU3RC1BMjNDLTRGOTUtOTM4My1GREE5QzMzNzc4REEtMTozYzFiNTNkYTljYTAyYmVkNWM1OTcyNThhYTI2NTEyYTox</t>
        </is>
      </c>
      <c r="AH552" t="inlineStr">
        <is>
          <t>Michelle Francine G. Manuntag</t>
        </is>
      </c>
      <c r="AI552"/>
      <c r="AJ552" t="inlineStr">
        <is>
          <t>LIQUIDITY PLAN (PAR # 202508190134 / 2025TEG-P0219)
INTERNAL 0820 COST ESTIMATE &gt; REGULAR SEASON &gt;
Hospitality &amp; Logistics &gt; FOOD &amp; BEVERAGE &gt;
Crew Meals (Ingress &amp; Egress) = Php 13,760.00
Player Meals = Php 17,907.00
PLAYOFFS &gt; Hospitality &gt; FOOD &amp; BEVERAGE &gt;
"Crew Meals (Ingress &amp; Egress)
- Lunch, Breakfast, Dinner"
Crew Meals (Event Days)
Player Meals
Total Budget = Php 261,667.00
Actual Cost = Php 355,115.00
Balance = (Php 93,448.00) OVER BUDGET</t>
        </is>
      </c>
      <c r="AK552"/>
    </row>
    <row r="553" ht="25.5" customHeight="1">
      <c r="A553" s="2" t="str">
        <f>=HYPERLINK("https://applink.larksuite.com/client/mini_program/open?appId=cli_9c7cc8a9a9edd105&amp;mode=appCenter&amp;path_pc=pc/pages/requested/index?instanceId=7562103272689909792&amp;source=bitable&amp;path=pages/detail/index?instanceId=7562103272689909792&amp;source=bitable", "202510170074")</f>
        <v>202510170074</v>
      </c>
      <c r="B553" t="inlineStr">
        <is>
          <t>Approved</t>
        </is>
      </c>
      <c r="C553" t="inlineStr">
        <is>
          <t>Procurement Order</t>
        </is>
      </c>
      <c r="D553" s="3">
        <v>45947.682546296295</v>
      </c>
      <c r="E553" s="3">
        <v>45951.67246527778</v>
      </c>
      <c r="F553" t="inlineStr">
        <is>
          <t>Fatima Kathleen M. FLores</t>
        </is>
      </c>
      <c r="G553" t="inlineStr">
        <is>
          <t>Procurement</t>
        </is>
      </c>
      <c r="H553"/>
      <c r="I553"/>
      <c r="J553" t="inlineStr">
        <is>
          <t>Project</t>
        </is>
      </c>
      <c r="K553" t="inlineStr">
        <is>
          <t>GG - Event Service</t>
        </is>
      </c>
      <c r="L553" t="inlineStr">
        <is>
          <t>HOK Philippine Kings League - Fall Season</t>
        </is>
      </c>
      <c r="M553" t="inlineStr">
        <is>
          <t>2025TEG-P0219</t>
        </is>
      </c>
      <c r="N553" t="inlineStr">
        <is>
          <t>Frances Angelita Arreglado</t>
        </is>
      </c>
      <c r="O553" t="inlineStr">
        <is>
          <t>202508210070-Reign Santos Fortea-费用报销 - 副本 - 副本 - 副本-2025-08-21 10:43:51</t>
        </is>
      </c>
      <c r="P553" t="inlineStr">
        <is>
          <t>NO</t>
        </is>
      </c>
      <c r="Q553"/>
      <c r="R553" t="inlineStr">
        <is>
          <t>YES</t>
        </is>
      </c>
      <c r="S553" t="inlineStr">
        <is>
          <t>Crew Meals - Playoffs Ingress (Oct. 8 to 9, 2025)</t>
        </is>
      </c>
      <c r="T553">
        <v>503</v>
      </c>
      <c r="U553">
        <v>115</v>
      </c>
      <c r="V553" t="inlineStr">
        <is>
          <t>PHP</t>
        </is>
      </c>
      <c r="W553">
        <v>57845</v>
      </c>
      <c r="X553" s="2"/>
      <c r="Y553"/>
      <c r="Z553"/>
      <c r="AA553"/>
      <c r="AB553"/>
      <c r="AC553"/>
      <c r="AD553" s="4"/>
      <c r="AE553"/>
      <c r="AF553" s="2"/>
      <c r="AG553" t="inlineStr">
        <is>
          <t>NzQyNTk5MTgyNzQ4MTg3MDM0MTozQ0YyRkU3RC1BMjNDLTRGOTUtOTM4My1GREE5QzMzNzc4REEtMjowMDE0MTc4OTNlYzBiMzY2MjM5ZDE1ZTUxMTM4MThjMjox</t>
        </is>
      </c>
      <c r="AH553"/>
      <c r="AI553"/>
      <c r="AJ553" t="inlineStr">
        <is>
          <t>LIQUIDITY PLAN (PAR # 202508190134 / 2025TEG-P0219)
INTERNAL 0820 COST ESTIMATE &gt; REGULAR SEASON &gt;
Hospitality &amp; Logistics &gt; FOOD &amp; BEVERAGE &gt;
Crew Meals (Ingress &amp; Egress) = Php 13,760.00
Player Meals = Php 17,907.00
PLAYOFFS &gt; Hospitality &gt; FOOD &amp; BEVERAGE &gt;
"Crew Meals (Ingress &amp; Egress)
- Lunch, Breakfast, Dinner"
Crew Meals (Event Days)
Player Meals
Total Budget = Php 261,667.00
Actual Cost = Php 355,115.00
Balance = (Php 93,448.00) OVER BUDGET</t>
        </is>
      </c>
      <c r="AK553"/>
    </row>
    <row r="554" ht="25.5" customHeight="1">
      <c r="A554" s="2" t="str">
        <f>=HYPERLINK("https://applink.larksuite.com/client/mini_program/open?appId=cli_9c7cc8a9a9edd105&amp;mode=appCenter&amp;path_pc=pc/pages/requested/index?instanceId=7562103272689909792&amp;source=bitable&amp;path=pages/detail/index?instanceId=7562103272689909792&amp;source=bitable", "202510170074")</f>
        <v>202510170074</v>
      </c>
      <c r="B554" t="inlineStr">
        <is>
          <t>Approved</t>
        </is>
      </c>
      <c r="C554" t="inlineStr">
        <is>
          <t>Procurement Order</t>
        </is>
      </c>
      <c r="D554" s="3">
        <v>45947.682546296295</v>
      </c>
      <c r="E554" s="3">
        <v>45951.67246527778</v>
      </c>
      <c r="F554" t="inlineStr">
        <is>
          <t>Fatima Kathleen M. FLores</t>
        </is>
      </c>
      <c r="G554" t="inlineStr">
        <is>
          <t>Procurement</t>
        </is>
      </c>
      <c r="H554"/>
      <c r="I554"/>
      <c r="J554" t="inlineStr">
        <is>
          <t>Project</t>
        </is>
      </c>
      <c r="K554" t="inlineStr">
        <is>
          <t>GG - Event Service</t>
        </is>
      </c>
      <c r="L554" t="inlineStr">
        <is>
          <t>HOK Philippine Kings League - Fall Season</t>
        </is>
      </c>
      <c r="M554" t="inlineStr">
        <is>
          <t>2025TEG-P0219</t>
        </is>
      </c>
      <c r="N554" t="inlineStr">
        <is>
          <t>Frances Angelita Arreglado</t>
        </is>
      </c>
      <c r="O554" t="inlineStr">
        <is>
          <t>202508210070-Reign Santos Fortea-费用报销 - 副本 - 副本 - 副本-2025-08-21 10:43:51</t>
        </is>
      </c>
      <c r="P554" t="inlineStr">
        <is>
          <t>NO</t>
        </is>
      </c>
      <c r="Q554"/>
      <c r="R554" t="inlineStr">
        <is>
          <t>YES</t>
        </is>
      </c>
      <c r="S554" t="inlineStr">
        <is>
          <t>Delivery fee (Oct. 8 &amp; 9, 2025)</t>
        </is>
      </c>
      <c r="T554">
        <v>1</v>
      </c>
      <c r="U554">
        <v>2274</v>
      </c>
      <c r="V554" t="inlineStr">
        <is>
          <t>PHP</t>
        </is>
      </c>
      <c r="W554">
        <v>2274</v>
      </c>
      <c r="X554" s="2" t="str">
        <f>=HYPERLINK("https://www.larksuite.com/approval/admin/previewAttachment?key=PMg5CkJBEATQK1Uv0zXlZUz8fEQcE3EL-uyCgemraag5LEpImQvWHOWGcHpNCaK8vY0UaPTR29qPsXiZr8f7umzdtk8_z6d9u9sQ3cHIjAnADn8PZqZUiZ_7NwAA__8", "1 attachment(s)")</f>
        <v>1 attachment(s)</v>
      </c>
      <c r="Y554"/>
      <c r="Z554"/>
      <c r="AA554"/>
      <c r="AB554"/>
      <c r="AC554"/>
      <c r="AD554" s="4"/>
      <c r="AE554"/>
      <c r="AF554" s="2"/>
      <c r="AG554" t="inlineStr">
        <is>
          <t>NzQyNTk5MTgyNzQ4MTg3MDM0MTozQ0YyRkU3RC1BMjNDLTRGOTUtOTM4My1GREE5QzMzNzc4REEtMzowMjRhNDA2NGFlNjZkMTNkMGUxMDRmYzk5MmJlNTMwNjox</t>
        </is>
      </c>
      <c r="AH554"/>
      <c r="AI554"/>
      <c r="AJ554" t="inlineStr">
        <is>
          <t>LIQUIDITY PLAN (PAR # 202508190134 / 2025TEG-P0219)
INTERNAL 0820 COST ESTIMATE &gt; REGULAR SEASON &gt;
Hospitality &amp; Logistics &gt; FOOD &amp; BEVERAGE &gt;
Crew Meals (Ingress &amp; Egress) = Php 13,760.00
Player Meals = Php 17,907.00
PLAYOFFS &gt; Hospitality &gt; FOOD &amp; BEVERAGE &gt;
"Crew Meals (Ingress &amp; Egress)
- Lunch, Breakfast, Dinner"
Crew Meals (Event Days)
Player Meals
Total Budget = Php 261,667.00
Actual Cost = Php 355,115.00
Balance = (Php 93,448.00) OVER BUDGET</t>
        </is>
      </c>
      <c r="AK554"/>
    </row>
    <row r="555" ht="25.5" customHeight="1">
      <c r="A555" s="2" t="str">
        <f>=HYPERLINK("https://applink.larksuite.com/client/mini_program/open?appId=cli_9c7cc8a9a9edd105&amp;mode=appCenter&amp;path_pc=pc/pages/requested/index?instanceId=7562103272689909792&amp;source=bitable&amp;path=pages/detail/index?instanceId=7562103272689909792&amp;source=bitable", "202510170074")</f>
        <v>202510170074</v>
      </c>
      <c r="B555" t="inlineStr">
        <is>
          <t>Approved</t>
        </is>
      </c>
      <c r="C555" t="inlineStr">
        <is>
          <t>Procurement Order</t>
        </is>
      </c>
      <c r="D555" s="3">
        <v>45947.682546296295</v>
      </c>
      <c r="E555" s="3">
        <v>45951.67246527778</v>
      </c>
      <c r="F555" t="inlineStr">
        <is>
          <t>Fatima Kathleen M. FLores</t>
        </is>
      </c>
      <c r="G555" t="inlineStr">
        <is>
          <t>Procurement</t>
        </is>
      </c>
      <c r="H555"/>
      <c r="I555"/>
      <c r="J555" t="inlineStr">
        <is>
          <t>Project</t>
        </is>
      </c>
      <c r="K555" t="inlineStr">
        <is>
          <t>GG - Event Service</t>
        </is>
      </c>
      <c r="L555" t="inlineStr">
        <is>
          <t>HOK Philippine Kings League - Fall Season</t>
        </is>
      </c>
      <c r="M555" t="inlineStr">
        <is>
          <t>2025TEG-P0219</t>
        </is>
      </c>
      <c r="N555" t="inlineStr">
        <is>
          <t>Frances Angelita Arreglado</t>
        </is>
      </c>
      <c r="O555" t="inlineStr">
        <is>
          <t>202508210070-Reign Santos Fortea-费用报销 - 副本 - 副本 - 副本-2025-08-21 10:43:51</t>
        </is>
      </c>
      <c r="P555" t="inlineStr">
        <is>
          <t>NO</t>
        </is>
      </c>
      <c r="Q555"/>
      <c r="R555" t="inlineStr">
        <is>
          <t>YES</t>
        </is>
      </c>
      <c r="S555" t="inlineStr">
        <is>
          <t>Crew Meals - Playoffs (Oct. 10 to 12, 2025)</t>
        </is>
      </c>
      <c r="T555">
        <v>1343</v>
      </c>
      <c r="U555">
        <v>115</v>
      </c>
      <c r="V555" t="inlineStr">
        <is>
          <t>PHP</t>
        </is>
      </c>
      <c r="W555">
        <v>154445</v>
      </c>
      <c r="X555" s="2"/>
      <c r="Y555"/>
      <c r="Z555"/>
      <c r="AA555"/>
      <c r="AB555"/>
      <c r="AC555"/>
      <c r="AD555" s="4"/>
      <c r="AE555"/>
      <c r="AF555" s="2"/>
      <c r="AG555" t="inlineStr">
        <is>
          <t>NzQyNTk5MTgyNzQ4MTg3MDM0MTozQ0YyRkU3RC1BMjNDLTRGOTUtOTM4My1GREE5QzMzNzc4REEtNDphZjYzOTJiM2IxMjQzOWE3ZTBiNzc3MmMwZjhiMjU3Njox</t>
        </is>
      </c>
      <c r="AH555"/>
      <c r="AI555"/>
      <c r="AJ555" t="inlineStr">
        <is>
          <t>LIQUIDITY PLAN (PAR # 202508190134 / 2025TEG-P0219)
INTERNAL 0820 COST ESTIMATE &gt; REGULAR SEASON &gt;
Hospitality &amp; Logistics &gt; FOOD &amp; BEVERAGE &gt;
Crew Meals (Ingress &amp; Egress) = Php 13,760.00
Player Meals = Php 17,907.00
PLAYOFFS &gt; Hospitality &gt; FOOD &amp; BEVERAGE &gt;
"Crew Meals (Ingress &amp; Egress)
- Lunch, Breakfast, Dinner"
Crew Meals (Event Days)
Player Meals
Total Budget = Php 261,667.00
Actual Cost = Php 355,115.00
Balance = (Php 93,448.00) OVER BUDGET</t>
        </is>
      </c>
      <c r="AK555"/>
    </row>
    <row r="556" ht="25.5" customHeight="1">
      <c r="A556" s="2" t="str">
        <f>=HYPERLINK("https://applink.larksuite.com/client/mini_program/open?appId=cli_9c7cc8a9a9edd105&amp;mode=appCenter&amp;path_pc=pc/pages/requested/index?instanceId=7562103272689909792&amp;source=bitable&amp;path=pages/detail/index?instanceId=7562103272689909792&amp;source=bitable", "202510170074")</f>
        <v>202510170074</v>
      </c>
      <c r="B556" t="inlineStr">
        <is>
          <t>Approved</t>
        </is>
      </c>
      <c r="C556" t="inlineStr">
        <is>
          <t>Procurement Order</t>
        </is>
      </c>
      <c r="D556" s="3">
        <v>45947.682546296295</v>
      </c>
      <c r="E556" s="3">
        <v>45951.67246527778</v>
      </c>
      <c r="F556" t="inlineStr">
        <is>
          <t>Fatima Kathleen M. FLores</t>
        </is>
      </c>
      <c r="G556" t="inlineStr">
        <is>
          <t>Procurement</t>
        </is>
      </c>
      <c r="H556"/>
      <c r="I556"/>
      <c r="J556" t="inlineStr">
        <is>
          <t>Project</t>
        </is>
      </c>
      <c r="K556" t="inlineStr">
        <is>
          <t>GG - Event Service</t>
        </is>
      </c>
      <c r="L556" t="inlineStr">
        <is>
          <t>HOK Philippine Kings League - Fall Season</t>
        </is>
      </c>
      <c r="M556" t="inlineStr">
        <is>
          <t>2025TEG-P0219</t>
        </is>
      </c>
      <c r="N556" t="inlineStr">
        <is>
          <t>Frances Angelita Arreglado</t>
        </is>
      </c>
      <c r="O556" t="inlineStr">
        <is>
          <t>202508210070-Reign Santos Fortea-费用报销 - 副本 - 副本 - 副本-2025-08-21 10:43:51</t>
        </is>
      </c>
      <c r="P556" t="inlineStr">
        <is>
          <t>NO</t>
        </is>
      </c>
      <c r="Q556"/>
      <c r="R556" t="inlineStr">
        <is>
          <t>YES</t>
        </is>
      </c>
      <c r="S556" t="inlineStr">
        <is>
          <t>Delivery Fees (Oct. 10 to 12, 2025)</t>
        </is>
      </c>
      <c r="T556">
        <v>1</v>
      </c>
      <c r="U556">
        <v>3471</v>
      </c>
      <c r="V556" t="inlineStr">
        <is>
          <t>PHP</t>
        </is>
      </c>
      <c r="W556">
        <v>3471</v>
      </c>
      <c r="X556" s="2" t="str">
        <f>=HYPERLINK("https://www.larksuite.com/approval/admin/previewAttachment?key=PMg5CkJBEATQK1Uv0zXlZUz8fEQcE3EL-uyCgemraag5LEpImQvWHOWGcHpNCaK8vY0UaPTR29qPsXiZr8f7umzdtk8_z6d9u9sQ3cHIjAnADn8PZqZUiZ_nNwAA__8", "1 attachment(s)")</f>
        <v>1 attachment(s)</v>
      </c>
      <c r="Y556"/>
      <c r="Z556"/>
      <c r="AA556"/>
      <c r="AB556"/>
      <c r="AC556"/>
      <c r="AD556" s="4"/>
      <c r="AE556"/>
      <c r="AF556" s="2"/>
      <c r="AG556" t="inlineStr">
        <is>
          <t>NzQyNTk5MTgyNzQ4MTg3MDM0MTozQ0YyRkU3RC1BMjNDLTRGOTUtOTM4My1GREE5QzMzNzc4REEtNToyNzA5OWM0MTJhYzA2NDA1MTBjNjc5NDhjNTQ2YzQyZjox</t>
        </is>
      </c>
      <c r="AH556"/>
      <c r="AI556"/>
      <c r="AJ556" t="inlineStr">
        <is>
          <t>LIQUIDITY PLAN (PAR # 202508190134 / 2025TEG-P0219)
INTERNAL 0820 COST ESTIMATE &gt; REGULAR SEASON &gt;
Hospitality &amp; Logistics &gt; FOOD &amp; BEVERAGE &gt;
Crew Meals (Ingress &amp; Egress) = Php 13,760.00
Player Meals = Php 17,907.00
PLAYOFFS &gt; Hospitality &gt; FOOD &amp; BEVERAGE &gt;
"Crew Meals (Ingress &amp; Egress)
- Lunch, Breakfast, Dinner"
Crew Meals (Event Days)
Player Meals
Total Budget = Php 261,667.00
Actual Cost = Php 355,115.00
Balance = (Php 93,448.00) OVER BUDGET</t>
        </is>
      </c>
      <c r="AK556"/>
    </row>
    <row r="557" ht="25.5" customHeight="1">
      <c r="A557" s="2" t="str">
        <f>=HYPERLINK("https://applink.larksuite.com/client/mini_program/open?appId=cli_9c7cc8a9a9edd105&amp;mode=appCenter&amp;path_pc=pc/pages/requested/index?instanceId=7562116314160988198&amp;source=bitable&amp;path=pages/detail/index?instanceId=7562116314160988198&amp;source=bitable", "202510170082")</f>
        <v>202510170082</v>
      </c>
      <c r="B557" t="inlineStr">
        <is>
          <t>Approved</t>
        </is>
      </c>
      <c r="C557" t="inlineStr">
        <is>
          <t>Procurement Order</t>
        </is>
      </c>
      <c r="D557" s="3">
        <v>45947.717685185184</v>
      </c>
      <c r="E557" s="3">
        <v>45947.764814814815</v>
      </c>
      <c r="F557" t="inlineStr">
        <is>
          <t>Fatima Kathleen M. FLores</t>
        </is>
      </c>
      <c r="G557" t="inlineStr">
        <is>
          <t>Procurement</t>
        </is>
      </c>
      <c r="H557"/>
      <c r="I557"/>
      <c r="J557" t="inlineStr">
        <is>
          <t>Project</t>
        </is>
      </c>
      <c r="K557" t="inlineStr">
        <is>
          <t>PDEI - Event Service</t>
        </is>
      </c>
      <c r="L557" t="inlineStr">
        <is>
          <t>MDL PH S6 Playoffs + Grand Finals Watch Party</t>
        </is>
      </c>
      <c r="M557" t="inlineStr">
        <is>
          <t>2025TEG-P0197</t>
        </is>
      </c>
      <c r="N557" t="inlineStr">
        <is>
          <t>Kervin</t>
        </is>
      </c>
      <c r="O557" t="inlineStr">
        <is>
          <t>202510150071-Kervin-费用报销 - 副本 - 副本 - 副本-2025-10-15 06:56:41</t>
        </is>
      </c>
      <c r="P557" t="inlineStr">
        <is>
          <t>NO</t>
        </is>
      </c>
      <c r="Q557"/>
      <c r="R557" t="inlineStr">
        <is>
          <t>NO</t>
        </is>
      </c>
      <c r="S557" t="inlineStr">
        <is>
          <t>Rental of Bean Bags (10 pcs / color YELLOW)</t>
        </is>
      </c>
      <c r="T557">
        <v>1</v>
      </c>
      <c r="U557">
        <v>7000</v>
      </c>
      <c r="V557" t="inlineStr">
        <is>
          <t>PHP</t>
        </is>
      </c>
      <c r="W557">
        <v>7000</v>
      </c>
      <c r="X557" s="2" t="str">
        <f>=HYPERLINK("https://www.larksuite.com/approval/admin/previewAttachment?key=PMg7CgJhDATgK80k8-fhZWxcFhGtxBWLnF2wsP2iiKhFj4aa1uDkCiPDKQa6il1jw8xGMm3N9tjPdrxVy--fvO3Qa47rZd-eXJ1mSJe8APD0d09J3SH8HN8AAAD__w", "2 attachment(s)")</f>
        <v>2 attachment(s)</v>
      </c>
      <c r="Y557" t="inlineStr">
        <is>
          <t>Bank Transfer</t>
        </is>
      </c>
      <c r="Z557" t="inlineStr">
        <is>
          <t>Majestic Events Enterprises</t>
        </is>
      </c>
      <c r="AA557" t="inlineStr">
        <is>
          <t>1450 0130 28</t>
        </is>
      </c>
      <c r="AB557" t="inlineStr">
        <is>
          <t>BPI</t>
        </is>
      </c>
      <c r="AC557" t="inlineStr">
        <is>
          <t>653 Santol St., cor. Rd Santos St., Sta. Mesa Manila</t>
        </is>
      </c>
      <c r="AD557" s="4">
        <v>45949</v>
      </c>
      <c r="AE557" t="inlineStr">
        <is>
          <t>100% Full Payment before delivery</t>
        </is>
      </c>
      <c r="AF557" s="2" t="str">
        <f>=HYPERLINK("https://www.larksuite.com/approval/admin/previewAttachment?key=TMi7CYJBEATglmb2vTZj4s8hopF4YrC1C0amXxQR5dRoWFManPQQMpTGQFexa2SY2Uim-ByPdZb9tnK9f_K2YK_Z18s6nozSgLWbsQHw9OckujT05_gGAAD__w", "3 attachment(s)")</f>
        <v>3 attachment(s)</v>
      </c>
      <c r="AG557" t="inlineStr">
        <is>
          <t>NzQyNTk5MTgyNzQ4MTg3MDM0MTo2NTg2NURBNi1CNEZFLTRFQjUtQTJFOC05OUI3M0Q3Mjk2MjYtMTpmZTVlMzZkMjlmOWU1MzU3N2Q4Y2U2OWYxMzNmYmI0NDox</t>
        </is>
      </c>
      <c r="AH557" t="inlineStr">
        <is>
          <t>Majestic Events Enterprises</t>
        </is>
      </c>
      <c r="AI557"/>
      <c r="AJ557" t="inlineStr">
        <is>
          <t>LIQUIDITY PLAN (PAR # 202510060066 / 2025TEG-P0197)
(ONLINE) COST ESTIMATE &gt; 5. HOSPITALITY &gt;
7. MARKETING &gt; Beanbags
Total Budget = Php 7,200.00
Actual Cost = Php 7,000.00
Balance = Php 200.00</t>
        </is>
      </c>
      <c r="AK557"/>
    </row>
    <row r="558" ht="25.5" customHeight="1">
      <c r="A558" s="2" t="str">
        <f>=HYPERLINK("https://applink.larksuite.com/client/mini_program/open?appId=cli_9c7cc8a9a9edd105&amp;mode=appCenter&amp;path_pc=pc/pages/requested/index?instanceId=7563237943465263135&amp;source=bitable&amp;path=pages/detail/index?instanceId=7563237943465263135&amp;source=bitable", "202510200082")</f>
        <v>202510200082</v>
      </c>
      <c r="B558" t="inlineStr">
        <is>
          <t>Approved</t>
        </is>
      </c>
      <c r="C558" t="inlineStr">
        <is>
          <t>Procurement Order</t>
        </is>
      </c>
      <c r="D558" s="3">
        <v>45950.74025462963</v>
      </c>
      <c r="E558" s="3">
        <v>45951.471655092595</v>
      </c>
      <c r="F558" t="inlineStr">
        <is>
          <t>Fatima Kathleen M. FLores</t>
        </is>
      </c>
      <c r="G558" t="inlineStr">
        <is>
          <t>Procurement</t>
        </is>
      </c>
      <c r="H558"/>
      <c r="I558"/>
      <c r="J558" t="inlineStr">
        <is>
          <t>Project</t>
        </is>
      </c>
      <c r="K558" t="inlineStr">
        <is>
          <t>PDEI - Event Service</t>
        </is>
      </c>
      <c r="L558" t="inlineStr">
        <is>
          <t>MDL PH S6 Playoffs + Grand Finals Watch Party</t>
        </is>
      </c>
      <c r="M558" t="inlineStr">
        <is>
          <t>2025TEG-P0197</t>
        </is>
      </c>
      <c r="N558" t="inlineStr">
        <is>
          <t>Kervin</t>
        </is>
      </c>
      <c r="O558" t="inlineStr">
        <is>
          <t>202510060077-Kervin-费用报销 - 副本 - 副本 - 副本-2025-10-06 08:35:21</t>
        </is>
      </c>
      <c r="P558" t="inlineStr">
        <is>
          <t>NO</t>
        </is>
      </c>
      <c r="Q558"/>
      <c r="R558" t="inlineStr">
        <is>
          <t>NO</t>
        </is>
      </c>
      <c r="S558" t="inlineStr">
        <is>
          <t>Outsourced Trophy Designer and Fabricator</t>
        </is>
      </c>
      <c r="T558">
        <v>1</v>
      </c>
      <c r="U558">
        <v>25000</v>
      </c>
      <c r="V558" t="inlineStr">
        <is>
          <t>PHP</t>
        </is>
      </c>
      <c r="W558">
        <v>25000</v>
      </c>
      <c r="X558" s="2" t="str">
        <f>=HYPERLINK("https://www.larksuite.com/approval/admin/previewAttachment?key=PMgxCkJBDATQK80kk2TjZWxcFgWtBOUXe3bB4rcvB5Ej6NlQ0xrcFenm1XJlWDo9tm1WNYplsedrXb96HFw2Dz6tQ_tzv635ZnSZoVzyAYCX070kdafwd_wCAAD__w", "2 attachment(s)")</f>
        <v>2 attachment(s)</v>
      </c>
      <c r="Y558" t="inlineStr">
        <is>
          <t>Bank Transfer</t>
        </is>
      </c>
      <c r="Z558" t="inlineStr">
        <is>
          <t>Joel Heinzl Ng</t>
        </is>
      </c>
      <c r="AA558" t="inlineStr">
        <is>
          <t>0065 9022 9294</t>
        </is>
      </c>
      <c r="AB558" t="inlineStr">
        <is>
          <t>BDO</t>
        </is>
      </c>
      <c r="AC558" t="inlineStr">
        <is>
          <t>7 Agueda street Project 8 Quezon City</t>
        </is>
      </c>
      <c r="AD558" s="4">
        <v>45943</v>
      </c>
      <c r="AE558" t="inlineStr">
        <is>
          <t>100% Full Payment - Oct. 21, 2025</t>
        </is>
      </c>
      <c r="AF558" s="2"/>
      <c r="AG558" t="inlineStr">
        <is>
          <t>NzQyNTk5MTgyNzQ4MTg3MDM0MToxRUYyODM3Qi05NzQxLTQ0MjAtOTkyMi00NERDNEYwMjlCRjYtMTo4ZDJhYTgwNzdkOWM5YWNkM2U3MDRlYzQ4NTBjZGJkNjox</t>
        </is>
      </c>
      <c r="AH558" t="inlineStr">
        <is>
          <t>Joel Heinzl Ng</t>
        </is>
      </c>
      <c r="AI558"/>
      <c r="AJ558" t="inlineStr">
        <is>
          <t>LIQUIDITY PLAN (PAR # 202510060066 / 2025TEG-P0197)
(ONLINE) COST ESTIMATE &gt; 1. LOGISTICS &amp; LICENSING MANAGEMENT &gt;
1.4 Awards &gt;
Champion Trophy (Fabrication)
Champion Trophy (Moulding)
Total Budget = Php 25,000.00
Actual Cost = Php 25,000.00</t>
        </is>
      </c>
      <c r="AK558"/>
    </row>
    <row r="559" ht="25.5" customHeight="1">
      <c r="A559" s="2" t="str">
        <f>=HYPERLINK("https://applink.larksuite.com/client/mini_program/open?appId=cli_9c7cc8a9a9edd105&amp;mode=appCenter&amp;path_pc=pc/pages/requested/index?instanceId=7563554832372465703&amp;source=bitable&amp;path=pages/detail/index?instanceId=7563554832372465703&amp;source=bitable", "202510210051")</f>
        <v>202510210051</v>
      </c>
      <c r="B559" t="inlineStr">
        <is>
          <t>Approved</t>
        </is>
      </c>
      <c r="C559" t="inlineStr">
        <is>
          <t>Procurement Order</t>
        </is>
      </c>
      <c r="D559" s="3">
        <v>45951.59421296296</v>
      </c>
      <c r="E559" s="3">
        <v>45951.78944444445</v>
      </c>
      <c r="F559" t="inlineStr">
        <is>
          <t>Fatima Kathleen M. FLores</t>
        </is>
      </c>
      <c r="G559" t="inlineStr">
        <is>
          <t>Procurement</t>
        </is>
      </c>
      <c r="H559"/>
      <c r="I559"/>
      <c r="J559" t="inlineStr">
        <is>
          <t>GAE</t>
        </is>
      </c>
      <c r="K559"/>
      <c r="L559"/>
      <c r="M559"/>
      <c r="N559"/>
      <c r="O559" t="inlineStr">
        <is>
          <t>202510130059-Jean Pauline Dela Luna Dela Luna-费用报销 - 副本 - 副本 - 副本-2025-10-13 06:14:15</t>
        </is>
      </c>
      <c r="P559"/>
      <c r="Q559" t="inlineStr">
        <is>
          <t>Executive Office</t>
        </is>
      </c>
      <c r="R559"/>
      <c r="S559" t="inlineStr">
        <is>
          <t>Customized Full Sublimation Shirt</t>
        </is>
      </c>
      <c r="T559">
        <v>5</v>
      </c>
      <c r="U559">
        <v>500</v>
      </c>
      <c r="V559" t="inlineStr">
        <is>
          <t>PHP</t>
        </is>
      </c>
      <c r="W559">
        <v>2500</v>
      </c>
      <c r="X559" s="2" t="str">
        <f>=HYPERLINK("https://www.larksuite.com/approval/admin/previewAttachment?key=PMg5CgJhDAXgK72sL_EyNjMMNr8I4lbk7IKF7ZclyAqxbHiLNmQYaRFepkb1DMJGR8gGhRqzr-O8PfT2LqVYrM_1Nc_Ldux3iaYqaO5WAOT0d6O7d6fj5_gGAAD__w", "2 attachment(s)")</f>
        <v>2 attachment(s)</v>
      </c>
      <c r="Y559" t="inlineStr">
        <is>
          <t>Bank Transfer</t>
        </is>
      </c>
      <c r="Z559" t="inlineStr">
        <is>
          <t>JLY GARMENT TRADING</t>
        </is>
      </c>
      <c r="AA559" t="inlineStr">
        <is>
          <t>11138004282</t>
        </is>
      </c>
      <c r="AB559" t="inlineStr">
        <is>
          <t>BDO</t>
        </is>
      </c>
      <c r="AC559" t="inlineStr">
        <is>
          <t>504 Falcon St., Manuyo Dos, Gatchalian Subdivision, Las Piñas City</t>
        </is>
      </c>
      <c r="AD559" s="4">
        <v>45954</v>
      </c>
      <c r="AE559" t="inlineStr">
        <is>
          <t>100% Full Payment upon completion of services</t>
        </is>
      </c>
      <c r="AF559" s="2"/>
      <c r="AG559" t="inlineStr">
        <is>
          <t>NzQyNTk5MTgyNzQ4MTg3MDM0MTo1MkY1MUU3Qy1FQUU2LTRBQ0EtQjg5Qi1EMTBFQTU3QjZBRjAtMToxYmUxODhiZTNjZWQ5Njk2NzVkMGVmM2QyZGEwZWVhMTox</t>
        </is>
      </c>
      <c r="AH559" t="inlineStr">
        <is>
          <t>JLY GARMENT TRADING</t>
        </is>
      </c>
      <c r="AI559"/>
      <c r="AJ559"/>
      <c r="AK559"/>
    </row>
    <row r="560" ht="25.5" customHeight="1">
      <c r="A560" s="2" t="str">
        <f>=HYPERLINK("https://applink.larksuite.com/client/mini_program/open?appId=cli_9c7cc8a9a9edd105&amp;mode=appCenter&amp;path_pc=pc/pages/requested/index?instanceId=7563574364126494759&amp;source=bitable&amp;path=pages/detail/index?instanceId=7563574364126494759&amp;source=bitable", "202510210078")</f>
        <v>202510210078</v>
      </c>
      <c r="B560" t="inlineStr">
        <is>
          <t>Approved</t>
        </is>
      </c>
      <c r="C560" t="inlineStr">
        <is>
          <t>Procurement Order</t>
        </is>
      </c>
      <c r="D560" s="3">
        <v>45951.646840277775</v>
      </c>
      <c r="E560" s="3">
        <v>45953.74155092592</v>
      </c>
      <c r="F560" t="inlineStr">
        <is>
          <t>Fatima Kathleen M. FLores</t>
        </is>
      </c>
      <c r="G560" t="inlineStr">
        <is>
          <t>Procurement</t>
        </is>
      </c>
      <c r="H560"/>
      <c r="I560"/>
      <c r="J560" t="inlineStr">
        <is>
          <t>Project</t>
        </is>
      </c>
      <c r="K560" t="inlineStr">
        <is>
          <t>PDEI - Event Service</t>
        </is>
      </c>
      <c r="L560" t="inlineStr">
        <is>
          <t>Bingo Plus Panalo Caravan</t>
        </is>
      </c>
      <c r="M560" t="inlineStr">
        <is>
          <t>2025TEG-P0216</t>
        </is>
      </c>
      <c r="N560" t="inlineStr">
        <is>
          <t>Ronelle Kylene Chaneco Lim</t>
        </is>
      </c>
      <c r="O560" t="inlineStr">
        <is>
          <t>202510210062-Ronelle Kylene Chaneco Lim-费用报销 - 副本 - 副本 - 副本-2025-10-21 07:02:21</t>
        </is>
      </c>
      <c r="P560" t="inlineStr">
        <is>
          <t>NO</t>
        </is>
      </c>
      <c r="Q560"/>
      <c r="R560" t="inlineStr">
        <is>
          <t>YES</t>
        </is>
      </c>
      <c r="S560" t="inlineStr">
        <is>
          <t>1 Set 9ft x 12ft Complete LED Wall + Pro Audio and Pro Lighting Equipment Rental (Pampanga)</t>
        </is>
      </c>
      <c r="T560">
        <v>1</v>
      </c>
      <c r="U560">
        <v>91500</v>
      </c>
      <c r="V560" t="inlineStr">
        <is>
          <t>PHP</t>
        </is>
      </c>
      <c r="W560">
        <v>91500</v>
      </c>
      <c r="X560" s="2" t="str">
        <f>=HYPERLINK("https://www.larksuite.com/approval/admin/previewAttachment?key=PMgxCgJRDATQK02SSebHy9i4LDYrC6JgkbMLFravlqFWWlSDbd6wUVakGEXzYlPZ42NSQybP2Y79upinPV7n0R8XNO_7bd-eli13KMhYAOzy9xDJ7iJ-jm8AAAD__w", "2 attachment(s)")</f>
        <v>2 attachment(s)</v>
      </c>
      <c r="Y560" t="inlineStr">
        <is>
          <t>Bank Transfer</t>
        </is>
      </c>
      <c r="Z560" t="inlineStr">
        <is>
          <t>Peter Angelo Somera</t>
        </is>
      </c>
      <c r="AA560" t="inlineStr">
        <is>
          <t>006781125108</t>
        </is>
      </c>
      <c r="AB560" t="inlineStr">
        <is>
          <t>BDO</t>
        </is>
      </c>
      <c r="AC560" t="inlineStr">
        <is>
          <t>Blk 89 Lot 28 Domingo De Ramos St., Lagro, QC</t>
        </is>
      </c>
      <c r="AD560" s="4">
        <v>45951</v>
      </c>
      <c r="AE560" t="inlineStr">
        <is>
          <t>50% Down Payment upon confirmation
50% Balance upon completion of services</t>
        </is>
      </c>
      <c r="AF560" s="2" t="str">
        <f>=HYPERLINK("https://www.larksuite.com/approval/admin/previewAttachment?key=TMg7CsJgEATgK838-xwvY2MINpGAKFjs2QUr2y-byA5aCi4ugVORFuWWzpUur9CsYZVQrBWzHfu1PU4-XuehzyrUvO-3fXsy2xKucKcA8PLnJNSW9nN8AwAA__8", "3 attachment(s)")</f>
        <v>3 attachment(s)</v>
      </c>
      <c r="AG560" t="inlineStr">
        <is>
          <t>NzQyNTk5MTgyNzQ4MTg3MDM0MToxNzU1OUU5MS05NDhELTRCQkQtOUMzOS0xQTE5NDBBQkNCMTctMTo0NWU5YTFmNjlhNzhjMTgyZjFiZTlmYTdkM2U0MDBjYTox</t>
        </is>
      </c>
      <c r="AH560" t="inlineStr">
        <is>
          <t>Banda Pilipinas</t>
        </is>
      </c>
      <c r="AI560"/>
      <c r="AJ560" t="inlineStr">
        <is>
          <t>No line item in internal CE. They were supposed to use GG Truck, but the venues cannot accommodate the truck.</t>
        </is>
      </c>
      <c r="AK560"/>
    </row>
    <row r="561" ht="25.5" customHeight="1">
      <c r="A561" s="2" t="str">
        <f>=HYPERLINK("https://applink.larksuite.com/client/mini_program/open?appId=cli_9c7cc8a9a9edd105&amp;mode=appCenter&amp;path_pc=pc/pages/requested/index?instanceId=7563574364126494759&amp;source=bitable&amp;path=pages/detail/index?instanceId=7563574364126494759&amp;source=bitable", "202510210078")</f>
        <v>202510210078</v>
      </c>
      <c r="B561" t="inlineStr">
        <is>
          <t>Approved</t>
        </is>
      </c>
      <c r="C561" t="inlineStr">
        <is>
          <t>Procurement Order</t>
        </is>
      </c>
      <c r="D561" s="3">
        <v>45951.646840277775</v>
      </c>
      <c r="E561" s="3">
        <v>45953.74155092592</v>
      </c>
      <c r="F561" t="inlineStr">
        <is>
          <t>Fatima Kathleen M. FLores</t>
        </is>
      </c>
      <c r="G561" t="inlineStr">
        <is>
          <t>Procurement</t>
        </is>
      </c>
      <c r="H561"/>
      <c r="I561"/>
      <c r="J561" t="inlineStr">
        <is>
          <t>Project</t>
        </is>
      </c>
      <c r="K561" t="inlineStr">
        <is>
          <t>PDEI - Event Service</t>
        </is>
      </c>
      <c r="L561" t="inlineStr">
        <is>
          <t>Bingo Plus Panalo Caravan</t>
        </is>
      </c>
      <c r="M561" t="inlineStr">
        <is>
          <t>2025TEG-P0216</t>
        </is>
      </c>
      <c r="N561" t="inlineStr">
        <is>
          <t>Ronelle Kylene Chaneco Lim</t>
        </is>
      </c>
      <c r="O561" t="inlineStr">
        <is>
          <t>202510210062-Ronelle Kylene Chaneco Lim-费用报销 - 副本 - 副本 - 副本-2025-10-21 07:02:21</t>
        </is>
      </c>
      <c r="P561" t="inlineStr">
        <is>
          <t>NO</t>
        </is>
      </c>
      <c r="Q561"/>
      <c r="R561" t="inlineStr">
        <is>
          <t>YES</t>
        </is>
      </c>
      <c r="S561" t="inlineStr">
        <is>
          <t>1 Set 9ft x 12ft Complete LED Wall + Pro Audio and Pro Lighting Equipment Rental (Caloocan)</t>
        </is>
      </c>
      <c r="T561">
        <v>1</v>
      </c>
      <c r="U561">
        <v>75000</v>
      </c>
      <c r="V561" t="inlineStr">
        <is>
          <t>PHP</t>
        </is>
      </c>
      <c r="W561">
        <v>75000</v>
      </c>
      <c r="X561" s="2" t="str">
        <f>=HYPERLINK("https://www.larksuite.com/approval/admin/previewAttachment?key=PMgxCgJRDATQK2WSSebHy9i4LDYrC6JgkbMLFravFqxWIqqNDW_DKCtSjCK82FT2-EBqE-Q527FfF_PE43Ue_XGZ5n2_7dsT2XI3BRnLzHD5e4hkd9F-jm8AAAD__w", "2 attachment(s)")</f>
        <v>2 attachment(s)</v>
      </c>
      <c r="Y561"/>
      <c r="Z561"/>
      <c r="AA561"/>
      <c r="AB561"/>
      <c r="AC561"/>
      <c r="AD561" s="4"/>
      <c r="AE561"/>
      <c r="AF561" s="2"/>
      <c r="AG561" t="inlineStr">
        <is>
          <t>NzQyNTk5MTgyNzQ4MTg3MDM0MToxNzU1OUU5MS05NDhELTRCQkQtOUMzOS0xQTE5NDBBQkNCMTctMjpkZmY0YzdkOTg3NmIwYzg3NzczYzU2MTFkNzdkOWVkZjox</t>
        </is>
      </c>
      <c r="AH561"/>
      <c r="AI561"/>
      <c r="AJ561" t="inlineStr">
        <is>
          <t>No line item in internal CE. They were supposed to use GG Truck, but the venues cannot accommodate the truck.</t>
        </is>
      </c>
      <c r="AK561"/>
    </row>
    <row r="562" ht="25.5" customHeight="1">
      <c r="A562" s="2" t="str">
        <f>=HYPERLINK("https://applink.larksuite.com/client/mini_program/open?appId=cli_9c7cc8a9a9edd105&amp;mode=appCenter&amp;path_pc=pc/pages/requested/index?instanceId=7563574364126494759&amp;source=bitable&amp;path=pages/detail/index?instanceId=7563574364126494759&amp;source=bitable", "202510210078")</f>
        <v>202510210078</v>
      </c>
      <c r="B562" t="inlineStr">
        <is>
          <t>Approved</t>
        </is>
      </c>
      <c r="C562" t="inlineStr">
        <is>
          <t>Procurement Order</t>
        </is>
      </c>
      <c r="D562" s="3">
        <v>45951.646840277775</v>
      </c>
      <c r="E562" s="3">
        <v>45953.74155092592</v>
      </c>
      <c r="F562" t="inlineStr">
        <is>
          <t>Fatima Kathleen M. FLores</t>
        </is>
      </c>
      <c r="G562" t="inlineStr">
        <is>
          <t>Procurement</t>
        </is>
      </c>
      <c r="H562"/>
      <c r="I562"/>
      <c r="J562" t="inlineStr">
        <is>
          <t>Project</t>
        </is>
      </c>
      <c r="K562" t="inlineStr">
        <is>
          <t>PDEI - Event Service</t>
        </is>
      </c>
      <c r="L562" t="inlineStr">
        <is>
          <t>Bingo Plus Panalo Caravan</t>
        </is>
      </c>
      <c r="M562" t="inlineStr">
        <is>
          <t>2025TEG-P0216</t>
        </is>
      </c>
      <c r="N562" t="inlineStr">
        <is>
          <t>Ronelle Kylene Chaneco Lim</t>
        </is>
      </c>
      <c r="O562" t="inlineStr">
        <is>
          <t>202510210062-Ronelle Kylene Chaneco Lim-费用报销 - 副本 - 副本 - 副本-2025-10-21 07:02:21</t>
        </is>
      </c>
      <c r="P562" t="inlineStr">
        <is>
          <t>NO</t>
        </is>
      </c>
      <c r="Q562"/>
      <c r="R562" t="inlineStr">
        <is>
          <t>YES</t>
        </is>
      </c>
      <c r="S562" t="inlineStr">
        <is>
          <t>1 Set 9ft x 12ft Complete LED Wall + Pro Audio and Pro Lighting Equipment Rental (Laguna)</t>
        </is>
      </c>
      <c r="T562">
        <v>1</v>
      </c>
      <c r="U562">
        <v>78000</v>
      </c>
      <c r="V562" t="inlineStr">
        <is>
          <t>PHP</t>
        </is>
      </c>
      <c r="W562">
        <v>78000</v>
      </c>
      <c r="X562" s="2" t="str">
        <f>=HYPERLINK("https://www.larksuite.com/approval/admin/previewAttachment?key=PMg7CsJgEATgK-1jducfL2NjCDaRgChY7NkFC9uvl1uv8mwZ5CHzYXUWkQ2PhsDSxDgpozNqtmO_LtTpj9d56BM0zvt-27enlxhhTCCXmfnl70kAUsN-Ht8AAAD__w", "2 attachment(s)")</f>
        <v>2 attachment(s)</v>
      </c>
      <c r="Y562"/>
      <c r="Z562"/>
      <c r="AA562"/>
      <c r="AB562"/>
      <c r="AC562"/>
      <c r="AD562" s="4"/>
      <c r="AE562"/>
      <c r="AF562" s="2"/>
      <c r="AG562" t="inlineStr">
        <is>
          <t>NzQyNTk5MTgyNzQ4MTg3MDM0MToxNzU1OUU5MS05NDhELTRCQkQtOUMzOS0xQTE5NDBBQkNCMTctMzo4MDNiMGQ2MjA5ZTU2NWI4MGIxMDlmNTAwNjdmNTU4YTox</t>
        </is>
      </c>
      <c r="AH562"/>
      <c r="AI562"/>
      <c r="AJ562" t="inlineStr">
        <is>
          <t>No line item in internal CE. They were supposed to use GG Truck, but the venues cannot accommodate the truck.</t>
        </is>
      </c>
      <c r="AK562"/>
    </row>
    <row r="563" ht="25.5" customHeight="1">
      <c r="A563" s="2" t="str">
        <f>=HYPERLINK("https://applink.larksuite.com/client/mini_program/open?appId=cli_9c7cc8a9a9edd105&amp;mode=appCenter&amp;path_pc=pc/pages/requested/index?instanceId=7563579610139525151&amp;source=bitable&amp;path=pages/detail/index?instanceId=7563579610139525151&amp;source=bitable", "202510210087")</f>
        <v>202510210087</v>
      </c>
      <c r="B563" t="inlineStr">
        <is>
          <t>Approved</t>
        </is>
      </c>
      <c r="C563" t="inlineStr">
        <is>
          <t>Procurement Order</t>
        </is>
      </c>
      <c r="D563" s="3">
        <v>45951.6609837963</v>
      </c>
      <c r="E563" s="3">
        <v>45951.76773148148</v>
      </c>
      <c r="F563" t="inlineStr">
        <is>
          <t>Fatima Kathleen M. FLores</t>
        </is>
      </c>
      <c r="G563" t="inlineStr">
        <is>
          <t>Procurement</t>
        </is>
      </c>
      <c r="H563"/>
      <c r="I563"/>
      <c r="J563" t="inlineStr">
        <is>
          <t>Project</t>
        </is>
      </c>
      <c r="K563" t="inlineStr">
        <is>
          <t>PDEI - Event Service</t>
        </is>
      </c>
      <c r="L563" t="inlineStr">
        <is>
          <t>Bingo Plus Panalo Caravan</t>
        </is>
      </c>
      <c r="M563" t="inlineStr">
        <is>
          <t>2025TEG-P0216</t>
        </is>
      </c>
      <c r="N563" t="inlineStr">
        <is>
          <t>Ronelle Kylene Chaneco Lim</t>
        </is>
      </c>
      <c r="O563" t="inlineStr">
        <is>
          <t>202510030006-Ronelle Kylene Chaneco Lim-费用报销 - 副本 - 副本 - 副本-2025-10-03 02:14:17</t>
        </is>
      </c>
      <c r="P563" t="inlineStr">
        <is>
          <t>YES</t>
        </is>
      </c>
      <c r="Q563"/>
      <c r="R563" t="inlineStr">
        <is>
          <t>NO</t>
        </is>
      </c>
      <c r="S563" t="inlineStr">
        <is>
          <t>Outsourced Copywriter</t>
        </is>
      </c>
      <c r="T563">
        <v>1</v>
      </c>
      <c r="U563">
        <v>20000</v>
      </c>
      <c r="V563" t="inlineStr">
        <is>
          <t>PHP</t>
        </is>
      </c>
      <c r="W563">
        <v>20000</v>
      </c>
      <c r="X563" s="2" t="str">
        <f>=HYPERLINK("https://www.larksuite.com/approval/admin/previewAttachment?key=PMg9CsJAFATgK828v9nnZWwMQQKCIK42e3bBIu1Xg6iR9GpE0xpcyvJUF0HvtGRy2aLUEGW5tsd-tfnROI7v26blM9e83_btxWyZQR7hAwAvp7siorsCf8cvAAD__w", "2 attachment(s)")</f>
        <v>2 attachment(s)</v>
      </c>
      <c r="Y563" t="inlineStr">
        <is>
          <t>Bank Transfer</t>
        </is>
      </c>
      <c r="Z563" t="inlineStr">
        <is>
          <t>Elli Isaiah S Amado</t>
        </is>
      </c>
      <c r="AA563" t="inlineStr">
        <is>
          <t>1190408420</t>
        </is>
      </c>
      <c r="AB563" t="inlineStr">
        <is>
          <t>BDO</t>
        </is>
      </c>
      <c r="AC563" t="inlineStr">
        <is>
          <t>62 J Luna Street, San Pedro, Laguna | Avida New Manila, BL ng Crame, Quezon City</t>
        </is>
      </c>
      <c r="AD563" s="4">
        <v>45929</v>
      </c>
      <c r="AE563" t="inlineStr">
        <is>
          <t>100% Full Payment - Nov. 14, 2025</t>
        </is>
      </c>
      <c r="AF563" s="2"/>
      <c r="AG563" t="inlineStr">
        <is>
          <t>NzQyNTk5MTgyNzQ4MTg3MDM0MToxODIzNjJGMC0zRTMzLTRCOEMtQTE3MC05QUJEQzJDNUI4NkUtMTo0YWFiYmViNTNkYWE1ZTIzNWIzNjBlNDU2NTg1ZjI1Mzox</t>
        </is>
      </c>
      <c r="AH563" t="inlineStr">
        <is>
          <t>Elli Isaiah S Amado</t>
        </is>
      </c>
      <c r="AI563"/>
      <c r="AJ563" t="inlineStr">
        <is>
          <t>LIQUIDITY PLAN (PAR # 202509300084 / 2025TEG-P0216)
PROCUREMENT COST ESTIMATE TAB &gt; MARKETING / TALENT &gt;
"Marketing
- Content Graphics
- Copy Writing
- Video Reels
- Content Calendar Plotting and Ideation"
Total Remaining Budget = Php 166,600.00
This Request  = Php 20,000.00
Balance = Php 146,600.00</t>
        </is>
      </c>
      <c r="AK563"/>
    </row>
    <row r="564" ht="25.5" customHeight="1">
      <c r="A564" s="2" t="str">
        <f>=HYPERLINK("https://applink.larksuite.com/client/mini_program/open?appId=cli_9c7cc8a9a9edd105&amp;mode=appCenter&amp;path_pc=pc/pages/requested/index?instanceId=7563581651968688167&amp;source=bitable&amp;path=pages/detail/index?instanceId=7563581651968688167&amp;source=bitable", "202510210090")</f>
        <v>202510210090</v>
      </c>
      <c r="B564" t="inlineStr">
        <is>
          <t>Approved</t>
        </is>
      </c>
      <c r="C564" t="inlineStr">
        <is>
          <t>Procurement Order</t>
        </is>
      </c>
      <c r="D564" s="3">
        <v>45951.66648148148</v>
      </c>
      <c r="E564" s="3">
        <v>45951.76739583333</v>
      </c>
      <c r="F564" t="inlineStr">
        <is>
          <t>Fatima Kathleen M. FLores</t>
        </is>
      </c>
      <c r="G564" t="inlineStr">
        <is>
          <t>Procurement</t>
        </is>
      </c>
      <c r="H564"/>
      <c r="I564"/>
      <c r="J564" t="inlineStr">
        <is>
          <t>Project</t>
        </is>
      </c>
      <c r="K564" t="inlineStr">
        <is>
          <t>PDEI - Event Service</t>
        </is>
      </c>
      <c r="L564" t="inlineStr">
        <is>
          <t>Bingo Plus Panalo Caravan</t>
        </is>
      </c>
      <c r="M564" t="inlineStr">
        <is>
          <t>2025TEG-P0216</t>
        </is>
      </c>
      <c r="N564" t="inlineStr">
        <is>
          <t>Ronelle Kylene Chaneco Lim</t>
        </is>
      </c>
      <c r="O564" t="inlineStr">
        <is>
          <t>202510030006-Ronelle Kylene Chaneco Lim-费用报销 - 副本 - 副本 - 副本-2025-10-03 02:14:17</t>
        </is>
      </c>
      <c r="P564" t="inlineStr">
        <is>
          <t>YES</t>
        </is>
      </c>
      <c r="Q564"/>
      <c r="R564" t="inlineStr">
        <is>
          <t>NO</t>
        </is>
      </c>
      <c r="S564" t="inlineStr">
        <is>
          <t>Outsourced Video Editor</t>
        </is>
      </c>
      <c r="T564">
        <v>1</v>
      </c>
      <c r="U564">
        <v>15000</v>
      </c>
      <c r="V564" t="inlineStr">
        <is>
          <t>PHP</t>
        </is>
      </c>
      <c r="W564">
        <v>15000</v>
      </c>
      <c r="X564" s="2" t="str">
        <f>=HYPERLINK("https://www.larksuite.com/approval/admin/previewAttachment?key=PMg9CsJAEAXgK703O79exibLYgiKIAYs5uyChe3nSXgahxe0KAV2mA9LurE8PZMeLc2IQjDEet7X9XPu8308Sx772rajz9u25otWIYIYqiMB8PL3Eapa5Yqf4xsAAP__", "2 attachment(s)")</f>
        <v>2 attachment(s)</v>
      </c>
      <c r="Y564" t="inlineStr">
        <is>
          <t>Bank Transfer</t>
        </is>
      </c>
      <c r="Z564" t="inlineStr">
        <is>
          <t>Isaiah Roxas Irasga</t>
        </is>
      </c>
      <c r="AA564" t="inlineStr">
        <is>
          <t>010640076114</t>
        </is>
      </c>
      <c r="AB564" t="inlineStr">
        <is>
          <t>BDO</t>
        </is>
      </c>
      <c r="AC564" t="inlineStr">
        <is>
          <t>Blk 13 Lot 14, Ph 1, Kingstown 1 Subd, Barangay 171 Bagumbong, Caloocan City</t>
        </is>
      </c>
      <c r="AD564" s="4">
        <v>45929</v>
      </c>
      <c r="AE564" t="inlineStr">
        <is>
          <t>100% Full Payment - Nov. 14, 2025</t>
        </is>
      </c>
      <c r="AF564" s="2"/>
      <c r="AG564" t="inlineStr">
        <is>
          <t>NzQyNTk5MTgyNzQ4MTg3MDM0MTo1RDQwMDc4NC1BMzY0LTQ5MEQtQUEyRS1COTE1NzIyQzdENDQtMTo2YWVkNGFkMTBhYzBhNGQyZmQ3MTdkYjgyZjRkOTc4ODox</t>
        </is>
      </c>
      <c r="AH564" t="inlineStr">
        <is>
          <t>Isaiah Roxas Irasga</t>
        </is>
      </c>
      <c r="AI564"/>
      <c r="AJ564" t="inlineStr">
        <is>
          <t>LIQUIDITY PLAN (PAR # 202509300084 / 2025TEG-P0216)
PROCUREMENT COST ESTIMATE TAB &gt; MARKETING / TALENT &gt;
"Marketing
- Content Graphics
- Copy Writing
- Video Reels
- Content Calendar Plotting and Ideation"
Total Remaining Budget = Php 146,600.00
This Request  = Php 15,000.00
Balance = Php 131,600.00</t>
        </is>
      </c>
      <c r="AK564"/>
    </row>
    <row r="565" ht="25.5" customHeight="1">
      <c r="A565" s="2" t="str">
        <f>=HYPERLINK("https://applink.larksuite.com/client/mini_program/open?appId=cli_9c7cc8a9a9edd105&amp;mode=appCenter&amp;path_pc=pc/pages/requested/index?instanceId=7563582624233422880&amp;source=bitable&amp;path=pages/detail/index?instanceId=7563582624233422880&amp;source=bitable", "202510210091")</f>
        <v>202510210091</v>
      </c>
      <c r="B565" t="inlineStr">
        <is>
          <t>Approved</t>
        </is>
      </c>
      <c r="C565" t="inlineStr">
        <is>
          <t>Procurement Order</t>
        </is>
      </c>
      <c r="D565" s="3">
        <v>45951.66909722222</v>
      </c>
      <c r="E565" s="3">
        <v>45951.76696759259</v>
      </c>
      <c r="F565" t="inlineStr">
        <is>
          <t>Fatima Kathleen M. FLores</t>
        </is>
      </c>
      <c r="G565" t="inlineStr">
        <is>
          <t>Procurement</t>
        </is>
      </c>
      <c r="H565"/>
      <c r="I565"/>
      <c r="J565" t="inlineStr">
        <is>
          <t>Project</t>
        </is>
      </c>
      <c r="K565" t="inlineStr">
        <is>
          <t>PDEI - Event Service</t>
        </is>
      </c>
      <c r="L565" t="inlineStr">
        <is>
          <t>Bingo Plus Panalo Caravan</t>
        </is>
      </c>
      <c r="M565" t="inlineStr">
        <is>
          <t>2025TEG-P0216</t>
        </is>
      </c>
      <c r="N565" t="inlineStr">
        <is>
          <t>Ronelle Kylene Chaneco Lim</t>
        </is>
      </c>
      <c r="O565" t="inlineStr">
        <is>
          <t>202510030006-Ronelle Kylene Chaneco Lim-费用报销 - 副本 - 副本 - 副本-2025-10-03 02:14:17</t>
        </is>
      </c>
      <c r="P565" t="inlineStr">
        <is>
          <t>YES</t>
        </is>
      </c>
      <c r="Q565"/>
      <c r="R565" t="inlineStr">
        <is>
          <t>NO</t>
        </is>
      </c>
      <c r="S565" t="inlineStr">
        <is>
          <t>Outsourced Social Media Manager</t>
        </is>
      </c>
      <c r="T565">
        <v>1</v>
      </c>
      <c r="U565">
        <v>15000</v>
      </c>
      <c r="V565" t="inlineStr">
        <is>
          <t>PHP</t>
        </is>
      </c>
      <c r="W565">
        <v>15000</v>
      </c>
      <c r="X565" s="2" t="str">
        <f>=HYPERLINK("https://www.larksuite.com/approval/admin/previewAttachment?key=PMi7CQJhEATglmZn3zZj8h-HiCeCIBps7YKB6RcliHLRaFgLGzLpoV4MGlWNrMJwJLORkvTZjv3c18-7HkvlWHW_-bwua9-e4p0kUs20AMjp75pm1h2Gn-MbAAD__w", "2 attachment(s)")</f>
        <v>2 attachment(s)</v>
      </c>
      <c r="Y565" t="inlineStr">
        <is>
          <t>Bank Transfer</t>
        </is>
      </c>
      <c r="Z565" t="inlineStr">
        <is>
          <t>Franzes Marie Guerra</t>
        </is>
      </c>
      <c r="AA565" t="inlineStr">
        <is>
          <t>3519304774</t>
        </is>
      </c>
      <c r="AB565" t="inlineStr">
        <is>
          <t>BPI</t>
        </is>
      </c>
      <c r="AC565" t="inlineStr">
        <is>
          <t>80 Chestnut St., West Fairview, Quezon City</t>
        </is>
      </c>
      <c r="AD565" s="4">
        <v>45929</v>
      </c>
      <c r="AE565" t="inlineStr">
        <is>
          <t>100% Full Payment - Nov. 14, 2025</t>
        </is>
      </c>
      <c r="AF565" s="2"/>
      <c r="AG565" t="inlineStr">
        <is>
          <t>NzQyNTk5MTgyNzQ4MTg3MDM0MTpDRTg2MzMyMi1ERUFCLTQ5NTItQkVCMy03NDU1MDFFRDNENDEtMTpjYmVhN2ZlYWNjZWY1ZTFiMjgyZTRkMmFjZmQwOTU5MTox</t>
        </is>
      </c>
      <c r="AH565" t="inlineStr">
        <is>
          <t>Franzes Marie Guerra</t>
        </is>
      </c>
      <c r="AI565"/>
      <c r="AJ565" t="inlineStr">
        <is>
          <t>LIQUIDITY PLAN (PAR # 202509300084 / 2025TEG-P0216)
PROCUREMENT COST ESTIMATE TAB &gt; MARKETING / TALENT &gt;
"Marketing
- Content Graphics
- Copy Writing
- Video Reels
- Content Calendar Plotting and Ideation"
Total Remaining Budget = Php 131,600.00
This Request  = Php 15,000.00
Balance = Php 116,600.00</t>
        </is>
      </c>
      <c r="AK565"/>
    </row>
    <row r="566" ht="25.5" customHeight="1">
      <c r="A566" s="2" t="str">
        <f>=HYPERLINK("https://applink.larksuite.com/client/mini_program/open?appId=cli_9c7cc8a9a9edd105&amp;mode=appCenter&amp;path_pc=pc/pages/requested/index?instanceId=7563592462980186143&amp;source=bitable&amp;path=pages/detail/index?instanceId=7563592462980186143&amp;source=bitable", "202510210103")</f>
        <v>202510210103</v>
      </c>
      <c r="B566" t="inlineStr">
        <is>
          <t>Approved</t>
        </is>
      </c>
      <c r="C566" t="inlineStr">
        <is>
          <t>Procurement Order</t>
        </is>
      </c>
      <c r="D566" s="3">
        <v>45951.69561342592</v>
      </c>
      <c r="E566" s="3">
        <v>45951.768159722225</v>
      </c>
      <c r="F566" t="inlineStr">
        <is>
          <t>Fatima Kathleen M. FLores</t>
        </is>
      </c>
      <c r="G566" t="inlineStr">
        <is>
          <t>Procurement</t>
        </is>
      </c>
      <c r="H566"/>
      <c r="I566"/>
      <c r="J566" t="inlineStr">
        <is>
          <t>Project</t>
        </is>
      </c>
      <c r="K566" t="inlineStr">
        <is>
          <t>PDEI - Event Service</t>
        </is>
      </c>
      <c r="L566" t="inlineStr">
        <is>
          <t>Bingo Plus Panalo Caravan</t>
        </is>
      </c>
      <c r="M566" t="inlineStr">
        <is>
          <t>2025TEG-P0216</t>
        </is>
      </c>
      <c r="N566" t="inlineStr">
        <is>
          <t>Ronelle Kylene Chaneco Lim</t>
        </is>
      </c>
      <c r="O566" t="inlineStr">
        <is>
          <t>202510060054-Ronelle Kylene Chaneco Lim-费用报销 - 副本 - 副本 - 副本-2025-10-06 06:41:59</t>
        </is>
      </c>
      <c r="P566" t="inlineStr">
        <is>
          <t>YES</t>
        </is>
      </c>
      <c r="Q566"/>
      <c r="R566" t="inlineStr">
        <is>
          <t>NO</t>
        </is>
      </c>
      <c r="S566" t="inlineStr">
        <is>
          <t>Outsourced Graphic Artist</t>
        </is>
      </c>
      <c r="T566">
        <v>1</v>
      </c>
      <c r="U566">
        <v>20000</v>
      </c>
      <c r="V566" t="inlineStr">
        <is>
          <t>PHP</t>
        </is>
      </c>
      <c r="W566">
        <v>20000</v>
      </c>
      <c r="X566" s="2" t="str">
        <f>=HYPERLINK("https://www.larksuite.com/approval/admin/previewAttachment?key=PMgxrsJADATQK83YXtvzL_MbVhEBJQ1SRLNnR6KgfdlE9qCnEKIJXDXShyzS1GAnw5ctVgnFsrHmsf0_jrP13N_7NM7rXNf9ts0Xh8oM5RHeAPj3c6-IkDLwdXwCAAD__w", "2 attachment(s)")</f>
        <v>2 attachment(s)</v>
      </c>
      <c r="Y566" t="inlineStr">
        <is>
          <t>Bank Transfer</t>
        </is>
      </c>
      <c r="Z566" t="inlineStr">
        <is>
          <t>Angelee Moncawe</t>
        </is>
      </c>
      <c r="AA566" t="inlineStr">
        <is>
          <t>015785025159</t>
        </is>
      </c>
      <c r="AB566" t="inlineStr">
        <is>
          <t>GoTyme</t>
        </is>
      </c>
      <c r="AC566" t="inlineStr">
        <is>
          <t>Blk 16 lot 11 Montavilla Subd. Ph 1. Burgos, Rodriguez, Rizal</t>
        </is>
      </c>
      <c r="AD566" s="4">
        <v>45929</v>
      </c>
      <c r="AE566" t="inlineStr">
        <is>
          <t>100% Full Payment - Nov. 14, 2025</t>
        </is>
      </c>
      <c r="AF566" s="2"/>
      <c r="AG566" t="inlineStr">
        <is>
          <t>NzQyNTk5MTgyNzQ4MTg3MDM0MTo3OEREMDFGNy00MDczLTRFNjQtQTdBMy00NkFEMUM0NDdDRDItMTo1YmUzMjFmNDAyODAzYzE5OTI3YjRkZmU2NjVlZmYzMDox</t>
        </is>
      </c>
      <c r="AH566" t="inlineStr">
        <is>
          <t>Angelee Moncawe</t>
        </is>
      </c>
      <c r="AI566"/>
      <c r="AJ566" t="inlineStr">
        <is>
          <t>LIQUIDITY PLAN (PAR # 202509300084 / 2025TEG-P0216)
PROCUREMENT COST ESTIMATE TAB &gt; MARKETING / TALENT &gt;
"Marketing
- Content Graphics
- Copy Writing
- Video Reels
- Content Calendar Plotting and Ideation"
Total Remaining Budget = Php 116,600.00
This Request  = Php 20,000.00
Balance = Php 96,600.00</t>
        </is>
      </c>
      <c r="AK566"/>
    </row>
    <row r="567" ht="25.5" customHeight="1">
      <c r="A567" s="2" t="str">
        <f>=HYPERLINK("https://applink.larksuite.com/client/mini_program/open?appId=cli_9c7cc8a9a9edd105&amp;mode=appCenter&amp;path_pc=pc/pages/requested/index?instanceId=7563595486905516070&amp;source=bitable&amp;path=pages/detail/index?instanceId=7563595486905516070&amp;source=bitable", "202510210112")</f>
        <v>202510210112</v>
      </c>
      <c r="B567" t="inlineStr">
        <is>
          <t>Approved</t>
        </is>
      </c>
      <c r="C567" t="inlineStr">
        <is>
          <t>Procurement Order</t>
        </is>
      </c>
      <c r="D567" s="3">
        <v>45951.70376157408</v>
      </c>
      <c r="E567" s="3">
        <v>45951.770150462966</v>
      </c>
      <c r="F567" t="inlineStr">
        <is>
          <t>Fatima Kathleen M. FLores</t>
        </is>
      </c>
      <c r="G567" t="inlineStr">
        <is>
          <t>Procurement</t>
        </is>
      </c>
      <c r="H567"/>
      <c r="I567"/>
      <c r="J567" t="inlineStr">
        <is>
          <t>Project</t>
        </is>
      </c>
      <c r="K567" t="inlineStr">
        <is>
          <t>PDEI - Slash</t>
        </is>
      </c>
      <c r="L567" t="inlineStr">
        <is>
          <t>Whiskylive 2025</t>
        </is>
      </c>
      <c r="M567" t="inlineStr">
        <is>
          <t>2025TEG-P0285</t>
        </is>
      </c>
      <c r="N567" t="inlineStr">
        <is>
          <t>Yuki Berico</t>
        </is>
      </c>
      <c r="O567" t="inlineStr">
        <is>
          <t>202510070009-Yuki Berico-费用报销 - 副本 - 副本 - 副本-2025-10-07 02:26:53</t>
        </is>
      </c>
      <c r="P567" t="inlineStr">
        <is>
          <t>YES</t>
        </is>
      </c>
      <c r="Q567"/>
      <c r="R567" t="inlineStr">
        <is>
          <t>NO</t>
        </is>
      </c>
      <c r="S567" t="inlineStr">
        <is>
          <t>Outsourced On-ground Support</t>
        </is>
      </c>
      <c r="T567">
        <v>1</v>
      </c>
      <c r="U567">
        <v>17600</v>
      </c>
      <c r="V567" t="inlineStr">
        <is>
          <t>PHP</t>
        </is>
      </c>
      <c r="W567">
        <v>17600</v>
      </c>
      <c r="X567" s="2" t="str">
        <f>=HYPERLINK("https://www.larksuite.com/approval/admin/previewAttachment?key=PMg7CgJBEATQK1VNf2ray5jssIiwIgiT9dkFA9OXk8gZtCx4cRTYirSo8JmFCCaEHk2pIGpEr-u82yXM9Tzizdfeq_fjONeHURoDMnebAHj7u8ndq9Lxc3wDAAD__w", "2 attachment(s)")</f>
        <v>2 attachment(s)</v>
      </c>
      <c r="Y567" t="inlineStr">
        <is>
          <t>Bank Transfer</t>
        </is>
      </c>
      <c r="Z567" t="inlineStr">
        <is>
          <t>Jhun Aldrin Manes</t>
        </is>
      </c>
      <c r="AA567" t="inlineStr">
        <is>
          <t>09668330217</t>
        </is>
      </c>
      <c r="AB567" t="inlineStr">
        <is>
          <t>GCash</t>
        </is>
      </c>
      <c r="AC567" t="inlineStr">
        <is>
          <t>2042 Candido St. Brgy. Mapulang Lupa. Valenzuela City</t>
        </is>
      </c>
      <c r="AD567" s="4">
        <v>45940</v>
      </c>
      <c r="AE567" t="inlineStr">
        <is>
          <t>100% Full Payment - Oct. 24, 2025</t>
        </is>
      </c>
      <c r="AF567" s="2"/>
      <c r="AG567" t="inlineStr">
        <is>
          <t>NzQyNTk5MTgyNzQ4MTg3MDM0MTo5QzMxOEUxRi1CNkU4LTRDOTctQUQzQi1BODU0N0NBMzQ0QkMtMTplNWE4ZGI5ZjE4N2Q1MzNhN2EwZGY4NzI0ZGFhNDhlYzox</t>
        </is>
      </c>
      <c r="AH567" t="inlineStr">
        <is>
          <t>Jhun Aldrin Manes</t>
        </is>
      </c>
      <c r="AI567"/>
      <c r="AJ567" t="inlineStr">
        <is>
          <t>LIQUIDITY PLAN (PAR # 202510070008 / 2025TEG-P0285)
Activation Outsource On-Ground Support
Total Budget = Php 22,000.00
Actual Cost = Php 17,600.00
Balance = Php 4,400.00</t>
        </is>
      </c>
      <c r="AK567"/>
    </row>
    <row r="568" ht="25.5" customHeight="1">
      <c r="A568" s="2" t="str">
        <f>=HYPERLINK("https://applink.larksuite.com/client/mini_program/open?appId=cli_9c7cc8a9a9edd105&amp;mode=appCenter&amp;path_pc=pc/pages/requested/index?instanceId=7563625101292404768&amp;source=bitable&amp;path=pages/detail/index?instanceId=7563625101292404768&amp;source=bitable", "202510210130")</f>
        <v>202510210130</v>
      </c>
      <c r="B568" t="inlineStr">
        <is>
          <t>Approved</t>
        </is>
      </c>
      <c r="C568" t="inlineStr">
        <is>
          <t>Procurement Order</t>
        </is>
      </c>
      <c r="D568" s="3">
        <v>45951.78356481482</v>
      </c>
      <c r="E568" s="3">
        <v>45954.63253472222</v>
      </c>
      <c r="F568" t="inlineStr">
        <is>
          <t>Fatima Kathleen M. FLores</t>
        </is>
      </c>
      <c r="G568" t="inlineStr">
        <is>
          <t>Procurement</t>
        </is>
      </c>
      <c r="H568"/>
      <c r="I568"/>
      <c r="J568" t="inlineStr">
        <is>
          <t>Project</t>
        </is>
      </c>
      <c r="K568" t="inlineStr">
        <is>
          <t>PDEI - Event Service</t>
        </is>
      </c>
      <c r="L568" t="inlineStr">
        <is>
          <t>MPL PH S16 Addendum</t>
        </is>
      </c>
      <c r="M568" t="inlineStr">
        <is>
          <t>2025TEG-P0269</t>
        </is>
      </c>
      <c r="N568" t="inlineStr">
        <is>
          <t>Katherine Denise Lee Sy</t>
        </is>
      </c>
      <c r="O568" t="inlineStr">
        <is>
          <t>202510140027-Katherine Denise Lee Sy-费用报销 - 副本 - 副本 - 副本-2025-10-14 04:28:37</t>
        </is>
      </c>
      <c r="P568" t="inlineStr">
        <is>
          <t>NO</t>
        </is>
      </c>
      <c r="Q568"/>
      <c r="R568" t="inlineStr">
        <is>
          <t>YES</t>
        </is>
      </c>
      <c r="S568" t="inlineStr">
        <is>
          <t>Buffet Meals (Lunch, Dinner &amp; Pica-pica - 5 days / Event Days)</t>
        </is>
      </c>
      <c r="T568">
        <v>1</v>
      </c>
      <c r="U568">
        <v>98000</v>
      </c>
      <c r="V568" t="inlineStr">
        <is>
          <t>PHP</t>
        </is>
      </c>
      <c r="W568">
        <v>98000</v>
      </c>
      <c r="X568" s="2" t="str">
        <f>=HYPERLINK("https://www.larksuite.com/approval/admin/previewAttachment?key=PMgxCkIxEATQK81sJjtZL2Nj-AgaEEStcnbBwvblIHJ0tiyoGAVu92wZnWBUCHKOHZt2wXT0PddxvsV9vLgeH5fm0n5fL8d8spcj4Ca1AYCnvzdLqkrh5_gGAAD__w", "2 attachment(s)")</f>
        <v>2 attachment(s)</v>
      </c>
      <c r="Y568" t="inlineStr">
        <is>
          <t>Bank Transfer</t>
        </is>
      </c>
      <c r="Z568" t="inlineStr">
        <is>
          <t>Czarina A. Clark</t>
        </is>
      </c>
      <c r="AA568" t="inlineStr">
        <is>
          <t>011870087265</t>
        </is>
      </c>
      <c r="AB568" t="inlineStr">
        <is>
          <t>BDO</t>
        </is>
      </c>
      <c r="AC568" t="inlineStr">
        <is>
          <t>73 Adarna St., Commonwealth, QC</t>
        </is>
      </c>
      <c r="AD568" s="4">
        <v>45952</v>
      </c>
      <c r="AE568" t="inlineStr">
        <is>
          <t>50% Down Payment upon confirmation
50% Final Payment upon completion of services</t>
        </is>
      </c>
      <c r="AF568" s="2" t="str">
        <f>=HYPERLINK("https://www.larksuite.com/approval/admin/previewAttachment?key=TMi7CYJBEATglmb2vTZj4vEj6IEgarS1C0amXxQR5dRoWFManPTQECcoLQbLqJFhZiOZ4rP2cb7JvV7cj0-2rW3zvl6O9WSUBqzdjA2Apz8n0aWhP8c3AAD__w", "3 attachment(s)")</f>
        <v>3 attachment(s)</v>
      </c>
      <c r="AG568" t="inlineStr">
        <is>
          <t>NzQyNTk5MTgyNzQ4MTg3MDM0MTpEQUVBRDc0MC1DNDM2LTRDNkMtODE0MC04REYzRTgwNDgzODUtMTo5ZDZhYzllMjM4NDg5MmQ4NDU3NWE1NjYwNTMyNDMyNjox</t>
        </is>
      </c>
      <c r="AH568" t="inlineStr">
        <is>
          <t>CKC Food Services</t>
        </is>
      </c>
      <c r="AI568"/>
      <c r="AJ568" t="inlineStr">
        <is>
          <t>This is to be charged to a RUNNING ADDENDUM.</t>
        </is>
      </c>
      <c r="AK568"/>
    </row>
    <row r="569" ht="25.5" customHeight="1">
      <c r="A569" s="2" t="str">
        <f>=HYPERLINK("https://applink.larksuite.com/client/mini_program/open?appId=cli_9c7cc8a9a9edd105&amp;mode=appCenter&amp;path_pc=pc/pages/requested/index?instanceId=7563637567044714535&amp;source=bitable&amp;path=pages/detail/index?instanceId=7563637567044714535&amp;source=bitable", "202510210143")</f>
        <v>202510210143</v>
      </c>
      <c r="B569" t="inlineStr">
        <is>
          <t>Approved</t>
        </is>
      </c>
      <c r="C569" t="inlineStr">
        <is>
          <t>Procurement Order</t>
        </is>
      </c>
      <c r="D569" s="3">
        <v>45951.81716435185</v>
      </c>
      <c r="E569" s="3">
        <v>45952.66521990741</v>
      </c>
      <c r="F569" t="inlineStr">
        <is>
          <t>Fatima Kathleen M. FLores</t>
        </is>
      </c>
      <c r="G569" t="inlineStr">
        <is>
          <t>Procurement</t>
        </is>
      </c>
      <c r="H569"/>
      <c r="I569"/>
      <c r="J569" t="inlineStr">
        <is>
          <t>Project</t>
        </is>
      </c>
      <c r="K569" t="inlineStr">
        <is>
          <t>PDEI - Game Marketing</t>
        </is>
      </c>
      <c r="L569" t="inlineStr">
        <is>
          <t>Wargaming x Spitfire Smite World of Tanks 2.0 Promotional Video</t>
        </is>
      </c>
      <c r="M569" t="inlineStr">
        <is>
          <t>2025TEG-P0259</t>
        </is>
      </c>
      <c r="N569" t="inlineStr">
        <is>
          <t>Clifford Markus Ortiz Martinez</t>
        </is>
      </c>
      <c r="O569" t="inlineStr">
        <is>
          <t>202509280037-Clifford Markus Ortiz Martinez-费用报销 - 副本 - 副本 - 副本-2025-09-28 18:25:16</t>
        </is>
      </c>
      <c r="P569" t="inlineStr">
        <is>
          <t>YES</t>
        </is>
      </c>
      <c r="Q569"/>
      <c r="R569" t="inlineStr">
        <is>
          <t>NO</t>
        </is>
      </c>
      <c r="S569" t="inlineStr">
        <is>
          <t>Outsourced Talent (Spitfire Smite)</t>
        </is>
      </c>
      <c r="T569">
        <v>1</v>
      </c>
      <c r="U569">
        <v>20000</v>
      </c>
      <c r="V569" t="inlineStr">
        <is>
          <t>PHP</t>
        </is>
      </c>
      <c r="W569">
        <v>20000</v>
      </c>
      <c r="X569" s="2" t="str">
        <f>=HYPERLINK("https://www.larksuite.com/approval/admin/previewAttachment?key=PMgxrgIxDATQK43jsSf-l_lNVisoqFAQW_jsSBS0L6chZ5hngWWjYK1IT1ekQMoYHj3apIJMI_p4nP_7utfcjBXvfa3o122dx9OiNAbkpE8A9vdzF8mqJL6OTwAAAP__", "2 attachment(s)")</f>
        <v>2 attachment(s)</v>
      </c>
      <c r="Y569" t="inlineStr">
        <is>
          <t>Bank Transfer</t>
        </is>
      </c>
      <c r="Z569" t="inlineStr">
        <is>
          <t>DOMINIC ANDREI MONTANEZ</t>
        </is>
      </c>
      <c r="AA569" t="inlineStr">
        <is>
          <t>4748 4427 9067 6103</t>
        </is>
      </c>
      <c r="AB569" t="inlineStr">
        <is>
          <t>Landbank</t>
        </is>
      </c>
      <c r="AC569" t="inlineStr">
        <is>
          <t>Blk 9 Lot 15 St. Agatha Homes, Malolos City</t>
        </is>
      </c>
      <c r="AD569" s="4">
        <v>45912</v>
      </c>
      <c r="AE569" t="inlineStr">
        <is>
          <t>100% Full Payment - Oct. 24, 2025</t>
        </is>
      </c>
      <c r="AF569" s="2"/>
      <c r="AG569" t="inlineStr">
        <is>
          <t>NzQyNTk5MTgyNzQ4MTg3MDM0MToxMjRCMENEOC1GMzY4LTRDRDAtQTg3QS1DNERFRUM2QzhCNzMtMTpjODE1YjA2NTIzZjQzMjdhOGRhMDdkNjZkYjU3NWNmNTox</t>
        </is>
      </c>
      <c r="AH569" t="inlineStr">
        <is>
          <t>DOMINIC ANDREI MONTANEZ</t>
        </is>
      </c>
      <c r="AI569"/>
      <c r="AJ569" t="inlineStr">
        <is>
          <t>LIQUIDITY PLAN (PAR # 202509240050 / 2025TEG-P0259)
Spitfire Smite Talent Fee
Total Budget = Php 25,000.00
Actual Cost = Php 20,000.00
Balance = Php 5,000.00</t>
        </is>
      </c>
      <c r="AK569"/>
    </row>
    <row r="570" ht="25.5" customHeight="1">
      <c r="A570" s="2" t="str">
        <f>=HYPERLINK("https://applink.larksuite.com/client/mini_program/open?appId=cli_9c7cc8a9a9edd105&amp;mode=appCenter&amp;path_pc=pc/pages/requested/index?instanceId=7563885025800798240&amp;source=bitable&amp;path=pages/detail/index?instanceId=7563885025800798240&amp;source=bitable", "202510220023")</f>
        <v>202510220023</v>
      </c>
      <c r="B570" t="inlineStr">
        <is>
          <t>Approved</t>
        </is>
      </c>
      <c r="C570" t="inlineStr">
        <is>
          <t>Procurement Order</t>
        </is>
      </c>
      <c r="D570" s="3">
        <v>45952.48401620371</v>
      </c>
      <c r="E570" s="3">
        <v>45952.549166666664</v>
      </c>
      <c r="F570" t="inlineStr">
        <is>
          <t>Fatima Kathleen M. FLores</t>
        </is>
      </c>
      <c r="G570" t="inlineStr">
        <is>
          <t>Procurement</t>
        </is>
      </c>
      <c r="H570"/>
      <c r="I570"/>
      <c r="J570" t="inlineStr">
        <is>
          <t>CAPEX</t>
        </is>
      </c>
      <c r="K570"/>
      <c r="L570"/>
      <c r="M570"/>
      <c r="N570"/>
      <c r="O570" t="inlineStr">
        <is>
          <t>202510220002-JP dela Peña-费用报销 - 副本 - 副本 - 副本-2025-10-22 01:09:50</t>
        </is>
      </c>
      <c r="P570"/>
      <c r="Q570" t="inlineStr">
        <is>
          <t>Project Management</t>
        </is>
      </c>
      <c r="R570"/>
      <c r="S570" t="inlineStr">
        <is>
          <t>Iwata Tornado Drum-24 (24" Industrial Drum Fan)</t>
        </is>
      </c>
      <c r="T570">
        <v>8</v>
      </c>
      <c r="U570">
        <v>8495.75</v>
      </c>
      <c r="V570" t="inlineStr">
        <is>
          <t>PHP</t>
        </is>
      </c>
      <c r="W570">
        <v>67966</v>
      </c>
      <c r="X570" s="2" t="str">
        <f>=HYPERLINK("https://www.larksuite.com/approval/admin/previewAttachment?key=PMg7CgJhDATgK02ek3gZG38WQRcEUbHI2QWLbb8sQVaIZcNbtCHDSKsKaBTALnWMjpANCjVm7dt5Wci6xetrH93vj3lfL9t6SjRVQXO3AiCnw43u3p2Ov-MXAAD__w", "2 attachment(s)")</f>
        <v>2 attachment(s)</v>
      </c>
      <c r="Y570" t="inlineStr">
        <is>
          <t>Bank Transfer</t>
        </is>
      </c>
      <c r="Z570" t="inlineStr">
        <is>
          <t>202510220002</t>
        </is>
      </c>
      <c r="AA570" t="inlineStr">
        <is>
          <t>0013-6803-3336</t>
        </is>
      </c>
      <c r="AB570" t="inlineStr">
        <is>
          <t>BDO</t>
        </is>
      </c>
      <c r="AC570" t="inlineStr">
        <is>
          <t>#46 Sta. Rosa St., Brgy. Manresa, Quezon City</t>
        </is>
      </c>
      <c r="AD570" s="4">
        <v>45952</v>
      </c>
      <c r="AE570" t="inlineStr">
        <is>
          <t>100% Full Payment before pick-up</t>
        </is>
      </c>
      <c r="AF570" s="2"/>
      <c r="AG570" t="inlineStr">
        <is>
          <t>NzQyNTk5MTgyNzQ4MTg3MDM0MTo3NDczMzNBNi05NTY3LTQ4QzgtOUE0QS0wRUVCNzA0MjBFOUYtMTpkMjg5OTQzODJiYTlhODBmZDVlYTI5MmNjNTZiMjM0Mzox</t>
        </is>
      </c>
      <c r="AH570" t="inlineStr">
        <is>
          <t>COLENT MARKETING PHILS. INC.</t>
        </is>
      </c>
      <c r="AI570"/>
      <c r="AJ570"/>
      <c r="AK570"/>
    </row>
    <row r="571" ht="25.5" customHeight="1">
      <c r="A571" s="2" t="str">
        <f>=HYPERLINK("https://applink.larksuite.com/client/mini_program/open?appId=cli_9c7cc8a9a9edd105&amp;mode=appCenter&amp;path_pc=pc/pages/requested/index?instanceId=7563935468245631008&amp;source=bitable&amp;path=pages/detail/index?instanceId=7563935468245631008&amp;source=bitable", "202510220062")</f>
        <v>202510220062</v>
      </c>
      <c r="B571" t="inlineStr">
        <is>
          <t>Approved</t>
        </is>
      </c>
      <c r="C571" t="inlineStr">
        <is>
          <t>Procurement Order</t>
        </is>
      </c>
      <c r="D571" s="3">
        <v>45952.619942129626</v>
      </c>
      <c r="E571" s="3">
        <v>45952.65940972222</v>
      </c>
      <c r="F571" t="inlineStr">
        <is>
          <t>Fatima Kathleen M. FLores</t>
        </is>
      </c>
      <c r="G571" t="inlineStr">
        <is>
          <t>Procurement</t>
        </is>
      </c>
      <c r="H571"/>
      <c r="I571"/>
      <c r="J571" t="inlineStr">
        <is>
          <t>Project</t>
        </is>
      </c>
      <c r="K571" t="inlineStr">
        <is>
          <t>PDEI - Event Service</t>
        </is>
      </c>
      <c r="L571" t="inlineStr">
        <is>
          <t>Bingo Plus Panalo Caravan</t>
        </is>
      </c>
      <c r="M571" t="inlineStr">
        <is>
          <t>2025TEG-P0216</t>
        </is>
      </c>
      <c r="N571" t="inlineStr">
        <is>
          <t>Anteaus Villena</t>
        </is>
      </c>
      <c r="O571" t="inlineStr">
        <is>
          <t>202510220041-Anteaus Villena-费用报销 - 副本 - 副本 - 副本-2025-10-22 05:14:25</t>
        </is>
      </c>
      <c r="P571" t="inlineStr">
        <is>
          <t>NO</t>
        </is>
      </c>
      <c r="Q571"/>
      <c r="R571" t="inlineStr">
        <is>
          <t>YES</t>
        </is>
      </c>
      <c r="S571" t="inlineStr">
        <is>
          <t>Rental of PORTALET W/ FLUSH (1 day)</t>
        </is>
      </c>
      <c r="T571">
        <v>4</v>
      </c>
      <c r="U571">
        <v>4116</v>
      </c>
      <c r="V571" t="inlineStr">
        <is>
          <t>PHP</t>
        </is>
      </c>
      <c r="W571">
        <v>16464</v>
      </c>
      <c r="X571" s="2"/>
      <c r="Y571" t="inlineStr">
        <is>
          <t>Bank Transfer</t>
        </is>
      </c>
      <c r="Z571" t="inlineStr">
        <is>
          <t>GREENCARE TRADING AND SERVICES</t>
        </is>
      </c>
      <c r="AA571" t="inlineStr">
        <is>
          <t>0000-10-25-65-39</t>
        </is>
      </c>
      <c r="AB571" t="inlineStr">
        <is>
          <t>BDO</t>
        </is>
      </c>
      <c r="AC571" t="inlineStr">
        <is>
          <t>259 Ermin Garcia Ave. Corner Potsdam st. Brgy. Silanagan Cubao Q.C</t>
        </is>
      </c>
      <c r="AD571" s="4">
        <v>45952</v>
      </c>
      <c r="AE571" t="inlineStr">
        <is>
          <t>100% Full Payment upon delivery</t>
        </is>
      </c>
      <c r="AF571" s="2"/>
      <c r="AG571" t="inlineStr">
        <is>
          <t>NzQyNTk5MTgyNzQ4MTg3MDM0MTpFOEI3QTc2QS04NDVBLTQ4MEQtODBCMy05MzQzMjJFMzg5NDYtMTo0OGU4MzE5ZmEzZjUzZmY2ZmY4YmJhOTgxZDBhOTNmZTox</t>
        </is>
      </c>
      <c r="AH571" t="inlineStr">
        <is>
          <t>GREENCARE TRADING AND SERVICES</t>
        </is>
      </c>
      <c r="AI571"/>
      <c r="AJ571" t="inlineStr">
        <is>
          <t>No line item in internal CE.</t>
        </is>
      </c>
      <c r="AK571"/>
    </row>
    <row r="572" ht="25.5" customHeight="1">
      <c r="A572" s="2" t="str">
        <f>=HYPERLINK("https://applink.larksuite.com/client/mini_program/open?appId=cli_9c7cc8a9a9edd105&amp;mode=appCenter&amp;path_pc=pc/pages/requested/index?instanceId=7563935468245631008&amp;source=bitable&amp;path=pages/detail/index?instanceId=7563935468245631008&amp;source=bitable", "202510220062")</f>
        <v>202510220062</v>
      </c>
      <c r="B572" t="inlineStr">
        <is>
          <t>Approved</t>
        </is>
      </c>
      <c r="C572" t="inlineStr">
        <is>
          <t>Procurement Order</t>
        </is>
      </c>
      <c r="D572" s="3">
        <v>45952.619942129626</v>
      </c>
      <c r="E572" s="3">
        <v>45952.65940972222</v>
      </c>
      <c r="F572" t="inlineStr">
        <is>
          <t>Fatima Kathleen M. FLores</t>
        </is>
      </c>
      <c r="G572" t="inlineStr">
        <is>
          <t>Procurement</t>
        </is>
      </c>
      <c r="H572"/>
      <c r="I572"/>
      <c r="J572" t="inlineStr">
        <is>
          <t>Project</t>
        </is>
      </c>
      <c r="K572" t="inlineStr">
        <is>
          <t>PDEI - Event Service</t>
        </is>
      </c>
      <c r="L572" t="inlineStr">
        <is>
          <t>Bingo Plus Panalo Caravan</t>
        </is>
      </c>
      <c r="M572" t="inlineStr">
        <is>
          <t>2025TEG-P0216</t>
        </is>
      </c>
      <c r="N572" t="inlineStr">
        <is>
          <t>Anteaus Villena</t>
        </is>
      </c>
      <c r="O572" t="inlineStr">
        <is>
          <t>202510220041-Anteaus Villena-费用报销 - 副本 - 副本 - 副本-2025-10-22 05:14:25</t>
        </is>
      </c>
      <c r="P572" t="inlineStr">
        <is>
          <t>NO</t>
        </is>
      </c>
      <c r="Q572"/>
      <c r="R572" t="inlineStr">
        <is>
          <t>YES</t>
        </is>
      </c>
      <c r="S572" t="inlineStr">
        <is>
          <t>DELIVERY AND PULLOUT CHARGE</t>
        </is>
      </c>
      <c r="T572">
        <v>1</v>
      </c>
      <c r="U572">
        <v>12320</v>
      </c>
      <c r="V572" t="inlineStr">
        <is>
          <t>PHP</t>
        </is>
      </c>
      <c r="W572">
        <v>12320</v>
      </c>
      <c r="X572" s="2" t="str">
        <f>=HYPERLINK("https://www.larksuite.com/approval/admin/previewAttachment?key=PMgxCgJBDAXQK_2f_CQTL2OzwyLC2gjqFnN2wcL25SByBD0balqDqyK9PZTDFOkExrLFqkaxLNY89mvfz48dPKf43vRYr9u2zyejywzlkg8AvPzdS1J3Cj_nNwAA__8", "2 attachment(s)")</f>
        <v>2 attachment(s)</v>
      </c>
      <c r="Y572"/>
      <c r="Z572"/>
      <c r="AA572"/>
      <c r="AB572"/>
      <c r="AC572"/>
      <c r="AD572" s="4"/>
      <c r="AE572"/>
      <c r="AF572" s="2"/>
      <c r="AG572" t="inlineStr">
        <is>
          <t>NzQyNTk5MTgyNzQ4MTg3MDM0MTpFOEI3QTc2QS04NDVBLTQ4MEQtODBCMy05MzQzMjJFMzg5NDYtMjozYmNjMzUwMDk3YjE0Yjg1Yjg3N2VhZGU1MmM0N2VjNDox</t>
        </is>
      </c>
      <c r="AH572"/>
      <c r="AI572"/>
      <c r="AJ572" t="inlineStr">
        <is>
          <t>No line item in internal CE.</t>
        </is>
      </c>
      <c r="AK572"/>
    </row>
    <row r="573" ht="25.5" customHeight="1">
      <c r="A573" s="2" t="str">
        <f>=HYPERLINK("https://applink.larksuite.com/client/mini_program/open?appId=cli_9c7cc8a9a9edd105&amp;mode=appCenter&amp;path_pc=pc/pages/requested/index?instanceId=7563949817383141414&amp;source=bitable&amp;path=pages/detail/index?instanceId=7563949817383141414&amp;source=bitable", "202510220077")</f>
        <v>202510220077</v>
      </c>
      <c r="B573" t="inlineStr">
        <is>
          <t>Approved</t>
        </is>
      </c>
      <c r="C573" t="inlineStr">
        <is>
          <t>Procurement Order</t>
        </is>
      </c>
      <c r="D573" s="3">
        <v>45952.65861111111</v>
      </c>
      <c r="E573" s="3">
        <v>45953.71346064815</v>
      </c>
      <c r="F573" t="inlineStr">
        <is>
          <t>Fatima Kathleen M. FLores</t>
        </is>
      </c>
      <c r="G573" t="inlineStr">
        <is>
          <t>Procurement</t>
        </is>
      </c>
      <c r="H573"/>
      <c r="I573"/>
      <c r="J573" t="inlineStr">
        <is>
          <t>Project</t>
        </is>
      </c>
      <c r="K573" t="inlineStr">
        <is>
          <t>PDEI - Game Marketing</t>
        </is>
      </c>
      <c r="L573" t="inlineStr">
        <is>
          <t>WCG 2025 Creator Rumble</t>
        </is>
      </c>
      <c r="M573" t="inlineStr">
        <is>
          <t>2025TEG-P0041</t>
        </is>
      </c>
      <c r="N573" t="inlineStr">
        <is>
          <t>Maura Aurel Atilano Yap</t>
        </is>
      </c>
      <c r="O573" t="inlineStr">
        <is>
          <t>202510160016-Maura Aurel Atilano Yap-费用报销 - 副本 - 副本 - 副本-2025-10-16 04:01:15</t>
        </is>
      </c>
      <c r="P573" t="inlineStr">
        <is>
          <t>YES</t>
        </is>
      </c>
      <c r="Q573"/>
      <c r="R573" t="inlineStr">
        <is>
          <t>NO</t>
        </is>
      </c>
      <c r="S573" t="inlineStr">
        <is>
          <t>Outsourced Community Partner Coordinator (Tekken)</t>
        </is>
      </c>
      <c r="T573">
        <v>1</v>
      </c>
      <c r="U573">
        <v>15000</v>
      </c>
      <c r="V573" t="inlineStr">
        <is>
          <t>PHP</t>
        </is>
      </c>
      <c r="W573">
        <v>15000</v>
      </c>
      <c r="X573" s="2" t="str">
        <f>=HYPERLINK("https://www.larksuite.com/approval/admin/previewAttachment?key=PMg5CkJBEATQK1X1Mt3lZUz8DIILgqAmc3bR4POyN5oYnfQhhGgCV-VwhZrl7YyfZYtVQrEs13abx4tde-b7Pvn4MLVe59PcnkyVGcojvAHwsL9XREgj8H98AwAA__8", "2 attachment(s)")</f>
        <v>2 attachment(s)</v>
      </c>
      <c r="Y573" t="inlineStr">
        <is>
          <t>Bank Transfer</t>
        </is>
      </c>
      <c r="Z573" t="inlineStr">
        <is>
          <t>Adrian Amorato</t>
        </is>
      </c>
      <c r="AA573" t="inlineStr">
        <is>
          <t>013639339766</t>
        </is>
      </c>
      <c r="AB573" t="inlineStr">
        <is>
          <t>GoTyme Bank</t>
        </is>
      </c>
      <c r="AC573" t="inlineStr">
        <is>
          <t>1047 Bagong Silang St, Nangka, Marikina City</t>
        </is>
      </c>
      <c r="AD573" s="4">
        <v>45955</v>
      </c>
      <c r="AE573" t="inlineStr">
        <is>
          <t>1st Payment - Oct. 24, 2025
Final Payment - Nov. 7, 2025</t>
        </is>
      </c>
      <c r="AF573" s="2"/>
      <c r="AG573" t="inlineStr">
        <is>
          <t>NzQyNTk5MTgyNzQ4MTg3MDM0MTowMjU0NUJENi00NTU4LTRBMTMtQjFFRi1ENEFGNTlBOTdDNjItMTozYTczNDQxMzJlYzY2OTU3ZTQ1MDFmMTJhYzU2ODBhZDox</t>
        </is>
      </c>
      <c r="AH573" t="inlineStr">
        <is>
          <t>Adrian Amorato</t>
        </is>
      </c>
      <c r="AI573"/>
      <c r="AJ573" t="inlineStr">
        <is>
          <t>LIQUIDITY PLAN (PAR # 202505160019 / 2025TEG-P0041)
MARKETING &gt; Community - Beyblade, TCG
Total Budget = Php 45,000.00
Actual Cost = Php 15,000.00
Balance = Php 30,000.00</t>
        </is>
      </c>
      <c r="AK573"/>
    </row>
    <row r="574" ht="25.5" customHeight="1">
      <c r="A574" s="2" t="str">
        <f>=HYPERLINK("https://applink.larksuite.com/client/mini_program/open?appId=cli_9c7cc8a9a9edd105&amp;mode=appCenter&amp;path_pc=pc/pages/requested/index?instanceId=7563954712781815847&amp;source=bitable&amp;path=pages/detail/index?instanceId=7563954712781815847&amp;source=bitable", "202510220080")</f>
        <v>202510220080</v>
      </c>
      <c r="B574" t="inlineStr">
        <is>
          <t>Approved</t>
        </is>
      </c>
      <c r="C574" t="inlineStr">
        <is>
          <t>Procurement Order</t>
        </is>
      </c>
      <c r="D574" s="3">
        <v>45952.671805555554</v>
      </c>
      <c r="E574" s="3">
        <v>45953.75079861111</v>
      </c>
      <c r="F574" t="inlineStr">
        <is>
          <t>Fatima Kathleen M. FLores</t>
        </is>
      </c>
      <c r="G574" t="inlineStr">
        <is>
          <t>Procurement</t>
        </is>
      </c>
      <c r="H574"/>
      <c r="I574"/>
      <c r="J574" t="inlineStr">
        <is>
          <t>Project</t>
        </is>
      </c>
      <c r="K574" t="inlineStr">
        <is>
          <t>PDEI - Game Marketing</t>
        </is>
      </c>
      <c r="L574" t="inlineStr">
        <is>
          <t>WCG 2025 Creator Rumble</t>
        </is>
      </c>
      <c r="M574" t="inlineStr">
        <is>
          <t>2025TEG-P0041</t>
        </is>
      </c>
      <c r="N574" t="inlineStr">
        <is>
          <t>Maura Aurel Atilano Yap</t>
        </is>
      </c>
      <c r="O574" t="inlineStr">
        <is>
          <t>202509290139-Vincent Bryan Velasco Tan-费用报销 - 副本 - 副本 - 副本-2025-09-29 09:32:33</t>
        </is>
      </c>
      <c r="P574" t="inlineStr">
        <is>
          <t>NO</t>
        </is>
      </c>
      <c r="Q574"/>
      <c r="R574" t="inlineStr">
        <is>
          <t>YES</t>
        </is>
      </c>
      <c r="S574" t="inlineStr">
        <is>
          <t>Fabrication of Main Stage, Photo Area and Board-up Rooms</t>
        </is>
      </c>
      <c r="T574">
        <v>1</v>
      </c>
      <c r="U574">
        <v>400000</v>
      </c>
      <c r="V574" t="inlineStr">
        <is>
          <t>PHP</t>
        </is>
      </c>
      <c r="W574">
        <v>400000</v>
      </c>
      <c r="X574" s="2" t="str">
        <f>=HYPERLINK("https://www.larksuite.com/approval/admin/previewAttachment?key=PMg7CgJBEATQK1X1Z6rby5i4LKIYyY4azNkFA9M3ihiV9NGIpjW4lMM7QzQVi1mhZYtSQ5Tl2h772eZL77x9fPKw-7Hm9bJvT2bLDPIILwA8_d0VEd0j8HN8AwAA__8", "2 attachment(s)")</f>
        <v>2 attachment(s)</v>
      </c>
      <c r="Y574" t="inlineStr">
        <is>
          <t>Bank Transfer</t>
        </is>
      </c>
      <c r="Z574" t="inlineStr">
        <is>
          <t>STAGE ONE EVENT SERVICES CORP.</t>
        </is>
      </c>
      <c r="AA574" t="inlineStr">
        <is>
          <t>0124 0800 3549</t>
        </is>
      </c>
      <c r="AB574" t="inlineStr">
        <is>
          <t>BDO</t>
        </is>
      </c>
      <c r="AC574" t="inlineStr">
        <is>
          <t>Kamagong St. cor. Ipil St. Hillcrest Village, Brgy. 173 Camarin, Caloocan</t>
        </is>
      </c>
      <c r="AD574" s="4">
        <v>45954</v>
      </c>
      <c r="AE574" t="inlineStr">
        <is>
          <t>70% Down Payment upon confirmation
30% Balance - 30 days upon completion of services</t>
        </is>
      </c>
      <c r="AF574" s="2"/>
      <c r="AG574" t="inlineStr">
        <is>
          <t>NzQyNTk5MTgyNzQ4MTg3MDM0MTo0NTlCOUVDMy1BMjQ4LTRFRkMtQUVCOS1DRjQ2OTI2MEIwOTQtMTphY2UzMTg3YmI0MDdmY2EyMTg3OWViNzFlZTFkZDQ3Zjox</t>
        </is>
      </c>
      <c r="AH574" t="inlineStr">
        <is>
          <t>STAGE ONE EVENT SERVICES CORP.</t>
        </is>
      </c>
      <c r="AI574"/>
      <c r="AJ574" t="inlineStr">
        <is>
          <t>LIQUIDITY PLAN (PAR # 202505160019 / 2025TEG-P0041)
FOR RENTAL/ FABRICATION/ PRODUCTION &gt;
Stage Design and Fabrication
Booth Branding and Fabrication, Marketing
Stage platform, flooring, carpet
Black Cloths
Board Up
Total Budget = Php 373,000.00
Actual Cost = Php 400,000.00
Balance = (Php 27,000.00) OVER BUDGET</t>
        </is>
      </c>
      <c r="AK574"/>
    </row>
    <row r="575" ht="25.5" customHeight="1">
      <c r="A575" s="2" t="str">
        <f>=HYPERLINK("https://applink.larksuite.com/client/mini_program/open?appId=cli_9c7cc8a9a9edd105&amp;mode=appCenter&amp;path_pc=pc/pages/requested/index?instanceId=7563963285649817631&amp;source=bitable&amp;path=pages/detail/index?instanceId=7563963285649817631&amp;source=bitable", "202510220087")</f>
        <v>202510220087</v>
      </c>
      <c r="B575" t="inlineStr">
        <is>
          <t>Approved</t>
        </is>
      </c>
      <c r="C575" t="inlineStr">
        <is>
          <t>Procurement Order</t>
        </is>
      </c>
      <c r="D575" s="3">
        <v>45952.69490740741</v>
      </c>
      <c r="E575" s="3">
        <v>45953.72944444444</v>
      </c>
      <c r="F575" t="inlineStr">
        <is>
          <t>Fatima Kathleen M. FLores</t>
        </is>
      </c>
      <c r="G575" t="inlineStr">
        <is>
          <t>Procurement</t>
        </is>
      </c>
      <c r="H575"/>
      <c r="I575"/>
      <c r="J575" t="inlineStr">
        <is>
          <t>Project</t>
        </is>
      </c>
      <c r="K575" t="inlineStr">
        <is>
          <t>PDEI - Event Service</t>
        </is>
      </c>
      <c r="L575" t="inlineStr">
        <is>
          <t>GTCC 2025: September Arena</t>
        </is>
      </c>
      <c r="M575" t="inlineStr">
        <is>
          <t>2025TEG-P0236</t>
        </is>
      </c>
      <c r="N575" t="inlineStr">
        <is>
          <t>Juvie Anne Asis Castres</t>
        </is>
      </c>
      <c r="O575" t="inlineStr">
        <is>
          <t>202509170061-Juvie Anne Asis Castres-费用报销 - 副本 - 副本 - 副本-2025-09-17 07:45:13</t>
        </is>
      </c>
      <c r="P575" t="inlineStr">
        <is>
          <t>NO</t>
        </is>
      </c>
      <c r="Q575"/>
      <c r="R575" t="inlineStr">
        <is>
          <t>NO</t>
        </is>
      </c>
      <c r="S575" t="inlineStr">
        <is>
          <t>Rental of Monobloc Chairs (3 days)</t>
        </is>
      </c>
      <c r="T575">
        <v>100</v>
      </c>
      <c r="U575">
        <v>45</v>
      </c>
      <c r="V575" t="inlineStr">
        <is>
          <t>PHP</t>
        </is>
      </c>
      <c r="W575">
        <v>4500</v>
      </c>
      <c r="X575" s="2"/>
      <c r="Y575" t="inlineStr">
        <is>
          <t>Bank Transfer</t>
        </is>
      </c>
      <c r="Z575" t="inlineStr">
        <is>
          <t>SPE Events Management And Services Party Needs Rental</t>
        </is>
      </c>
      <c r="AA575" t="inlineStr">
        <is>
          <t>141102017588</t>
        </is>
      </c>
      <c r="AB575" t="inlineStr">
        <is>
          <t>China Bank Corporation</t>
        </is>
      </c>
      <c r="AC575" t="inlineStr">
        <is>
          <t>10A St. Benedict, Paradise Village, Sangandaan, QC</t>
        </is>
      </c>
      <c r="AD575" s="4">
        <v>45919</v>
      </c>
      <c r="AE575" t="inlineStr">
        <is>
          <t>100% Full Payment</t>
        </is>
      </c>
      <c r="AF575" s="2"/>
      <c r="AG575" t="inlineStr">
        <is>
          <t>NzQyNTk5MTgyNzQ4MTg3MDM0MTo2Qzc4QjdDRi04NUFDLTQyQUMtQkE2Qi1GMEU0MjZBODJEMTAtMTpjNWNiMWFmM2NhMTY5ODY1YjhhOTRlZDdjNzZlZThhNzox</t>
        </is>
      </c>
      <c r="AH575" t="inlineStr">
        <is>
          <t>SPE Events Management And Services Party Needs Rental</t>
        </is>
      </c>
      <c r="AI575"/>
      <c r="AJ575" t="inlineStr">
        <is>
          <t>LIQUIDITY PLAN (PAR # 202508110059 / 2025TEG-P0236)
FINAL 911 - CE INTERNAL &gt; Stage Paraphernalia  &gt;
Rentals &amp; Other Furniture &gt;
Player Table - Off-Stage (round - 3 seater)
Audience Chairs
Holding Area Chairs
Chairs (with cover)
Round Tables with cover
Lifetime Tables
Stanchions
Total Remaining Budget = Php 222,750.00
Actual Cost = Php 15,894.00
Balance = Php 206,856.00</t>
        </is>
      </c>
      <c r="AK575"/>
    </row>
    <row r="576" ht="25.5" customHeight="1">
      <c r="A576" s="2" t="str">
        <f>=HYPERLINK("https://applink.larksuite.com/client/mini_program/open?appId=cli_9c7cc8a9a9edd105&amp;mode=appCenter&amp;path_pc=pc/pages/requested/index?instanceId=7563963285649817631&amp;source=bitable&amp;path=pages/detail/index?instanceId=7563963285649817631&amp;source=bitable", "202510220087")</f>
        <v>202510220087</v>
      </c>
      <c r="B576" t="inlineStr">
        <is>
          <t>Approved</t>
        </is>
      </c>
      <c r="C576" t="inlineStr">
        <is>
          <t>Procurement Order</t>
        </is>
      </c>
      <c r="D576" s="3">
        <v>45952.69490740741</v>
      </c>
      <c r="E576" s="3">
        <v>45953.72944444444</v>
      </c>
      <c r="F576" t="inlineStr">
        <is>
          <t>Fatima Kathleen M. FLores</t>
        </is>
      </c>
      <c r="G576" t="inlineStr">
        <is>
          <t>Procurement</t>
        </is>
      </c>
      <c r="H576"/>
      <c r="I576"/>
      <c r="J576" t="inlineStr">
        <is>
          <t>Project</t>
        </is>
      </c>
      <c r="K576" t="inlineStr">
        <is>
          <t>PDEI - Event Service</t>
        </is>
      </c>
      <c r="L576" t="inlineStr">
        <is>
          <t>GTCC 2025: September Arena</t>
        </is>
      </c>
      <c r="M576" t="inlineStr">
        <is>
          <t>2025TEG-P0236</t>
        </is>
      </c>
      <c r="N576" t="inlineStr">
        <is>
          <t>Juvie Anne Asis Castres</t>
        </is>
      </c>
      <c r="O576" t="inlineStr">
        <is>
          <t>202509170061-Juvie Anne Asis Castres-费用报销 - 副本 - 副本 - 副本-2025-09-17 07:45:13</t>
        </is>
      </c>
      <c r="P576" t="inlineStr">
        <is>
          <t>NO</t>
        </is>
      </c>
      <c r="Q576"/>
      <c r="R576" t="inlineStr">
        <is>
          <t>NO</t>
        </is>
      </c>
      <c r="S576" t="inlineStr">
        <is>
          <t>Rental of Black chair covers (3 days)</t>
        </is>
      </c>
      <c r="T576">
        <v>100</v>
      </c>
      <c r="U576">
        <v>45</v>
      </c>
      <c r="V576" t="inlineStr">
        <is>
          <t>PHP</t>
        </is>
      </c>
      <c r="W576">
        <v>4500</v>
      </c>
      <c r="X576" s="2"/>
      <c r="Y576"/>
      <c r="Z576"/>
      <c r="AA576"/>
      <c r="AB576"/>
      <c r="AC576"/>
      <c r="AD576" s="4"/>
      <c r="AE576"/>
      <c r="AF576" s="2"/>
      <c r="AG576" t="inlineStr">
        <is>
          <t>NzQyNTk5MTgyNzQ4MTg3MDM0MTo2Qzc4QjdDRi04NUFDLTQyQUMtQkE2Qi1GMEU0MjZBODJEMTAtMjozOTM4MDQwNzhjNzAwMzNjNWJkZWRlMDY0OWYwNTM0ZTox</t>
        </is>
      </c>
      <c r="AH576"/>
      <c r="AI576"/>
      <c r="AJ576" t="inlineStr">
        <is>
          <t>LIQUIDITY PLAN (PAR # 202508110059 / 2025TEG-P0236)
FINAL 911 - CE INTERNAL &gt; Stage Paraphernalia  &gt;
Rentals &amp; Other Furniture &gt;
Player Table - Off-Stage (round - 3 seater)
Audience Chairs
Holding Area Chairs
Chairs (with cover)
Round Tables with cover
Lifetime Tables
Stanchions
Total Remaining Budget = Php 222,750.00
Actual Cost = Php 15,894.00
Balance = Php 206,856.00</t>
        </is>
      </c>
      <c r="AK576"/>
    </row>
    <row r="577" ht="25.5" customHeight="1">
      <c r="A577" s="2" t="str">
        <f>=HYPERLINK("https://applink.larksuite.com/client/mini_program/open?appId=cli_9c7cc8a9a9edd105&amp;mode=appCenter&amp;path_pc=pc/pages/requested/index?instanceId=7563963285649817631&amp;source=bitable&amp;path=pages/detail/index?instanceId=7563963285649817631&amp;source=bitable", "202510220087")</f>
        <v>202510220087</v>
      </c>
      <c r="B577" t="inlineStr">
        <is>
          <t>Approved</t>
        </is>
      </c>
      <c r="C577" t="inlineStr">
        <is>
          <t>Procurement Order</t>
        </is>
      </c>
      <c r="D577" s="3">
        <v>45952.69490740741</v>
      </c>
      <c r="E577" s="3">
        <v>45953.72944444444</v>
      </c>
      <c r="F577" t="inlineStr">
        <is>
          <t>Fatima Kathleen M. FLores</t>
        </is>
      </c>
      <c r="G577" t="inlineStr">
        <is>
          <t>Procurement</t>
        </is>
      </c>
      <c r="H577"/>
      <c r="I577"/>
      <c r="J577" t="inlineStr">
        <is>
          <t>Project</t>
        </is>
      </c>
      <c r="K577" t="inlineStr">
        <is>
          <t>PDEI - Event Service</t>
        </is>
      </c>
      <c r="L577" t="inlineStr">
        <is>
          <t>GTCC 2025: September Arena</t>
        </is>
      </c>
      <c r="M577" t="inlineStr">
        <is>
          <t>2025TEG-P0236</t>
        </is>
      </c>
      <c r="N577" t="inlineStr">
        <is>
          <t>Juvie Anne Asis Castres</t>
        </is>
      </c>
      <c r="O577" t="inlineStr">
        <is>
          <t>202509170061-Juvie Anne Asis Castres-费用报销 - 副本 - 副本 - 副本-2025-09-17 07:45:13</t>
        </is>
      </c>
      <c r="P577" t="inlineStr">
        <is>
          <t>NO</t>
        </is>
      </c>
      <c r="Q577"/>
      <c r="R577" t="inlineStr">
        <is>
          <t>NO</t>
        </is>
      </c>
      <c r="S577" t="inlineStr">
        <is>
          <t>Rental of Gold Table Runner (3 days)</t>
        </is>
      </c>
      <c r="T577">
        <v>12</v>
      </c>
      <c r="U577">
        <v>450</v>
      </c>
      <c r="V577" t="inlineStr">
        <is>
          <t>PHP</t>
        </is>
      </c>
      <c r="W577">
        <v>5400</v>
      </c>
      <c r="X577" s="2"/>
      <c r="Y577"/>
      <c r="Z577"/>
      <c r="AA577"/>
      <c r="AB577"/>
      <c r="AC577"/>
      <c r="AD577" s="4"/>
      <c r="AE577"/>
      <c r="AF577" s="2"/>
      <c r="AG577" t="inlineStr">
        <is>
          <t>NzQyNTk5MTgyNzQ4MTg3MDM0MTo2Qzc4QjdDRi04NUFDLTQyQUMtQkE2Qi1GMEU0MjZBODJEMTAtMzowMDIzYTA4ZjM0ZjdmNzkzNzZjNDRlNTEyMzBhMjk3YTox</t>
        </is>
      </c>
      <c r="AH577"/>
      <c r="AI577"/>
      <c r="AJ577" t="inlineStr">
        <is>
          <t>LIQUIDITY PLAN (PAR # 202508110059 / 2025TEG-P0236)
FINAL 911 - CE INTERNAL &gt; Stage Paraphernalia  &gt;
Rentals &amp; Other Furniture &gt;
Player Table - Off-Stage (round - 3 seater)
Audience Chairs
Holding Area Chairs
Chairs (with cover)
Round Tables with cover
Lifetime Tables
Stanchions
Total Remaining Budget = Php 222,750.00
Actual Cost = Php 15,894.00
Balance = Php 206,856.00</t>
        </is>
      </c>
      <c r="AK577"/>
    </row>
    <row r="578" ht="25.5" customHeight="1">
      <c r="A578" s="2" t="str">
        <f>=HYPERLINK("https://applink.larksuite.com/client/mini_program/open?appId=cli_9c7cc8a9a9edd105&amp;mode=appCenter&amp;path_pc=pc/pages/requested/index?instanceId=7563963285649817631&amp;source=bitable&amp;path=pages/detail/index?instanceId=7563963285649817631&amp;source=bitable", "202510220087")</f>
        <v>202510220087</v>
      </c>
      <c r="B578" t="inlineStr">
        <is>
          <t>Approved</t>
        </is>
      </c>
      <c r="C578" t="inlineStr">
        <is>
          <t>Procurement Order</t>
        </is>
      </c>
      <c r="D578" s="3">
        <v>45952.69490740741</v>
      </c>
      <c r="E578" s="3">
        <v>45953.72944444444</v>
      </c>
      <c r="F578" t="inlineStr">
        <is>
          <t>Fatima Kathleen M. FLores</t>
        </is>
      </c>
      <c r="G578" t="inlineStr">
        <is>
          <t>Procurement</t>
        </is>
      </c>
      <c r="H578"/>
      <c r="I578"/>
      <c r="J578" t="inlineStr">
        <is>
          <t>Project</t>
        </is>
      </c>
      <c r="K578" t="inlineStr">
        <is>
          <t>PDEI - Event Service</t>
        </is>
      </c>
      <c r="L578" t="inlineStr">
        <is>
          <t>GTCC 2025: September Arena</t>
        </is>
      </c>
      <c r="M578" t="inlineStr">
        <is>
          <t>2025TEG-P0236</t>
        </is>
      </c>
      <c r="N578" t="inlineStr">
        <is>
          <t>Juvie Anne Asis Castres</t>
        </is>
      </c>
      <c r="O578" t="inlineStr">
        <is>
          <t>202509170061-Juvie Anne Asis Castres-费用报销 - 副本 - 副本 - 副本-2025-09-17 07:45:13</t>
        </is>
      </c>
      <c r="P578" t="inlineStr">
        <is>
          <t>NO</t>
        </is>
      </c>
      <c r="Q578"/>
      <c r="R578" t="inlineStr">
        <is>
          <t>NO</t>
        </is>
      </c>
      <c r="S578" t="inlineStr">
        <is>
          <t>Delivery Fee</t>
        </is>
      </c>
      <c r="T578">
        <v>1</v>
      </c>
      <c r="U578">
        <v>1494</v>
      </c>
      <c r="V578" t="inlineStr">
        <is>
          <t>PHP</t>
        </is>
      </c>
      <c r="W578">
        <v>1494</v>
      </c>
      <c r="X578" s="2" t="str">
        <f>=HYPERLINK("https://www.larksuite.com/approval/admin/previewAttachment?key=PMi7CQJBGATglmb-547NmLgceqIIotnWLhhc-tUgaiS9hBBN4OosV7mNrNBgl3PZYrfQbMs1H9v5td_yibl_QrjbXN_rZZtvptoM7RE-APB0uHdESBX4u_8CAAD__w", "2 attachment(s)")</f>
        <v>2 attachment(s)</v>
      </c>
      <c r="Y578"/>
      <c r="Z578"/>
      <c r="AA578"/>
      <c r="AB578"/>
      <c r="AC578"/>
      <c r="AD578" s="4"/>
      <c r="AE578"/>
      <c r="AF578" s="2"/>
      <c r="AG578" t="inlineStr">
        <is>
          <t>NzQyNTk5MTgyNzQ4MTg3MDM0MTo2Qzc4QjdDRi04NUFDLTQyQUMtQkE2Qi1GMEU0MjZBODJEMTAtNDpjMjkzZWE5MGIxN2VmOWFkYzUyY2U5NmM4NGRkMmEwYTox</t>
        </is>
      </c>
      <c r="AH578"/>
      <c r="AI578"/>
      <c r="AJ578" t="inlineStr">
        <is>
          <t>LIQUIDITY PLAN (PAR # 202508110059 / 2025TEG-P0236)
FINAL 911 - CE INTERNAL &gt; Stage Paraphernalia  &gt;
Rentals &amp; Other Furniture &gt;
Player Table - Off-Stage (round - 3 seater)
Audience Chairs
Holding Area Chairs
Chairs (with cover)
Round Tables with cover
Lifetime Tables
Stanchions
Total Remaining Budget = Php 222,750.00
Actual Cost = Php 15,894.00
Balance = Php 206,856.00</t>
        </is>
      </c>
      <c r="AK578"/>
    </row>
    <row r="579" ht="25.5" customHeight="1">
      <c r="A579" s="2" t="str">
        <f>=HYPERLINK("https://applink.larksuite.com/client/mini_program/open?appId=cli_9c7cc8a9a9edd105&amp;mode=appCenter&amp;path_pc=pc/pages/requested/index?instanceId=7563977918448369696&amp;source=bitable&amp;path=pages/detail/index?instanceId=7563977918448369696&amp;source=bitable", "202510220103")</f>
        <v>202510220103</v>
      </c>
      <c r="B579" t="inlineStr">
        <is>
          <t>Approved</t>
        </is>
      </c>
      <c r="C579" t="inlineStr">
        <is>
          <t>Procurement Order</t>
        </is>
      </c>
      <c r="D579" s="3">
        <v>45952.73434027778</v>
      </c>
      <c r="E579" s="3">
        <v>45953.74828703704</v>
      </c>
      <c r="F579" t="inlineStr">
        <is>
          <t>Fatima Kathleen M. FLores</t>
        </is>
      </c>
      <c r="G579" t="inlineStr">
        <is>
          <t>Procurement</t>
        </is>
      </c>
      <c r="H579"/>
      <c r="I579"/>
      <c r="J579" t="inlineStr">
        <is>
          <t>Project</t>
        </is>
      </c>
      <c r="K579" t="inlineStr">
        <is>
          <t>PDEI - Game Marketing</t>
        </is>
      </c>
      <c r="L579" t="inlineStr">
        <is>
          <t>SMDC Heroes Clash Community Arena Tournament Year 3</t>
        </is>
      </c>
      <c r="M579" t="inlineStr">
        <is>
          <t>2025TEG-P0247</t>
        </is>
      </c>
      <c r="N579" t="inlineStr">
        <is>
          <t>Clifford Markus Ortiz Martinez</t>
        </is>
      </c>
      <c r="O579" t="inlineStr">
        <is>
          <t>202510020079-Clifford Markus Ortiz Martinez-费用报销 - 副本 - 副本 - 副本-2025-10-02 09:12:52</t>
        </is>
      </c>
      <c r="P579" t="inlineStr">
        <is>
          <t>YES</t>
        </is>
      </c>
      <c r="Q579"/>
      <c r="R579" t="inlineStr">
        <is>
          <t>NO</t>
        </is>
      </c>
      <c r="S579" t="inlineStr">
        <is>
          <t>Outsourced Caster / Host (VeenzG)</t>
        </is>
      </c>
      <c r="T579">
        <v>1</v>
      </c>
      <c r="U579">
        <v>10000</v>
      </c>
      <c r="V579" t="inlineStr">
        <is>
          <t>PHP</t>
        </is>
      </c>
      <c r="W579">
        <v>10000</v>
      </c>
      <c r="X579" s="2" t="str">
        <f>=HYPERLINK("https://www.larksuite.com/approval/admin/previewAttachment?key=PMg7DsIwEATQK-14P-PhMjRYFnKUCpHOZ0eiSPuqw6onvGQhNBk2s1yk0CO6l0q12wYpI9hyj3M-hyeOdax5Xkvf3Nf7NccHKbZm9AjvZobH7c6IkCrs7_YLAAD__w", "2 attachment(s)")</f>
        <v>2 attachment(s)</v>
      </c>
      <c r="Y579" t="inlineStr">
        <is>
          <t>Bank Transfer</t>
        </is>
      </c>
      <c r="Z579" t="inlineStr">
        <is>
          <t>Arnold Vincent Desengaño</t>
        </is>
      </c>
      <c r="AA579" t="inlineStr">
        <is>
          <t>002491032836</t>
        </is>
      </c>
      <c r="AB579" t="inlineStr">
        <is>
          <t>BDO</t>
        </is>
      </c>
      <c r="AC579" t="inlineStr">
        <is>
          <t>Block 24, Mahinahon Street, Lupang Arenda, Brgy Sta. Ana Taytay Rizal</t>
        </is>
      </c>
      <c r="AD579" s="4">
        <v>45941</v>
      </c>
      <c r="AE579" t="inlineStr">
        <is>
          <t>100% Full Payment - Nov. 7, 2025</t>
        </is>
      </c>
      <c r="AF579" s="2"/>
      <c r="AG579" t="inlineStr">
        <is>
          <t>NzQyNTk5MTgyNzQ4MTg3MDM0MTo0MDNCQjM3Qy0xQjQyLTRDMTEtQTREQS1ERjdEQkFEQUM1RTgtMTphZjM1ZDVmYTIwNGRiYmVlMzdiZjczYzcxNTRkYTUxNjox</t>
        </is>
      </c>
      <c r="AH579" t="inlineStr">
        <is>
          <t>Arnold Vincent Desengaño</t>
        </is>
      </c>
      <c r="AI579"/>
      <c r="AJ579" t="inlineStr">
        <is>
          <t>LIQUIDITY PLAN (PAR # 202509190067 / 2025TEG-P0247)
MPLACE &gt; Host/Caster
SUN &gt; Host/Caster
Total Budget = Php 10,000.00
Actual Cost = Php 10,000.00</t>
        </is>
      </c>
      <c r="AK579"/>
    </row>
    <row r="580" ht="25.5" customHeight="1">
      <c r="A580" s="2" t="str">
        <f>=HYPERLINK("https://applink.larksuite.com/client/mini_program/open?appId=cli_9c7cc8a9a9edd105&amp;mode=appCenter&amp;path_pc=pc/pages/requested/index?instanceId=7563979014232719398&amp;source=bitable&amp;path=pages/detail/index?instanceId=7563979014232719398&amp;source=bitable", "202510220106")</f>
        <v>202510220106</v>
      </c>
      <c r="B580" t="inlineStr">
        <is>
          <t>Approved</t>
        </is>
      </c>
      <c r="C580" t="inlineStr">
        <is>
          <t>Procurement Order</t>
        </is>
      </c>
      <c r="D580" s="3">
        <v>45952.737291666665</v>
      </c>
      <c r="E580" s="3">
        <v>45958.7146875</v>
      </c>
      <c r="F580" t="inlineStr">
        <is>
          <t>Fatima Kathleen M. FLores</t>
        </is>
      </c>
      <c r="G580" t="inlineStr">
        <is>
          <t>Procurement</t>
        </is>
      </c>
      <c r="H580"/>
      <c r="I580"/>
      <c r="J580" t="inlineStr">
        <is>
          <t>Project</t>
        </is>
      </c>
      <c r="K580" t="inlineStr">
        <is>
          <t>PDEI - Game Marketing</t>
        </is>
      </c>
      <c r="L580" t="inlineStr">
        <is>
          <t>SMDC Heroes Clash Community Arena Tournament Year 3</t>
        </is>
      </c>
      <c r="M580" t="inlineStr">
        <is>
          <t>2025TEG-P0247</t>
        </is>
      </c>
      <c r="N580" t="inlineStr">
        <is>
          <t>Clifford Markus Ortiz Martinez</t>
        </is>
      </c>
      <c r="O580" t="inlineStr">
        <is>
          <t>202510020079-Clifford Markus Ortiz Martinez-费用报销 - 副本 - 副本 - 副本-2025-10-02 09:12:52</t>
        </is>
      </c>
      <c r="P580" t="inlineStr">
        <is>
          <t>YES</t>
        </is>
      </c>
      <c r="Q580"/>
      <c r="R580" t="inlineStr">
        <is>
          <t>YES</t>
        </is>
      </c>
      <c r="S580" t="inlineStr">
        <is>
          <t>Outsourced Caster / Host (TooFast)</t>
        </is>
      </c>
      <c r="T580">
        <v>1</v>
      </c>
      <c r="U580">
        <v>10000</v>
      </c>
      <c r="V580" t="inlineStr">
        <is>
          <t>PHP</t>
        </is>
      </c>
      <c r="W580">
        <v>10000</v>
      </c>
      <c r="X580" s="2" t="str">
        <f>=HYPERLINK("https://www.larksuite.com/approval/admin/previewAttachment?key=PMgxCgIxFATQK838_5PJeBmbXRYFFUGIWOTsgoXt64PoozG7UWYYXGo9LYMVGaLTY8WiZIiKtvb7cb5Ov2OTPoiHbs81L9uxv9isCCircgDg6e-pqrJ74ef4BgAA__8", "2 attachment(s)")</f>
        <v>2 attachment(s)</v>
      </c>
      <c r="Y580" t="inlineStr">
        <is>
          <t>Bank Transfer</t>
        </is>
      </c>
      <c r="Z580" t="inlineStr">
        <is>
          <t>Christian Dell F. Tupas</t>
        </is>
      </c>
      <c r="AA580" t="inlineStr">
        <is>
          <t>1094 8573 5277</t>
        </is>
      </c>
      <c r="AB580" t="inlineStr">
        <is>
          <t>Union Bank of the Philippines</t>
        </is>
      </c>
      <c r="AC580" t="inlineStr">
        <is>
          <t>71 A. Mabini St. Burgos Rodriguez, Rizal</t>
        </is>
      </c>
      <c r="AD580" s="4">
        <v>45941</v>
      </c>
      <c r="AE580" t="inlineStr">
        <is>
          <t>100% Full Payment - Nov. 7, 2025</t>
        </is>
      </c>
      <c r="AF580" s="2"/>
      <c r="AG580" t="inlineStr">
        <is>
          <t>NzQyNTk5MTgyNzQ4MTg3MDM0MTo5NUVDRkZFMC0wQjVBLTQ0MzAtOTk1Qy05QkJCRkUxMjEzQzQtMTo5ODgzZTQxMGM0OGRlYzUzYTliMjE0ZDZkMDBhN2Q3ODox</t>
        </is>
      </c>
      <c r="AH580" t="inlineStr">
        <is>
          <t>Christian Dell F. Tupas</t>
        </is>
      </c>
      <c r="AI580"/>
      <c r="AJ580" t="inlineStr">
        <is>
          <t>LIQUIDITY PLAN (PAR # 202509190067 / 2025TEG-P0247)
LIGHT &gt; Host/Caster
Total Budget = Php 5,000.00
Actual Cost = Php 10,000.00
Balance = (Php 5,000.00) OVER BUDGET</t>
        </is>
      </c>
      <c r="AK580"/>
    </row>
    <row r="581" ht="25.5" customHeight="1">
      <c r="A581" s="2" t="str">
        <f>=HYPERLINK("https://applink.larksuite.com/client/mini_program/open?appId=cli_9c7cc8a9a9edd105&amp;mode=appCenter&amp;path_pc=pc/pages/requested/index?instanceId=7563980019681230887&amp;source=bitable&amp;path=pages/detail/index?instanceId=7563980019681230887&amp;source=bitable", "202510220107")</f>
        <v>202510220107</v>
      </c>
      <c r="B581" t="inlineStr">
        <is>
          <t>Approved</t>
        </is>
      </c>
      <c r="C581" t="inlineStr">
        <is>
          <t>Procurement Order</t>
        </is>
      </c>
      <c r="D581" s="3">
        <v>45952.74</v>
      </c>
      <c r="E581" s="3">
        <v>45958.715949074074</v>
      </c>
      <c r="F581" t="inlineStr">
        <is>
          <t>Fatima Kathleen M. FLores</t>
        </is>
      </c>
      <c r="G581" t="inlineStr">
        <is>
          <t>Procurement</t>
        </is>
      </c>
      <c r="H581"/>
      <c r="I581"/>
      <c r="J581" t="inlineStr">
        <is>
          <t>Project</t>
        </is>
      </c>
      <c r="K581" t="inlineStr">
        <is>
          <t>PDEI - Game Marketing</t>
        </is>
      </c>
      <c r="L581" t="inlineStr">
        <is>
          <t>SMDC Heroes Clash Community Arena Tournament Year 3</t>
        </is>
      </c>
      <c r="M581" t="inlineStr">
        <is>
          <t>2025TEG-P0247</t>
        </is>
      </c>
      <c r="N581" t="inlineStr">
        <is>
          <t>Clifford Markus Ortiz Martinez</t>
        </is>
      </c>
      <c r="O581" t="inlineStr">
        <is>
          <t>202510020079-Clifford Markus Ortiz Martinez-费用报销 - 副本 - 副本 - 副本-2025-10-02 09:12:52</t>
        </is>
      </c>
      <c r="P581" t="inlineStr">
        <is>
          <t>YES</t>
        </is>
      </c>
      <c r="Q581"/>
      <c r="R581" t="inlineStr">
        <is>
          <t>YES</t>
        </is>
      </c>
      <c r="S581" t="inlineStr">
        <is>
          <t>Outsourced Caster / Host (Yakuron)</t>
        </is>
      </c>
      <c r="T581">
        <v>1</v>
      </c>
      <c r="U581">
        <v>10000</v>
      </c>
      <c r="V581" t="inlineStr">
        <is>
          <t>PHP</t>
        </is>
      </c>
      <c r="W581">
        <v>10000</v>
      </c>
      <c r="X581" s="2" t="str">
        <f>=HYPERLINK("https://www.larksuite.com/approval/admin/previewAttachment?key=PMgxCgJBDAXQK_2fZPITL2Ozy6LFiCAIW8zZBYttXxaRNejZiKY1uDTSuwB2Fs1RpWWLUkOUjbXP4-5TeL5fM6xsO8_1fWzH_uFomUEe4QWAt8tdEdGdgb_jFwAA__8", "2 attachment(s)")</f>
        <v>2 attachment(s)</v>
      </c>
      <c r="Y581" t="inlineStr">
        <is>
          <t>Bank Transfer</t>
        </is>
      </c>
      <c r="Z581" t="inlineStr">
        <is>
          <t>Rolen Susi</t>
        </is>
      </c>
      <c r="AA581" t="inlineStr">
        <is>
          <t>001440135922</t>
        </is>
      </c>
      <c r="AB581" t="inlineStr">
        <is>
          <t>BDO</t>
        </is>
      </c>
      <c r="AC581" t="inlineStr">
        <is>
          <t>312 Ampioco st. Balut Tondo Manila</t>
        </is>
      </c>
      <c r="AD581" s="4">
        <v>45941</v>
      </c>
      <c r="AE581" t="inlineStr">
        <is>
          <t>100% Full Payment - Nov. 7, 2025</t>
        </is>
      </c>
      <c r="AF581" s="2"/>
      <c r="AG581" t="inlineStr">
        <is>
          <t>NzQyNTk5MTgyNzQ4MTg3MDM0MToxMzBFQjExNS1CRDk4LTRENzMtQjIxNC01NzM1QkE1RDc0MkUtMTphOWMzOGU3MDZiM2VjY2FjMDJjODA3NmM1N2U1ZmYxMTox</t>
        </is>
      </c>
      <c r="AH581" t="inlineStr">
        <is>
          <t>Rolen Susi</t>
        </is>
      </c>
      <c r="AI581"/>
      <c r="AJ581" t="inlineStr">
        <is>
          <t>LIQUIDITY PLAN (PAR # 202509190067 / 2025TEG-P0247)
LIGHT &gt; Host/Caster
Total Budget = (Php 5,000.00) NEGATIVE
Actual Cost = Php 10,000.00
Balance = (Php 15,000.00) OVER BUDGET</t>
        </is>
      </c>
      <c r="AK581"/>
    </row>
    <row r="582" ht="25.5" customHeight="1">
      <c r="A582" s="2" t="str">
        <f>=HYPERLINK("https://applink.larksuite.com/client/mini_program/open?appId=cli_9c7cc8a9a9edd105&amp;mode=appCenter&amp;path_pc=pc/pages/requested/index?instanceId=7563994998480322598&amp;source=bitable&amp;path=pages/detail/index?instanceId=7563994998480322598&amp;source=bitable", "202510220113")</f>
        <v>202510220113</v>
      </c>
      <c r="B582" t="inlineStr">
        <is>
          <t>Approved</t>
        </is>
      </c>
      <c r="C582" t="inlineStr">
        <is>
          <t>Procurement Order</t>
        </is>
      </c>
      <c r="D582" s="3">
        <v>45952.78037037037</v>
      </c>
      <c r="E582" s="3">
        <v>45953.72998842593</v>
      </c>
      <c r="F582" t="inlineStr">
        <is>
          <t>Fatima Kathleen M. FLores</t>
        </is>
      </c>
      <c r="G582" t="inlineStr">
        <is>
          <t>Procurement</t>
        </is>
      </c>
      <c r="H582"/>
      <c r="I582"/>
      <c r="J582" t="inlineStr">
        <is>
          <t>Project</t>
        </is>
      </c>
      <c r="K582" t="inlineStr">
        <is>
          <t>PDEI - Event Service</t>
        </is>
      </c>
      <c r="L582" t="inlineStr">
        <is>
          <t>GTCC 2025: September Arena</t>
        </is>
      </c>
      <c r="M582" t="inlineStr">
        <is>
          <t>2025TEG-P0236</t>
        </is>
      </c>
      <c r="N582" t="inlineStr">
        <is>
          <t>Frances Angelita Arreglado</t>
        </is>
      </c>
      <c r="O582" t="inlineStr">
        <is>
          <t>202510070046-Frances Angelita Arreglado-费用报销 - 副本 - 副本 - 副本-2025-10-07 07:18:41</t>
        </is>
      </c>
      <c r="P582" t="inlineStr">
        <is>
          <t>NO</t>
        </is>
      </c>
      <c r="Q582"/>
      <c r="R582" t="inlineStr">
        <is>
          <t>NO</t>
        </is>
      </c>
      <c r="S582" t="inlineStr">
        <is>
          <t>Outsourced Photography and Camera Team</t>
        </is>
      </c>
      <c r="T582">
        <v>1</v>
      </c>
      <c r="U582">
        <v>197680</v>
      </c>
      <c r="V582" t="inlineStr">
        <is>
          <t>PHP</t>
        </is>
      </c>
      <c r="W582">
        <v>197680</v>
      </c>
      <c r="X582" s="2" t="str">
        <f>=HYPERLINK("https://www.larksuite.com/approval/admin/previewAttachment?key=PMg9CgIxEAXgK735y8zzMjaGIC7CgsRuzi5YbPuNEowKsUE4RQnpjGGkk-UFUw1Wa0smkZIaPd_rPi3k0BfW3uc-zv4-H2t-JJiqSHO3AiC3yy3dnRyOv-MXAAD__w", "2 attachment(s)")</f>
        <v>2 attachment(s)</v>
      </c>
      <c r="Y582" t="inlineStr">
        <is>
          <t>Bank Transfer</t>
        </is>
      </c>
      <c r="Z582" t="inlineStr">
        <is>
          <t>Ryan Matias</t>
        </is>
      </c>
      <c r="AA582" t="inlineStr">
        <is>
          <t>1996 2285 79</t>
        </is>
      </c>
      <c r="AB582" t="inlineStr">
        <is>
          <t>BPI</t>
        </is>
      </c>
      <c r="AC582" t="inlineStr">
        <is>
          <t>Antipolo</t>
        </is>
      </c>
      <c r="AD582" s="4">
        <v>45919</v>
      </c>
      <c r="AE582" t="inlineStr">
        <is>
          <t>50% Down payment upon confirmation
50% Final Payment - 30 days upon completion of services</t>
        </is>
      </c>
      <c r="AF582" s="2"/>
      <c r="AG582" t="inlineStr">
        <is>
          <t>NzQyNTk5MTgyNzQ4MTg3MDM0MTpFM0Q0OUQ5Qi05NjU5LTQ1RkMtOTE2NS05RkFDRjUwRkU3NEUtMToxOTg4NjIyODRmY2U2ZTdkMmYyYmRjODk0YmViMDdiOTox</t>
        </is>
      </c>
      <c r="AH582" t="inlineStr">
        <is>
          <t>Ryan Matias</t>
        </is>
      </c>
      <c r="AI582"/>
      <c r="AJ582" t="inlineStr">
        <is>
          <t>LIQUIDITY PLAN (PAR # 202508110059 / 2025TEG-P0236)
FINAL 911 - CE INTERNAL &gt; MANPOWER &gt;
STAGING &amp; TECHNICALS &gt; Camera Operators (Gimbal)
Total Budget = Php 240,000.00
Actual Cost = Php 197,680.00
Balance = Php 42,320.00</t>
        </is>
      </c>
      <c r="AK582"/>
    </row>
    <row r="583" ht="25.5" customHeight="1">
      <c r="A583" s="2" t="str">
        <f>=HYPERLINK("https://applink.larksuite.com/client/mini_program/open?appId=cli_9c7cc8a9a9edd105&amp;mode=appCenter&amp;path_pc=pc/pages/requested/index?instanceId=7563997564287090727&amp;source=bitable&amp;path=pages/detail/index?instanceId=7563997564287090727&amp;source=bitable", "202510220115")</f>
        <v>202510220115</v>
      </c>
      <c r="B583" t="inlineStr">
        <is>
          <t>Approved</t>
        </is>
      </c>
      <c r="C583" t="inlineStr">
        <is>
          <t>Procurement Order</t>
        </is>
      </c>
      <c r="D583" s="3">
        <v>45952.78728009259</v>
      </c>
      <c r="E583" s="3">
        <v>45953.7178125</v>
      </c>
      <c r="F583" t="inlineStr">
        <is>
          <t>Fatima Kathleen M. FLores</t>
        </is>
      </c>
      <c r="G583" t="inlineStr">
        <is>
          <t>Procurement</t>
        </is>
      </c>
      <c r="H583"/>
      <c r="I583"/>
      <c r="J583" t="inlineStr">
        <is>
          <t>Project</t>
        </is>
      </c>
      <c r="K583" t="inlineStr">
        <is>
          <t>PDEI - Game Marketing</t>
        </is>
      </c>
      <c r="L583" t="inlineStr">
        <is>
          <t>WCG 2025 Creator Rumble</t>
        </is>
      </c>
      <c r="M583" t="inlineStr">
        <is>
          <t>2025TEG-P0041</t>
        </is>
      </c>
      <c r="N583" t="inlineStr">
        <is>
          <t>Maura Aurel Atilano Yap</t>
        </is>
      </c>
      <c r="O583" t="inlineStr">
        <is>
          <t>202510080076-Maura Aurel Atilano Yap-费用报销 - 副本 - 副本 - 副本-2025-10-08 11:41:21</t>
        </is>
      </c>
      <c r="P583" t="inlineStr">
        <is>
          <t>YES</t>
        </is>
      </c>
      <c r="Q583"/>
      <c r="R583" t="inlineStr">
        <is>
          <t>NO</t>
        </is>
      </c>
      <c r="S583" t="inlineStr">
        <is>
          <t>Outsourced Broadcast Manager</t>
        </is>
      </c>
      <c r="T583">
        <v>1</v>
      </c>
      <c r="U583">
        <v>35000</v>
      </c>
      <c r="V583" t="inlineStr">
        <is>
          <t>PHP</t>
        </is>
      </c>
      <c r="W583">
        <v>35000</v>
      </c>
      <c r="X583" s="2" t="str">
        <f>=HYPERLINK("https://www.larksuite.com/approval/admin/previewAttachment?key=PMgxCsJAFATQK82f_ftnx8vYGIJChICY2OzZBQvbVyNQo0crIx00YqpXs9UrOQRD1OQMyVCIfS7P9crj1OPNz7YvPLd9HvfburyiWyTUMtsAEJe_N2WmXYmf4xsAAP__", "2 attachment(s)")</f>
        <v>2 attachment(s)</v>
      </c>
      <c r="Y583" t="inlineStr">
        <is>
          <t>Bank Transfer</t>
        </is>
      </c>
      <c r="Z583" t="inlineStr">
        <is>
          <t>Christian James D. Dagumboy</t>
        </is>
      </c>
      <c r="AA583" t="inlineStr">
        <is>
          <t>09257023784</t>
        </is>
      </c>
      <c r="AB583" t="inlineStr">
        <is>
          <t>GCash</t>
        </is>
      </c>
      <c r="AC583" t="inlineStr">
        <is>
          <t>64 Raja Kalantiao St. Brgy. Daanghari, Navotas City</t>
        </is>
      </c>
      <c r="AD583" s="4">
        <v>45912</v>
      </c>
      <c r="AE583" t="inlineStr">
        <is>
          <t>1st Payment - Oct. 24, 2025
Final Payment - Nov. 14, 2025</t>
        </is>
      </c>
      <c r="AF583" s="2"/>
      <c r="AG583" t="inlineStr">
        <is>
          <t>NzQyNTk5MTgyNzQ4MTg3MDM0MTo4OTEzNzRGMC04MDVCLTRFQTEtQjcwMS05QTM1NkY5RUEwRjAtMToyYmJjZjlmYTViNWQ2NTlkNzY1OGIxYmNhMmFmYjcwMjox</t>
        </is>
      </c>
      <c r="AH583" t="inlineStr">
        <is>
          <t>Christian James D. Dagumboy</t>
        </is>
      </c>
      <c r="AI583"/>
      <c r="AJ583" t="inlineStr">
        <is>
          <t>LIQUIDITY PLAN (PAR # 202505160019 / 2025TEG-P0041)
MANPOWER &gt; Broadcast &amp; Production &gt;
Broadcast Manager
Total Budget = Php 40,000.00
Actual Cost = Php 35,000.00
Balance = Php 5,000.00</t>
        </is>
      </c>
      <c r="AK583"/>
    </row>
    <row r="584" ht="25.5" customHeight="1">
      <c r="A584" s="2" t="str">
        <f>=HYPERLINK("https://applink.larksuite.com/client/mini_program/open?appId=cli_9c7cc8a9a9edd105&amp;mode=appCenter&amp;path_pc=pc/pages/requested/index?instanceId=7563999845195710503&amp;source=bitable&amp;path=pages/detail/index?instanceId=7563999845195710503&amp;source=bitable", "202510220118")</f>
        <v>202510220118</v>
      </c>
      <c r="B584" t="inlineStr">
        <is>
          <t>Approved</t>
        </is>
      </c>
      <c r="C584" t="inlineStr">
        <is>
          <t>Procurement Order</t>
        </is>
      </c>
      <c r="D584" s="3">
        <v>45952.79342592593</v>
      </c>
      <c r="E584" s="3">
        <v>45953.717141203706</v>
      </c>
      <c r="F584" t="inlineStr">
        <is>
          <t>Fatima Kathleen M. FLores</t>
        </is>
      </c>
      <c r="G584" t="inlineStr">
        <is>
          <t>Procurement</t>
        </is>
      </c>
      <c r="H584"/>
      <c r="I584"/>
      <c r="J584" t="inlineStr">
        <is>
          <t>Project</t>
        </is>
      </c>
      <c r="K584" t="inlineStr">
        <is>
          <t>PDEI - Game Marketing</t>
        </is>
      </c>
      <c r="L584" t="inlineStr">
        <is>
          <t>WCG 2025 Creator Rumble</t>
        </is>
      </c>
      <c r="M584" t="inlineStr">
        <is>
          <t>2025TEG-P0041</t>
        </is>
      </c>
      <c r="N584" t="inlineStr">
        <is>
          <t>Maura Aurel Atilano Yap</t>
        </is>
      </c>
      <c r="O584" t="inlineStr">
        <is>
          <t>202510080076-Maura Aurel Atilano Yap-费用报销 - 副本 - 副本 - 副本-2025-10-08 11:41:21</t>
        </is>
      </c>
      <c r="P584" t="inlineStr">
        <is>
          <t>YES</t>
        </is>
      </c>
      <c r="Q584"/>
      <c r="R584" t="inlineStr">
        <is>
          <t>NO</t>
        </is>
      </c>
      <c r="S584" t="inlineStr">
        <is>
          <t>Outsourced Game Observer</t>
        </is>
      </c>
      <c r="T584">
        <v>1</v>
      </c>
      <c r="U584">
        <v>4500</v>
      </c>
      <c r="V584" t="inlineStr">
        <is>
          <t>PHP</t>
        </is>
      </c>
      <c r="W584">
        <v>4500</v>
      </c>
      <c r="X584" s="2" t="str">
        <f>=HYPERLINK("https://www.larksuite.com/approval/admin/previewAttachment?key=PMg7CgJBEATQK1X1Z3rKy5i4LC5iJLhO0GcXDEzfmMSYSR9CiCawK4dLmpFUFpHwtmaVUCzL3p779Yxjncf6mJURj37fb_v2YqrMUB7hEwAvf_eKCGkEfo5vAAAA__8", "2 attachment(s)")</f>
        <v>2 attachment(s)</v>
      </c>
      <c r="Y584" t="inlineStr">
        <is>
          <t>Bank Transfer</t>
        </is>
      </c>
      <c r="Z584" t="inlineStr">
        <is>
          <t>Eugene Dylan A Acapulco</t>
        </is>
      </c>
      <c r="AA584" t="inlineStr">
        <is>
          <t>007690022755</t>
        </is>
      </c>
      <c r="AB584" t="inlineStr">
        <is>
          <t>BDO</t>
        </is>
      </c>
      <c r="AC584" t="inlineStr">
        <is>
          <t>11601C Nersan Cmpd, Greenheights vill, Brgy. San Isidro, Sucat Paranaque City</t>
        </is>
      </c>
      <c r="AD584" s="4">
        <v>45939</v>
      </c>
      <c r="AE584" t="inlineStr">
        <is>
          <t>100% Full Payment - Oct. 24, 2025</t>
        </is>
      </c>
      <c r="AF584" s="2"/>
      <c r="AG584" t="inlineStr">
        <is>
          <t>NzQyNTk5MTgyNzQ4MTg3MDM0MTo4N0JERDcwQy1BRTdDLTRGRDUtQTRBMy0yNTBEQjgzOEE2QkYtMTpiNGIzOWMyYTRhYzE3YjM0MTMzMGU4MWNlODAwYzQ4Mjox</t>
        </is>
      </c>
      <c r="AH584" t="inlineStr">
        <is>
          <t>Eugene Dylan A Acapulco</t>
        </is>
      </c>
      <c r="AI584"/>
      <c r="AJ584" t="inlineStr">
        <is>
          <t>LIQUIDITY PLAN (PAR # 202505160019 / 2025TEG-P0041)
MANPOWER &gt; Broadcast &amp; Production &gt;
Observer 1 
Total Budget = Php 7,500.00
Actual Cost = Php 4,500.00
Balance = Php 3,000.00</t>
        </is>
      </c>
      <c r="AK584"/>
    </row>
    <row r="585" ht="25.5" customHeight="1">
      <c r="A585" s="2" t="str">
        <f>=HYPERLINK("https://applink.larksuite.com/client/mini_program/open?appId=cli_9c7cc8a9a9edd105&amp;mode=appCenter&amp;path_pc=pc/pages/requested/index?instanceId=7564001618451005472&amp;source=bitable&amp;path=pages/detail/index?instanceId=7564001618451005472&amp;source=bitable", "202510220122")</f>
        <v>202510220122</v>
      </c>
      <c r="B585" t="inlineStr">
        <is>
          <t>Approved</t>
        </is>
      </c>
      <c r="C585" t="inlineStr">
        <is>
          <t>Procurement Order</t>
        </is>
      </c>
      <c r="D585" s="3">
        <v>45952.79820601852</v>
      </c>
      <c r="E585" s="3">
        <v>45953.715636574074</v>
      </c>
      <c r="F585" t="inlineStr">
        <is>
          <t>Fatima Kathleen M. FLores</t>
        </is>
      </c>
      <c r="G585" t="inlineStr">
        <is>
          <t>Procurement</t>
        </is>
      </c>
      <c r="H585"/>
      <c r="I585"/>
      <c r="J585" t="inlineStr">
        <is>
          <t>Project</t>
        </is>
      </c>
      <c r="K585" t="inlineStr">
        <is>
          <t>PDEI - Game Marketing</t>
        </is>
      </c>
      <c r="L585" t="inlineStr">
        <is>
          <t>WCG 2025 Creator Rumble</t>
        </is>
      </c>
      <c r="M585" t="inlineStr">
        <is>
          <t>2025TEG-P0041</t>
        </is>
      </c>
      <c r="N585" t="inlineStr">
        <is>
          <t>Maura Aurel Atilano Yap</t>
        </is>
      </c>
      <c r="O585" t="inlineStr">
        <is>
          <t>202510080076-Maura Aurel Atilano Yap-费用报销 - 副本 - 副本 - 副本-2025-10-08 11:41:21</t>
        </is>
      </c>
      <c r="P585" t="inlineStr">
        <is>
          <t>YES</t>
        </is>
      </c>
      <c r="Q585"/>
      <c r="R585" t="inlineStr">
        <is>
          <t>NO</t>
        </is>
      </c>
      <c r="S585" t="inlineStr">
        <is>
          <t>Outsourced Game Director</t>
        </is>
      </c>
      <c r="T585">
        <v>1</v>
      </c>
      <c r="U585">
        <v>6000</v>
      </c>
      <c r="V585" t="inlineStr">
        <is>
          <t>PHP</t>
        </is>
      </c>
      <c r="W585">
        <v>6000</v>
      </c>
      <c r="X585" s="2" t="str">
        <f>=HYPERLINK("https://www.larksuite.com/approval/admin/previewAttachment?key=PMwxqsNADATQK81oRyvpX-Y3MUsSYzAE3OnswU3aV7yZxEznmAUVrcAOnwI4mXICrrC2ZkQhGOa9Hes_5efLj-tc-9vH3tfzsbYPvcIMMaSRAPj38xGSqu76dnwDAAD__w", "2 attachment(s)")</f>
        <v>2 attachment(s)</v>
      </c>
      <c r="Y585" t="inlineStr">
        <is>
          <t>Bank Transfer</t>
        </is>
      </c>
      <c r="Z585" t="inlineStr">
        <is>
          <t>Yencie Edmel Tomas</t>
        </is>
      </c>
      <c r="AA585" t="inlineStr">
        <is>
          <t>0999 859 8762</t>
        </is>
      </c>
      <c r="AB585" t="inlineStr">
        <is>
          <t>GCash</t>
        </is>
      </c>
      <c r="AC585" t="inlineStr">
        <is>
          <t>Blk 15 Lot 17 Purok 3 Central Bicutan Taguig City</t>
        </is>
      </c>
      <c r="AD585" s="4">
        <v>45939</v>
      </c>
      <c r="AE585" t="inlineStr">
        <is>
          <t>100% Full Payment - Oct. 24, 2025</t>
        </is>
      </c>
      <c r="AF585" s="2"/>
      <c r="AG585" t="inlineStr">
        <is>
          <t>NzQyNTk5MTgyNzQ4MTg3MDM0MTpGNkUyQjBEMi05NDdCLTRBMkItQTgxRi1ERjkyRkUwNUYzQjEtMTplYjUxZjdiY2YwMTcwN2FkM2YxYjYyODhkMWE5MmFjYzox</t>
        </is>
      </c>
      <c r="AH585" t="inlineStr">
        <is>
          <t>Yencie Edmel Tomas</t>
        </is>
      </c>
      <c r="AI585"/>
      <c r="AJ585" t="inlineStr">
        <is>
          <t>LIQUIDITY PLAN (PAR # 202505160019 / 2025TEG-P0041)
FOR RENTAL/ FABRICATION/ PRODUCTION &gt; Group Draw &amp; Creator Rumble Pt. 1 &gt;
Broadcast Technical Package
Total Budget = Php 100,000.00
Actual Cost = Php 6,000.00
Balance = Php 94,000.00</t>
        </is>
      </c>
      <c r="AK585"/>
    </row>
    <row r="586" ht="25.5" customHeight="1">
      <c r="A586" s="2" t="str">
        <f>=HYPERLINK("https://applink.larksuite.com/client/mini_program/open?appId=cli_9c7cc8a9a9edd105&amp;mode=appCenter&amp;path_pc=pc/pages/requested/index?instanceId=7564003865046040614&amp;source=bitable&amp;path=pages/detail/index?instanceId=7564003865046040614&amp;source=bitable", "202510220125")</f>
        <v>202510220125</v>
      </c>
      <c r="B586" t="inlineStr">
        <is>
          <t>Approved</t>
        </is>
      </c>
      <c r="C586" t="inlineStr">
        <is>
          <t>Procurement Order</t>
        </is>
      </c>
      <c r="D586" s="3">
        <v>45952.80425925926</v>
      </c>
      <c r="E586" s="3">
        <v>45953.75232638889</v>
      </c>
      <c r="F586" t="inlineStr">
        <is>
          <t>Fatima Kathleen M. FLores</t>
        </is>
      </c>
      <c r="G586" t="inlineStr">
        <is>
          <t>Procurement</t>
        </is>
      </c>
      <c r="H586"/>
      <c r="I586"/>
      <c r="J586" t="inlineStr">
        <is>
          <t>Project</t>
        </is>
      </c>
      <c r="K586" t="inlineStr">
        <is>
          <t>PDEI - Game Marketing</t>
        </is>
      </c>
      <c r="L586" t="inlineStr">
        <is>
          <t>WCG 2025 Creator Rumble</t>
        </is>
      </c>
      <c r="M586" t="inlineStr">
        <is>
          <t>2025TEG-P0041</t>
        </is>
      </c>
      <c r="N586" t="inlineStr">
        <is>
          <t>Maura Aurel Atilano Yap</t>
        </is>
      </c>
      <c r="O586" t="inlineStr">
        <is>
          <t>202510080076-Maura Aurel Atilano Yap-费用报销 - 副本 - 副本 - 副本-2025-10-08 11:41:21</t>
        </is>
      </c>
      <c r="P586" t="inlineStr">
        <is>
          <t>YES</t>
        </is>
      </c>
      <c r="Q586"/>
      <c r="R586" t="inlineStr">
        <is>
          <t>YES</t>
        </is>
      </c>
      <c r="S586" t="inlineStr">
        <is>
          <t>Outsourced Highlights Operator</t>
        </is>
      </c>
      <c r="T586">
        <v>1</v>
      </c>
      <c r="U586">
        <v>6000</v>
      </c>
      <c r="V586" t="inlineStr">
        <is>
          <t>PHP</t>
        </is>
      </c>
      <c r="W586">
        <v>6000</v>
      </c>
      <c r="X586" s="2" t="str">
        <f>=HYPERLINK("https://www.larksuite.com/approval/admin/previewAttachment?key=PMw9qsJgEAXQLd2ZufP3NvMaw4ciEUGSbtYuaWxPcaIEUS4WDbZoQyY9CFiFgwEihKMjmY2UVJ9tX_9Ffz_0fL7WseuRc95va_uId6oijbQCIH8_tyTZfdWX4xsAAP__", "2 attachment(s)")</f>
        <v>2 attachment(s)</v>
      </c>
      <c r="Y586" t="inlineStr">
        <is>
          <t>Bank Transfer</t>
        </is>
      </c>
      <c r="Z586" t="inlineStr">
        <is>
          <t>Mark Noel Alcaraz</t>
        </is>
      </c>
      <c r="AA586" t="inlineStr">
        <is>
          <t>003520333729</t>
        </is>
      </c>
      <c r="AB586" t="inlineStr">
        <is>
          <t>BDO</t>
        </is>
      </c>
      <c r="AC586" t="inlineStr">
        <is>
          <t>045 Bancal Meycauayan Bulacan</t>
        </is>
      </c>
      <c r="AD586" s="4">
        <v>45939</v>
      </c>
      <c r="AE586" t="inlineStr">
        <is>
          <t>100% Full Payment - Oct. 24, 2025</t>
        </is>
      </c>
      <c r="AF586" s="2"/>
      <c r="AG586" t="inlineStr">
        <is>
          <t>NzQyNTk5MTgyNzQ4MTg3MDM0MTpENjI5QjFDOC1COEY1LTQ1Q0YtOUEwOS00NjBGODAwOEIxMkEtMTowZjlkMTM1MjFhODAyMjFhODkzY2M4OThhYjhkMzc5ODox</t>
        </is>
      </c>
      <c r="AH586" t="inlineStr">
        <is>
          <t>Mark Noel Alcaraz</t>
        </is>
      </c>
      <c r="AI586"/>
      <c r="AJ586" t="inlineStr">
        <is>
          <t>LIQUIDITY PLAN (PAR # 202505160019 / 2025TEG-P0041)
MANPOWER &gt; Broadcast &amp; Production &gt;
Highlights Operator 
Total Budget = Php 3,750.00
Actual Cost = Php 6,000.00
Balance = (Php 2,250.00) OVER BUDGET</t>
        </is>
      </c>
      <c r="AK586"/>
    </row>
    <row r="587" ht="25.5" customHeight="1">
      <c r="A587" s="2" t="str">
        <f>=HYPERLINK("https://applink.larksuite.com/client/mini_program/open?appId=cli_9c7cc8a9a9edd105&amp;mode=appCenter&amp;path_pc=pc/pages/requested/index?instanceId=7564009400050909215&amp;source=bitable&amp;path=pages/detail/index?instanceId=7564009400050909215&amp;source=bitable", "202510220130")</f>
        <v>202510220130</v>
      </c>
      <c r="B587" t="inlineStr">
        <is>
          <t>Approved</t>
        </is>
      </c>
      <c r="C587" t="inlineStr">
        <is>
          <t>Procurement Order</t>
        </is>
      </c>
      <c r="D587" s="3">
        <v>45952.81917824074</v>
      </c>
      <c r="E587" s="3">
        <v>45953.7533912037</v>
      </c>
      <c r="F587" t="inlineStr">
        <is>
          <t>Fatima Kathleen M. FLores</t>
        </is>
      </c>
      <c r="G587" t="inlineStr">
        <is>
          <t>Procurement</t>
        </is>
      </c>
      <c r="H587"/>
      <c r="I587"/>
      <c r="J587" t="inlineStr">
        <is>
          <t>Project</t>
        </is>
      </c>
      <c r="K587" t="inlineStr">
        <is>
          <t>PDEI - Game Marketing</t>
        </is>
      </c>
      <c r="L587" t="inlineStr">
        <is>
          <t>WCG 2025 Creator Rumble</t>
        </is>
      </c>
      <c r="M587" t="inlineStr">
        <is>
          <t>2025TEG-P0041</t>
        </is>
      </c>
      <c r="N587" t="inlineStr">
        <is>
          <t>Maura Aurel Atilano Yap</t>
        </is>
      </c>
      <c r="O587" t="inlineStr">
        <is>
          <t>202510080076-Maura Aurel Atilano Yap-费用报销 - 副本 - 副本 - 副本-2025-10-08 11:41:21</t>
        </is>
      </c>
      <c r="P587" t="inlineStr">
        <is>
          <t>YES</t>
        </is>
      </c>
      <c r="Q587"/>
      <c r="R587" t="inlineStr">
        <is>
          <t>YES</t>
        </is>
      </c>
      <c r="S587" t="inlineStr">
        <is>
          <t>Outsourced Stream Engineer</t>
        </is>
      </c>
      <c r="T587">
        <v>1</v>
      </c>
      <c r="U587">
        <v>12000</v>
      </c>
      <c r="V587" t="inlineStr">
        <is>
          <t>PHP</t>
        </is>
      </c>
      <c r="W587">
        <v>12000</v>
      </c>
      <c r="X587" s="2" t="str">
        <f>=HYPERLINK("https://www.larksuite.com/approval/admin/previewAttachment?key=PMy7DcJAEATQlmZ_Nzc0Q8LJAoRJkHC0tSMnpC94YxrGLIshpMwFa9ZIQAmgIMit2ttIgUavXvt2jZ14xLGO9yueufp7v23rYyW6g5EZE4Bd_h7MTOmsT8cvAAD__w", "2 attachment(s)")</f>
        <v>2 attachment(s)</v>
      </c>
      <c r="Y587" t="inlineStr">
        <is>
          <t>Bank Transfer</t>
        </is>
      </c>
      <c r="Z587" t="inlineStr">
        <is>
          <t>Kyle Gloria Jimenez</t>
        </is>
      </c>
      <c r="AA587" t="inlineStr">
        <is>
          <t>0189 7753 9546</t>
        </is>
      </c>
      <c r="AB587" t="inlineStr">
        <is>
          <t>GoTyme Bank</t>
        </is>
      </c>
      <c r="AC587" t="inlineStr">
        <is>
          <t>905-E Timog St, Brgy. Barangka Drive, Mandaluyong City</t>
        </is>
      </c>
      <c r="AD587" s="4">
        <v>45939</v>
      </c>
      <c r="AE587" t="inlineStr">
        <is>
          <t>100% Full Payment - Nov. 7, 2025</t>
        </is>
      </c>
      <c r="AF587" s="2"/>
      <c r="AG587" t="inlineStr">
        <is>
          <t>NzQyNTk5MTgyNzQ4MTg3MDM0MTo5NENCNjIzNy0zQTFFLTQ1NkQtQTRCNi1BMDg0QUU1NjBGQTYtMTo4ZTU2OTdiMjM3NmNmZTdlZmFmZmIwYzdiODJiYWExODox</t>
        </is>
      </c>
      <c r="AH587" t="inlineStr">
        <is>
          <t>Kyle Gloria Jimenez</t>
        </is>
      </c>
      <c r="AI587"/>
      <c r="AJ587" t="inlineStr">
        <is>
          <t>LIQUIDITY PLAN (PAR # 202505160019 / 2025TEG-P0041)
MANPOWER &gt; Broadcast &amp; Production &gt;
Lead Stream Engineer
Total Budget = Php 3,750.00
Actual Cost = Php 12,000.00
Balance = (Php 8,250.00) OVER BUDGET</t>
        </is>
      </c>
      <c r="AK587"/>
    </row>
    <row r="588" ht="25.5" customHeight="1">
      <c r="A588" s="2" t="str">
        <f>=HYPERLINK("https://applink.larksuite.com/client/mini_program/open?appId=cli_9c7cc8a9a9edd105&amp;mode=appCenter&amp;path_pc=pc/pages/requested/index?instanceId=7564261706336079584&amp;source=bitable&amp;path=pages/detail/index?instanceId=7564261706336079584&amp;source=bitable", "202510230022")</f>
        <v>202510230022</v>
      </c>
      <c r="B588" t="inlineStr">
        <is>
          <t>Recalled</t>
        </is>
      </c>
      <c r="C588" t="inlineStr">
        <is>
          <t>Procurement Order</t>
        </is>
      </c>
      <c r="D588" s="3">
        <v>45953.49909722222</v>
      </c>
      <c r="E588" s="3">
        <v>45953.6075462963</v>
      </c>
      <c r="F588" t="inlineStr">
        <is>
          <t>Fatima Kathleen M. FLores</t>
        </is>
      </c>
      <c r="G588" t="inlineStr">
        <is>
          <t>Procurement</t>
        </is>
      </c>
      <c r="H588"/>
      <c r="I588"/>
      <c r="J588" t="inlineStr">
        <is>
          <t>Project</t>
        </is>
      </c>
      <c r="K588" t="inlineStr">
        <is>
          <t>PDEI - Game Marketing</t>
        </is>
      </c>
      <c r="L588" t="inlineStr">
        <is>
          <t>WCG 2025 Creator Rumble</t>
        </is>
      </c>
      <c r="M588" t="inlineStr">
        <is>
          <t>2025TEG-P0041</t>
        </is>
      </c>
      <c r="N588" t="inlineStr">
        <is>
          <t>Vincent Bryan Velasco Tan</t>
        </is>
      </c>
      <c r="O588" t="inlineStr">
        <is>
          <t>202509290139-Vincent Bryan Velasco Tan-费用报销 - 副本 - 副本 - 副本-2025-09-29 09:32:33</t>
        </is>
      </c>
      <c r="P588" t="inlineStr">
        <is>
          <t>NO</t>
        </is>
      </c>
      <c r="Q588"/>
      <c r="R588" t="inlineStr">
        <is>
          <t>NO</t>
        </is>
      </c>
      <c r="S588" t="inlineStr">
        <is>
          <t>Rental of Audio, Lights, LED and Trusses (with 150kVA Genset)</t>
        </is>
      </c>
      <c r="T588">
        <v>1</v>
      </c>
      <c r="U588">
        <v>195000</v>
      </c>
      <c r="V588" t="inlineStr">
        <is>
          <t>PHP</t>
        </is>
      </c>
      <c r="W588">
        <v>195000</v>
      </c>
      <c r="X588" s="2" t="str">
        <f>=HYPERLINK("https://www.larksuite.com/approval/admin/previewAttachment?key=PMg7qgJBFATQLVXdX_V9m3mJzaAjA4LgJ-i1CwampwZRI-nViKY1uJQVVhTKvaDOEcsWpYYoyzWP7b_39-ti16fxts8j1-N82uad2TKDPMIHAP793BUR3RX4Oj4BAAD__w", "2 attachment(s)")</f>
        <v>2 attachment(s)</v>
      </c>
      <c r="Y588" t="inlineStr">
        <is>
          <t>Bank Transfer</t>
        </is>
      </c>
      <c r="Z588" t="inlineStr">
        <is>
          <t>Music Matrix Lights &amp; Sound Co.</t>
        </is>
      </c>
      <c r="AA588" t="inlineStr">
        <is>
          <t>288-7-28852354-8</t>
        </is>
      </c>
      <c r="AB588" t="inlineStr">
        <is>
          <t>Metrobank</t>
        </is>
      </c>
      <c r="AC588" t="inlineStr">
        <is>
          <t>570 M. Gonzaga St., Hagdang Bato Itaas, Mandaluyong City</t>
        </is>
      </c>
      <c r="AD588" s="4">
        <v>45954</v>
      </c>
      <c r="AE588" t="inlineStr">
        <is>
          <t>50% Down Payment upon confirmation
50% Balance upon completion of services</t>
        </is>
      </c>
      <c r="AF588" s="2" t="str">
        <f>=HYPERLINK("https://www.larksuite.com/approval/admin/previewAttachment?key=TMhJqgJBEATQK0XkEFn5L_M3Fo22NAiCw6LOLrhy-zQIjaSrEU1rcFUqTCzIXajOEcsWqxrFslzz2P57f78udn0ab_s8cj3Op23eqeFCdEawAfDvx0n0cPnX8QkAAP__", "3 attachment(s)")</f>
        <v>3 attachment(s)</v>
      </c>
      <c r="AG588" t="inlineStr">
        <is>
          <t>NzQyNTk5MTgyNzQ4MTg3MDM0MTpDQTg3OEY4Mi02REU1LTRENDctQjFEMS05Q0I4NkFCRkUwNDctMTpkNDg2YjhkMjY4MjM4NWRjNjAxNzZjZTlkNzQ5N2Y2MDox</t>
        </is>
      </c>
      <c r="AH588" t="inlineStr">
        <is>
          <t>Music Matrix Lights &amp; Sound Co.</t>
        </is>
      </c>
      <c r="AI588"/>
      <c r="AJ588" t="inlineStr">
        <is>
          <t>LIQUIDITY PLAN (PAR # 202505160019 / 2025TEG-P0041)
FOR RENTAL/ FABRICATION/ PRODUCTION &gt; Culminating Event &gt;
Lights and Sounds
LED 2 meters x 3M
Trussing
Genset + Fuel
Electricals
Total Budget = Php 380,000.00
Actual Cost = Php 195,000.00
Balance = Php 185,000.00</t>
        </is>
      </c>
      <c r="AK588"/>
    </row>
    <row r="589" ht="25.5" customHeight="1">
      <c r="A589" s="2" t="str">
        <f>=HYPERLINK("https://applink.larksuite.com/client/mini_program/open?appId=cli_9c7cc8a9a9edd105&amp;mode=appCenter&amp;path_pc=pc/pages/requested/index?instanceId=7564310301986787038&amp;source=bitable&amp;path=pages/detail/index?instanceId=7564310301986787038&amp;source=bitable", "202510230052")</f>
        <v>202510230052</v>
      </c>
      <c r="B589" t="inlineStr">
        <is>
          <t>Approved</t>
        </is>
      </c>
      <c r="C589" t="inlineStr">
        <is>
          <t>Procurement Order</t>
        </is>
      </c>
      <c r="D589" s="3">
        <v>45953.6300462963</v>
      </c>
      <c r="E589" s="3">
        <v>45953.73075231481</v>
      </c>
      <c r="F589" t="inlineStr">
        <is>
          <t>Fatima Kathleen M. FLores</t>
        </is>
      </c>
      <c r="G589" t="inlineStr">
        <is>
          <t>Procurement</t>
        </is>
      </c>
      <c r="H589"/>
      <c r="I589"/>
      <c r="J589" t="inlineStr">
        <is>
          <t>Project</t>
        </is>
      </c>
      <c r="K589" t="inlineStr">
        <is>
          <t>PDEI - Event Service</t>
        </is>
      </c>
      <c r="L589" t="inlineStr">
        <is>
          <t>GTCC 2025: September Arena</t>
        </is>
      </c>
      <c r="M589" t="inlineStr">
        <is>
          <t>2025TEG-P0236</t>
        </is>
      </c>
      <c r="N589" t="inlineStr">
        <is>
          <t>Frances Angelita Arreglado</t>
        </is>
      </c>
      <c r="O589" t="inlineStr">
        <is>
          <t>202510090105-Frances Angelita Arreglado-费用报销 - 副本 - 副本 - 副本-2025-10-09 11:46:57</t>
        </is>
      </c>
      <c r="P589" t="inlineStr">
        <is>
          <t>NO</t>
        </is>
      </c>
      <c r="Q589"/>
      <c r="R589" t="inlineStr">
        <is>
          <t>NO</t>
        </is>
      </c>
      <c r="S589" t="inlineStr">
        <is>
          <t>Rental of Camera System (3 days)</t>
        </is>
      </c>
      <c r="T589">
        <v>1</v>
      </c>
      <c r="U589">
        <v>134736</v>
      </c>
      <c r="V589" t="inlineStr">
        <is>
          <t>PHP</t>
        </is>
      </c>
      <c r="W589">
        <v>134736</v>
      </c>
      <c r="X589" s="2" t="str">
        <f>=HYPERLINK("https://www.larksuite.com/approval/admin/previewAttachment?key=PMhBCgIxDAXQK_00aX7iZdx0KDralVBwkbMLLmb7PAQeXdQTltISUuxuKlBIhjMIjWolZILC1utY8_7dz_M15nvNPU5btR9jHh_pydZANdMAILfLlWaW6Ya_4xcAAP__", "2 attachment(s)")</f>
        <v>2 attachment(s)</v>
      </c>
      <c r="Y589" t="inlineStr">
        <is>
          <t>Bank Transfer</t>
        </is>
      </c>
      <c r="Z589" t="inlineStr">
        <is>
          <t>Serial Kitten Event Management</t>
        </is>
      </c>
      <c r="AA589" t="inlineStr">
        <is>
          <t>0000006374547</t>
        </is>
      </c>
      <c r="AB589" t="inlineStr">
        <is>
          <t>Security Bank</t>
        </is>
      </c>
      <c r="AC589" t="inlineStr">
        <is>
          <t>2664 Honduras St. Brgy. San Isidro Makati City</t>
        </is>
      </c>
      <c r="AD589" s="4">
        <v>45919</v>
      </c>
      <c r="AE589" t="inlineStr">
        <is>
          <t>50% Down payment upon confirmation
50% Final Payment on day of event</t>
        </is>
      </c>
      <c r="AF589" s="2"/>
      <c r="AG589" t="inlineStr">
        <is>
          <t>NzQyNTk5MTgyNzQ4MTg3MDM0MTo0ODQwNkE3Mi0xRjBCLTQ2RDYtODZCMi1GRDQzNjNBODQwNTgtMTozODc5MGZiYzY1MDU0Yzg3ZmE5OTg3ZjgxNDFjM2Y4Mzox</t>
        </is>
      </c>
      <c r="AH589" t="inlineStr">
        <is>
          <t>Serial Kitten Event Management</t>
        </is>
      </c>
      <c r="AI589"/>
      <c r="AJ589" t="inlineStr">
        <is>
          <t>LIQUIDITY PLAN (PAR # 202508110059 / 2025TEG-P0236)
FINAL 911 - CE INTERNAL &gt; BROADCAST &amp; PRODUCTION &gt;
Broadcast Equipment Package
Total Budget = Php 400,000.00
Actual Cost = Php 134,736.00
Balance = Php 265,264.00</t>
        </is>
      </c>
      <c r="AK589"/>
    </row>
    <row r="590" ht="25.5" customHeight="1">
      <c r="A590" s="2" t="str">
        <f>=HYPERLINK("https://applink.larksuite.com/client/mini_program/open?appId=cli_9c7cc8a9a9edd105&amp;mode=appCenter&amp;path_pc=pc/pages/requested/index?instanceId=7564331459729755874&amp;source=bitable&amp;path=pages/detail/index?instanceId=7564331459729755874&amp;source=bitable", "202510230073")</f>
        <v>202510230073</v>
      </c>
      <c r="B590" t="inlineStr">
        <is>
          <t>Approved</t>
        </is>
      </c>
      <c r="C590" t="inlineStr">
        <is>
          <t>Procurement Order</t>
        </is>
      </c>
      <c r="D590" s="3">
        <v>45953.687060185184</v>
      </c>
      <c r="E590" s="3">
        <v>45954.62991898148</v>
      </c>
      <c r="F590" t="inlineStr">
        <is>
          <t>Fatima Kathleen M. FLores</t>
        </is>
      </c>
      <c r="G590" t="inlineStr">
        <is>
          <t>Procurement</t>
        </is>
      </c>
      <c r="H590"/>
      <c r="I590"/>
      <c r="J590" t="inlineStr">
        <is>
          <t>GAE</t>
        </is>
      </c>
      <c r="K590"/>
      <c r="L590"/>
      <c r="M590"/>
      <c r="N590"/>
      <c r="O590" t="inlineStr">
        <is>
          <t>202510210041-Ronelle Kylene Chaneco Lim-费用报销 - 副本 - 副本 - 副本-2025-10-21 04:49:16</t>
        </is>
      </c>
      <c r="P590"/>
      <c r="Q590" t="inlineStr">
        <is>
          <t>Business Development</t>
        </is>
      </c>
      <c r="R590"/>
      <c r="S590" t="inlineStr">
        <is>
          <t>CUSTOMIZED TOTE BAG (Heavy Canvas) with PRINT / 41.5cm x 45cm</t>
        </is>
      </c>
      <c r="T590">
        <v>300</v>
      </c>
      <c r="U590">
        <v>260</v>
      </c>
      <c r="V590" t="inlineStr">
        <is>
          <t>PHP</t>
        </is>
      </c>
      <c r="W590">
        <v>78000</v>
      </c>
      <c r="X590" s="2" t="str">
        <f>=HYPERLINK("https://www.larksuite.com/approval/admin/previewAttachment?key=PMtBqgJBDATQK6WSSlfnX-ZvphlkVBBEwUXOLrpw--CNCRszEaOMBS9DKwcjwCx5KXOK7Q2pTJBnr-v-vz38eC2_AUfxcu7nadvXHZ_jpiBjmhn-fh4iWTVoX7d3AAAA__8", "2 attachment(s)")</f>
        <v>2 attachment(s)</v>
      </c>
      <c r="Y590" t="inlineStr">
        <is>
          <t>Bank Transfer</t>
        </is>
      </c>
      <c r="Z590" t="inlineStr">
        <is>
          <t>Charisem Magadia</t>
        </is>
      </c>
      <c r="AA590" t="inlineStr">
        <is>
          <t>1696239289</t>
        </is>
      </c>
      <c r="AB590" t="inlineStr">
        <is>
          <t>Landbank Savings</t>
        </is>
      </c>
      <c r="AC590" t="inlineStr">
        <is>
          <t>C.P. Garcia Ave., UP Diliman, QC</t>
        </is>
      </c>
      <c r="AD590" s="4">
        <v>45964</v>
      </c>
      <c r="AE590" t="inlineStr">
        <is>
          <t>50% Down Payment upon confirmation
50% Final Payment upon complete delivery</t>
        </is>
      </c>
      <c r="AF590" s="2" t="str">
        <f>=HYPERLINK("https://www.larksuite.com/approval/admin/previewAttachment?key=TMi7CQJBGATglmb-547NmNxyyKkgiILB1i4YmX41iBpJLyFEE7g6K9wZqTZ15uhYttgtNNtyzft-3l52fKY9yENxu673ZdvnkzW8EMoICgBPf05Cw8t_jm8AAAD__w", "5 attachment(s)")</f>
        <v>5 attachment(s)</v>
      </c>
      <c r="AG590" t="inlineStr">
        <is>
          <t>NzQyNTk5MTgyNzQ4MTg3MDM0MTowNzBCMjA2OC0yREUwLTQyMzEtQUYzQi1EMTc3REYyNTVEMjAtMTo1MWI0MTNiMzZmNmJjNDk1ZWM5MDM0MjcwMDMzNTU3Yjox</t>
        </is>
      </c>
      <c r="AH590" t="inlineStr">
        <is>
          <t>TEKUMA PRINTS ‘N THINGS</t>
        </is>
      </c>
      <c r="AI590"/>
      <c r="AJ590"/>
      <c r="AK590"/>
    </row>
    <row r="591" ht="25.5" customHeight="1">
      <c r="A591" s="2" t="str">
        <f>=HYPERLINK("https://applink.larksuite.com/client/mini_program/open?appId=cli_9c7cc8a9a9edd105&amp;mode=appCenter&amp;path_pc=pc/pages/requested/index?instanceId=7564641512282132191&amp;source=bitable&amp;path=pages/detail/index?instanceId=7564641512282132191&amp;source=bitable", "202510240030")</f>
        <v>202510240030</v>
      </c>
      <c r="B591" t="inlineStr">
        <is>
          <t>Approved</t>
        </is>
      </c>
      <c r="C591" t="inlineStr">
        <is>
          <t>Procurement Order</t>
        </is>
      </c>
      <c r="D591" s="3">
        <v>45954.52259259259</v>
      </c>
      <c r="E591" s="3">
        <v>45954.70822916667</v>
      </c>
      <c r="F591" t="inlineStr">
        <is>
          <t>Fatima Kathleen M. FLores</t>
        </is>
      </c>
      <c r="G591" t="inlineStr">
        <is>
          <t>Procurement</t>
        </is>
      </c>
      <c r="H591"/>
      <c r="I591"/>
      <c r="J591" t="inlineStr">
        <is>
          <t>Project</t>
        </is>
      </c>
      <c r="K591" t="inlineStr">
        <is>
          <t>PDEI - Event Service</t>
        </is>
      </c>
      <c r="L591" t="inlineStr">
        <is>
          <t>MPL PH S16 Addendum</t>
        </is>
      </c>
      <c r="M591" t="inlineStr">
        <is>
          <t>2025TEG-P0269</t>
        </is>
      </c>
      <c r="N591" t="inlineStr">
        <is>
          <t>Katherine Denise Lee Sy</t>
        </is>
      </c>
      <c r="O591" t="inlineStr">
        <is>
          <t>202510210031-Katherine Denise Lee Sy-费用报销 - 副本 - 副本 - 副本-2025-10-21 03:45:19</t>
        </is>
      </c>
      <c r="P591" t="inlineStr">
        <is>
          <t>NO</t>
        </is>
      </c>
      <c r="Q591"/>
      <c r="R591" t="inlineStr">
        <is>
          <t>YES</t>
        </is>
      </c>
      <c r="S591" t="inlineStr">
        <is>
          <t>Outsourced Professional Pest Management Services</t>
        </is>
      </c>
      <c r="T591">
        <v>1</v>
      </c>
      <c r="U591">
        <v>89900</v>
      </c>
      <c r="V591" t="inlineStr">
        <is>
          <t>PHP</t>
        </is>
      </c>
      <c r="W591">
        <v>89900</v>
      </c>
      <c r="X591" s="2" t="str">
        <f>=HYPERLINK("https://www.larksuite.com/approval/admin/previewAttachment?key=PMg7CgJBEATQK1X11PTHy5g4LAoaibsY9NkFg02fJ-E5ObygohXYMV0uTpqlcRiLbc2IQjBs9npt152PjKPWU98j9en9ftvWm7PCDDGkkQB4OX2EpCoX_o5fAAAA__8", "2 attachment(s)")</f>
        <v>2 attachment(s)</v>
      </c>
      <c r="Y591" t="inlineStr">
        <is>
          <t>Bank Transfer</t>
        </is>
      </c>
      <c r="Z591" t="inlineStr">
        <is>
          <t>Roberto Jr. Dabalos</t>
        </is>
      </c>
      <c r="AA591" t="inlineStr">
        <is>
          <t>002130142660</t>
        </is>
      </c>
      <c r="AB591" t="inlineStr">
        <is>
          <t>BDO</t>
        </is>
      </c>
      <c r="AC591" t="inlineStr">
        <is>
          <t>23-B Molave St. Extension, North Signal Village, Taguig City</t>
        </is>
      </c>
      <c r="AD591" s="4">
        <v>45954</v>
      </c>
      <c r="AE591" t="inlineStr">
        <is>
          <t>100% Full Payment upon completion of services</t>
        </is>
      </c>
      <c r="AF591" s="2"/>
      <c r="AG591" t="inlineStr">
        <is>
          <t>NzQyNTk5MTgyNzQ4MTg3MDM0MTo0RUZEREM5Ri1GNDc1LTQyN0UtOUI0RC04MzA4OUQxREFDQjctMToyNWNjNDlmMjJmOGE1MGE4Yzc4ODZmMTAwNDU3MjgyNzox</t>
        </is>
      </c>
      <c r="AH591" t="inlineStr">
        <is>
          <t>PESTPROOF.PH PEST CONTROL SERVICES (Oct 21 &amp; 24, 2025)</t>
        </is>
      </c>
      <c r="AI591"/>
      <c r="AJ591" t="inlineStr">
        <is>
          <t>This is to be charged to a RUNNING ADDENDUM</t>
        </is>
      </c>
      <c r="AK591"/>
    </row>
    <row r="592" ht="25.5" customHeight="1">
      <c r="A592" s="2" t="str">
        <f>=HYPERLINK("https://applink.larksuite.com/client/mini_program/open?appId=cli_9c7cc8a9a9edd105&amp;mode=appCenter&amp;path_pc=pc/pages/requested/index?instanceId=7564648185562582754&amp;source=bitable&amp;path=pages/detail/index?instanceId=7564648185562582754&amp;source=bitable", "202510240036")</f>
        <v>202510240036</v>
      </c>
      <c r="B592" t="inlineStr">
        <is>
          <t>Approved</t>
        </is>
      </c>
      <c r="C592" t="inlineStr">
        <is>
          <t>Procurement Order</t>
        </is>
      </c>
      <c r="D592" s="3">
        <v>45954.5405787037</v>
      </c>
      <c r="E592" s="3">
        <v>45954.623148148145</v>
      </c>
      <c r="F592" t="inlineStr">
        <is>
          <t>Fatima Kathleen M. FLores</t>
        </is>
      </c>
      <c r="G592" t="inlineStr">
        <is>
          <t>Procurement</t>
        </is>
      </c>
      <c r="H592"/>
      <c r="I592"/>
      <c r="J592" t="inlineStr">
        <is>
          <t>Project</t>
        </is>
      </c>
      <c r="K592" t="inlineStr">
        <is>
          <t>PDEI - Game Marketing</t>
        </is>
      </c>
      <c r="L592" t="inlineStr">
        <is>
          <t>WCG 2025 Creator Rumble</t>
        </is>
      </c>
      <c r="M592" t="inlineStr">
        <is>
          <t>2025TEG-P0041</t>
        </is>
      </c>
      <c r="N592" t="inlineStr">
        <is>
          <t>Clifford Markus Ortiz Martinez</t>
        </is>
      </c>
      <c r="O592" t="inlineStr">
        <is>
          <t>202510210092-Clifford Markus Ortiz Martinez-费用报销 - 副本 - 副本 - 副本-2025-10-21 08:24:10</t>
        </is>
      </c>
      <c r="P592" t="inlineStr">
        <is>
          <t>NO</t>
        </is>
      </c>
      <c r="Q592"/>
      <c r="R592" t="inlineStr">
        <is>
          <t>NO</t>
        </is>
      </c>
      <c r="S592" t="inlineStr">
        <is>
          <t>Rental of PC and peripherals (9 units)</t>
        </is>
      </c>
      <c r="T592">
        <v>1</v>
      </c>
      <c r="U592">
        <v>55000</v>
      </c>
      <c r="V592" t="inlineStr">
        <is>
          <t>PHP</t>
        </is>
      </c>
      <c r="W592">
        <v>55000</v>
      </c>
      <c r="X592" s="2" t="str">
        <f>=HYPERLINK("https://www.larksuite.com/approval/admin/previewAttachment?key=PMg7jgJBDATQK5XdZZe9l9mE1ggYJkJ8kj47EgHpyzJkhY1ssM0bthTJZFlFpEe5gsuXSQ2ZPNY8tv_39TL3180foRrHvp7n0zbvFi13aJCjANjfz4dIdifxdXwCAAD__w", "4 attachment(s)")</f>
        <v>4 attachment(s)</v>
      </c>
      <c r="Y592" t="inlineStr">
        <is>
          <t>Bank Transfer</t>
        </is>
      </c>
      <c r="Z592" t="inlineStr">
        <is>
          <t>Clark Karoll L. Landrito</t>
        </is>
      </c>
      <c r="AA592" t="inlineStr">
        <is>
          <t>0029 0020 5677</t>
        </is>
      </c>
      <c r="AB592" t="inlineStr">
        <is>
          <t>BDO</t>
        </is>
      </c>
      <c r="AC592" t="inlineStr">
        <is>
          <t>Lot 2 Blk 6 Candazo cor. L De Guzman St., Concepcion Uno, Marikina City</t>
        </is>
      </c>
      <c r="AD592" s="4">
        <v>45954</v>
      </c>
      <c r="AE592" t="inlineStr">
        <is>
          <t>50% Down Payment upon confirmation
50% Final Payment upon compete delivery</t>
        </is>
      </c>
      <c r="AF592" s="2" t="str">
        <f>=HYPERLINK("https://www.larksuite.com/approval/admin/previewAttachment?key=TMi5jQJREATQlKr67k1mHb5GwDAW4nA6diQs3BdFRDk1GtaUBic9LKxY7iFekm4jw8xGMsVnHdv_-3pZ--smD8_SY5_n-bStO6M0YO1mbAD8-3ESXRr6dXwCAAD__w", "1 attachment(s)")</f>
        <v>1 attachment(s)</v>
      </c>
      <c r="AG592" t="inlineStr">
        <is>
          <t>NzQyNTk5MTgyNzQ4MTg3MDM0MTpBNERCMjA1NS0wQ0Q3LTQwOUYtQUNFNS03MzcxMEVCM0UzMjUtMTo5ZWIzZGQxMmEyNzQzMjEyMzM4Y2VhMGE2YTU2YzYxMDox</t>
        </is>
      </c>
      <c r="AH592" t="inlineStr">
        <is>
          <t>KADILIMAN ESPORTS INTERNET CAFE</t>
        </is>
      </c>
      <c r="AI592"/>
      <c r="AJ592" t="inlineStr">
        <is>
          <t>LIQUIDITY PLAN (PAR # 202505160019 / 2025TEG-P0041)
FOR RENTAL/ FABRICATION/ PRODUCTION &gt; Culminating Event &gt;
Broadcast Technical Bundle
Total Budget = Php 80,000.00
Actual Cost = Php 55,000.00
Balance = Php 25,000.00</t>
        </is>
      </c>
      <c r="AK592"/>
    </row>
    <row r="593" ht="25.5" customHeight="1">
      <c r="A593" s="2" t="str">
        <f>=HYPERLINK("https://applink.larksuite.com/client/mini_program/open?appId=cli_9c7cc8a9a9edd105&amp;mode=appCenter&amp;path_pc=pc/pages/requested/index?instanceId=7565746213857808092&amp;source=bitable&amp;path=pages/detail/index?instanceId=7565746213857808092&amp;source=bitable", "202510270058")</f>
        <v>202510270058</v>
      </c>
      <c r="B593" t="inlineStr">
        <is>
          <t>Recalled</t>
        </is>
      </c>
      <c r="C593" t="inlineStr">
        <is>
          <t>Procurement Order</t>
        </is>
      </c>
      <c r="D593" s="3">
        <v>45957.49953703704</v>
      </c>
      <c r="E593" s="3">
        <v>45957.61987268519</v>
      </c>
      <c r="F593" t="inlineStr">
        <is>
          <t>Fatima Kathleen M. FLores</t>
        </is>
      </c>
      <c r="G593" t="inlineStr">
        <is>
          <t>Procurement</t>
        </is>
      </c>
      <c r="H593"/>
      <c r="I593"/>
      <c r="J593" t="inlineStr">
        <is>
          <t>Project</t>
        </is>
      </c>
      <c r="K593" t="inlineStr">
        <is>
          <t>PDEI - Event Service</t>
        </is>
      </c>
      <c r="L593" t="inlineStr">
        <is>
          <t>Bingo Plus Panalo Caravan</t>
        </is>
      </c>
      <c r="M593" t="inlineStr">
        <is>
          <t>2025TEG-P0216</t>
        </is>
      </c>
      <c r="N593" t="inlineStr">
        <is>
          <t>Ronelle Kylene Chaneco Lim</t>
        </is>
      </c>
      <c r="O593" t="inlineStr">
        <is>
          <t>202510170001-Ronelle Kylene Chaneco Lim-费用报销 - 副本 - 副本 - 副本-2025-10-17 00:39:39</t>
        </is>
      </c>
      <c r="P593" t="inlineStr">
        <is>
          <t>YES</t>
        </is>
      </c>
      <c r="Q593"/>
      <c r="R593" t="inlineStr">
        <is>
          <t>NO</t>
        </is>
      </c>
      <c r="S593" t="inlineStr">
        <is>
          <t>Outsourced Broadcast Manager</t>
        </is>
      </c>
      <c r="T593">
        <v>1</v>
      </c>
      <c r="U593">
        <v>7800</v>
      </c>
      <c r="V593" t="inlineStr">
        <is>
          <t>PHP</t>
        </is>
      </c>
      <c r="W593">
        <v>7800</v>
      </c>
      <c r="X593" s="2" t="str">
        <f>=HYPERLINK("https://www.larksuite.com/approval/admin/previewAttachment?key=PMg9CgJBDAXgK738vsTL2DgsggqC7HQ5u2Bh-2UJskIsG96iDRlGBj1VrIKFQuvoCNmgUGPW67iWhz1gqud-n-s5-3471keiqQqauxUAufzd6O7d6fg5vgEAAP__", "2 attachment(s)")</f>
        <v>2 attachment(s)</v>
      </c>
      <c r="Y593" t="inlineStr">
        <is>
          <t>Bank Transfer</t>
        </is>
      </c>
      <c r="Z593" t="inlineStr">
        <is>
          <t>Kenneth Singian</t>
        </is>
      </c>
      <c r="AA593" t="inlineStr">
        <is>
          <t>09176559151</t>
        </is>
      </c>
      <c r="AB593" t="inlineStr">
        <is>
          <t>GCash</t>
        </is>
      </c>
      <c r="AC593" t="inlineStr">
        <is>
          <t>84 Montreal St. Cubao Quezon City</t>
        </is>
      </c>
      <c r="AD593" s="4">
        <v>45941</v>
      </c>
      <c r="AE593" t="inlineStr">
        <is>
          <t>100% Full Payment - Oct. 31, 2025</t>
        </is>
      </c>
      <c r="AF593" s="2"/>
      <c r="AG593" t="inlineStr">
        <is>
          <t>NzQyNTk5MTgyNzQ4MTg3MDM0MTo2NDk1MzY4QS1EQ0VBLTRCMTQtQUYyQi02REE2RkU4N0Q5RDQtMToxZTQ4MmM3YjY5YmZkNTI5M2RiZThlMGFjZGQ0ZThmNTox</t>
        </is>
      </c>
      <c r="AH593" t="inlineStr">
        <is>
          <t>Kenneth Singian</t>
        </is>
      </c>
      <c r="AI593"/>
      <c r="AJ593" t="inlineStr">
        <is>
          <t>LIQUIDITY PLAN (PAR # 202509300084 / 2025TEG-P0216)
PROCUREMENT COST ESTIMATE TAB &gt; PROJECT PLANNING &gt;
Broadcast Manager
Total Budget = Php 10,000.00
This Request  = Php 7,800.00
Balance = Php 2,200.00</t>
        </is>
      </c>
      <c r="AK593"/>
    </row>
    <row r="594" ht="25.5" customHeight="1">
      <c r="A594" s="2" t="str">
        <f>=HYPERLINK("https://applink.larksuite.com/client/mini_program/open?appId=cli_9c7cc8a9a9edd105&amp;mode=appCenter&amp;path_pc=pc/pages/requested/index?instanceId=7565747279227817696&amp;source=bitable&amp;path=pages/detail/index?instanceId=7565747279227817696&amp;source=bitable", "202510270060")</f>
        <v>202510270060</v>
      </c>
      <c r="B594" t="inlineStr">
        <is>
          <t>Approved</t>
        </is>
      </c>
      <c r="C594" t="inlineStr">
        <is>
          <t>Procurement Order</t>
        </is>
      </c>
      <c r="D594" s="3">
        <v>45957.50240740741</v>
      </c>
      <c r="E594" s="3">
        <v>45957.647777777776</v>
      </c>
      <c r="F594" t="inlineStr">
        <is>
          <t>Fatima Kathleen M. FLores</t>
        </is>
      </c>
      <c r="G594" t="inlineStr">
        <is>
          <t>Procurement</t>
        </is>
      </c>
      <c r="H594"/>
      <c r="I594"/>
      <c r="J594" t="inlineStr">
        <is>
          <t>Project</t>
        </is>
      </c>
      <c r="K594" t="inlineStr">
        <is>
          <t>PDEI - Event Service</t>
        </is>
      </c>
      <c r="L594" t="inlineStr">
        <is>
          <t>Bingo Plus Panalo Caravan</t>
        </is>
      </c>
      <c r="M594" t="inlineStr">
        <is>
          <t>2025TEG-P0216</t>
        </is>
      </c>
      <c r="N594" t="inlineStr">
        <is>
          <t>Ronelle Kylene Chaneco Lim</t>
        </is>
      </c>
      <c r="O594" t="inlineStr">
        <is>
          <t>202510170020-Ronelle Kylene Chaneco Lim-费用报销 - 副本 - 副本 - 副本-2025-10-17 03:35:19</t>
        </is>
      </c>
      <c r="P594" t="inlineStr">
        <is>
          <t>YES</t>
        </is>
      </c>
      <c r="Q594"/>
      <c r="R594" t="inlineStr">
        <is>
          <t>NO</t>
        </is>
      </c>
      <c r="S594" t="inlineStr">
        <is>
          <t>Outsourced Social Media Manager</t>
        </is>
      </c>
      <c r="T594">
        <v>1</v>
      </c>
      <c r="U594">
        <v>11200</v>
      </c>
      <c r="V594" t="inlineStr">
        <is>
          <t>PHP</t>
        </is>
      </c>
      <c r="W594">
        <v>11200</v>
      </c>
      <c r="X594" s="2" t="str">
        <f>=HYPERLINK("https://www.larksuite.com/approval/admin/previewAttachment?key=PMgxCkIxEATQK81sNjsZL2Nj-GjxQRC02rMLFravFlFrcpSRZhhszZpKhRyhRZWroykZomL2Po9rxsd4ruDeeT7Y7_vt2C9OKwIamWMB4OXvQ5lpV-Ln-AYAAP__", "2 attachment(s)")</f>
        <v>2 attachment(s)</v>
      </c>
      <c r="Y594" t="inlineStr">
        <is>
          <t>Bank Transfer</t>
        </is>
      </c>
      <c r="Z594" t="inlineStr">
        <is>
          <t>Kathleen Chryss D Calajate</t>
        </is>
      </c>
      <c r="AA594" t="inlineStr">
        <is>
          <t>1999219329</t>
        </is>
      </c>
      <c r="AB594" t="inlineStr">
        <is>
          <t>BPI</t>
        </is>
      </c>
      <c r="AC594" t="inlineStr">
        <is>
          <t>JA 112, KM3, Brgy. Balili, La Trinidad, Benguet</t>
        </is>
      </c>
      <c r="AD594" s="4">
        <v>45951</v>
      </c>
      <c r="AE594" t="inlineStr">
        <is>
          <t>100% Full Payment - Oct. 31, 2025</t>
        </is>
      </c>
      <c r="AF594" s="2"/>
      <c r="AG594" t="inlineStr">
        <is>
          <t>NzQyNTk5MTgyNzQ4MTg3MDM0MTpGM0JGMjcxNy02QzdFLTQ5MzQtQkE3OS1GRDExRDUyODA5RDMtMToxZDIzMjA5OGM2NWFjMjZjNDU5M2Q2OThiMDFlZDUzNjox</t>
        </is>
      </c>
      <c r="AH594" t="inlineStr">
        <is>
          <t>Kathleen Chryss D Calajate</t>
        </is>
      </c>
      <c r="AI594"/>
      <c r="AJ594" t="inlineStr">
        <is>
          <t>LIQUIDITY PLAN (PAR # 202509300084 / 2025TEG-P0216)
PROCUREMENT COST ESTIMATE TAB &gt; PROJECT PLANNING &gt;
Social Media Manager
Total Budget = Php 20,000.00
Actual Cost  = Php 11,200.00
Balance = Php 8,800.00</t>
        </is>
      </c>
      <c r="AK594"/>
    </row>
    <row r="595" ht="25.5" customHeight="1">
      <c r="A595" s="2" t="str">
        <f>=HYPERLINK("https://applink.larksuite.com/client/mini_program/open?appId=cli_9c7cc8a9a9edd105&amp;mode=appCenter&amp;path_pc=pc/pages/requested/index?instanceId=7565762862136741601&amp;source=bitable&amp;path=pages/detail/index?instanceId=7565762862136741601&amp;source=bitable", "202510270082")</f>
        <v>202510270082</v>
      </c>
      <c r="B595" t="inlineStr">
        <is>
          <t>Rejected</t>
        </is>
      </c>
      <c r="C595" t="inlineStr">
        <is>
          <t>Procurement Order</t>
        </is>
      </c>
      <c r="D595" s="3">
        <v>45957.54440972222</v>
      </c>
      <c r="E595" s="3">
        <v>45957.69060185185</v>
      </c>
      <c r="F595" t="inlineStr">
        <is>
          <t>Fatima Kathleen M. FLores</t>
        </is>
      </c>
      <c r="G595" t="inlineStr">
        <is>
          <t>Procurement</t>
        </is>
      </c>
      <c r="H595"/>
      <c r="I595"/>
      <c r="J595" t="inlineStr">
        <is>
          <t>Project</t>
        </is>
      </c>
      <c r="K595" t="inlineStr">
        <is>
          <t>PDEI - Event Service</t>
        </is>
      </c>
      <c r="L595" t="inlineStr">
        <is>
          <t>Bingo Plus Panalo Caravan</t>
        </is>
      </c>
      <c r="M595" t="inlineStr">
        <is>
          <t>2025TEG-P0216</t>
        </is>
      </c>
      <c r="N595" t="inlineStr">
        <is>
          <t>Ronelle Kylene Chaneco Lim</t>
        </is>
      </c>
      <c r="O595" t="inlineStr">
        <is>
          <t>202510210067-Ronelle Kylene Chaneco Lim-费用报销 - 副本 - 副本 - 副本-2025-10-21 07:10:31</t>
        </is>
      </c>
      <c r="P595" t="inlineStr">
        <is>
          <t>YES</t>
        </is>
      </c>
      <c r="Q595"/>
      <c r="R595" t="inlineStr">
        <is>
          <t>YES</t>
        </is>
      </c>
      <c r="S595" t="inlineStr">
        <is>
          <t>Outsourced Host (Joe Star Scream)</t>
        </is>
      </c>
      <c r="T595">
        <v>1</v>
      </c>
      <c r="U595">
        <v>66800</v>
      </c>
      <c r="V595" t="inlineStr">
        <is>
          <t>PHP</t>
        </is>
      </c>
      <c r="W595">
        <v>66800</v>
      </c>
      <c r="X595" s="2" t="str">
        <f>=HYPERLINK("https://www.larksuite.com/approval/admin/previewAttachment?key=PMg9ikMxDATgK81Issbay2zzHia_VcCQQmcPpEj75SRyDnoWomgFtkYOpc00eiqYYFtTKoiy0edz_dft7de1Hrb2vvPofTnW-eIomUEe4RMA_37uioiqDHwdnwAAAP__", "2 attachment(s)")</f>
        <v>2 attachment(s)</v>
      </c>
      <c r="Y595" t="inlineStr">
        <is>
          <t>Bank Transfer</t>
        </is>
      </c>
      <c r="Z595" t="inlineStr">
        <is>
          <t>Carlo Patrick Torres</t>
        </is>
      </c>
      <c r="AA595" t="inlineStr">
        <is>
          <t>8249126552</t>
        </is>
      </c>
      <c r="AB595" t="inlineStr">
        <is>
          <t>BPI</t>
        </is>
      </c>
      <c r="AC595" t="inlineStr">
        <is>
          <t>L8 B5 Doña Trinidad St. Ireneville 1 Brgy. BF Homes, Sucat Parañaque City</t>
        </is>
      </c>
      <c r="AD595" s="4">
        <v>45949</v>
      </c>
      <c r="AE595" t="inlineStr">
        <is>
          <t>1st Payment - Oct. 31, 2025
Final Payment - Nov. 7, 2025</t>
        </is>
      </c>
      <c r="AF595" s="2"/>
      <c r="AG595" t="inlineStr">
        <is>
          <t>NzQyNTk5MTgyNzQ4MTg3MDM0MTo2MUE4QTY5MC00MzE0LTQyNDItQkJFMS00Njk3MDQ4NTU0N0UtMTpmZjZiNDg4NDdhNTFkMzk2NWU2ZGYxZjk0NGEwZGU2Yjox</t>
        </is>
      </c>
      <c r="AH595" t="inlineStr">
        <is>
          <t>Carlo Patrick Torres</t>
        </is>
      </c>
      <c r="AI595"/>
      <c r="AJ595" t="inlineStr">
        <is>
          <t>LIQUIDITY PLAN (PAR # 202509300084 / 2025TEG-P0216)
PROCUREMENT COST ESTIMATE TAB &gt; MARKETING / TALENT &gt;
Host
Total Remaining Budget = Php 49,950.00
Actual Cost = Php 66,800.00
Balance = (Php 16,850.00) OVER BUDGET</t>
        </is>
      </c>
      <c r="AK595"/>
    </row>
    <row r="596" ht="25.5" customHeight="1">
      <c r="A596" s="2" t="str">
        <f>=HYPERLINK("https://applink.larksuite.com/client/mini_program/open?appId=cli_9c7cc8a9a9edd105&amp;mode=appCenter&amp;path_pc=pc/pages/requested/index?instanceId=7565781704883834587&amp;source=bitable&amp;path=pages/detail/index?instanceId=7565781704883834587&amp;source=bitable", "202510270095")</f>
        <v>202510270095</v>
      </c>
      <c r="B596" t="inlineStr">
        <is>
          <t>Approved</t>
        </is>
      </c>
      <c r="C596" t="inlineStr">
        <is>
          <t>Procurement Order</t>
        </is>
      </c>
      <c r="D596" s="3">
        <v>45957.595185185186</v>
      </c>
      <c r="E596" s="3">
        <v>45957.649050925924</v>
      </c>
      <c r="F596" t="inlineStr">
        <is>
          <t>Fatima Kathleen M. FLores</t>
        </is>
      </c>
      <c r="G596" t="inlineStr">
        <is>
          <t>Procurement</t>
        </is>
      </c>
      <c r="H596"/>
      <c r="I596"/>
      <c r="J596" t="inlineStr">
        <is>
          <t>Project</t>
        </is>
      </c>
      <c r="K596" t="inlineStr">
        <is>
          <t>PDEI - Event Service</t>
        </is>
      </c>
      <c r="L596" t="inlineStr">
        <is>
          <t>Bingo Plus Panalo Caravan</t>
        </is>
      </c>
      <c r="M596" t="inlineStr">
        <is>
          <t>2025TEG-P0216</t>
        </is>
      </c>
      <c r="N596" t="inlineStr">
        <is>
          <t>Ronelle Kylene Chaneco Lim</t>
        </is>
      </c>
      <c r="O596" t="inlineStr">
        <is>
          <t>202510170017-Ronelle Kylene Chaneco Lim-费用报销 - 副本 - 副本 - 副本-2025-10-17 03:15:32</t>
        </is>
      </c>
      <c r="P596" t="inlineStr">
        <is>
          <t>YES</t>
        </is>
      </c>
      <c r="Q596"/>
      <c r="R596" t="inlineStr">
        <is>
          <t>NO</t>
        </is>
      </c>
      <c r="S596" t="inlineStr">
        <is>
          <t>Outsourced Hospitality Head (Pampanga, Caloocan &amp; Laguna)</t>
        </is>
      </c>
      <c r="T596">
        <v>1</v>
      </c>
      <c r="U596">
        <v>16700</v>
      </c>
      <c r="V596" t="inlineStr">
        <is>
          <t>PHP</t>
        </is>
      </c>
      <c r="W596">
        <v>16700</v>
      </c>
      <c r="X596" s="2" t="str">
        <f>=HYPERLINK("https://www.larksuite.com/approval/admin/previewAttachment?key=PMgxrgJhCATgKw0_AwPvMq9xs9EYK6OrBWc3sbD9sgxZYZ4Ntq2GjSJDZQKrvJxRmjUmNWRaMdtt_4cf_X7xccXhcYl5nk_7drdorQU56QXA_n7uItmdxNfxCQAA__8", "2 attachment(s)")</f>
        <v>2 attachment(s)</v>
      </c>
      <c r="Y596" t="inlineStr">
        <is>
          <t>Bank Transfer</t>
        </is>
      </c>
      <c r="Z596" t="inlineStr">
        <is>
          <t>Cloe Giether F Salitrero</t>
        </is>
      </c>
      <c r="AA596" t="inlineStr">
        <is>
          <t>0636459617</t>
        </is>
      </c>
      <c r="AB596" t="inlineStr">
        <is>
          <t>BPI</t>
        </is>
      </c>
      <c r="AC596" t="inlineStr">
        <is>
          <t>51-C Justice Lourdes Paredes San Diego Avenue Brgy Socorro QC</t>
        </is>
      </c>
      <c r="AD596" s="4">
        <v>45949</v>
      </c>
      <c r="AE596" t="inlineStr">
        <is>
          <t>100% Full Payment  - Oct. 31, 2025</t>
        </is>
      </c>
      <c r="AF596" s="2"/>
      <c r="AG596" t="inlineStr">
        <is>
          <t>NzQyNTk5MTgyNzQ4MTg3MDM0MTpFMEFFREE4RS1ERDA3LTQwRDMtQTM4MS00RUU5MUU1OEQ4QTUtMToxOGY2ZGJhOTFjZWNjZDY2ZGJmYWQzNWViODRjMDc5ZDox</t>
        </is>
      </c>
      <c r="AH596" t="inlineStr">
        <is>
          <t>Cloe Giether F Salitrero</t>
        </is>
      </c>
      <c r="AI596"/>
      <c r="AJ596" t="inlineStr">
        <is>
          <t>LIQUIDITY PLAN (PAR # 202509300084 / 2025TEG-P0216)
PROCUREMENT COST ESTIMATE TAB &gt; PROJECT PLANNING &gt;
Event Coordinator
Total Budget = Php 51,000.00
Actual Cost = Php 16,700.00
Balance = Php 34,300.00</t>
        </is>
      </c>
      <c r="AK596"/>
    </row>
    <row r="597" ht="25.5" customHeight="1">
      <c r="A597" s="2" t="str">
        <f>=HYPERLINK("https://applink.larksuite.com/client/mini_program/open?appId=cli_9c7cc8a9a9edd105&amp;mode=appCenter&amp;path_pc=pc/pages/requested/index?instanceId=7573538541729320671&amp;source=bitable&amp;path=pages/detail/index?instanceId=7573538541729320671&amp;source=bitable", "202511170014")</f>
        <v>202511170014</v>
      </c>
      <c r="B597" t="inlineStr">
        <is>
          <t>Approved</t>
        </is>
      </c>
      <c r="C597" t="inlineStr">
        <is>
          <t>Procurement Order</t>
        </is>
      </c>
      <c r="D597" s="3">
        <v>45978.49829861111</v>
      </c>
      <c r="E597" s="3">
        <v>45978.697118055556</v>
      </c>
      <c r="F597" t="inlineStr">
        <is>
          <t>Fatima Kathleen M. FLores</t>
        </is>
      </c>
      <c r="G597" t="inlineStr">
        <is>
          <t>Procurement</t>
        </is>
      </c>
      <c r="H597"/>
      <c r="I597"/>
      <c r="J597" t="inlineStr">
        <is>
          <t>Project</t>
        </is>
      </c>
      <c r="K597" t="inlineStr">
        <is>
          <t>PDEI - Event Service</t>
        </is>
      </c>
      <c r="L597" t="inlineStr">
        <is>
          <t>BPI Bankers Cup 2</t>
        </is>
      </c>
      <c r="M597" t="inlineStr">
        <is>
          <t>2025TEG-P0272</t>
        </is>
      </c>
      <c r="N597" t="inlineStr">
        <is>
          <t>Kervin</t>
        </is>
      </c>
      <c r="O597" t="inlineStr">
        <is>
          <t>202511050073-Kervin-费用报销 - 副本 - 副本 - 副本-2025-11-05 05:54:25</t>
        </is>
      </c>
      <c r="P597" t="inlineStr">
        <is>
          <t>YES</t>
        </is>
      </c>
      <c r="Q597"/>
      <c r="R597" t="inlineStr">
        <is>
          <t>NO</t>
        </is>
      </c>
      <c r="S597" t="inlineStr">
        <is>
          <t>Outsourced Referee</t>
        </is>
      </c>
      <c r="T597">
        <v>1</v>
      </c>
      <c r="U597">
        <v>3000</v>
      </c>
      <c r="V597" t="inlineStr">
        <is>
          <t>PHP</t>
        </is>
      </c>
      <c r="W597">
        <v>3000</v>
      </c>
      <c r="X597" s="2" t="str">
        <f>=HYPERLINK("https://www.larksuite.com/approval/admin/previewAttachment?key=PMgxDsJQDAPQKzmx8_3DZVhaVTAwIRV1-GdHYmB9YwbGrOBoqCMbsVxmcZbC2UwMx8oVdsNhcu2v4_7Rsy5vPHFeKq3zsR37O6qdCVPiBBC3v9OSuofwc3wDAAD__w", "2 attachment(s)")</f>
        <v>2 attachment(s)</v>
      </c>
      <c r="Y597" t="inlineStr">
        <is>
          <t>Bank Transfer</t>
        </is>
      </c>
      <c r="Z597" t="inlineStr">
        <is>
          <t>Joshua Gabriel J. Huerta</t>
        </is>
      </c>
      <c r="AA597" t="inlineStr">
        <is>
          <t>1156 1223 31</t>
        </is>
      </c>
      <c r="AB597" t="inlineStr">
        <is>
          <t>Landbank</t>
        </is>
      </c>
      <c r="AC597" t="inlineStr">
        <is>
          <t>1317c Lardizabal St. Sampaloc Manila</t>
        </is>
      </c>
      <c r="AD597" s="4">
        <v>45969</v>
      </c>
      <c r="AE597" t="inlineStr">
        <is>
          <t>100% Full Payment  - Nov. 28, 2025</t>
        </is>
      </c>
      <c r="AF597" s="2"/>
      <c r="AG597" t="inlineStr">
        <is>
          <t>NzQyNTk5MTgyNzQ4MTg3MDM0MTo1QTFFMUU5OC0yN0Y1LTQzMzItQjhBRC1GMTY4MDA0N0ZGNjgtMTpmODY0NjY0ZTc4OGRjYTVhNGQ0YzdlY2FkNjI5NzFmZjox</t>
        </is>
      </c>
      <c r="AH597" t="inlineStr">
        <is>
          <t>Joshua Gabriel J. Huerta</t>
        </is>
      </c>
      <c r="AI597"/>
      <c r="AJ597" t="inlineStr">
        <is>
          <t>"
LIQUIDITY PLAN (PAR # 202510230081 / 2025TEG-P0272)"
League Operations &gt;
Referee (November 8)
Referee (November 13)
Total Budget = Php 17,100.00
Actual Cost = Php 3,000.00
Balance = Php 14,100.00</t>
        </is>
      </c>
      <c r="AK597"/>
    </row>
    <row r="598" ht="25.5" customHeight="1">
      <c r="A598" s="2" t="str">
        <f>=HYPERLINK("https://applink.larksuite.com/client/mini_program/open?appId=cli_9c7cc8a9a9edd105&amp;mode=appCenter&amp;path_pc=pc/pages/requested/index?instanceId=7573539252387811037&amp;source=bitable&amp;path=pages/detail/index?instanceId=7573539252387811037&amp;source=bitable", "202511170015")</f>
        <v>202511170015</v>
      </c>
      <c r="B598" t="inlineStr">
        <is>
          <t>Approved</t>
        </is>
      </c>
      <c r="C598" t="inlineStr">
        <is>
          <t>Procurement Order</t>
        </is>
      </c>
      <c r="D598" s="3">
        <v>45978.50021990741</v>
      </c>
      <c r="E598" s="3">
        <v>45978.697488425925</v>
      </c>
      <c r="F598" t="inlineStr">
        <is>
          <t>Fatima Kathleen M. FLores</t>
        </is>
      </c>
      <c r="G598" t="inlineStr">
        <is>
          <t>Procurement</t>
        </is>
      </c>
      <c r="H598"/>
      <c r="I598"/>
      <c r="J598" t="inlineStr">
        <is>
          <t>Project</t>
        </is>
      </c>
      <c r="K598" t="inlineStr">
        <is>
          <t>PDEI - Event Service</t>
        </is>
      </c>
      <c r="L598" t="inlineStr">
        <is>
          <t>BPI Bankers Cup 2</t>
        </is>
      </c>
      <c r="M598" t="inlineStr">
        <is>
          <t>2025TEG-P0272</t>
        </is>
      </c>
      <c r="N598" t="inlineStr">
        <is>
          <t>Kervin</t>
        </is>
      </c>
      <c r="O598" t="inlineStr">
        <is>
          <t>202511050073-Kervin-费用报销 - 副本 - 副本 - 副本-2025-11-05 05:54:25</t>
        </is>
      </c>
      <c r="P598" t="inlineStr">
        <is>
          <t>YES</t>
        </is>
      </c>
      <c r="Q598"/>
      <c r="R598" t="inlineStr">
        <is>
          <t>NO</t>
        </is>
      </c>
      <c r="S598" t="inlineStr">
        <is>
          <t>Outsourced Referee</t>
        </is>
      </c>
      <c r="T598">
        <v>1</v>
      </c>
      <c r="U598">
        <v>3000</v>
      </c>
      <c r="V598" t="inlineStr">
        <is>
          <t>PHP</t>
        </is>
      </c>
      <c r="W598">
        <v>3000</v>
      </c>
      <c r="X598" s="2" t="str">
        <f>=HYPERLINK("https://www.larksuite.com/approval/admin/previewAttachment?key=PMgxrgIxDATQK3k8dsb-l_lNohUS2m0QUOXsSBS0bxRsVIKjLRrehq0Uk-3pLBVg1PYNqU0Qudd5_C_mE7jOfM-6X3O_bvNYD2TL3cQIlpnh7-dURHSPsK_bJwAA__8", "2 attachment(s)")</f>
        <v>2 attachment(s)</v>
      </c>
      <c r="Y598" t="inlineStr">
        <is>
          <t>Bank Transfer</t>
        </is>
      </c>
      <c r="Z598" t="inlineStr">
        <is>
          <t>JOHN JOSEPH SANCHEZ</t>
        </is>
      </c>
      <c r="AA598" t="inlineStr">
        <is>
          <t>2487023763</t>
        </is>
      </c>
      <c r="AB598" t="inlineStr">
        <is>
          <t>Landbank</t>
        </is>
      </c>
      <c r="AC598" t="inlineStr">
        <is>
          <t>Certeza St. Beata Pandacan, Manila</t>
        </is>
      </c>
      <c r="AD598" s="4">
        <v>45969</v>
      </c>
      <c r="AE598" t="inlineStr">
        <is>
          <t>100% Full Payment  - Nov. 28, 2025</t>
        </is>
      </c>
      <c r="AF598" s="2"/>
      <c r="AG598" t="inlineStr">
        <is>
          <t>NzQyNTk5MTgyNzQ4MTg3MDM0MToxNTZEM0YxOC05NTNDLTRBNzktQkM1NS05NzhEOEZFMEZBMzEtMTo4MTJjYWE3ZTY4YmVlNDRlNDdmMmE4ZGQ5NGIwZjMyNzox</t>
        </is>
      </c>
      <c r="AH598" t="inlineStr">
        <is>
          <t>JOHN JOSEPH SANCHEZ</t>
        </is>
      </c>
      <c r="AI598"/>
      <c r="AJ598" t="inlineStr">
        <is>
          <t>LIQUIDITY PLAN (PAR # 202510230081 / 2025TEG-P0272)
League Operations &gt;
Referee (November 8)
Referee (November 13)
Total Remaining Budget = Php 14,100.00
Actual Cost = Php 3,000.00
Balance = Php 11,100.00</t>
        </is>
      </c>
      <c r="AK598"/>
    </row>
    <row r="599" ht="25.5" customHeight="1">
      <c r="A599" s="2" t="str">
        <f>=HYPERLINK("https://applink.larksuite.com/client/mini_program/open?appId=cli_9c7cc8a9a9edd105&amp;mode=appCenter&amp;path_pc=pc/pages/requested/index?instanceId=7573539914583690973&amp;source=bitable&amp;path=pages/detail/index?instanceId=7573539914583690973&amp;source=bitable", "202511170017")</f>
        <v>202511170017</v>
      </c>
      <c r="B599" t="inlineStr">
        <is>
          <t>Approved</t>
        </is>
      </c>
      <c r="C599" t="inlineStr">
        <is>
          <t>Procurement Order</t>
        </is>
      </c>
      <c r="D599" s="3">
        <v>45978.50200231482</v>
      </c>
      <c r="E599" s="3">
        <v>45978.70068287037</v>
      </c>
      <c r="F599" t="inlineStr">
        <is>
          <t>Fatima Kathleen M. FLores</t>
        </is>
      </c>
      <c r="G599" t="inlineStr">
        <is>
          <t>Procurement</t>
        </is>
      </c>
      <c r="H599"/>
      <c r="I599"/>
      <c r="J599" t="inlineStr">
        <is>
          <t>Project</t>
        </is>
      </c>
      <c r="K599" t="inlineStr">
        <is>
          <t>PDEI - Event Service</t>
        </is>
      </c>
      <c r="L599" t="inlineStr">
        <is>
          <t>BPI Bankers Cup 2</t>
        </is>
      </c>
      <c r="M599" t="inlineStr">
        <is>
          <t>2025TEG-P0272</t>
        </is>
      </c>
      <c r="N599" t="inlineStr">
        <is>
          <t>Kervin</t>
        </is>
      </c>
      <c r="O599" t="inlineStr">
        <is>
          <t>202511050073-Kervin-费用报销 - 副本 - 副本 - 副本-2025-11-05 05:54:25</t>
        </is>
      </c>
      <c r="P599" t="inlineStr">
        <is>
          <t>YES</t>
        </is>
      </c>
      <c r="Q599"/>
      <c r="R599" t="inlineStr">
        <is>
          <t>NO</t>
        </is>
      </c>
      <c r="S599" t="inlineStr">
        <is>
          <t>Outsourced Referee</t>
        </is>
      </c>
      <c r="T599">
        <v>1</v>
      </c>
      <c r="U599">
        <v>3000</v>
      </c>
      <c r="V599" t="inlineStr">
        <is>
          <t>PHP</t>
        </is>
      </c>
      <c r="W599">
        <v>3000</v>
      </c>
      <c r="X599" s="2" t="str">
        <f>=HYPERLINK("https://www.larksuite.com/approval/admin/previewAttachment?key=PMhNCgIxDAXgKyV9aV-el3FjGQR_GBCLm5xddDHbb6TbyO4YspA3mRc70SF59Py5iGrlpIxOoOZjO9_afWVi39fzPeen1vWyzZd3sTUjIpBm5qfDwYiQRtjf7RsAAP__", "2 attachment(s)")</f>
        <v>2 attachment(s)</v>
      </c>
      <c r="Y599" t="inlineStr">
        <is>
          <t>Bank Transfer</t>
        </is>
      </c>
      <c r="Z599" t="inlineStr">
        <is>
          <t>Jean Francois Dominique Galvez</t>
        </is>
      </c>
      <c r="AA599" t="inlineStr">
        <is>
          <t>09157822237</t>
        </is>
      </c>
      <c r="AB599" t="inlineStr">
        <is>
          <t>GCash</t>
        </is>
      </c>
      <c r="AC599" t="inlineStr">
        <is>
          <t>3b Grace St. Camella Homes, Pilar Village, Las Piñas City</t>
        </is>
      </c>
      <c r="AD599" s="4">
        <v>45969</v>
      </c>
      <c r="AE599" t="inlineStr">
        <is>
          <t>100% Full Payment  - Nov. 28, 2025</t>
        </is>
      </c>
      <c r="AF599" s="2"/>
      <c r="AG599" t="inlineStr">
        <is>
          <t>NzQyNTk5MTgyNzQ4MTg3MDM0MTpCMEQ1MjhCNS1DOUExLTQzQzctQkFCMS02QTI2QTU4RjdGNTQtMTowMzZkOWZmZDdkNjFjMmY3MzBmMzQxNGFmMjc3ZmI2Mzox</t>
        </is>
      </c>
      <c r="AH599" t="inlineStr">
        <is>
          <t>Jean Francois Dominique Galvez</t>
        </is>
      </c>
      <c r="AI599"/>
      <c r="AJ599" t="inlineStr">
        <is>
          <t>LIQUIDITY PLAN (PAR # 202510230081 / 2025TEG-P0272)
League Operations &gt;
Referee (November 8)
Referee (November 13)
Total Remaining Budget = Php 11,100.00
Actual Cost = Php 3,000.00
Balance = Php 11,100.008</t>
        </is>
      </c>
      <c r="AK599"/>
    </row>
    <row r="600" ht="25.5" customHeight="1">
      <c r="A600" s="2" t="str">
        <f>=HYPERLINK("https://applink.larksuite.com/client/mini_program/open?appId=cli_9c7cc8a9a9edd105&amp;mode=appCenter&amp;path_pc=pc/pages/requested/index?instanceId=7573542149812129503&amp;source=bitable&amp;path=pages/detail/index?instanceId=7573542149812129503&amp;source=bitable", "202511170018")</f>
        <v>202511170018</v>
      </c>
      <c r="B600" t="inlineStr">
        <is>
          <t>Approved</t>
        </is>
      </c>
      <c r="C600" t="inlineStr">
        <is>
          <t>Procurement Order</t>
        </is>
      </c>
      <c r="D600" s="3">
        <v>45978.50802083333</v>
      </c>
      <c r="E600" s="3">
        <v>45978.70292824074</v>
      </c>
      <c r="F600" t="inlineStr">
        <is>
          <t>Fatima Kathleen M. FLores</t>
        </is>
      </c>
      <c r="G600" t="inlineStr">
        <is>
          <t>Procurement</t>
        </is>
      </c>
      <c r="H600"/>
      <c r="I600"/>
      <c r="J600" t="inlineStr">
        <is>
          <t>Project</t>
        </is>
      </c>
      <c r="K600" t="inlineStr">
        <is>
          <t>PDEI - Event Service</t>
        </is>
      </c>
      <c r="L600" t="inlineStr">
        <is>
          <t>BPI Bankers Cup 2</t>
        </is>
      </c>
      <c r="M600" t="inlineStr">
        <is>
          <t>2025TEG-P0272</t>
        </is>
      </c>
      <c r="N600" t="inlineStr">
        <is>
          <t>Kervin</t>
        </is>
      </c>
      <c r="O600" t="inlineStr">
        <is>
          <t>202511060021-Kervin-费用报销 - 副本 - 副本 - 副本-2025-11-06 03:29:54</t>
        </is>
      </c>
      <c r="P600" t="inlineStr">
        <is>
          <t>YES</t>
        </is>
      </c>
      <c r="Q600"/>
      <c r="R600" t="inlineStr">
        <is>
          <t>NO</t>
        </is>
      </c>
      <c r="S600" t="inlineStr">
        <is>
          <t>Outsourced Project Manager</t>
        </is>
      </c>
      <c r="T600">
        <v>1</v>
      </c>
      <c r="U600">
        <v>10000</v>
      </c>
      <c r="V600" t="inlineStr">
        <is>
          <t>PHP</t>
        </is>
      </c>
      <c r="W600">
        <v>10000</v>
      </c>
      <c r="X600" s="2" t="str">
        <f>=HYPERLINK("https://www.larksuite.com/approval/admin/previewAttachment?key=PMgxDsIwFAPQK9nfP_kxl2FpFSGhdkHAlLMjMXR9fRB9NKobaYbBVa3UMpgeDIYbtGKxyiiWtPZj3qHvfNvS-dyOPNfnsc39xeaKQClTAwBvl6sy0-6Jv-MXAAD__w", "2 attachment(s)")</f>
        <v>2 attachment(s)</v>
      </c>
      <c r="Y600" t="inlineStr">
        <is>
          <t>Bank Transfer</t>
        </is>
      </c>
      <c r="Z600" t="inlineStr">
        <is>
          <t>Jose Miguel Gatchalian</t>
        </is>
      </c>
      <c r="AA600" t="inlineStr">
        <is>
          <t>0586865032</t>
        </is>
      </c>
      <c r="AB600" t="inlineStr">
        <is>
          <t>BPI</t>
        </is>
      </c>
      <c r="AC600" t="inlineStr">
        <is>
          <t>#4 Edinburg Street, Greenland Phase 1, Nangka, Marikina City</t>
        </is>
      </c>
      <c r="AD600" s="4">
        <v>45969</v>
      </c>
      <c r="AE600" t="inlineStr">
        <is>
          <t>100% Full Payment  - Nov. 28, 2025</t>
        </is>
      </c>
      <c r="AF600" s="2"/>
      <c r="AG600" t="inlineStr">
        <is>
          <t>NzQyNTk5MTgyNzQ4MTg3MDM0MTpGMkM0NUI1Ny03Nzk1LTRGNDItOUJBMi1ENzFCQUU2MTg1MkUtMToxZGVjN2VmODdlNTk3NGY5YjA1MWRlYTk3OTI1YjY4OTox</t>
        </is>
      </c>
      <c r="AH600" t="inlineStr">
        <is>
          <t>Jose Miguel Gatchalian</t>
        </is>
      </c>
      <c r="AI600"/>
      <c r="AJ600" t="inlineStr">
        <is>
          <t>LIQUIDITY PLAN (PAR # 202510230081 / 2025TEG-P0272)
Management &gt; Project Manager
Total Budget = Php 20,000.00
Actual Cost = Php 10,000.00
Balance = Php 10,000.00</t>
        </is>
      </c>
      <c r="AK600"/>
    </row>
    <row r="601" ht="25.5" customHeight="1">
      <c r="A601" s="2" t="str">
        <f>=HYPERLINK("https://applink.larksuite.com/client/mini_program/open?appId=cli_9c7cc8a9a9edd105&amp;mode=appCenter&amp;path_pc=pc/pages/requested/index?instanceId=7573543176414170843&amp;source=bitable&amp;path=pages/detail/index?instanceId=7573543176414170843&amp;source=bitable", "202511170021")</f>
        <v>202511170021</v>
      </c>
      <c r="B601" t="inlineStr">
        <is>
          <t>Approved</t>
        </is>
      </c>
      <c r="C601" t="inlineStr">
        <is>
          <t>Procurement Order</t>
        </is>
      </c>
      <c r="D601" s="3">
        <v>45978.510787037034</v>
      </c>
      <c r="E601" s="3">
        <v>45978.70576388889</v>
      </c>
      <c r="F601" t="inlineStr">
        <is>
          <t>Fatima Kathleen M. FLores</t>
        </is>
      </c>
      <c r="G601" t="inlineStr">
        <is>
          <t>Procurement</t>
        </is>
      </c>
      <c r="H601"/>
      <c r="I601"/>
      <c r="J601" t="inlineStr">
        <is>
          <t>Project</t>
        </is>
      </c>
      <c r="K601" t="inlineStr">
        <is>
          <t>PDEI - Event Service</t>
        </is>
      </c>
      <c r="L601" t="inlineStr">
        <is>
          <t>BPI Bankers Cup 2</t>
        </is>
      </c>
      <c r="M601" t="inlineStr">
        <is>
          <t>2025TEG-P0272</t>
        </is>
      </c>
      <c r="N601" t="inlineStr">
        <is>
          <t>Kervin</t>
        </is>
      </c>
      <c r="O601" t="inlineStr">
        <is>
          <t>202511050073-Kervin-费用报销 - 副本 - 副本 - 副本-2025-11-05 05:54:25</t>
        </is>
      </c>
      <c r="P601" t="inlineStr">
        <is>
          <t>YES</t>
        </is>
      </c>
      <c r="Q601"/>
      <c r="R601" t="inlineStr">
        <is>
          <t>NO</t>
        </is>
      </c>
      <c r="S601" t="inlineStr">
        <is>
          <t>Outsourced Head of League Operations</t>
        </is>
      </c>
      <c r="T601">
        <v>1</v>
      </c>
      <c r="U601">
        <v>5600</v>
      </c>
      <c r="V601" t="inlineStr">
        <is>
          <t>PHP</t>
        </is>
      </c>
      <c r="W601">
        <v>5600</v>
      </c>
      <c r="X601" s="2" t="str">
        <f>=HYPERLINK("https://www.larksuite.com/approval/admin/previewAttachment?key=PMg7DgIxEAPQK9kZJ85wGZqNVvxSIVZQ5OxIFLSvdaL1ymgJJUuCy9VRFXQTRaMrVlm0E6Yj1pj7-X27frbxqPdtztfBdVy2fTxZ06XAIUUHwNPfw5Iym_BzfAMAAP__", "2 attachment(s)")</f>
        <v>2 attachment(s)</v>
      </c>
      <c r="Y601" t="inlineStr">
        <is>
          <t>Bank Transfer</t>
        </is>
      </c>
      <c r="Z601" t="inlineStr">
        <is>
          <t>Wilbert Rysher Dela Cruz Manabat</t>
        </is>
      </c>
      <c r="AA601" t="inlineStr">
        <is>
          <t>1093-2482-8669</t>
        </is>
      </c>
      <c r="AB601" t="inlineStr">
        <is>
          <t>UnionBank</t>
        </is>
      </c>
      <c r="AC601" t="inlineStr">
        <is>
          <t>1277-B Kagitingan St. Morga EXT. Tondo, Manila</t>
        </is>
      </c>
      <c r="AD601" s="4">
        <v>45967</v>
      </c>
      <c r="AE601" t="inlineStr">
        <is>
          <t>100% Full Payment  - Nov. 28, 2025</t>
        </is>
      </c>
      <c r="AF601" s="2"/>
      <c r="AG601" t="inlineStr">
        <is>
          <t>NzQyNTk5MTgyNzQ4MTg3MDM0MTpEMDlGQ0NGNC03OTM3LTRFQ0QtOUU3Qi1DMTAwQzAzQUYwOUItMTo4YTdjYjI0MmRhZjhkZDdiZjkxZjQ5Mzg1M2FlNmY3Zjox</t>
        </is>
      </c>
      <c r="AH601" t="inlineStr">
        <is>
          <t>Wilbert Rysher Dela Cruz Manabat</t>
        </is>
      </c>
      <c r="AI601"/>
      <c r="AJ601" t="inlineStr">
        <is>
          <t>LIQUIDITY PLAN (PAR # 202510230081 / 2025TEG-P0272)
League Operations &gt;
Referee (November 8)
Referee (November 13)
Total Remaining Budget = Php 8,100.00
Actual Cost = Php 5,600.00
Balance = Php 2,500.00</t>
        </is>
      </c>
      <c r="AK601"/>
    </row>
    <row r="602" ht="25.5" customHeight="1">
      <c r="A602" s="2" t="str">
        <f>=HYPERLINK("https://applink.larksuite.com/client/mini_program/open?appId=cli_9c7cc8a9a9edd105&amp;mode=appCenter&amp;path_pc=pc/pages/requested/index?instanceId=7573547337100840672&amp;source=bitable&amp;path=pages/detail/index?instanceId=7573547337100840672&amp;source=bitable", "202511170026")</f>
        <v>202511170026</v>
      </c>
      <c r="B602" t="inlineStr">
        <is>
          <t>Approved</t>
        </is>
      </c>
      <c r="C602" t="inlineStr">
        <is>
          <t>Procurement Order</t>
        </is>
      </c>
      <c r="D602" s="3">
        <v>45978.522002314814</v>
      </c>
      <c r="E602" s="3">
        <v>45978.72789351852</v>
      </c>
      <c r="F602" t="inlineStr">
        <is>
          <t>Fatima Kathleen M. FLores</t>
        </is>
      </c>
      <c r="G602" t="inlineStr">
        <is>
          <t>Procurement</t>
        </is>
      </c>
      <c r="H602"/>
      <c r="I602"/>
      <c r="J602" t="inlineStr">
        <is>
          <t>Project</t>
        </is>
      </c>
      <c r="K602" t="inlineStr">
        <is>
          <t>PDEI - Game Marketing</t>
        </is>
      </c>
      <c r="L602" t="inlineStr">
        <is>
          <t>CCAP MLBB 2025</t>
        </is>
      </c>
      <c r="M602" t="inlineStr">
        <is>
          <t>2025TEG-P0121</t>
        </is>
      </c>
      <c r="N602" t="inlineStr">
        <is>
          <t>Maura Aurel Atilano Yap</t>
        </is>
      </c>
      <c r="O602" t="inlineStr">
        <is>
          <t>202511050082-Maura Aurel Atilano Yap-费用报销 - 副本 - 副本 - 副本-2025-11-05 06:23:38</t>
        </is>
      </c>
      <c r="P602" t="inlineStr">
        <is>
          <t>YES</t>
        </is>
      </c>
      <c r="Q602"/>
      <c r="R602" t="inlineStr">
        <is>
          <t>NO</t>
        </is>
      </c>
      <c r="S602" t="inlineStr">
        <is>
          <t>Outsourced Head of League Operations</t>
        </is>
      </c>
      <c r="T602">
        <v>1</v>
      </c>
      <c r="U602">
        <v>20000</v>
      </c>
      <c r="V602" t="inlineStr">
        <is>
          <t>PHP</t>
        </is>
      </c>
      <c r="W602">
        <v>20000</v>
      </c>
      <c r="X602" s="2" t="str">
        <f>=HYPERLINK("https://www.larksuite.com/approval/admin/previewAttachment?key=PMhNCsJADAXgK738TF7iZdxMKYJVCjLucnbBRbdfpCByiEXBS7QgzUEbTjMKkI6gtraQBQrNenvt97l0nnUeK-t4vrW_j7lvHxlFVdDcLQHI7XKju1eF4-_4BQAA__8", "2 attachment(s)")</f>
        <v>2 attachment(s)</v>
      </c>
      <c r="Y602" t="inlineStr">
        <is>
          <t>Bank Transfer</t>
        </is>
      </c>
      <c r="Z602" t="inlineStr">
        <is>
          <t>Arlo Reymon Guillermo</t>
        </is>
      </c>
      <c r="AA602" t="inlineStr">
        <is>
          <t>109485679446</t>
        </is>
      </c>
      <c r="AB602" t="inlineStr">
        <is>
          <t>Unionbank</t>
        </is>
      </c>
      <c r="AC602" t="inlineStr">
        <is>
          <t>1346 Maria Natividad St., Sta Cruz, Manila</t>
        </is>
      </c>
      <c r="AD602" s="4">
        <v>45971</v>
      </c>
      <c r="AE602" t="inlineStr">
        <is>
          <t>1st Payment - Dec. 19, 2025
Final Payment - Feb. 13, 2025</t>
        </is>
      </c>
      <c r="AF602" s="2"/>
      <c r="AG602" t="inlineStr">
        <is>
          <t>NzQyNTk5MTgyNzQ4MTg3MDM0MTpEQTQ0RTJFMC1GMkUyLTQ4Q0EtOEFFNi0xM0Q3OTU1NTg0NkQtMTpiZGIwMWU1YjM4MzFkMmZlNmE3NGE4ZmI4ZmUzNDRkMzox</t>
        </is>
      </c>
      <c r="AH602" t="inlineStr">
        <is>
          <t>Arlo Reymon Guillermo</t>
        </is>
      </c>
      <c r="AI602"/>
      <c r="AJ602" t="inlineStr">
        <is>
          <t>LIQUIDITY PLAN (PAR # 202508120030 / 2025TEG-P0121)
LEAGUE OPS &gt;
Head Referee
Head Referee
Total Budget = Php 22,500.00
Actual Cost = Php 20,000.00
Balance = Php 2,500.00</t>
        </is>
      </c>
      <c r="AK602"/>
    </row>
    <row r="603" ht="25.5" customHeight="1">
      <c r="A603" s="2" t="str">
        <f>=HYPERLINK("https://applink.larksuite.com/client/mini_program/open?appId=cli_9c7cc8a9a9edd105&amp;mode=appCenter&amp;path_pc=pc/pages/requested/index?instanceId=7573576620338843362&amp;source=bitable&amp;path=pages/detail/index?instanceId=7573576620338843362&amp;source=bitable", "202511170045")</f>
        <v>202511170045</v>
      </c>
      <c r="B603" t="inlineStr">
        <is>
          <t>Approved</t>
        </is>
      </c>
      <c r="C603" t="inlineStr">
        <is>
          <t>Procurement Order</t>
        </is>
      </c>
      <c r="D603" s="3">
        <v>45978.60091435185</v>
      </c>
      <c r="E603" s="3">
        <v>45978.63731481481</v>
      </c>
      <c r="F603" t="inlineStr">
        <is>
          <t>Fatima Kathleen M. FLores</t>
        </is>
      </c>
      <c r="G603" t="inlineStr">
        <is>
          <t>Procurement</t>
        </is>
      </c>
      <c r="H603"/>
      <c r="I603"/>
      <c r="J603" t="inlineStr">
        <is>
          <t>CAPEX</t>
        </is>
      </c>
      <c r="K603"/>
      <c r="L603"/>
      <c r="M603"/>
      <c r="N603"/>
      <c r="O603" t="inlineStr">
        <is>
          <t>202511140039-Carla Andrea Calma Crespo-费用报销 - 副本 - 副本 - 副本-2025-11-14 05:13:28</t>
        </is>
      </c>
      <c r="P603"/>
      <c r="Q603" t="inlineStr">
        <is>
          <t>Project Management</t>
        </is>
      </c>
      <c r="R603"/>
      <c r="S603" t="inlineStr">
        <is>
          <t>SHURE BLX288A/SM58 (DUAL WIRELESS MIC. SYS.) (by set)</t>
        </is>
      </c>
      <c r="T603">
        <v>4</v>
      </c>
      <c r="U603">
        <v>45800</v>
      </c>
      <c r="V603" t="inlineStr">
        <is>
          <t>PHP</t>
        </is>
      </c>
      <c r="W603">
        <v>183200</v>
      </c>
      <c r="X603" s="2" t="str">
        <f>=HYPERLINK("https://www.larksuite.com/approval/admin/previewAttachment?key=PMgxCgJBDAXQK_3kZ_InXsbGYRFxK3Fli5xdsLB9OQ05hzELUeYFaw1xKNNBzhlkenubVJCJ7LVv1_2Ef-r5Ps6ltR593G_betkouUOM4ARgl79TEVGVgZ_jGwAA__8", "2 attachment(s)")</f>
        <v>2 attachment(s)</v>
      </c>
      <c r="Y603" t="inlineStr">
        <is>
          <t>Bank Transfer</t>
        </is>
      </c>
      <c r="Z603" t="inlineStr">
        <is>
          <t>Audiophile Components Inc.</t>
        </is>
      </c>
      <c r="AA603" t="inlineStr">
        <is>
          <t>4971-0015-05</t>
        </is>
      </c>
      <c r="AB603" t="inlineStr">
        <is>
          <t>BPI</t>
        </is>
      </c>
      <c r="AC603" t="inlineStr">
        <is>
          <t>SM Megamall Branch, Mandaluyong City</t>
        </is>
      </c>
      <c r="AD603" s="4">
        <v>45978</v>
      </c>
      <c r="AE603" t="inlineStr">
        <is>
          <t>100% Full Payment before pick-up</t>
        </is>
      </c>
      <c r="AF603" s="2"/>
      <c r="AG603" t="inlineStr">
        <is>
          <t>NzQyNTk5MTgyNzQ4MTg3MDM0MTpCNkEwRjhDQy0xMDU4LTRCNEMtOERCQi1ENzI4OTJDRUI0NUItMTo1MWE1OGE5NzYwNjIwZWZlZGUyY2RmOTEyMzg5ODYyYzox</t>
        </is>
      </c>
      <c r="AH603" t="inlineStr">
        <is>
          <t>Audiophile Components Inc.</t>
        </is>
      </c>
      <c r="AI603"/>
      <c r="AJ603"/>
      <c r="AK603"/>
    </row>
    <row r="604" ht="25.5" customHeight="1">
      <c r="A604" s="2" t="str">
        <f>=HYPERLINK("https://applink.larksuite.com/client/mini_program/open?appId=cli_9c7cc8a9a9edd105&amp;mode=appCenter&amp;path_pc=pc/pages/requested/index?instanceId=7573577775739604702&amp;source=bitable&amp;path=pages/detail/index?instanceId=7573577775739604702&amp;source=bitable", "202511170046")</f>
        <v>202511170046</v>
      </c>
      <c r="B604" t="inlineStr">
        <is>
          <t>Approved</t>
        </is>
      </c>
      <c r="C604" t="inlineStr">
        <is>
          <t>Procurement Order</t>
        </is>
      </c>
      <c r="D604" s="3">
        <v>45978.60402777778</v>
      </c>
      <c r="E604" s="3">
        <v>45978.63715277778</v>
      </c>
      <c r="F604" t="inlineStr">
        <is>
          <t>Fatima Kathleen M. FLores</t>
        </is>
      </c>
      <c r="G604" t="inlineStr">
        <is>
          <t>Procurement</t>
        </is>
      </c>
      <c r="H604"/>
      <c r="I604"/>
      <c r="J604" t="inlineStr">
        <is>
          <t>CAPEX</t>
        </is>
      </c>
      <c r="K604"/>
      <c r="L604"/>
      <c r="M604"/>
      <c r="N604"/>
      <c r="O604" t="inlineStr">
        <is>
          <t>202511150003-Carla Andrea Calma Crespo-费用报销 - 副本 - 副本 - 副本-2025-11-15 02:31:16</t>
        </is>
      </c>
      <c r="P604"/>
      <c r="Q604" t="inlineStr">
        <is>
          <t>Broadcast</t>
        </is>
      </c>
      <c r="R604"/>
      <c r="S604" t="inlineStr">
        <is>
          <t>BaoFeng UV-5R (Single) Walkie-Talkie Dual-Band VHF/UHF Transceiver 5W PC Programmable Two-Way Radio</t>
        </is>
      </c>
      <c r="T604">
        <v>10</v>
      </c>
      <c r="U604">
        <v>798</v>
      </c>
      <c r="V604" t="inlineStr">
        <is>
          <t>PHP</t>
        </is>
      </c>
      <c r="W604">
        <v>7980</v>
      </c>
      <c r="X604" s="2" t="str">
        <f>=HYPERLINK("https://www.larksuite.com/approval/admin/previewAttachment?key=PMhBCsJADAXQK_2fZPInXsZNSxFkQBDaVc4uunD14OUkcg56FqJoBbaGfEj6WokQrK0pFUS5976OO3U9a7vI11qnrz4f27G_OUpmkEf4BMDb_10RUZWB3-MTAAD__w", "2 attachment(s)")</f>
        <v>2 attachment(s)</v>
      </c>
      <c r="Y604" t="inlineStr">
        <is>
          <t>Bank Transfer</t>
        </is>
      </c>
      <c r="Z604" t="inlineStr">
        <is>
          <t>O&amp;J Global Trading</t>
        </is>
      </c>
      <c r="AA604" t="inlineStr">
        <is>
          <t>00 444 802 7346</t>
        </is>
      </c>
      <c r="AB604" t="inlineStr">
        <is>
          <t>BDO</t>
        </is>
      </c>
      <c r="AC604" t="inlineStr">
        <is>
          <t>3F Annapolis Tower, 43 Annapolis St., Greenhills, San Juan City</t>
        </is>
      </c>
      <c r="AD604" s="4">
        <v>45978</v>
      </c>
      <c r="AE604" t="inlineStr">
        <is>
          <t>100% Full Payment before delivery / pick-up.</t>
        </is>
      </c>
      <c r="AF604" s="2"/>
      <c r="AG604" t="inlineStr">
        <is>
          <t>NzQyNTk5MTgyNzQ4MTg3MDM0MToxQjM0NzE4Ri02OTI3LTRBNTktQTE4NC02QTE0RjlCMjAyMkItMTphMjU5NDA0OGU0OGU0YWI4NGJkZmFhZTRiMzJmMGVkNTox</t>
        </is>
      </c>
      <c r="AH604" t="inlineStr">
        <is>
          <t>O&amp;J Global Trading</t>
        </is>
      </c>
      <c r="AI604"/>
      <c r="AJ604"/>
      <c r="AK604"/>
    </row>
    <row r="605" ht="25.5" customHeight="1">
      <c r="A605" s="2" t="str">
        <f>=HYPERLINK("https://applink.larksuite.com/client/mini_program/open?appId=cli_9c7cc8a9a9edd105&amp;mode=appCenter&amp;path_pc=pc/pages/requested/index?instanceId=7573548429662506722&amp;source=bitable&amp;path=pages/detail/index?instanceId=7573548429662506722&amp;source=bitable", "202511170028")</f>
        <v>202511170028</v>
      </c>
      <c r="B605" t="inlineStr">
        <is>
          <t>Approved</t>
        </is>
      </c>
      <c r="C605" t="inlineStr">
        <is>
          <t>Procurement Order</t>
        </is>
      </c>
      <c r="D605" s="3">
        <v>45978.52494212963</v>
      </c>
      <c r="E605" s="3">
        <v>45986.784166666665</v>
      </c>
      <c r="F605" t="inlineStr">
        <is>
          <t>Fatima Kathleen M. FLores</t>
        </is>
      </c>
      <c r="G605" t="inlineStr">
        <is>
          <t>Procurement</t>
        </is>
      </c>
      <c r="H605"/>
      <c r="I605"/>
      <c r="J605" t="inlineStr">
        <is>
          <t>Project</t>
        </is>
      </c>
      <c r="K605" t="inlineStr">
        <is>
          <t>PDEI - Event Service</t>
        </is>
      </c>
      <c r="L605" t="inlineStr">
        <is>
          <t>CCAP MLBB 2025</t>
        </is>
      </c>
      <c r="M605" t="inlineStr">
        <is>
          <t>2025TEG-P0121</t>
        </is>
      </c>
      <c r="N605" t="inlineStr">
        <is>
          <t>Maura Aurel Atilano Yap</t>
        </is>
      </c>
      <c r="O605" t="inlineStr">
        <is>
          <t>202511030091-Maura Aurel Atilano Yap-费用报销 - 副本 - 副本 - 副本-2025-11-03 07:24:52</t>
        </is>
      </c>
      <c r="P605" t="inlineStr">
        <is>
          <t>YES</t>
        </is>
      </c>
      <c r="Q605"/>
      <c r="R605" t="inlineStr">
        <is>
          <t>YES</t>
        </is>
      </c>
      <c r="S605" t="inlineStr">
        <is>
          <t>Outsourced Scriptwriter</t>
        </is>
      </c>
      <c r="T605">
        <v>1</v>
      </c>
      <c r="U605">
        <v>8000</v>
      </c>
      <c r="V605" t="inlineStr">
        <is>
          <t>PHP</t>
        </is>
      </c>
      <c r="W605">
        <v>8000</v>
      </c>
      <c r="X605" s="2" t="str">
        <f>=HYPERLINK("https://www.larksuite.com/approval/admin/previewAttachment?key=PMgxjkIxDATQK43tiSfey2xDFAFSfoPgiyJnR6KgfdkN2ZtFFljmBdtqisZOr0xvSLlv3yYVZIrYY83_5_u26ryveZzjcO7X9TLHw1rJHQoyOgD7-3mIZFUSX8cnAAD__w", "2 attachment(s)")</f>
        <v>2 attachment(s)</v>
      </c>
      <c r="Y605" t="inlineStr">
        <is>
          <t>Bank Transfer</t>
        </is>
      </c>
      <c r="Z605" t="inlineStr">
        <is>
          <t>Jessamine Elise C. Sagcal</t>
        </is>
      </c>
      <c r="AA605" t="inlineStr">
        <is>
          <t>2679-1185-63</t>
        </is>
      </c>
      <c r="AB605" t="inlineStr">
        <is>
          <t>BPI</t>
        </is>
      </c>
      <c r="AC605" t="inlineStr">
        <is>
          <t>30 TLR Town Homes, Fast Track St., Moonwalk, Paranaque</t>
        </is>
      </c>
      <c r="AD605" s="4">
        <v>45965</v>
      </c>
      <c r="AE605" t="inlineStr">
        <is>
          <t>100% Full Payment - Feb. 13, 2026</t>
        </is>
      </c>
      <c r="AF605" s="2"/>
      <c r="AG605" t="inlineStr">
        <is>
          <t>NzQyNTk5MTgyNzQ4MTg3MDM0MTowMzE1QjExMC05QjI2LTQ1NjktQjgzOS02MEFGMjA1RTU4RjktMTo2YTA5YmUzNTNhOGIzYmZjZjJhYjU2YzQxMzlmYTExZTox</t>
        </is>
      </c>
      <c r="AH605" t="inlineStr">
        <is>
          <t>Jessamine Elise C. Sagcal</t>
        </is>
      </c>
      <c r="AI605"/>
      <c r="AJ605" t="inlineStr">
        <is>
          <t>LIQUIDITY PLAN (PAR # 202508120030 / 2025TEG-P0121)
BROADCAST &gt; Scriptwriter
Total Budget = Php 5,000.00
Actual Cost = Php 8,000.00
Balance = (Php 3,000.00) OVER BUDGET</t>
        </is>
      </c>
      <c r="AK605"/>
    </row>
    <row r="606" ht="25.5" customHeight="1">
      <c r="A606" s="2" t="str">
        <f>=HYPERLINK("https://applink.larksuite.com/client/mini_program/open?appId=cli_9c7cc8a9a9edd105&amp;mode=appCenter&amp;path_pc=pc/pages/requested/index?instanceId=7569095237633642208&amp;source=bitable&amp;path=pages/detail/index?instanceId=7569095237633642208&amp;source=bitable", "202511050055")</f>
        <v>202511050055</v>
      </c>
      <c r="B606" t="inlineStr">
        <is>
          <t>Approved</t>
        </is>
      </c>
      <c r="C606" t="inlineStr">
        <is>
          <t>Procurement Order</t>
        </is>
      </c>
      <c r="D606" s="3">
        <v>45966.52449074074</v>
      </c>
      <c r="E606" s="3">
        <v>45988.593356481484</v>
      </c>
      <c r="F606" t="inlineStr">
        <is>
          <t>Fatima Kathleen M. FLores</t>
        </is>
      </c>
      <c r="G606" t="inlineStr">
        <is>
          <t>Procurement</t>
        </is>
      </c>
      <c r="H606"/>
      <c r="I606"/>
      <c r="J606" t="inlineStr">
        <is>
          <t>Project</t>
        </is>
      </c>
      <c r="K606" t="inlineStr">
        <is>
          <t>PDEI - Event Service</t>
        </is>
      </c>
      <c r="L606" t="inlineStr">
        <is>
          <t>GTCC Summer Showdown</t>
        </is>
      </c>
      <c r="M606" t="inlineStr">
        <is>
          <t>2025TEG-P0040</t>
        </is>
      </c>
      <c r="N606" t="inlineStr">
        <is>
          <t>Frances Angelita Arreglado</t>
        </is>
      </c>
      <c r="O606" t="inlineStr">
        <is>
          <t>202510290052-Frances Angelita Arreglado-费用报销 - 副本 - 副本 - 副本-2025-10-29 05:20:52</t>
        </is>
      </c>
      <c r="P606" t="inlineStr">
        <is>
          <t>NO</t>
        </is>
      </c>
      <c r="Q606"/>
      <c r="R606" t="inlineStr">
        <is>
          <t>YES</t>
        </is>
      </c>
      <c r="S606" t="inlineStr">
        <is>
          <t>Hotel Accommodation (June 9 to 16,  2025)</t>
        </is>
      </c>
      <c r="T606">
        <v>1</v>
      </c>
      <c r="U606">
        <v>73110</v>
      </c>
      <c r="V606" t="inlineStr">
        <is>
          <t>PHP</t>
        </is>
      </c>
      <c r="W606">
        <v>73110</v>
      </c>
      <c r="X606" s="2" t="str">
        <f>=HYPERLINK("https://www.larksuite.com/approval/admin/previewAttachment?key=PMg9qsIxEATwK81-ZCfzLvOafwgWEQRBsNizCxa2v5qGmsOihJS5YM1RgoYHK6LSHbO9jRRojOh13_80X3ic98F1NrJft2uvpw3RHYzMmADs7-fBzJQq8XV8AgAA__8", "2 attachment(s)")</f>
        <v>2 attachment(s)</v>
      </c>
      <c r="Y606" t="inlineStr">
        <is>
          <t>Bank Transfer</t>
        </is>
      </c>
      <c r="Z606" t="inlineStr">
        <is>
          <t>Green Sun Hotel Management Inc.</t>
        </is>
      </c>
      <c r="AA606" t="inlineStr">
        <is>
          <t>634-7-634-02936-9</t>
        </is>
      </c>
      <c r="AB606" t="inlineStr">
        <is>
          <t>Metrobank</t>
        </is>
      </c>
      <c r="AC606" t="inlineStr">
        <is>
          <t>2285 Don Chino Roces Ave. Ext., Magallanes, Makati City</t>
        </is>
      </c>
      <c r="AD606" s="4">
        <v>45819</v>
      </c>
      <c r="AE606" t="inlineStr">
        <is>
          <t>100% Full Payment</t>
        </is>
      </c>
      <c r="AF606" s="2"/>
      <c r="AG606" t="inlineStr">
        <is>
          <t>NzQyNTk5MTgyNzQ4MTg3MDM0MToxMDUyRDVCRC1GRkE1LTRFRTAtQjlFQi05QjQ1RjJERjNEMTQtMTo3ZmJlZjI0OTVmMjM5MTYwYjgyODM2MGYxNWQzYzEyNDox</t>
        </is>
      </c>
      <c r="AH606" t="inlineStr">
        <is>
          <t>Green Sun Hotel Management Inc.</t>
        </is>
      </c>
      <c r="AI606"/>
      <c r="AJ606" t="inlineStr">
        <is>
          <t>No line item in internal CE.</t>
        </is>
      </c>
      <c r="AK606"/>
    </row>
    <row r="607" ht="25.5" customHeight="1">
      <c r="A607" s="2" t="str">
        <f>=HYPERLINK("https://applink.larksuite.com/client/mini_program/open?appId=cli_9c7cc8a9a9edd105&amp;mode=appCenter&amp;path_pc=pc/pages/requested/index?instanceId=7569095237633642208&amp;source=bitable&amp;path=pages/detail/index?instanceId=7569095237633642208&amp;source=bitable", "202511050055")</f>
        <v>202511050055</v>
      </c>
      <c r="B607" t="inlineStr">
        <is>
          <t>Approved</t>
        </is>
      </c>
      <c r="C607" t="inlineStr">
        <is>
          <t>Procurement Order</t>
        </is>
      </c>
      <c r="D607" s="3">
        <v>45966.52449074074</v>
      </c>
      <c r="E607" s="3">
        <v>45988.593356481484</v>
      </c>
      <c r="F607" t="inlineStr">
        <is>
          <t>Fatima Kathleen M. FLores</t>
        </is>
      </c>
      <c r="G607" t="inlineStr">
        <is>
          <t>Procurement</t>
        </is>
      </c>
      <c r="H607"/>
      <c r="I607"/>
      <c r="J607" t="inlineStr">
        <is>
          <t>Project</t>
        </is>
      </c>
      <c r="K607" t="inlineStr">
        <is>
          <t>PDEI - Event Service</t>
        </is>
      </c>
      <c r="L607" t="inlineStr">
        <is>
          <t>GTCC Summer Showdown</t>
        </is>
      </c>
      <c r="M607" t="inlineStr">
        <is>
          <t>2025TEG-P0040</t>
        </is>
      </c>
      <c r="N607" t="inlineStr">
        <is>
          <t>Frances Angelita Arreglado</t>
        </is>
      </c>
      <c r="O607" t="inlineStr">
        <is>
          <t>202510290052-Frances Angelita Arreglado-费用报销 - 副本 - 副本 - 副本-2025-10-29 05:20:52</t>
        </is>
      </c>
      <c r="P607" t="inlineStr">
        <is>
          <t>NO</t>
        </is>
      </c>
      <c r="Q607"/>
      <c r="R607" t="inlineStr">
        <is>
          <t>YES</t>
        </is>
      </c>
      <c r="S607" t="inlineStr">
        <is>
          <t>Damages and Incidental Charges</t>
        </is>
      </c>
      <c r="T607">
        <v>1</v>
      </c>
      <c r="U607">
        <v>10000</v>
      </c>
      <c r="V607" t="inlineStr">
        <is>
          <t>PHP</t>
        </is>
      </c>
      <c r="W607">
        <v>10000</v>
      </c>
      <c r="X607" s="2" t="str">
        <f>=HYPERLINK("https://www.larksuite.com/approval/admin/previewAttachment?key=PMgxqoJBDATgK80k2czmXeY1_7JYrCAIgkXOLljYfjmJnIOehShaga2RhRrmSvcMM8y2plQQ5d7rvv9FW3ic98F1NqJft2uvJ0fJDPIInwD493NXRFRl4Ov8BAAA__8", "1 attachment(s)")</f>
        <v>1 attachment(s)</v>
      </c>
      <c r="Y607"/>
      <c r="Z607"/>
      <c r="AA607"/>
      <c r="AB607"/>
      <c r="AC607"/>
      <c r="AD607" s="4"/>
      <c r="AE607"/>
      <c r="AF607" s="2"/>
      <c r="AG607" t="inlineStr">
        <is>
          <t>NzQyNTk5MTgyNzQ4MTg3MDM0MToxMDUyRDVCRC1GRkE1LTRFRTAtQjlFQi05QjQ1RjJERjNEMTQtMjo3MWNlYzY1ZTYxNDE0NDg0NDM3MTBiMDNlMWM5YjgxYzox</t>
        </is>
      </c>
      <c r="AH607"/>
      <c r="AI607"/>
      <c r="AJ607" t="inlineStr">
        <is>
          <t>No line item in internal CE.</t>
        </is>
      </c>
      <c r="AK607"/>
    </row>
    <row r="608" ht="25.5" customHeight="1">
      <c r="A608" s="2" t="str">
        <f>=HYPERLINK("https://applink.larksuite.com/client/mini_program/open?appId=cli_9c7cc8a9a9edd105&amp;mode=appCenter&amp;path_pc=pc/pages/requested/index?instanceId=7573954376482623196&amp;source=bitable&amp;path=pages/detail/index?instanceId=7573954376482623196&amp;source=bitable", "202511180057")</f>
        <v>202511180057</v>
      </c>
      <c r="B608" t="inlineStr">
        <is>
          <t>Approved</t>
        </is>
      </c>
      <c r="C608" t="inlineStr">
        <is>
          <t>Procurement Order</t>
        </is>
      </c>
      <c r="D608" s="3">
        <v>45979.61888888889</v>
      </c>
      <c r="E608" s="3">
        <v>45979.878587962965</v>
      </c>
      <c r="F608" t="inlineStr">
        <is>
          <t>Fatima Kathleen M. FLores</t>
        </is>
      </c>
      <c r="G608" t="inlineStr">
        <is>
          <t>Procurement</t>
        </is>
      </c>
      <c r="H608"/>
      <c r="I608"/>
      <c r="J608" t="inlineStr">
        <is>
          <t>Project</t>
        </is>
      </c>
      <c r="K608" t="inlineStr">
        <is>
          <t>PDEI - Event Service</t>
        </is>
      </c>
      <c r="L608" t="inlineStr">
        <is>
          <t>Mineski Socials Night</t>
        </is>
      </c>
      <c r="M608" t="inlineStr">
        <is>
          <t>2025TEG-P0293</t>
        </is>
      </c>
      <c r="N608" t="inlineStr">
        <is>
          <t>Ronelle Kylene Chaneco Lim</t>
        </is>
      </c>
      <c r="O608" t="inlineStr">
        <is>
          <t>202511140041-Ronelle Kylene Chaneco Lim-费用报销 - 副本 - 副本 - 副本-2025-11-14 05:27:13</t>
        </is>
      </c>
      <c r="P608" t="inlineStr">
        <is>
          <t>NO</t>
        </is>
      </c>
      <c r="Q608"/>
      <c r="R608" t="inlineStr">
        <is>
          <t>NO</t>
        </is>
      </c>
      <c r="S608" t="inlineStr">
        <is>
          <t>IPHONE 17 PRO MAX 256GB DEEP BLUE</t>
        </is>
      </c>
      <c r="T608">
        <v>1</v>
      </c>
      <c r="U608">
        <v>86990</v>
      </c>
      <c r="V608" t="inlineStr">
        <is>
          <t>PHP</t>
        </is>
      </c>
      <c r="W608">
        <v>86990</v>
      </c>
      <c r="X608" s="2" t="str">
        <f>=HYPERLINK("https://www.larksuite.com/approval/admin/previewAttachment?key=PMgxCgJBDAXQKyX5Sf7Ey9g4LO7ogiDa5eyCxbYvh0qOUGSJl1qJNoOocDB9WBq0sq2VLKES6Hls19fade2Pz4rA8Zz9vd-2-dYomgnhjiEiejkddPeqdPm7_AIAAP__", "2 attachment(s)")</f>
        <v>2 attachment(s)</v>
      </c>
      <c r="Y608" t="inlineStr">
        <is>
          <t>Bank Transfer</t>
        </is>
      </c>
      <c r="Z608" t="inlineStr">
        <is>
          <t>APEX FRANCHISE VENTURES OPC</t>
        </is>
      </c>
      <c r="AA608" t="inlineStr">
        <is>
          <t>001405064050016</t>
        </is>
      </c>
      <c r="AB608" t="inlineStr">
        <is>
          <t>Philippine Business Bank</t>
        </is>
      </c>
      <c r="AC608" t="inlineStr">
        <is>
          <t>San Juan</t>
        </is>
      </c>
      <c r="AD608" s="4">
        <v>45966</v>
      </c>
      <c r="AE608" t="inlineStr">
        <is>
          <t>100% Full Payment - 30 days upon complete delivery</t>
        </is>
      </c>
      <c r="AF608" s="2"/>
      <c r="AG608" t="inlineStr">
        <is>
          <t>NzQyNTk5MTgyNzQ4MTg3MDM0MTo0RTY1OURDRC02RDE4LTQwMzMtODkwMC05OEQ1RkQ5QzFBMzgtMTo5NWY3NjMwMTRmOTc5NGMwZDc2YzY0NzVmZDE0YzA5Nzox</t>
        </is>
      </c>
      <c r="AH608" t="inlineStr">
        <is>
          <t>APEX FRANCHISE VENTURES OPC</t>
        </is>
      </c>
      <c r="AI608"/>
      <c r="AJ608" t="inlineStr">
        <is>
          <t>LIQUIDITY PLAN (PAR # 202510310043 / 2025TEG-P0293)
Raffle Prizes &gt; iPhone 17 Pro Max
Total Budget = Php 86,990.00
Actual Cost = Php 86,990.00</t>
        </is>
      </c>
      <c r="AK608"/>
    </row>
    <row r="609" ht="25.5" customHeight="1">
      <c r="A609" s="2" t="str">
        <f>=HYPERLINK("https://applink.larksuite.com/client/mini_program/open?appId=cli_9c7cc8a9a9edd105&amp;mode=appCenter&amp;path_pc=pc/pages/requested/index?instanceId=7573948970775351007&amp;source=bitable&amp;path=pages/detail/index?instanceId=7573948970775351007&amp;source=bitable", "202511180053")</f>
        <v>202511180053</v>
      </c>
      <c r="B609" t="inlineStr">
        <is>
          <t>Approved</t>
        </is>
      </c>
      <c r="C609" t="inlineStr">
        <is>
          <t>Procurement Order</t>
        </is>
      </c>
      <c r="D609" s="3">
        <v>45979.6043287037</v>
      </c>
      <c r="E609" s="3">
        <v>45981.90929398148</v>
      </c>
      <c r="F609" t="inlineStr">
        <is>
          <t>Fatima Kathleen M. FLores</t>
        </is>
      </c>
      <c r="G609" t="inlineStr">
        <is>
          <t>Procurement</t>
        </is>
      </c>
      <c r="H609"/>
      <c r="I609"/>
      <c r="J609" t="inlineStr">
        <is>
          <t>Project</t>
        </is>
      </c>
      <c r="K609" t="inlineStr">
        <is>
          <t>PDEI - Event Service</t>
        </is>
      </c>
      <c r="L609" t="inlineStr">
        <is>
          <t>Mineski Socials Night</t>
        </is>
      </c>
      <c r="M609" t="inlineStr">
        <is>
          <t>2025TEG-P0293</t>
        </is>
      </c>
      <c r="N609" t="inlineStr">
        <is>
          <t>Ronelle Kylene Chaneco Lim</t>
        </is>
      </c>
      <c r="O609" t="inlineStr">
        <is>
          <t>202511100024-Ronelle Kylene Chaneco Lim-费用报销 - 副本 - 副本 - 副本-2025-11-10 03:59:41</t>
        </is>
      </c>
      <c r="P609" t="inlineStr">
        <is>
          <t>YES</t>
        </is>
      </c>
      <c r="Q609"/>
      <c r="R609" t="inlineStr">
        <is>
          <t>YES</t>
        </is>
      </c>
      <c r="S609" t="inlineStr">
        <is>
          <t>Outsourced Logistics Associate</t>
        </is>
      </c>
      <c r="T609">
        <v>1</v>
      </c>
      <c r="U609">
        <v>3000</v>
      </c>
      <c r="V609" t="inlineStr">
        <is>
          <t>PHP</t>
        </is>
      </c>
      <c r="W609">
        <v>3000</v>
      </c>
      <c r="X609" s="2" t="str">
        <f>=HYPERLINK("https://www.larksuite.com/approval/admin/previewAttachment?key=PMgxrsJADATQK82s7R37X-Y3WUUgERoEofHZkSho30xiZtBmwYujwFbIyrMEKSwIqEdTKogy63Xs_3e-gzi257nyvF37ddn29WCUxoDM3RIA_35ucveq6fg6PgEAAP__", "2 attachment(s)")</f>
        <v>2 attachment(s)</v>
      </c>
      <c r="Y609" t="inlineStr">
        <is>
          <t>Bank Transfer</t>
        </is>
      </c>
      <c r="Z609" t="inlineStr">
        <is>
          <t>Nordan Burabo</t>
        </is>
      </c>
      <c r="AA609" t="inlineStr">
        <is>
          <t>09636201512</t>
        </is>
      </c>
      <c r="AB609" t="inlineStr">
        <is>
          <t>GCash</t>
        </is>
      </c>
      <c r="AC609" t="inlineStr">
        <is>
          <t>Blk 1 Lot 23 Agoncillo St. Sta Lucia Novaliches, QC</t>
        </is>
      </c>
      <c r="AD609" s="4">
        <v>45967</v>
      </c>
      <c r="AE609" t="inlineStr">
        <is>
          <t>100% Full Payment - Nov. 21, 2025</t>
        </is>
      </c>
      <c r="AF609" s="2"/>
      <c r="AG609" t="inlineStr">
        <is>
          <t>NzQyNTk5MTgyNzQ4MTg3MDM0MToyQkQyMDdGNi1DQjhELTQ1MzAtQkJEMS0yODQ4QTRCRTRDN0QtMTo5YTAwMjczYTY2NWJhZmI2OWRiMjNmM2FmNmUxMjgwYzox</t>
        </is>
      </c>
      <c r="AH609" t="inlineStr">
        <is>
          <t>Nordan Burabo</t>
        </is>
      </c>
      <c r="AI609"/>
      <c r="AJ609" t="inlineStr">
        <is>
          <t>LIQUIDITY PLAN (PAR # 202510310043 / 2025TEG-P0293)
Logistics Delivery &gt; Logistics
Total Budget = Php 10,000.00
Actual Cost = Php 3,000.00
Balance = Php 7,000.00
* THIS IS OVER BUDGET SINCE LINE ITEM IN CE IS TAGGED AS INTERNAL.</t>
        </is>
      </c>
      <c r="AK609"/>
    </row>
    <row r="610" ht="25.5" customHeight="1">
      <c r="A610" s="2" t="str">
        <f>=HYPERLINK("https://applink.larksuite.com/client/mini_program/open?appId=cli_9c7cc8a9a9edd105&amp;mode=appCenter&amp;path_pc=pc/pages/requested/index?instanceId=7573957842059857630&amp;source=bitable&amp;path=pages/detail/index?instanceId=7573957842059857630&amp;source=bitable", "202511180060")</f>
        <v>202511180060</v>
      </c>
      <c r="B610" t="inlineStr">
        <is>
          <t>Approved</t>
        </is>
      </c>
      <c r="C610" t="inlineStr">
        <is>
          <t>Procurement Order</t>
        </is>
      </c>
      <c r="D610" s="3">
        <v>45979.628229166665</v>
      </c>
      <c r="E610" s="3">
        <v>45993.731099537035</v>
      </c>
      <c r="F610" t="inlineStr">
        <is>
          <t>Fatima Kathleen M. FLores</t>
        </is>
      </c>
      <c r="G610" t="inlineStr">
        <is>
          <t>Procurement</t>
        </is>
      </c>
      <c r="H610"/>
      <c r="I610"/>
      <c r="J610" t="inlineStr">
        <is>
          <t>Project</t>
        </is>
      </c>
      <c r="K610" t="inlineStr">
        <is>
          <t>PDEI - Event Service</t>
        </is>
      </c>
      <c r="L610" t="inlineStr">
        <is>
          <t>Mineski Socials Night</t>
        </is>
      </c>
      <c r="M610" t="inlineStr">
        <is>
          <t>2025TEG-P0293</t>
        </is>
      </c>
      <c r="N610" t="inlineStr">
        <is>
          <t>Ronelle Kylene Chaneco Lim</t>
        </is>
      </c>
      <c r="O610" t="inlineStr">
        <is>
          <t>202511140040-Ronelle Kylene Chaneco Lim-费用报销 - 副本 - 副本 - 副本-2025-11-14 05:18:51</t>
        </is>
      </c>
      <c r="P610" t="inlineStr">
        <is>
          <t>NO</t>
        </is>
      </c>
      <c r="Q610"/>
      <c r="R610" t="inlineStr">
        <is>
          <t>YES</t>
        </is>
      </c>
      <c r="S610" t="inlineStr">
        <is>
          <t>Rental of LED Standee (1 day / set)</t>
        </is>
      </c>
      <c r="T610">
        <v>3</v>
      </c>
      <c r="U610">
        <v>11200</v>
      </c>
      <c r="V610" t="inlineStr">
        <is>
          <t>PHP</t>
        </is>
      </c>
      <c r="W610">
        <v>33600</v>
      </c>
      <c r="X610" s="2"/>
      <c r="Y610" t="inlineStr">
        <is>
          <t>Bank Transfer</t>
        </is>
      </c>
      <c r="Z610" t="inlineStr">
        <is>
          <t>APEX FRANCHISE VENTURES OPC</t>
        </is>
      </c>
      <c r="AA610" t="inlineStr">
        <is>
          <t>001405064050016</t>
        </is>
      </c>
      <c r="AB610" t="inlineStr">
        <is>
          <t>Philippine Business Bank</t>
        </is>
      </c>
      <c r="AC610" t="inlineStr">
        <is>
          <t>San Juan</t>
        </is>
      </c>
      <c r="AD610" s="4">
        <v>45966</v>
      </c>
      <c r="AE610" t="inlineStr">
        <is>
          <t>100% Full Payment - 30 days upon complete delivery</t>
        </is>
      </c>
      <c r="AF610" s="2"/>
      <c r="AG610" t="inlineStr">
        <is>
          <t>NzQyNTk5MTgyNzQ4MTg3MDM0MTo2OTE2NjAzQS0wMjgyLTQ4OUUtODMxMC1FNEY4NDJDQzhENjUtMTo2MTdjMzkzNTVkMWE2NjU0MjEyYTVhZjVlZGUwYTZmNTox</t>
        </is>
      </c>
      <c r="AH610" t="inlineStr">
        <is>
          <t>APEX FRANCHISE VENTURES OPC</t>
        </is>
      </c>
      <c r="AI610"/>
      <c r="AJ610" t="inlineStr">
        <is>
          <t>LIQUIDITY PLAN (PAR # 202510310043 / 2025TEG-P0293)
Marketing Collateral - Onsite Branding &gt; Vertical LED
Total Budget = Php 48,000.00
Actual Cost = Php 60,480.00
Balance = (Php 12,480.00) OVER BUDGET</t>
        </is>
      </c>
      <c r="AK610"/>
    </row>
    <row r="611" ht="25.5" customHeight="1">
      <c r="A611" s="2" t="str">
        <f>=HYPERLINK("https://applink.larksuite.com/client/mini_program/open?appId=cli_9c7cc8a9a9edd105&amp;mode=appCenter&amp;path_pc=pc/pages/requested/index?instanceId=7573957842059857630&amp;source=bitable&amp;path=pages/detail/index?instanceId=7573957842059857630&amp;source=bitable", "202511180060")</f>
        <v>202511180060</v>
      </c>
      <c r="B611" t="inlineStr">
        <is>
          <t>Approved</t>
        </is>
      </c>
      <c r="C611" t="inlineStr">
        <is>
          <t>Procurement Order</t>
        </is>
      </c>
      <c r="D611" s="3">
        <v>45979.628229166665</v>
      </c>
      <c r="E611" s="3">
        <v>45993.731099537035</v>
      </c>
      <c r="F611" t="inlineStr">
        <is>
          <t>Fatima Kathleen M. FLores</t>
        </is>
      </c>
      <c r="G611" t="inlineStr">
        <is>
          <t>Procurement</t>
        </is>
      </c>
      <c r="H611"/>
      <c r="I611"/>
      <c r="J611" t="inlineStr">
        <is>
          <t>Project</t>
        </is>
      </c>
      <c r="K611" t="inlineStr">
        <is>
          <t>PDEI - Event Service</t>
        </is>
      </c>
      <c r="L611" t="inlineStr">
        <is>
          <t>Mineski Socials Night</t>
        </is>
      </c>
      <c r="M611" t="inlineStr">
        <is>
          <t>2025TEG-P0293</t>
        </is>
      </c>
      <c r="N611" t="inlineStr">
        <is>
          <t>Ronelle Kylene Chaneco Lim</t>
        </is>
      </c>
      <c r="O611" t="inlineStr">
        <is>
          <t>202511140040-Ronelle Kylene Chaneco Lim-费用报销 - 副本 - 副本 - 副本-2025-11-14 05:18:51</t>
        </is>
      </c>
      <c r="P611" t="inlineStr">
        <is>
          <t>NO</t>
        </is>
      </c>
      <c r="Q611"/>
      <c r="R611" t="inlineStr">
        <is>
          <t>YES</t>
        </is>
      </c>
      <c r="S611" t="inlineStr">
        <is>
          <t>LOGISTICS/DELIVERY (Around Metro Manila)</t>
        </is>
      </c>
      <c r="T611">
        <v>1</v>
      </c>
      <c r="U611">
        <v>26880</v>
      </c>
      <c r="V611" t="inlineStr">
        <is>
          <t>PHP</t>
        </is>
      </c>
      <c r="W611">
        <v>26880</v>
      </c>
      <c r="X611" s="2" t="str">
        <f>=HYPERLINK("https://www.larksuite.com/approval/admin/previewAttachment?key=PMgxDgIxDATAL63tddbmMzScIprQIJCuyNuRKK6dUYZRaTEabPOGbaWiU0VHdqVGYPs2qSFTxD7WvK8TfvZrsciPzf19Pubxtmy5Q0FGAbDb5SGS3YP4u_0CAAD__w", "2 attachment(s)")</f>
        <v>2 attachment(s)</v>
      </c>
      <c r="Y611"/>
      <c r="Z611"/>
      <c r="AA611"/>
      <c r="AB611"/>
      <c r="AC611"/>
      <c r="AD611" s="4"/>
      <c r="AE611"/>
      <c r="AF611" s="2"/>
      <c r="AG611" t="inlineStr">
        <is>
          <t>NzQyNTk5MTgyNzQ4MTg3MDM0MTo2OTE2NjAzQS0wMjgyLTQ4OUUtODMxMC1FNEY4NDJDQzhENjUtMjowODFjZWI2Yzc2Zjc1ZWM3MzNlOTRkOGUzMTRkYWMzYTox</t>
        </is>
      </c>
      <c r="AH611"/>
      <c r="AI611"/>
      <c r="AJ611" t="inlineStr">
        <is>
          <t>LIQUIDITY PLAN (PAR # 202510310043 / 2025TEG-P0293)
Marketing Collateral - Onsite Branding &gt; Vertical LED
Total Budget = Php 48,000.00
Actual Cost = Php 60,480.00
Balance = (Php 12,480.00) OVER BUDGET</t>
        </is>
      </c>
      <c r="AK611"/>
    </row>
    <row r="612" ht="25.5" customHeight="1">
      <c r="A612" s="2" t="str">
        <f>=HYPERLINK("https://applink.larksuite.com/client/mini_program/open?appId=cli_9c7cc8a9a9edd105&amp;mode=appCenter&amp;path_pc=pc/pages/requested/index?instanceId=7573951085170249437&amp;source=bitable&amp;path=pages/detail/index?instanceId=7573951085170249437&amp;source=bitable", "202511180056")</f>
        <v>202511180056</v>
      </c>
      <c r="B612" t="inlineStr">
        <is>
          <t>Approved</t>
        </is>
      </c>
      <c r="C612" t="inlineStr">
        <is>
          <t>Procurement Order</t>
        </is>
      </c>
      <c r="D612" s="3">
        <v>45979.61002314815</v>
      </c>
      <c r="E612" s="3">
        <v>45988.91663194444</v>
      </c>
      <c r="F612" t="inlineStr">
        <is>
          <t>Fatima Kathleen M. FLores</t>
        </is>
      </c>
      <c r="G612" t="inlineStr">
        <is>
          <t>Procurement</t>
        </is>
      </c>
      <c r="H612"/>
      <c r="I612"/>
      <c r="J612" t="inlineStr">
        <is>
          <t>Project</t>
        </is>
      </c>
      <c r="K612" t="inlineStr">
        <is>
          <t>PDEI - Event Service</t>
        </is>
      </c>
      <c r="L612" t="inlineStr">
        <is>
          <t>Mineski Socials Night</t>
        </is>
      </c>
      <c r="M612" t="inlineStr">
        <is>
          <t>2025TEG-P0293</t>
        </is>
      </c>
      <c r="N612" t="inlineStr">
        <is>
          <t>Ronelle Kylene Chaneco Lim</t>
        </is>
      </c>
      <c r="O612" t="inlineStr">
        <is>
          <t>202511050122-Ronelle Kylene Chaneco Lim-费用报销 - 副本 - 副本 - 副本-2025-11-05 09:52:42</t>
        </is>
      </c>
      <c r="P612" t="inlineStr">
        <is>
          <t>NO</t>
        </is>
      </c>
      <c r="Q612"/>
      <c r="R612" t="inlineStr">
        <is>
          <t>YES</t>
        </is>
      </c>
      <c r="S612" t="inlineStr">
        <is>
          <t>Customized Merchandise (giveaways)</t>
        </is>
      </c>
      <c r="T612">
        <v>300</v>
      </c>
      <c r="U612">
        <v>2390.85</v>
      </c>
      <c r="V612" t="inlineStr">
        <is>
          <t>PHP</t>
        </is>
      </c>
      <c r="W612">
        <v>717255</v>
      </c>
      <c r="X612" s="2" t="str">
        <f>=HYPERLINK("https://www.larksuite.com/approval/admin/previewAttachment?key=PMg9qsMwEATgK83sj0b7LvMaCRMCdhOcbs8eSJH2G5MYM-mjEEUrsJXySmImBYsKV1tTKohy730e_-u2dZ_Xsuu5ndbvxzr2i1kygzzCJwD-_dwVEVUj8HV8AgAA__8", "2 attachment(s)")</f>
        <v>2 attachment(s)</v>
      </c>
      <c r="Y612" t="inlineStr">
        <is>
          <t>Bank Transfer</t>
        </is>
      </c>
      <c r="Z612" t="inlineStr">
        <is>
          <t>APEX FRANCHISE VENTURES OPC</t>
        </is>
      </c>
      <c r="AA612" t="inlineStr">
        <is>
          <t>102000005344</t>
        </is>
      </c>
      <c r="AB612" t="inlineStr">
        <is>
          <t>China Bank</t>
        </is>
      </c>
      <c r="AC612" t="inlineStr">
        <is>
          <t>San Juan</t>
        </is>
      </c>
      <c r="AD612" s="4">
        <v>45966</v>
      </c>
      <c r="AE612" t="inlineStr">
        <is>
          <t>100% Full Payment - 30 days upon complete delivery</t>
        </is>
      </c>
      <c r="AF612" s="2"/>
      <c r="AG612" t="inlineStr">
        <is>
          <t>NzQyNTk5MTgyNzQ4MTg3MDM0MTo4RDNFMThENi0wQjI0LTQ3NDAtOEQzMi1DQkQ2QjczN0E4QTYtMTpiOTMyOGYxMWM2MDMzM2Y2ZTVmZDVlMWY4YTM1OWIzZjox</t>
        </is>
      </c>
      <c r="AH612" t="inlineStr">
        <is>
          <t>APEX FRANCHISE VENTURES OPC</t>
        </is>
      </c>
      <c r="AI612"/>
      <c r="AJ612" t="inlineStr">
        <is>
          <t>LIQUIDITY PLAN (PAR # 202510310043 / 2025TEG-P0293)
Merchandise &gt; Apex Merchandise
Total Budget = Php 692,955.00
Actual Cost = Php 717,255.00
Balance = (Php 24,300.00) OVER BUDGET</t>
        </is>
      </c>
      <c r="AK612"/>
    </row>
    <row r="613" ht="25.5" customHeight="1">
      <c r="A613" s="2" t="str">
        <f>=HYPERLINK("https://applink.larksuite.com/client/mini_program/open?appId=cli_9c7cc8a9a9edd105&amp;mode=appCenter&amp;path_pc=pc/pages/requested/index?instanceId=7573967700775440098&amp;source=bitable&amp;path=pages/detail/index?instanceId=7573967700775440098&amp;source=bitable", "202511180064")</f>
        <v>202511180064</v>
      </c>
      <c r="B613" t="inlineStr">
        <is>
          <t>Approved</t>
        </is>
      </c>
      <c r="C613" t="inlineStr">
        <is>
          <t>Procurement Order</t>
        </is>
      </c>
      <c r="D613" s="3">
        <v>45979.65479166667</v>
      </c>
      <c r="E613" s="3">
        <v>45979.87520833333</v>
      </c>
      <c r="F613" t="inlineStr">
        <is>
          <t>Fatima Kathleen M. FLores</t>
        </is>
      </c>
      <c r="G613" t="inlineStr">
        <is>
          <t>Procurement</t>
        </is>
      </c>
      <c r="H613"/>
      <c r="I613"/>
      <c r="J613" t="inlineStr">
        <is>
          <t>Project</t>
        </is>
      </c>
      <c r="K613" t="inlineStr">
        <is>
          <t>PDEI - Event Service</t>
        </is>
      </c>
      <c r="L613" t="inlineStr">
        <is>
          <t>MPL PH S16 - Playoffs</t>
        </is>
      </c>
      <c r="M613" t="inlineStr">
        <is>
          <t>2025TEG-P0215</t>
        </is>
      </c>
      <c r="N613" t="inlineStr">
        <is>
          <t>Katherine Denise Lee Sy</t>
        </is>
      </c>
      <c r="O613" t="inlineStr">
        <is>
          <t>202510070016-Katherine Denise Lee Sy-费用报销 - 副本 - 副本 - 副本-2025-10-07 04:15:06</t>
        </is>
      </c>
      <c r="P613" t="inlineStr">
        <is>
          <t>YES</t>
        </is>
      </c>
      <c r="Q613"/>
      <c r="R613" t="inlineStr">
        <is>
          <t>YES</t>
        </is>
      </c>
      <c r="S613" t="inlineStr">
        <is>
          <t>Outsourced Logistics Associates (Egress)</t>
        </is>
      </c>
      <c r="T613">
        <v>1</v>
      </c>
      <c r="U613">
        <v>18000</v>
      </c>
      <c r="V613" t="inlineStr">
        <is>
          <t>PHP</t>
        </is>
      </c>
      <c r="W613">
        <v>18000</v>
      </c>
      <c r="X613" s="2" t="str">
        <f>=HYPERLINK("https://www.larksuite.com/approval/admin/previewAttachment?key=PMgxrgIxDATQK40zdibzL_MbohUFVIjdymdHoqB9cwXmquA00jGMaJXoKQFSZQJePTokQyGy9_P436w3L5PnhceqPu-3Y7-irDEgZnIBiL-fU5lpz8TX8QkAAP__", "2 attachment(s)")</f>
        <v>2 attachment(s)</v>
      </c>
      <c r="Y613" t="inlineStr">
        <is>
          <t>Bank Transfer</t>
        </is>
      </c>
      <c r="Z613" t="inlineStr">
        <is>
          <t>Nordan Burabo</t>
        </is>
      </c>
      <c r="AA613" t="inlineStr">
        <is>
          <t>09636201512</t>
        </is>
      </c>
      <c r="AB613" t="inlineStr">
        <is>
          <t>GCash</t>
        </is>
      </c>
      <c r="AC613" t="inlineStr">
        <is>
          <t>Blk 1 Lot 23 Agoncillo St. Sta Lucia Novaliches, QC</t>
        </is>
      </c>
      <c r="AD613" s="4">
        <v>45956</v>
      </c>
      <c r="AE613" t="inlineStr">
        <is>
          <t>100% Full Payment - Nov. 21, 2025</t>
        </is>
      </c>
      <c r="AF613" s="2"/>
      <c r="AG613" t="inlineStr">
        <is>
          <t>NzQyNTk5MTgyNzQ4MTg3MDM0MTpDQUM2OENGMC1DMTlBLTQxNjAtODJFMS1EOUQzM0NCOTRDREEtMTowODY2MTVlMzgyOWIxZTgxNzM3MzJkY2VkM2U0YTA0NTox</t>
        </is>
      </c>
      <c r="AH613" t="inlineStr">
        <is>
          <t>Nordan Burabo</t>
        </is>
      </c>
      <c r="AI613"/>
      <c r="AJ613" t="inlineStr">
        <is>
          <t>LIQUIDITY PLAN (PAR # 202509020094 / 2025TEG-P0215)
4.7 Manpower Arrangement &gt; MANPOWER PIC
Logistics Egress
Total Remaining Budget = Php 5,700.00
Actual Cost = Php 18,000.00
Balance = (Php 12,300.00) OVER BUDGET</t>
        </is>
      </c>
      <c r="AK613"/>
    </row>
    <row r="614" ht="25.5" customHeight="1">
      <c r="A614" s="2" t="str">
        <f>=HYPERLINK("https://applink.larksuite.com/client/mini_program/open?appId=cli_9c7cc8a9a9edd105&amp;mode=appCenter&amp;path_pc=pc/pages/requested/index?instanceId=7573968857342201564&amp;source=bitable&amp;path=pages/detail/index?instanceId=7573968857342201564&amp;source=bitable", "202511180065")</f>
        <v>202511180065</v>
      </c>
      <c r="B614" t="inlineStr">
        <is>
          <t>Approved</t>
        </is>
      </c>
      <c r="C614" t="inlineStr">
        <is>
          <t>Procurement Order</t>
        </is>
      </c>
      <c r="D614" s="3">
        <v>45979.65791666666</v>
      </c>
      <c r="E614" s="3">
        <v>45979.87641203704</v>
      </c>
      <c r="F614" t="inlineStr">
        <is>
          <t>Fatima Kathleen M. FLores</t>
        </is>
      </c>
      <c r="G614" t="inlineStr">
        <is>
          <t>Procurement</t>
        </is>
      </c>
      <c r="H614"/>
      <c r="I614"/>
      <c r="J614" t="inlineStr">
        <is>
          <t>Project</t>
        </is>
      </c>
      <c r="K614" t="inlineStr">
        <is>
          <t>PDEI - Event Service</t>
        </is>
      </c>
      <c r="L614" t="inlineStr">
        <is>
          <t>MPL PH S16 - Playoffs</t>
        </is>
      </c>
      <c r="M614" t="inlineStr">
        <is>
          <t>2025TEG-P0215</t>
        </is>
      </c>
      <c r="N614" t="inlineStr">
        <is>
          <t>Katherine Denise Lee Sy</t>
        </is>
      </c>
      <c r="O614" t="inlineStr">
        <is>
          <t>202510070016-Katherine Denise Lee Sy-费用报销 - 副本 - 副本 - 副本-2025-10-07 04:15:06</t>
        </is>
      </c>
      <c r="P614" t="inlineStr">
        <is>
          <t>YES</t>
        </is>
      </c>
      <c r="Q614"/>
      <c r="R614" t="inlineStr">
        <is>
          <t>YES</t>
        </is>
      </c>
      <c r="S614" t="inlineStr">
        <is>
          <t>Outsourced Logistics Associates (Egress)</t>
        </is>
      </c>
      <c r="T614">
        <v>1</v>
      </c>
      <c r="U614">
        <v>21000</v>
      </c>
      <c r="V614" t="inlineStr">
        <is>
          <t>PHP</t>
        </is>
      </c>
      <c r="W614">
        <v>21000</v>
      </c>
      <c r="X614" s="2" t="str">
        <f>=HYPERLINK("https://www.larksuite.com/approval/admin/previewAttachment?key=PMi5DQJRDATQlsbH99g0Q7LWCnFEaIHEtSMRkL5IQeQSi4KXaEGGi1aRuWiuClnhoyNkgUKz6cd-3g7djta-9_uD621el23vp6yiKmjulgDk9Heju1eF4-f4BgAA__8", "2 attachment(s)")</f>
        <v>2 attachment(s)</v>
      </c>
      <c r="Y614" t="inlineStr">
        <is>
          <t>Bank Transfer</t>
        </is>
      </c>
      <c r="Z614" t="inlineStr">
        <is>
          <t>RIC JACA</t>
        </is>
      </c>
      <c r="AA614" t="inlineStr">
        <is>
          <t>09509516216</t>
        </is>
      </c>
      <c r="AB614" t="inlineStr">
        <is>
          <t>GCash</t>
        </is>
      </c>
      <c r="AC614" t="inlineStr">
        <is>
          <t>321 Sitio Langhaya Brgy. Dela Paz Antipolo Rizal</t>
        </is>
      </c>
      <c r="AD614" s="4">
        <v>45956</v>
      </c>
      <c r="AE614" t="inlineStr">
        <is>
          <t>100% Full Payment - Nov. 21, 2025</t>
        </is>
      </c>
      <c r="AF614" s="2"/>
      <c r="AG614" t="inlineStr">
        <is>
          <t>NzQyNTk5MTgyNzQ4MTg3MDM0MToxNjdDNDA1Qy1EMjJELTQxQUQtQjNDRi03NTRFOTEyRTAxNzMtMTplZDRlMGMyNWM0ZmIzZDM0ODk0YjFiYTQxM2ZkM2Q2Yzox</t>
        </is>
      </c>
      <c r="AH614" t="inlineStr">
        <is>
          <t>RIC JACA</t>
        </is>
      </c>
      <c r="AI614"/>
      <c r="AJ614" t="inlineStr">
        <is>
          <t>LIQUIDITY PLAN (PAR # 202509020094 / 2025TEG-P0215)
4.7 Manpower Arrangement &gt; MANPOWER PIC
Logistics Egress
Total Remaining Budget = (Php 12,300.00) NEGATIVE
Actual Cost = Php 21,000.00
Balance = (Php 33,300.00) OVER BUDGET</t>
        </is>
      </c>
      <c r="AK614"/>
    </row>
    <row r="615" ht="25.5" customHeight="1">
      <c r="A615" s="2" t="str">
        <f>=HYPERLINK("https://applink.larksuite.com/client/mini_program/open?appId=cli_9c7cc8a9a9edd105&amp;mode=appCenter&amp;path_pc=pc/pages/requested/index?instanceId=7573972412635795169&amp;source=bitable&amp;path=pages/detail/index?instanceId=7573972412635795169&amp;source=bitable", "202511180066")</f>
        <v>202511180066</v>
      </c>
      <c r="B615" t="inlineStr">
        <is>
          <t>Approved</t>
        </is>
      </c>
      <c r="C615" t="inlineStr">
        <is>
          <t>Procurement Order</t>
        </is>
      </c>
      <c r="D615" s="3">
        <v>45979.66748842593</v>
      </c>
      <c r="E615" s="3">
        <v>45979.87725694444</v>
      </c>
      <c r="F615" t="inlineStr">
        <is>
          <t>Fatima Kathleen M. FLores</t>
        </is>
      </c>
      <c r="G615" t="inlineStr">
        <is>
          <t>Procurement</t>
        </is>
      </c>
      <c r="H615"/>
      <c r="I615"/>
      <c r="J615" t="inlineStr">
        <is>
          <t>Project</t>
        </is>
      </c>
      <c r="K615" t="inlineStr">
        <is>
          <t>PDEI - Event Service</t>
        </is>
      </c>
      <c r="L615" t="inlineStr">
        <is>
          <t>MPL PH S16 - Playoffs</t>
        </is>
      </c>
      <c r="M615" t="inlineStr">
        <is>
          <t>2025TEG-P0215</t>
        </is>
      </c>
      <c r="N615" t="inlineStr">
        <is>
          <t>Katherine Denise Lee Sy</t>
        </is>
      </c>
      <c r="O615" t="inlineStr">
        <is>
          <t>202510070016-Katherine Denise Lee Sy-费用报销 - 副本 - 副本 - 副本-2025-10-07 04:15:06</t>
        </is>
      </c>
      <c r="P615" t="inlineStr">
        <is>
          <t>YES</t>
        </is>
      </c>
      <c r="Q615"/>
      <c r="R615" t="inlineStr">
        <is>
          <t>YES</t>
        </is>
      </c>
      <c r="S615" t="inlineStr">
        <is>
          <t>Outsourced Logistics Associates (Egress)</t>
        </is>
      </c>
      <c r="T615">
        <v>1</v>
      </c>
      <c r="U615">
        <v>13500</v>
      </c>
      <c r="V615" t="inlineStr">
        <is>
          <t>PHP</t>
        </is>
      </c>
      <c r="W615">
        <v>13500</v>
      </c>
      <c r="X615" s="2" t="str">
        <f>=HYPERLINK("https://www.larksuite.com/approval/admin/previewAttachment?key=PMg7DsJADATQK3lsr2eHy9AkivgEGqRIKXx2JAraVxNWcyBKloLL0BwM0RNeMaiBUnuDlBGM6PW1Xc_jjuP9fJzLvmuyj9uyrR8M0d0YmTHNDJe_BzNTqrSf2zcAAP__", "2 attachment(s)")</f>
        <v>2 attachment(s)</v>
      </c>
      <c r="Y615" t="inlineStr">
        <is>
          <t>Bank Transfer</t>
        </is>
      </c>
      <c r="Z615" t="inlineStr">
        <is>
          <t>Rizel John Obong</t>
        </is>
      </c>
      <c r="AA615" t="inlineStr">
        <is>
          <t>09709731174</t>
        </is>
      </c>
      <c r="AB615" t="inlineStr">
        <is>
          <t>GCash</t>
        </is>
      </c>
      <c r="AC615" t="inlineStr">
        <is>
          <t>Blk 1j Lot 31 Phase 3 E-1 Dagat Dagatan Caloocan City</t>
        </is>
      </c>
      <c r="AD615" s="4">
        <v>45956</v>
      </c>
      <c r="AE615" t="inlineStr">
        <is>
          <t>100% Full Payment - Nov. 21, 2025</t>
        </is>
      </c>
      <c r="AF615" s="2"/>
      <c r="AG615" t="inlineStr">
        <is>
          <t>NzQyNTk5MTgyNzQ4MTg3MDM0MTo0NjYxQjQ0NS0yQkMxLTQxNUEtQUFFOC0yREI0MUQxMEVFQTUtMTo3MDQ2YmRiNTcyMzA1ZTQ4YzQ4ZWM4MDVhYjdkNGE2YTox</t>
        </is>
      </c>
      <c r="AH615" t="inlineStr">
        <is>
          <t>Rizel John Obong</t>
        </is>
      </c>
      <c r="AI615"/>
      <c r="AJ615" t="inlineStr">
        <is>
          <t>LIQUIDITY PLAN (PAR # 202509020094 / 2025TEG-P0215)
4.7 Manpower Arrangement &gt; MANPOWER PIC
Logistics Egress
Total Remaining Budget = (Php 33,300.00) NEGATIVE
Actual Cost = Php 13,500.00
Balance = (Php 46,800.00) OVER BUDGET</t>
        </is>
      </c>
      <c r="AK615"/>
    </row>
    <row r="616" ht="25.5" customHeight="1">
      <c r="A616" s="2" t="str">
        <f>=HYPERLINK("https://applink.larksuite.com/client/mini_program/open?appId=cli_9c7cc8a9a9edd105&amp;mode=appCenter&amp;path_pc=pc/pages/requested/index?instanceId=7573550901554712284&amp;source=bitable&amp;path=pages/detail/index?instanceId=7573550901554712284&amp;source=bitable", "202511170034")</f>
        <v>202511170034</v>
      </c>
      <c r="B616" t="inlineStr">
        <is>
          <t>Approved</t>
        </is>
      </c>
      <c r="C616" t="inlineStr">
        <is>
          <t>Procurement Order</t>
        </is>
      </c>
      <c r="D616" s="3">
        <v>45978.53160879629</v>
      </c>
      <c r="E616" s="3">
        <v>45979.889328703706</v>
      </c>
      <c r="F616" t="inlineStr">
        <is>
          <t>Fatima Kathleen M. FLores</t>
        </is>
      </c>
      <c r="G616" t="inlineStr">
        <is>
          <t>Procurement</t>
        </is>
      </c>
      <c r="H616"/>
      <c r="I616"/>
      <c r="J616" t="inlineStr">
        <is>
          <t>Project</t>
        </is>
      </c>
      <c r="K616" t="inlineStr">
        <is>
          <t>GG - Event Service</t>
        </is>
      </c>
      <c r="L616" t="inlineStr">
        <is>
          <t>HOK Philippine Kings League - Fall Season Addendum</t>
        </is>
      </c>
      <c r="M616" t="inlineStr">
        <is>
          <t>2025TEG-P0261</t>
        </is>
      </c>
      <c r="N616" t="inlineStr">
        <is>
          <t>Frances Angelita Arreglado</t>
        </is>
      </c>
      <c r="O616" t="inlineStr">
        <is>
          <t>202511040188-Frances Angelita Arreglado-费用报销 - 副本 - 副本 - 副本-2025-11-04 13:03:58</t>
        </is>
      </c>
      <c r="P616" t="inlineStr">
        <is>
          <t>YES</t>
        </is>
      </c>
      <c r="Q616"/>
      <c r="R616" t="inlineStr">
        <is>
          <t>YES</t>
        </is>
      </c>
      <c r="S616" t="inlineStr">
        <is>
          <t>Outsourced Scriptwriter (for Playoffs)</t>
        </is>
      </c>
      <c r="T616">
        <v>1</v>
      </c>
      <c r="U616">
        <v>10500</v>
      </c>
      <c r="V616" t="inlineStr">
        <is>
          <t>PHP</t>
        </is>
      </c>
      <c r="W616">
        <v>10500</v>
      </c>
      <c r="X616" s="2" t="str">
        <f>=HYPERLINK("https://www.larksuite.com/approval/admin/previewAttachment?key=PMhNqsJAEATgK1X1z9T0u8zbGAaJCAFJXPXZBRduvzGJMZM-ClG0Alspz0SBmSGazWhrSgVR7r09179d74eOxen7fpxnX_fb2l7MkhnkET4B8O_nroioGoGv4xMAAP__", "2 attachment(s)")</f>
        <v>2 attachment(s)</v>
      </c>
      <c r="Y616" t="inlineStr">
        <is>
          <t>Bank Transfer</t>
        </is>
      </c>
      <c r="Z616" t="inlineStr">
        <is>
          <t>Khrizen A. Angeles</t>
        </is>
      </c>
      <c r="AA616" t="inlineStr">
        <is>
          <t>109356750810</t>
        </is>
      </c>
      <c r="AB616" t="inlineStr">
        <is>
          <t>Unionbank</t>
        </is>
      </c>
      <c r="AC616" t="inlineStr">
        <is>
          <t>9G, Tower 1, Toyota Avenue, corner Marquinton Drive, Barangay Sto. Niño, Marikina</t>
        </is>
      </c>
      <c r="AD616" s="4">
        <v>45941</v>
      </c>
      <c r="AE616" t="inlineStr">
        <is>
          <t>100% Full Payment - Nov. 14, 2025</t>
        </is>
      </c>
      <c r="AF616" s="2"/>
      <c r="AG616" t="inlineStr">
        <is>
          <t>NzQyNTk5MTgyNzQ4MTg3MDM0MTozN0E2N0VDMC0xMzY3LTRDRDAtOUE4MC1CM0I0OTNEOUQxNzItMToyMGRmOWI4M2YwNTFjZDdhOTdkNjZkMmVlNDU5ZmUxZDox</t>
        </is>
      </c>
      <c r="AH616" t="inlineStr">
        <is>
          <t>Khrizen A. Angeles</t>
        </is>
      </c>
      <c r="AI616"/>
      <c r="AJ616" t="inlineStr">
        <is>
          <t>No line in internal CE. Unbudgeted.</t>
        </is>
      </c>
      <c r="AK616"/>
    </row>
    <row r="617" ht="25.5" customHeight="1">
      <c r="A617" s="2" t="str">
        <f>=HYPERLINK("https://applink.larksuite.com/client/mini_program/open?appId=cli_9c7cc8a9a9edd105&amp;mode=appCenter&amp;path_pc=pc/pages/requested/index?instanceId=7574025921980616413&amp;source=bitable&amp;path=pages/detail/index?instanceId=7574025921980616413&amp;source=bitable", "202511180086")</f>
        <v>202511180086</v>
      </c>
      <c r="B617" t="inlineStr">
        <is>
          <t>Approved</t>
        </is>
      </c>
      <c r="C617" t="inlineStr">
        <is>
          <t>Procurement Order</t>
        </is>
      </c>
      <c r="D617" s="3">
        <v>45979.811689814815</v>
      </c>
      <c r="E617" s="3">
        <v>45979.88752314815</v>
      </c>
      <c r="F617" t="inlineStr">
        <is>
          <t>Fatima Kathleen M. FLores</t>
        </is>
      </c>
      <c r="G617" t="inlineStr">
        <is>
          <t>Procurement</t>
        </is>
      </c>
      <c r="H617"/>
      <c r="I617"/>
      <c r="J617" t="inlineStr">
        <is>
          <t>Project</t>
        </is>
      </c>
      <c r="K617" t="inlineStr">
        <is>
          <t>GG - Event Service</t>
        </is>
      </c>
      <c r="L617" t="inlineStr">
        <is>
          <t>KIC 2025 - Group Stage &amp; Knockouts</t>
        </is>
      </c>
      <c r="M617" t="inlineStr">
        <is>
          <t>2025TEG-P0286</t>
        </is>
      </c>
      <c r="N617" t="inlineStr">
        <is>
          <t>Frances Angelita Arreglado</t>
        </is>
      </c>
      <c r="O617" t="inlineStr">
        <is>
          <t>202511080051-Frances Angelita Arreglado-费用报销 - 副本 - 副本 - 副本-2025-11-08 07:32:19</t>
        </is>
      </c>
      <c r="P617" t="inlineStr">
        <is>
          <t>NO</t>
        </is>
      </c>
      <c r="Q617"/>
      <c r="R617" t="inlineStr">
        <is>
          <t>NO</t>
        </is>
      </c>
      <c r="S617" t="inlineStr">
        <is>
          <t>Crew Meals - Ingress (Nov 8 to 11, 2025)</t>
        </is>
      </c>
      <c r="T617">
        <v>2616</v>
      </c>
      <c r="U617">
        <v>130</v>
      </c>
      <c r="V617" t="inlineStr">
        <is>
          <t>PHP</t>
        </is>
      </c>
      <c r="W617">
        <v>340080</v>
      </c>
      <c r="X617" s="2" t="str">
        <f>=HYPERLINK("https://www.larksuite.com/approval/admin/previewAttachment?key=PMhBCsJADAXQK_2fZJKJl3FjGKwgFIRiFzm74KLb55PwOaiesKQk2DHCICOFOeF0o7Y0IxLBUO16r_v-2sizaj-3-h6rj-dj1YcjQwShZjoB8Ha5hplluuHv-AUAAP__", "2 attachment(s)")</f>
        <v>2 attachment(s)</v>
      </c>
      <c r="Y617" t="inlineStr">
        <is>
          <t>Bank Transfer</t>
        </is>
      </c>
      <c r="Z617" t="inlineStr">
        <is>
          <t>Michelle Francine G. Manuntag</t>
        </is>
      </c>
      <c r="AA617" t="inlineStr">
        <is>
          <t>000170292002</t>
        </is>
      </c>
      <c r="AB617" t="inlineStr">
        <is>
          <t>BDO</t>
        </is>
      </c>
      <c r="AC617" t="inlineStr">
        <is>
          <t>Makati City</t>
        </is>
      </c>
      <c r="AD617" s="4">
        <v>45969</v>
      </c>
      <c r="AE617" t="inlineStr">
        <is>
          <t>50% Down Payment upon confirmation
50% Final payment upon completion of services</t>
        </is>
      </c>
      <c r="AF617" s="2"/>
      <c r="AG617" t="inlineStr">
        <is>
          <t>NzQyNTk5MTgyNzQ4MTg3MDM0MTpCN0YzNEU1Ni00QjFBLTRCMUMtOTA0MC1BRURDMjlEQ0YwMDktMTo1N2E1OGU3M2ZmNzdhNDVkOGVmZDY4YzhlOGUxMGQxMDox</t>
        </is>
      </c>
      <c r="AH617" t="inlineStr">
        <is>
          <t>Michelle Francine G. Manuntag</t>
        </is>
      </c>
      <c r="AI617"/>
      <c r="AJ617" t="inlineStr">
        <is>
          <t>LIQUIDITY PLAN (PAR # 202510290062 / 2025TEG-P0286)
1108 CE KIC GS+KO TAB &gt; Crew Meals &gt;
Ingress (Nov 8-11) &gt; R308 - 313)
Total Budget = Php 418,500.00
This Request = Php 340,080.00
Balance = Php 78,420.00</t>
        </is>
      </c>
      <c r="AK617"/>
    </row>
    <row r="618" ht="25.5" customHeight="1">
      <c r="A618" s="2" t="str">
        <f>=HYPERLINK("https://applink.larksuite.com/client/mini_program/open?appId=cli_9c7cc8a9a9edd105&amp;mode=appCenter&amp;path_pc=pc/pages/requested/index?instanceId=7574018741415972574&amp;source=bitable&amp;path=pages/detail/index?instanceId=7574018741415972574&amp;source=bitable", "202511180081")</f>
        <v>202511180081</v>
      </c>
      <c r="B618" t="inlineStr">
        <is>
          <t>Approved</t>
        </is>
      </c>
      <c r="C618" t="inlineStr">
        <is>
          <t>Procurement Order</t>
        </is>
      </c>
      <c r="D618" s="3">
        <v>45979.792337962965</v>
      </c>
      <c r="E618" s="3">
        <v>45979.884722222225</v>
      </c>
      <c r="F618" t="inlineStr">
        <is>
          <t>Fatima Kathleen M. FLores</t>
        </is>
      </c>
      <c r="G618" t="inlineStr">
        <is>
          <t>Procurement</t>
        </is>
      </c>
      <c r="H618"/>
      <c r="I618"/>
      <c r="J618" t="inlineStr">
        <is>
          <t>Project</t>
        </is>
      </c>
      <c r="K618" t="inlineStr">
        <is>
          <t>GG - Event Service</t>
        </is>
      </c>
      <c r="L618" t="inlineStr">
        <is>
          <t>HOK KIC - Media Day</t>
        </is>
      </c>
      <c r="M618" t="inlineStr">
        <is>
          <t>2025TEG-P0307</t>
        </is>
      </c>
      <c r="N618" t="inlineStr">
        <is>
          <t>Randy Vince Fernandez Apura</t>
        </is>
      </c>
      <c r="O618" t="inlineStr">
        <is>
          <t>202511100046-Randy Vince Fernandez Apura-费用报销 - 副本 - 副本 - 副本-2025-11-10 04:49:26</t>
        </is>
      </c>
      <c r="P618" t="inlineStr">
        <is>
          <t>YES</t>
        </is>
      </c>
      <c r="Q618"/>
      <c r="R618" t="inlineStr">
        <is>
          <t>NO</t>
        </is>
      </c>
      <c r="S618" t="inlineStr">
        <is>
          <t>Outsourced HMUA (115 pax / 2 days)</t>
        </is>
      </c>
      <c r="T618">
        <v>1</v>
      </c>
      <c r="U618">
        <v>149500</v>
      </c>
      <c r="V618" t="inlineStr">
        <is>
          <t>PHP</t>
        </is>
      </c>
      <c r="W618">
        <v>149500</v>
      </c>
      <c r="X618" s="2" t="str">
        <f>=HYPERLINK("https://www.larksuite.com/approval/admin/previewAttachment?key=PMoxDsIwEATAL-361l4fn6FJFEFCaJDo7u1IKWhHMyYxZmeMhJItwXK3wGlR7OnWrWpFO2E6otZzu8fp4_BctL_ez32r72PZ1s_1GxxSTAC8_T0sKXMIl-MXAAD__w", "2 attachment(s)")</f>
        <v>2 attachment(s)</v>
      </c>
      <c r="Y618" t="inlineStr">
        <is>
          <t>Bank Transfer</t>
        </is>
      </c>
      <c r="Z618" t="inlineStr">
        <is>
          <t>Grace Filomeno</t>
        </is>
      </c>
      <c r="AA618" t="inlineStr">
        <is>
          <t>007340484415</t>
        </is>
      </c>
      <c r="AB618" t="inlineStr">
        <is>
          <t>BDO</t>
        </is>
      </c>
      <c r="AC618" t="inlineStr">
        <is>
          <t>89 T Santos St. San Jose, Rodriguez, Rizal</t>
        </is>
      </c>
      <c r="AD618" s="4">
        <v>45972</v>
      </c>
      <c r="AE618" t="inlineStr">
        <is>
          <t>1st Payment - Nov. 21, 2025
2nd Payment - Nov. 28, 2025
Final Payment - Dec. 12, 2025</t>
        </is>
      </c>
      <c r="AF618" s="2"/>
      <c r="AG618" t="inlineStr">
        <is>
          <t>NzQyNTk5MTgyNzQ4MTg3MDM0MToyMDRENDA4Ni0zNDM3LTRGNEUtQjlBRS1BQzBEOUU0OTg2MkEtMTpkYTM0NDg3ZTk5Njg5M2I1YjA3ZmQ2MDQ4YzhkYWRmNTox</t>
        </is>
      </c>
      <c r="AH618" t="inlineStr">
        <is>
          <t>Grace Filomeno</t>
        </is>
      </c>
      <c r="AI618"/>
      <c r="AJ618" t="inlineStr">
        <is>
          <t>LIQUIDITY PLAN (PAR # 202511070057 / 2025TEG-P0307)
1112 CE Media Day &gt; MEDIA DAY - STUDIO SHOOT &gt;
MEDIA DAY MANPOWER &gt; Creatives Manpower &gt;
HMUA
Total Budget = Php 192,000.00
This request = Php 149,000.00
Balance = Php 42,500.00</t>
        </is>
      </c>
      <c r="AK618"/>
    </row>
    <row r="619" ht="25.5" customHeight="1">
      <c r="A619" s="2" t="str">
        <f>=HYPERLINK("https://applink.larksuite.com/client/mini_program/open?appId=cli_9c7cc8a9a9edd105&amp;mode=appCenter&amp;path_pc=pc/pages/requested/index?instanceId=7574028387660943068&amp;source=bitable&amp;path=pages/detail/index?instanceId=7574028387660943068&amp;source=bitable", "202511180088")</f>
        <v>202511180088</v>
      </c>
      <c r="B619" t="inlineStr">
        <is>
          <t>Approved</t>
        </is>
      </c>
      <c r="C619" t="inlineStr">
        <is>
          <t>Procurement Order</t>
        </is>
      </c>
      <c r="D619" s="3">
        <v>45979.818333333336</v>
      </c>
      <c r="E619" s="3">
        <v>45979.88831018518</v>
      </c>
      <c r="F619" t="inlineStr">
        <is>
          <t>Fatima Kathleen M. FLores</t>
        </is>
      </c>
      <c r="G619" t="inlineStr">
        <is>
          <t>Procurement</t>
        </is>
      </c>
      <c r="H619"/>
      <c r="I619"/>
      <c r="J619" t="inlineStr">
        <is>
          <t>Project</t>
        </is>
      </c>
      <c r="K619" t="inlineStr">
        <is>
          <t>GG - Event Service</t>
        </is>
      </c>
      <c r="L619" t="inlineStr">
        <is>
          <t>KIC 2025 - Carnival &amp; Mini Battle</t>
        </is>
      </c>
      <c r="M619" t="inlineStr">
        <is>
          <t>2025TEG-P0301</t>
        </is>
      </c>
      <c r="N619" t="inlineStr">
        <is>
          <t>Maura Aurel Atilano Yap</t>
        </is>
      </c>
      <c r="O619" t="inlineStr">
        <is>
          <t>202511090004-Maura Aurel Atilano Yap-费用报销 - 副本 - 副本 - 副本-2025-11-09 04:26:58</t>
        </is>
      </c>
      <c r="P619" t="inlineStr">
        <is>
          <t>NO</t>
        </is>
      </c>
      <c r="Q619"/>
      <c r="R619" t="inlineStr">
        <is>
          <t>NO</t>
        </is>
      </c>
      <c r="S619" t="inlineStr">
        <is>
          <t>On-ground Fabrication (Carnival - Yellow Studio)</t>
        </is>
      </c>
      <c r="T619">
        <v>1</v>
      </c>
      <c r="U619">
        <v>602000</v>
      </c>
      <c r="V619" t="inlineStr">
        <is>
          <t>PHP</t>
        </is>
      </c>
      <c r="W619">
        <v>602000</v>
      </c>
      <c r="X619" s="2" t="str">
        <f>=HYPERLINK("https://www.larksuite.com/approval/admin/previewAttachment?key=PMgxCgJBDAXQK_0kf_ITL2PjsLjFiiAuNnN2wcL2ZRmyhkU22OYNWxoivKKUiWYga_kyqSFTxJrHdj1td5-PA_t8fvhe5_22zZeNljsUZBQAu_w9RLI7iZ_jGwAA__8", "2 attachment(s)")</f>
        <v>2 attachment(s)</v>
      </c>
      <c r="Y619" t="inlineStr">
        <is>
          <t>Bank Transfer</t>
        </is>
      </c>
      <c r="Z619" t="inlineStr">
        <is>
          <t>STAGE ONE EVENT SERVICES CORP.</t>
        </is>
      </c>
      <c r="AA619" t="inlineStr">
        <is>
          <t>0124 0800 3549</t>
        </is>
      </c>
      <c r="AB619" t="inlineStr">
        <is>
          <t>BDO</t>
        </is>
      </c>
      <c r="AC619" t="inlineStr">
        <is>
          <t>Kamagong St. cor. Ipil St. Hillcrest Village, Brgy. 173 Camarin, Caloocan</t>
        </is>
      </c>
      <c r="AD619" s="4">
        <v>45975</v>
      </c>
      <c r="AE619" t="inlineStr">
        <is>
          <t>70% Down payment upon confirmation
30% Balance - 30 days upon completion of services</t>
        </is>
      </c>
      <c r="AF619" s="2"/>
      <c r="AG619" t="inlineStr">
        <is>
          <t>NzQyNTk5MTgyNzQ4MTg3MDM0MTo4NTE0Nzk1RS1DRDEwLTRDRkItODRBRC0yRkY4MTcwOTk2MkItMTpiNzViNTM2MGU5MmVmMDYxMTUwZTljMTkxNzRhNjQ4NDox</t>
        </is>
      </c>
      <c r="AH619" t="inlineStr">
        <is>
          <t>STAGE ONE EVENT SERVICES CORP.</t>
        </is>
      </c>
      <c r="AI619"/>
      <c r="AJ619" t="inlineStr">
        <is>
          <t>LIQUIDITY PLAN (PAR # 202511060038 / 2025TEG-P0301) VER 6
1108 COST ESTIMATE TAB &gt; CARNIVAL - SHOOTING GALLERY &gt; 
FABRICATION &gt; Carnival Fabrication
Total Budget = Php 625,000.00
Actual Cost = Php 602,000.00
Balance = Php 23,000.00</t>
        </is>
      </c>
      <c r="AK619"/>
    </row>
    <row r="620" ht="25.5" customHeight="1">
      <c r="A620" s="2" t="str">
        <f>=HYPERLINK("https://applink.larksuite.com/client/mini_program/open?appId=cli_9c7cc8a9a9edd105&amp;mode=appCenter&amp;path_pc=pc/pages/requested/index?instanceId=7574031317898137309&amp;source=bitable&amp;path=pages/detail/index?instanceId=7574031317898137309&amp;source=bitable", "202511180089")</f>
        <v>202511180089</v>
      </c>
      <c r="B620" t="inlineStr">
        <is>
          <t>Approved</t>
        </is>
      </c>
      <c r="C620" t="inlineStr">
        <is>
          <t>Procurement Order</t>
        </is>
      </c>
      <c r="D620" s="3">
        <v>45979.82622685185</v>
      </c>
      <c r="E620" s="3">
        <v>45979.88315972222</v>
      </c>
      <c r="F620" t="inlineStr">
        <is>
          <t>Fatima Kathleen M. FLores</t>
        </is>
      </c>
      <c r="G620" t="inlineStr">
        <is>
          <t>Procurement</t>
        </is>
      </c>
      <c r="H620"/>
      <c r="I620"/>
      <c r="J620" t="inlineStr">
        <is>
          <t>Project</t>
        </is>
      </c>
      <c r="K620" t="inlineStr">
        <is>
          <t>PDEI - Game Marketing</t>
        </is>
      </c>
      <c r="L620" t="inlineStr">
        <is>
          <t>RO3 Pioneer GvG Closed Testing</t>
        </is>
      </c>
      <c r="M620" t="inlineStr">
        <is>
          <t>2025TEG-P0290</t>
        </is>
      </c>
      <c r="N620" t="inlineStr">
        <is>
          <t>Ronelle Kylene Chaneco Lim</t>
        </is>
      </c>
      <c r="O620" t="inlineStr">
        <is>
          <t>202511100049-Ronelle Kylene Chaneco Lim-费用报销 - 副本 - 副本 - 副本-2025-11-10 05:00:55</t>
        </is>
      </c>
      <c r="P620" t="inlineStr">
        <is>
          <t>NO</t>
        </is>
      </c>
      <c r="Q620"/>
      <c r="R620" t="inlineStr">
        <is>
          <t>NO</t>
        </is>
      </c>
      <c r="S620" t="inlineStr">
        <is>
          <t>Tarpaulin Backdrop (8ft x 12ft)</t>
        </is>
      </c>
      <c r="T620">
        <v>1</v>
      </c>
      <c r="U620">
        <v>2500</v>
      </c>
      <c r="V620" t="inlineStr">
        <is>
          <t>PHP</t>
        </is>
      </c>
      <c r="W620">
        <v>2500</v>
      </c>
      <c r="X620" s="2" t="str">
        <f>=HYPERLINK("https://www.larksuite.com/approval/admin/previewAttachment?key=PMg9CgIxFATgK81kXjJ5XsYmyyKE3Ub8K3J2wcL2a51ovVItEcmS4HJ1QBTds1MWcpVFO2FaWtuxX-nXnJ_zXcbjHPNYz9vYtztruhRYEeoAePm7HBGZLfBzfAMAAP__", "2 attachment(s)")</f>
        <v>2 attachment(s)</v>
      </c>
      <c r="Y620" t="inlineStr">
        <is>
          <t>Bank Transfer</t>
        </is>
      </c>
      <c r="Z620" t="inlineStr">
        <is>
          <t>MaxPrecision Corporation</t>
        </is>
      </c>
      <c r="AA620" t="inlineStr">
        <is>
          <t>4440117166</t>
        </is>
      </c>
      <c r="AB620" t="inlineStr">
        <is>
          <t>BDO</t>
        </is>
      </c>
      <c r="AC620" t="inlineStr">
        <is>
          <t>No. 5 Lt. Artiaga Street, Brgy Corazon De Jesus San Juan</t>
        </is>
      </c>
      <c r="AD620" s="4">
        <v>45981</v>
      </c>
      <c r="AE620" t="inlineStr">
        <is>
          <t>100% Full Payment - 30 days upon complete delivery</t>
        </is>
      </c>
      <c r="AF620" s="2"/>
      <c r="AG620" t="inlineStr">
        <is>
          <t>NzQyNTk5MTgyNzQ4MTg3MDM0MTo1RDhBNUJBMi0xNzVBLTQyRTctOUFENi1FMTlBQ0U2NjZBODgtMTo3YjRkMjQyNzA4YWMxZDUzZmJmZTk2NzljMDM3ZDMxMzox</t>
        </is>
      </c>
      <c r="AH620" t="inlineStr">
        <is>
          <t>MaxPrecision Corporation</t>
        </is>
      </c>
      <c r="AI620"/>
      <c r="AJ620" t="inlineStr">
        <is>
          <t>LIQUIDITY PLAN (PAR # 202511060116 / 2025TEG-P0290)
Marketing Collateral - Onsite Branding &gt;
Pull-up banner
Backdrop
Total Budget = Php 13,000.00
Actual Cost = Php 9,700.00
Balance = Php 3,300.00</t>
        </is>
      </c>
      <c r="AK620"/>
    </row>
    <row r="621" ht="25.5" customHeight="1">
      <c r="A621" s="2" t="str">
        <f>=HYPERLINK("https://applink.larksuite.com/client/mini_program/open?appId=cli_9c7cc8a9a9edd105&amp;mode=appCenter&amp;path_pc=pc/pages/requested/index?instanceId=7574031317898137309&amp;source=bitable&amp;path=pages/detail/index?instanceId=7574031317898137309&amp;source=bitable", "202511180089")</f>
        <v>202511180089</v>
      </c>
      <c r="B621" t="inlineStr">
        <is>
          <t>Approved</t>
        </is>
      </c>
      <c r="C621" t="inlineStr">
        <is>
          <t>Procurement Order</t>
        </is>
      </c>
      <c r="D621" s="3">
        <v>45979.82622685185</v>
      </c>
      <c r="E621" s="3">
        <v>45979.88315972222</v>
      </c>
      <c r="F621" t="inlineStr">
        <is>
          <t>Fatima Kathleen M. FLores</t>
        </is>
      </c>
      <c r="G621" t="inlineStr">
        <is>
          <t>Procurement</t>
        </is>
      </c>
      <c r="H621"/>
      <c r="I621"/>
      <c r="J621" t="inlineStr">
        <is>
          <t>Project</t>
        </is>
      </c>
      <c r="K621" t="inlineStr">
        <is>
          <t>PDEI - Game Marketing</t>
        </is>
      </c>
      <c r="L621" t="inlineStr">
        <is>
          <t>RO3 Pioneer GvG Closed Testing</t>
        </is>
      </c>
      <c r="M621" t="inlineStr">
        <is>
          <t>2025TEG-P0290</t>
        </is>
      </c>
      <c r="N621" t="inlineStr">
        <is>
          <t>Ronelle Kylene Chaneco Lim</t>
        </is>
      </c>
      <c r="O621" t="inlineStr">
        <is>
          <t>202511100049-Ronelle Kylene Chaneco Lim-费用报销 - 副本 - 副本 - 副本-2025-11-10 05:00:55</t>
        </is>
      </c>
      <c r="P621" t="inlineStr">
        <is>
          <t>NO</t>
        </is>
      </c>
      <c r="Q621"/>
      <c r="R621" t="inlineStr">
        <is>
          <t>NO</t>
        </is>
      </c>
      <c r="S621" t="inlineStr">
        <is>
          <t>Pull up Banner with Mechanism (33 x 78 inches)</t>
        </is>
      </c>
      <c r="T621">
        <v>4</v>
      </c>
      <c r="U621">
        <v>1800</v>
      </c>
      <c r="V621" t="inlineStr">
        <is>
          <t>PHP</t>
        </is>
      </c>
      <c r="W621">
        <v>7200</v>
      </c>
      <c r="X621" s="2" t="str">
        <f>=HYPERLINK("https://www.larksuite.com/approval/admin/previewAttachment?key=PMg9CgIxFATgK81kXjJ5XsYmyyKE3Ub8K3J2wcL2a51ovVItEcmS4HJ1QBTds1MWcpVFO2FaWtuxX-nXnJ_zXcbjHPNYz9vYtztruhRYEeoAePm7HBGZLfBzfgMAAP__", "2 attachment(s)")</f>
        <v>2 attachment(s)</v>
      </c>
      <c r="Y621"/>
      <c r="Z621"/>
      <c r="AA621"/>
      <c r="AB621"/>
      <c r="AC621"/>
      <c r="AD621" s="4"/>
      <c r="AE621"/>
      <c r="AF621" s="2"/>
      <c r="AG621" t="inlineStr">
        <is>
          <t>NzQyNTk5MTgyNzQ4MTg3MDM0MTo1RDhBNUJBMi0xNzVBLTQyRTctOUFENi1FMTlBQ0U2NjZBODgtMjozMGNjZjlmMDAwNWU0MGQ3ZDY4NjM4YmE4ZmUwNzUyZDox</t>
        </is>
      </c>
      <c r="AH621"/>
      <c r="AI621"/>
      <c r="AJ621" t="inlineStr">
        <is>
          <t>LIQUIDITY PLAN (PAR # 202511060116 / 2025TEG-P0290)
Marketing Collateral - Onsite Branding &gt;
Pull-up banner
Backdrop
Total Budget = Php 13,000.00
Actual Cost = Php 9,700.00
Balance = Php 3,300.00</t>
        </is>
      </c>
      <c r="AK621"/>
    </row>
    <row r="622" ht="25.5" customHeight="1">
      <c r="A622" s="2" t="str">
        <f>=HYPERLINK("https://applink.larksuite.com/client/mini_program/open?appId=cli_9c7cc8a9a9edd105&amp;mode=appCenter&amp;path_pc=pc/pages/requested/index?instanceId=7574020420915957474&amp;source=bitable&amp;path=pages/detail/index?instanceId=7574020420915957474&amp;source=bitable", "202511180082")</f>
        <v>202511180082</v>
      </c>
      <c r="B622" t="inlineStr">
        <is>
          <t>Approved</t>
        </is>
      </c>
      <c r="C622" t="inlineStr">
        <is>
          <t>Procurement Order</t>
        </is>
      </c>
      <c r="D622" s="3">
        <v>45979.79686342592</v>
      </c>
      <c r="E622" s="3">
        <v>45980.910416666666</v>
      </c>
      <c r="F622" t="inlineStr">
        <is>
          <t>Fatima Kathleen M. FLores</t>
        </is>
      </c>
      <c r="G622" t="inlineStr">
        <is>
          <t>Procurement</t>
        </is>
      </c>
      <c r="H622"/>
      <c r="I622"/>
      <c r="J622" t="inlineStr">
        <is>
          <t>Project</t>
        </is>
      </c>
      <c r="K622" t="inlineStr">
        <is>
          <t>GG - Event Service</t>
        </is>
      </c>
      <c r="L622" t="inlineStr">
        <is>
          <t>HOK KIC - Media Day</t>
        </is>
      </c>
      <c r="M622" t="inlineStr">
        <is>
          <t>2025TEG-P0307</t>
        </is>
      </c>
      <c r="N622" t="inlineStr">
        <is>
          <t>Carla Andrea Calma Crespo</t>
        </is>
      </c>
      <c r="O622" t="inlineStr">
        <is>
          <t>202511140077-Carla Andrea Calma Crespo-费用报销 - 副本 - 副本 - 副本-2025-11-14 10:04:51</t>
        </is>
      </c>
      <c r="P622" t="inlineStr">
        <is>
          <t>YES</t>
        </is>
      </c>
      <c r="Q622"/>
      <c r="R622" t="inlineStr">
        <is>
          <t>YES</t>
        </is>
      </c>
      <c r="S622" t="inlineStr">
        <is>
          <t>Outsourced Runners</t>
        </is>
      </c>
      <c r="T622">
        <v>1</v>
      </c>
      <c r="U622">
        <v>4800</v>
      </c>
      <c r="V622" t="inlineStr">
        <is>
          <t>PHP</t>
        </is>
      </c>
      <c r="W622">
        <v>4800</v>
      </c>
      <c r="X622" s="2" t="str">
        <f>=HYPERLINK("https://www.larksuite.com/approval/admin/previewAttachment?key=PMgxrgIxDATQK43tcSb-l_kNUcSyokJs57MjUdC-MQ1jpsUosMwL1koRDjrKslIU29ukgkwRvZ77P_M6z2V6z30cfPR1v-31siy5Q0HGBGB_Pw-RrBrE1_EJAAD__w", "2 attachment(s)")</f>
        <v>2 attachment(s)</v>
      </c>
      <c r="Y622" t="inlineStr">
        <is>
          <t>Bank Transfer</t>
        </is>
      </c>
      <c r="Z622" t="inlineStr">
        <is>
          <t>Marc Kevin Serrano</t>
        </is>
      </c>
      <c r="AA622" t="inlineStr">
        <is>
          <t>1519218972</t>
        </is>
      </c>
      <c r="AB622" t="inlineStr">
        <is>
          <t>BPI</t>
        </is>
      </c>
      <c r="AC622" t="inlineStr">
        <is>
          <t>3 Don Guillermo Street, Barangay Holy Spirit, Commonwealth, Quezon City</t>
        </is>
      </c>
      <c r="AD622" s="4">
        <v>45972</v>
      </c>
      <c r="AE622" t="inlineStr">
        <is>
          <t>100% Full Payment - Nov. 21, 2025</t>
        </is>
      </c>
      <c r="AF622" s="2"/>
      <c r="AG622" t="inlineStr">
        <is>
          <t>NzQyNTk5MTgyNzQ4MTg3MDM0MTpENzgwNjNBOC0xNTNCLTRFRjAtQTQyNi03NzVBNjc1RkE1MTgtMTpiMWE5MzJhMWQ4NTU3NzdkY2Y2Mjg4ZTY0NjdkZjY3Zjox</t>
        </is>
      </c>
      <c r="AH622" t="inlineStr">
        <is>
          <t>Marc Kevin Serrano</t>
        </is>
      </c>
      <c r="AI622"/>
      <c r="AJ622" t="inlineStr">
        <is>
          <t>LIQUIDITY PLAN (PAR # 202511070057 / 2025TEG-P0307)
1112 CE Media Day &gt; MEDIA DAY - STUDIO SHOOT &gt;
MEDIA DAY MANPOWER &gt; Liaisons &gt;
Runners
Total Budget = Php 3,400.00
This request = Php 4,800.00
Balance = (Php 1,400.00) OVER BUDGET</t>
        </is>
      </c>
      <c r="AK622"/>
    </row>
    <row r="623" ht="25.5" customHeight="1">
      <c r="A623" s="2" t="str">
        <f>=HYPERLINK("https://applink.larksuite.com/client/mini_program/open?appId=cli_9c7cc8a9a9edd105&amp;mode=appCenter&amp;path_pc=pc/pages/requested/index?instanceId=7569090314145713886&amp;source=bitable&amp;path=pages/detail/index?instanceId=7569090314145713886&amp;source=bitable", "202511050051")</f>
        <v>202511050051</v>
      </c>
      <c r="B623" t="inlineStr">
        <is>
          <t>Approved</t>
        </is>
      </c>
      <c r="C623" t="inlineStr">
        <is>
          <t>Procurement Order</t>
        </is>
      </c>
      <c r="D623" s="3">
        <v>45966.51121527778</v>
      </c>
      <c r="E623" s="3">
        <v>45986.79287037037</v>
      </c>
      <c r="F623" t="inlineStr">
        <is>
          <t>Fatima Kathleen M. FLores</t>
        </is>
      </c>
      <c r="G623" t="inlineStr">
        <is>
          <t>Procurement</t>
        </is>
      </c>
      <c r="H623"/>
      <c r="I623"/>
      <c r="J623" t="inlineStr">
        <is>
          <t>Project</t>
        </is>
      </c>
      <c r="K623" t="inlineStr">
        <is>
          <t>PDEI - Game Marketing</t>
        </is>
      </c>
      <c r="L623" t="inlineStr">
        <is>
          <t>BingoPlus Music Fest - Alan Walker</t>
        </is>
      </c>
      <c r="M623" t="inlineStr">
        <is>
          <t>2025TEG-P0260</t>
        </is>
      </c>
      <c r="N623" t="inlineStr">
        <is>
          <t>Clifford Markus Ortiz Martinez</t>
        </is>
      </c>
      <c r="O623" t="inlineStr">
        <is>
          <t>202510220056-Clifford Markus Ortiz Martinez-费用报销 - 副本 - 副本 - 副本-2025-10-22 06:16:33</t>
        </is>
      </c>
      <c r="P623" t="inlineStr">
        <is>
          <t>NO</t>
        </is>
      </c>
      <c r="Q623"/>
      <c r="R623" t="inlineStr">
        <is>
          <t>YES</t>
        </is>
      </c>
      <c r="S623" t="inlineStr">
        <is>
          <t>A3 Posters (Material: C2S#200 / 300gsm)</t>
        </is>
      </c>
      <c r="T623">
        <v>10</v>
      </c>
      <c r="U623">
        <v>324.33</v>
      </c>
      <c r="V623" t="inlineStr">
        <is>
          <t>PHP</t>
        </is>
      </c>
      <c r="W623">
        <v>3243.3</v>
      </c>
      <c r="X623" s="2"/>
      <c r="Y623" t="inlineStr">
        <is>
          <t>Bank Transfer</t>
        </is>
      </c>
      <c r="Z623" t="inlineStr">
        <is>
          <t>Bescost Digital Marketing Services Inc.</t>
        </is>
      </c>
      <c r="AA623" t="inlineStr">
        <is>
          <t>00000-5674-8951</t>
        </is>
      </c>
      <c r="AB623" t="inlineStr">
        <is>
          <t>Security Bank</t>
        </is>
      </c>
      <c r="AC623" t="inlineStr">
        <is>
          <t>5105-A Sulok St., Brgy. Ugong, Valenzuela City</t>
        </is>
      </c>
      <c r="AD623" s="4">
        <v>45954</v>
      </c>
      <c r="AE623" t="inlineStr">
        <is>
          <t>100% Full Payment - 15 days upon complete delivery</t>
        </is>
      </c>
      <c r="AF623" s="2"/>
      <c r="AG623" t="inlineStr">
        <is>
          <t>NzQyNTk5MTgyNzQ4MTg3MDM0MTpFMzdGNThCNi0yODcyLTRFODktODI2My0xQjE0QkJBNkY4N0ItMTo5N2FlYTBmNGE5ZjZmYTA2OTAzNWYyNjExNjA5MWUxNzox</t>
        </is>
      </c>
      <c r="AH623" t="inlineStr">
        <is>
          <t>Bescost Digital Marketing Services Inc.</t>
        </is>
      </c>
      <c r="AI623"/>
      <c r="AJ623" t="inlineStr">
        <is>
          <t>No line item in internal CE.</t>
        </is>
      </c>
      <c r="AK623"/>
    </row>
    <row r="624" ht="25.5" customHeight="1">
      <c r="A624" s="2" t="str">
        <f>=HYPERLINK("https://applink.larksuite.com/client/mini_program/open?appId=cli_9c7cc8a9a9edd105&amp;mode=appCenter&amp;path_pc=pc/pages/requested/index?instanceId=7569090314145713886&amp;source=bitable&amp;path=pages/detail/index?instanceId=7569090314145713886&amp;source=bitable", "202511050051")</f>
        <v>202511050051</v>
      </c>
      <c r="B624" t="inlineStr">
        <is>
          <t>Approved</t>
        </is>
      </c>
      <c r="C624" t="inlineStr">
        <is>
          <t>Procurement Order</t>
        </is>
      </c>
      <c r="D624" s="3">
        <v>45966.51121527778</v>
      </c>
      <c r="E624" s="3">
        <v>45986.79287037037</v>
      </c>
      <c r="F624" t="inlineStr">
        <is>
          <t>Fatima Kathleen M. FLores</t>
        </is>
      </c>
      <c r="G624" t="inlineStr">
        <is>
          <t>Procurement</t>
        </is>
      </c>
      <c r="H624"/>
      <c r="I624"/>
      <c r="J624" t="inlineStr">
        <is>
          <t>Project</t>
        </is>
      </c>
      <c r="K624" t="inlineStr">
        <is>
          <t>PDEI - Game Marketing</t>
        </is>
      </c>
      <c r="L624" t="inlineStr">
        <is>
          <t>BingoPlus Music Fest - Alan Walker</t>
        </is>
      </c>
      <c r="M624" t="inlineStr">
        <is>
          <t>2025TEG-P0260</t>
        </is>
      </c>
      <c r="N624" t="inlineStr">
        <is>
          <t>Clifford Markus Ortiz Martinez</t>
        </is>
      </c>
      <c r="O624" t="inlineStr">
        <is>
          <t>202510220056-Clifford Markus Ortiz Martinez-费用报销 - 副本 - 副本 - 副本-2025-10-22 06:16:33</t>
        </is>
      </c>
      <c r="P624" t="inlineStr">
        <is>
          <t>NO</t>
        </is>
      </c>
      <c r="Q624"/>
      <c r="R624" t="inlineStr">
        <is>
          <t>YES</t>
        </is>
      </c>
      <c r="S624" t="inlineStr">
        <is>
          <t>Rush Fee</t>
        </is>
      </c>
      <c r="T624">
        <v>1</v>
      </c>
      <c r="U624">
        <v>649.6</v>
      </c>
      <c r="V624" t="inlineStr">
        <is>
          <t>PHP</t>
        </is>
      </c>
      <c r="W624">
        <v>649.6</v>
      </c>
      <c r="X624" s="2" t="str">
        <f>=HYPERLINK("https://www.larksuite.com/approval/admin/previewAttachment?key=PMi7DcJAGAPgleyz73-wDA1RRECpEHQ3OxIF7RdFRE0qGm6OBlfOaDRE0zOpqlhjMbORTGlt534tz02P52HqfepYn_tt316cnWMgZasA8PJ3pe3uMH7ObwAAAP__", "2 attachment(s)")</f>
        <v>2 attachment(s)</v>
      </c>
      <c r="Y624"/>
      <c r="Z624"/>
      <c r="AA624"/>
      <c r="AB624"/>
      <c r="AC624"/>
      <c r="AD624" s="4"/>
      <c r="AE624"/>
      <c r="AF624" s="2"/>
      <c r="AG624" t="inlineStr">
        <is>
          <t>NzQyNTk5MTgyNzQ4MTg3MDM0MTpFMzdGNThCNi0yODcyLTRFODktODI2My0xQjE0QkJBNkY4N0ItMjpmNmNmYzYyZTE5ZWUzODI1ZjBjYmRjZWZhODhhMzQ4Yjox</t>
        </is>
      </c>
      <c r="AH624"/>
      <c r="AI624"/>
      <c r="AJ624" t="inlineStr">
        <is>
          <t>No line item in internal CE.</t>
        </is>
      </c>
      <c r="AK624"/>
    </row>
    <row r="625" ht="25.5" customHeight="1">
      <c r="A625" s="2" t="str">
        <f>=HYPERLINK("https://applink.larksuite.com/client/mini_program/open?appId=cli_9c7cc8a9a9edd105&amp;mode=appCenter&amp;path_pc=pc/pages/requested/index?instanceId=7574663111462883036&amp;source=bitable&amp;path=pages/detail/index?instanceId=7574663111462883036&amp;source=bitable", "202511200027")</f>
        <v>202511200027</v>
      </c>
      <c r="B625" t="inlineStr">
        <is>
          <t>Approved</t>
        </is>
      </c>
      <c r="C625" t="inlineStr">
        <is>
          <t>Procurement Order</t>
        </is>
      </c>
      <c r="D625" s="3">
        <v>45981.52878472222</v>
      </c>
      <c r="E625" s="3">
        <v>45981.90802083333</v>
      </c>
      <c r="F625" t="inlineStr">
        <is>
          <t>Fatima Kathleen M. FLores</t>
        </is>
      </c>
      <c r="G625" t="inlineStr">
        <is>
          <t>Procurement</t>
        </is>
      </c>
      <c r="H625"/>
      <c r="I625"/>
      <c r="J625" t="inlineStr">
        <is>
          <t>Project</t>
        </is>
      </c>
      <c r="K625" t="inlineStr">
        <is>
          <t>GG - Event Service</t>
        </is>
      </c>
      <c r="L625" t="inlineStr">
        <is>
          <t>HOK KIC OOH</t>
        </is>
      </c>
      <c r="M625" t="inlineStr">
        <is>
          <t>2025TEG-P0286</t>
        </is>
      </c>
      <c r="N625" t="inlineStr">
        <is>
          <t>Carla Andrea Calma Crespo</t>
        </is>
      </c>
      <c r="O625" t="inlineStr">
        <is>
          <t>202511170076-Carla Andrea Calma Crespo-费用报销 - 副本 - 副本 - 副本-2025-11-17 09:34:00</t>
        </is>
      </c>
      <c r="P625" t="inlineStr">
        <is>
          <t>NO</t>
        </is>
      </c>
      <c r="Q625"/>
      <c r="R625" t="inlineStr">
        <is>
          <t>NO</t>
        </is>
      </c>
      <c r="S625" t="inlineStr">
        <is>
          <t>TAXI TOP ADS (TOBLERONE) (1 MONTH)</t>
        </is>
      </c>
      <c r="T625">
        <v>1</v>
      </c>
      <c r="U625">
        <v>182784</v>
      </c>
      <c r="V625" t="inlineStr">
        <is>
          <t>PHP</t>
        </is>
      </c>
      <c r="W625">
        <v>182784</v>
      </c>
      <c r="X625" s="2" t="str">
        <f>=HYPERLINK("https://www.larksuite.com/approval/admin/previewAttachment?key=PMhBqgJBDATQK1Ul6VTnX-ZvHBoHRxCEERc5u-DC7ctJ5Bz0LETRCmwNRaaTjLQ5HZ5tTakgyr23-_q383Xb9zXedjwOqs_rZW1PjpIZ5BE-AfDv566IqMrA1_EJAAD__w", "2 attachment(s)")</f>
        <v>2 attachment(s)</v>
      </c>
      <c r="Y625" t="inlineStr">
        <is>
          <t>Bank Transfer</t>
        </is>
      </c>
      <c r="Z625" t="inlineStr">
        <is>
          <t>Activesigns International Corporation</t>
        </is>
      </c>
      <c r="AA625" t="inlineStr">
        <is>
          <t>0211-029980-001</t>
        </is>
      </c>
      <c r="AB625" t="inlineStr">
        <is>
          <t>Security Bank</t>
        </is>
      </c>
      <c r="AC625" t="inlineStr">
        <is>
          <t>Block 206 P. Martinez Street Daang Bakal, Mandaluyong</t>
        </is>
      </c>
      <c r="AD625" s="4">
        <v>45981</v>
      </c>
      <c r="AE625" t="inlineStr">
        <is>
          <t>100% Full Payment - Nov. 21, 2025</t>
        </is>
      </c>
      <c r="AF625" s="2" t="str">
        <f>=HYPERLINK("https://www.larksuite.com/approval/admin/previewAttachment?key=TMhBqgJBDATQK1V10pXkX-ZvHBoHRxCEERc5u-DK7VMSyklTwYujwI4ZLhlJ18g0mHo0IwrBMOvtvv7H-brt-5rvcTwORp_Xy9qeVJrgNd1ZAPj34yQqTfZ1fAIAAP__", "2 attachment(s)")</f>
        <v>2 attachment(s)</v>
      </c>
      <c r="AG625" t="inlineStr">
        <is>
          <t>NzQyNTk5MTgyNzQ4MTg3MDM0MTo0N0NGRTVDMy02ODk2LTRBNkMtODM3RS04RDU3Q0JGNDdFQzUtMTo1Zjc1NmFkMjRlMzY4MDRmYzA2OTkxOTBlZDJjZDUxNjox</t>
        </is>
      </c>
      <c r="AH625" t="inlineStr">
        <is>
          <t>Activesigns International Corporation</t>
        </is>
      </c>
      <c r="AI625"/>
      <c r="AJ625" t="inlineStr">
        <is>
          <t>LIQUIDITY PLAN (PAR # 202511070034 / 2025TEG-P0286)
OOH Marketing &gt; Taxi Tops Ads
Total Budget = Php 182,784.00
Actual Cost = Php 182,784.00</t>
        </is>
      </c>
      <c r="AK625"/>
    </row>
    <row r="626" ht="25.5" customHeight="1">
      <c r="A626" s="2" t="str">
        <f>=HYPERLINK("https://applink.larksuite.com/client/mini_program/open?appId=cli_9c7cc8a9a9edd105&amp;mode=appCenter&amp;path_pc=pc/pages/requested/index?instanceId=7574715379709218525&amp;source=bitable&amp;path=pages/detail/index?instanceId=7574715379709218525&amp;source=bitable", "202511200086")</f>
        <v>202511200086</v>
      </c>
      <c r="B626" t="inlineStr">
        <is>
          <t>Approved</t>
        </is>
      </c>
      <c r="C626" t="inlineStr">
        <is>
          <t>Procurement Order</t>
        </is>
      </c>
      <c r="D626" s="3">
        <v>45981.669641203705</v>
      </c>
      <c r="E626" s="3">
        <v>45981.90724537037</v>
      </c>
      <c r="F626" t="inlineStr">
        <is>
          <t>Fatima Kathleen M. FLores</t>
        </is>
      </c>
      <c r="G626" t="inlineStr">
        <is>
          <t>Procurement</t>
        </is>
      </c>
      <c r="H626"/>
      <c r="I626"/>
      <c r="J626" t="inlineStr">
        <is>
          <t>Project</t>
        </is>
      </c>
      <c r="K626" t="inlineStr">
        <is>
          <t>GG - Event Service</t>
        </is>
      </c>
      <c r="L626" t="inlineStr">
        <is>
          <t>HOK KIC OOH</t>
        </is>
      </c>
      <c r="M626" t="inlineStr">
        <is>
          <t>2025TEG-P0286</t>
        </is>
      </c>
      <c r="N626" t="inlineStr">
        <is>
          <t>Carla Andrea Calma Crespo</t>
        </is>
      </c>
      <c r="O626" t="inlineStr">
        <is>
          <t>202511180018-Carla Andrea Calma Crespo-费用报销 - 副本 - 副本 - 副本-2025-11-18 03:15:37</t>
        </is>
      </c>
      <c r="P626" t="inlineStr">
        <is>
          <t>NO</t>
        </is>
      </c>
      <c r="Q626"/>
      <c r="R626" t="inlineStr">
        <is>
          <t>NO</t>
        </is>
      </c>
      <c r="S626" t="inlineStr">
        <is>
          <t>OOH CAMPAIGN : BUS (Nov. 15 to Dec. 14, 2025)</t>
        </is>
      </c>
      <c r="T626">
        <v>1</v>
      </c>
      <c r="U626">
        <v>283360</v>
      </c>
      <c r="V626" t="inlineStr">
        <is>
          <t>PHP</t>
        </is>
      </c>
      <c r="W626">
        <v>283360</v>
      </c>
      <c r="X626" s="2" t="str">
        <f>=HYPERLINK("https://www.larksuite.com/approval/admin/previewAttachment?key=PMhNCsIwFATgK828n0yel3HTEoRWCAh1lbMLLrr9WidaT3orRNEKXEqFmK4SytjTctmiVBDlvvb3eB52XnluI-bM7zzW9drG_mGWzCCP8A6Aj9tdEVHVAn_HLwAA__8", "2 attachment(s)")</f>
        <v>2 attachment(s)</v>
      </c>
      <c r="Y626" t="inlineStr">
        <is>
          <t>Bank Transfer</t>
        </is>
      </c>
      <c r="Z626" t="inlineStr">
        <is>
          <t>UNITED TRANSIT ADS SYSTEMS INC</t>
        </is>
      </c>
      <c r="AA626" t="inlineStr">
        <is>
          <t>005360183250</t>
        </is>
      </c>
      <c r="AB626" t="inlineStr">
        <is>
          <t>BDO</t>
        </is>
      </c>
      <c r="AC626" t="inlineStr">
        <is>
          <t>115 Chinkiang Street, Brgy. 18, Pasay City</t>
        </is>
      </c>
      <c r="AD626" s="4">
        <v>45976</v>
      </c>
      <c r="AE626" t="inlineStr">
        <is>
          <t>100% Full Payment - Nov. 21, 2025</t>
        </is>
      </c>
      <c r="AF626" s="2" t="str">
        <f>=HYPERLINK("https://www.larksuite.com/approval/admin/previewAttachment?key=TMg9CsJAEAXgK7238-9lbBIWIREWhFjN2QWrtJ8n4WkUL2hxFNhhoUGTqEANpg3r0YwoBEOk9_d8HuO87NymrmXfdfT12ub-oac4tEyVBYCPm5OoFJe_4xcAAP__", "2 attachment(s)")</f>
        <v>2 attachment(s)</v>
      </c>
      <c r="AG626" t="inlineStr">
        <is>
          <t>NzQyNTk5MTgyNzQ4MTg3MDM0MTo5RUM3Qzk1NS03NzZCLTQ2MzQtQkUzMC1CMjU4REVFMDA3QUItMTpkMDA4ODdjNjA4YjcyMTA5OTZhMThjNGQwYjEyMWZkZjox</t>
        </is>
      </c>
      <c r="AH626" t="inlineStr">
        <is>
          <t>UNITED TRANSIT ADS SYSTEMS INC</t>
        </is>
      </c>
      <c r="AI626"/>
      <c r="AJ626" t="inlineStr">
        <is>
          <t>LIQUIDITY PLAN (PAR # 202511070034 / 2025TEG-P0286)
OOH Marketing &gt; Bus Ads and ASC Permit
Total Budget = Php 283,360.00
Actual Cost = Php 283,360.00</t>
        </is>
      </c>
      <c r="AK626"/>
    </row>
    <row r="627" ht="25.5" customHeight="1">
      <c r="A627" s="2" t="str">
        <f>=HYPERLINK("https://applink.larksuite.com/client/mini_program/open?appId=cli_9c7cc8a9a9edd105&amp;mode=appCenter&amp;path_pc=pc/pages/requested/index?instanceId=7575007945478737634&amp;source=bitable&amp;path=pages/detail/index?instanceId=7575007945478737634&amp;source=bitable", "202511210017")</f>
        <v>202511210017</v>
      </c>
      <c r="B627" t="inlineStr">
        <is>
          <t>Approved</t>
        </is>
      </c>
      <c r="C627" t="inlineStr">
        <is>
          <t>Procurement Order</t>
        </is>
      </c>
      <c r="D627" s="3">
        <v>45982.45804398148</v>
      </c>
      <c r="E627" s="3">
        <v>45982.515868055554</v>
      </c>
      <c r="F627" t="inlineStr">
        <is>
          <t>Fatima Kathleen M. FLores</t>
        </is>
      </c>
      <c r="G627" t="inlineStr">
        <is>
          <t>Procurement</t>
        </is>
      </c>
      <c r="H627"/>
      <c r="I627"/>
      <c r="J627" t="inlineStr">
        <is>
          <t>Project</t>
        </is>
      </c>
      <c r="K627" t="inlineStr">
        <is>
          <t>PDEI - Game Marketing</t>
        </is>
      </c>
      <c r="L627" t="inlineStr">
        <is>
          <t>RO3 Pioneer GvG Closed Testing</t>
        </is>
      </c>
      <c r="M627" t="inlineStr">
        <is>
          <t>2025TEG-P0290</t>
        </is>
      </c>
      <c r="N627" t="inlineStr">
        <is>
          <t>Ronelle Kylene Chaneco Lim</t>
        </is>
      </c>
      <c r="O627" t="inlineStr">
        <is>
          <t>202511210014-Ronelle Kylene Chaneco Lim-费用报销 - 副本 - 副本 - 副本-2025-11-21 02:41:46</t>
        </is>
      </c>
      <c r="P627" t="inlineStr">
        <is>
          <t>NO</t>
        </is>
      </c>
      <c r="Q627"/>
      <c r="R627" t="inlineStr">
        <is>
          <t>NO</t>
        </is>
      </c>
      <c r="S627" t="inlineStr">
        <is>
          <t>Food Catering Services (100 pax + 15 Crew Meals)</t>
        </is>
      </c>
      <c r="T627">
        <v>1</v>
      </c>
      <c r="U627">
        <v>37000</v>
      </c>
      <c r="V627" t="inlineStr">
        <is>
          <t>PHP</t>
        </is>
      </c>
      <c r="W627">
        <v>37000</v>
      </c>
      <c r="X627" s="2" t="str">
        <f>=HYPERLINK("https://www.larksuite.com/approval/admin/previewAttachment?key=PMi7DQJBDATQlsbrsWdNMyScThy_BGlF4tqRCEhfTkPOMM8Cy0bBWqEAVAxqypXOHm1SQSb33p77-XM7ht1x-KIeevW6XvbtbVEaA3LSJwA7_d1FsiqJn-MbAAD__w", "2 attachment(s)")</f>
        <v>2 attachment(s)</v>
      </c>
      <c r="Y627" t="inlineStr">
        <is>
          <t>Bank Transfer</t>
        </is>
      </c>
      <c r="Z627" t="inlineStr">
        <is>
          <t>M AND A EVENT CATERING SERVICES</t>
        </is>
      </c>
      <c r="AA627" t="inlineStr">
        <is>
          <t>4579 3702 84</t>
        </is>
      </c>
      <c r="AB627" t="inlineStr">
        <is>
          <t>BPI</t>
        </is>
      </c>
      <c r="AC627" t="inlineStr">
        <is>
          <t>45 C Langka St., Balingasa, QC</t>
        </is>
      </c>
      <c r="AD627" s="4">
        <v>45983</v>
      </c>
      <c r="AE627" t="inlineStr">
        <is>
          <t>50% Down payment upon confirmation
50% Final Payment upon completion of services</t>
        </is>
      </c>
      <c r="AF627" s="2" t="str">
        <f>=HYPERLINK("https://www.larksuite.com/approval/admin/previewAttachment?key=TMg7CsIAEATQK81kP7PrZWwMwfhrhGCzZxesbF8WkRW0bHhzaXAUCkDt4SqZ0nyWodQQZTbrczt_bvvCO3Y7XA-95rhetvXNLEt4hzsbAE9_TqLL0n6ObwAAAP__", "5 attachment(s)")</f>
        <v>5 attachment(s)</v>
      </c>
      <c r="AG627" t="inlineStr">
        <is>
          <t>NzQyNTk5MTgyNzQ4MTg3MDM0MTpCNEM5MkI4RS1DMzJDLTQ4MUYtQTVGMi03OTc5NUNCQjY4QTUtMTowM2U4ZGU3MTI4MjMyMWY1ZWI2NTcwNGJlMWQ1NDY1MDox</t>
        </is>
      </c>
      <c r="AH627" t="inlineStr">
        <is>
          <t>M AND A EVENT CATERING SERVICES</t>
        </is>
      </c>
      <c r="AI627"/>
      <c r="AJ627" t="inlineStr">
        <is>
          <t>LIQUIDITY PLAN (PAR # 202511060116 / 2025TEG-P0290)
Food and Beverage &gt; 
Event Meals
Crew Meals
Craft
Total Budget = Php 37,000.00
Actual Cost = Php 37,000.00</t>
        </is>
      </c>
      <c r="AK627"/>
    </row>
    <row r="628" ht="25.5" customHeight="1">
      <c r="A628" s="2" t="str">
        <f>=HYPERLINK("https://applink.larksuite.com/client/mini_program/open?appId=cli_9c7cc8a9a9edd105&amp;mode=appCenter&amp;path_pc=pc/pages/requested/index?instanceId=7575038766922895068&amp;source=bitable&amp;path=pages/detail/index?instanceId=7575038766922895068&amp;source=bitable", "202511210029")</f>
        <v>202511210029</v>
      </c>
      <c r="B628" t="inlineStr">
        <is>
          <t>Approved</t>
        </is>
      </c>
      <c r="C628" t="inlineStr">
        <is>
          <t>Procurement Order</t>
        </is>
      </c>
      <c r="D628" s="3">
        <v>45982.54109953704</v>
      </c>
      <c r="E628" s="3">
        <v>45986.77253472222</v>
      </c>
      <c r="F628" t="inlineStr">
        <is>
          <t>Fatima Kathleen M. FLores</t>
        </is>
      </c>
      <c r="G628" t="inlineStr">
        <is>
          <t>Procurement</t>
        </is>
      </c>
      <c r="H628"/>
      <c r="I628"/>
      <c r="J628" t="inlineStr">
        <is>
          <t>Project</t>
        </is>
      </c>
      <c r="K628" t="inlineStr">
        <is>
          <t>PDEI - Event Service</t>
        </is>
      </c>
      <c r="L628" t="inlineStr">
        <is>
          <t>BPI Bankers Cup 2</t>
        </is>
      </c>
      <c r="M628" t="inlineStr">
        <is>
          <t>2025TEG-P0272</t>
        </is>
      </c>
      <c r="N628" t="inlineStr">
        <is>
          <t>Kervin</t>
        </is>
      </c>
      <c r="O628" t="inlineStr">
        <is>
          <t>202511060017-Kervin-费用报销 - 副本 - 副本 - 副本-2025-11-06 03:23:30</t>
        </is>
      </c>
      <c r="P628" t="inlineStr">
        <is>
          <t>YES</t>
        </is>
      </c>
      <c r="Q628"/>
      <c r="R628" t="inlineStr">
        <is>
          <t>NO</t>
        </is>
      </c>
      <c r="S628" t="inlineStr">
        <is>
          <t>Outsourced Talent / Caster</t>
        </is>
      </c>
      <c r="T628">
        <v>1</v>
      </c>
      <c r="U628">
        <v>9400</v>
      </c>
      <c r="V628" t="inlineStr">
        <is>
          <t>PHP</t>
        </is>
      </c>
      <c r="W628">
        <v>9400</v>
      </c>
      <c r="X628" s="2" t="str">
        <f>=HYPERLINK("https://www.larksuite.com/approval/admin/previewAttachment?key=PMg9CgJBDAXgK738TJLnZWxmGWyUBVGmydkFi22_KEHUEAvCKUpI58gBq4yganEgqrUlk0hJsz6e6_6SfS7u_RGd51z9fcx1vGUwVZHmbgVAbpdbujsZjr_jFwAA__8", "2 attachment(s)")</f>
        <v>2 attachment(s)</v>
      </c>
      <c r="Y628" t="inlineStr">
        <is>
          <t>Bank Transfer</t>
        </is>
      </c>
      <c r="Z628" t="inlineStr">
        <is>
          <t>Rikaexa Paloma</t>
        </is>
      </c>
      <c r="AA628" t="inlineStr">
        <is>
          <t>4859070642</t>
        </is>
      </c>
      <c r="AB628" t="inlineStr">
        <is>
          <t>BPI</t>
        </is>
      </c>
      <c r="AC628" t="inlineStr">
        <is>
          <t>75 M. Santos St. Santolan Malabon</t>
        </is>
      </c>
      <c r="AD628" s="4">
        <v>45974</v>
      </c>
      <c r="AE628" t="inlineStr">
        <is>
          <t>100% Full payment - Nov. 28, 2025</t>
        </is>
      </c>
      <c r="AF628" s="2"/>
      <c r="AG628" t="inlineStr">
        <is>
          <t>NzQyNTk5MTgyNzQ4MTg3MDM0MTpDQjE3RTA3Ri1CNDBELTQ0OTUtOTM0MC1FMUZFMUE0ODkwODYtMTpiOTZiM2NkMzhmZmE5NzNiOWM4MDBjM2NhNGRhZTZhNTox</t>
        </is>
      </c>
      <c r="AH628" t="inlineStr">
        <is>
          <t>Rikaexa Paloma</t>
        </is>
      </c>
      <c r="AI628"/>
      <c r="AJ628" t="inlineStr">
        <is>
          <t>LIQUIDITY PLAN (PAR # 202510230081 / 2025TEG-P0272)
Talents &gt;
Host
Shoutcaster
Total Budget = Php 30,000.00
Actual Cost = Php 9,400.00
Balance = Php 20,600.00</t>
        </is>
      </c>
      <c r="AK628"/>
    </row>
    <row r="629" ht="25.5" customHeight="1">
      <c r="A629" s="2" t="str">
        <f>=HYPERLINK("https://applink.larksuite.com/client/mini_program/open?appId=cli_9c7cc8a9a9edd105&amp;mode=appCenter&amp;path_pc=pc/pages/requested/index?instanceId=7575039334168940255&amp;source=bitable&amp;path=pages/detail/index?instanceId=7575039334168940255&amp;source=bitable", "202511210030")</f>
        <v>202511210030</v>
      </c>
      <c r="B629" t="inlineStr">
        <is>
          <t>Approved</t>
        </is>
      </c>
      <c r="C629" t="inlineStr">
        <is>
          <t>Procurement Order</t>
        </is>
      </c>
      <c r="D629" s="3">
        <v>45982.54263888889</v>
      </c>
      <c r="E629" s="3">
        <v>45986.77318287037</v>
      </c>
      <c r="F629" t="inlineStr">
        <is>
          <t>Fatima Kathleen M. FLores</t>
        </is>
      </c>
      <c r="G629" t="inlineStr">
        <is>
          <t>Procurement</t>
        </is>
      </c>
      <c r="H629"/>
      <c r="I629"/>
      <c r="J629" t="inlineStr">
        <is>
          <t>Project</t>
        </is>
      </c>
      <c r="K629" t="inlineStr">
        <is>
          <t>PDEI - Event Service</t>
        </is>
      </c>
      <c r="L629" t="inlineStr">
        <is>
          <t>BPI Bankers Cup 2</t>
        </is>
      </c>
      <c r="M629" t="inlineStr">
        <is>
          <t>2025TEG-P0272</t>
        </is>
      </c>
      <c r="N629" t="inlineStr">
        <is>
          <t>Kervin</t>
        </is>
      </c>
      <c r="O629" t="inlineStr">
        <is>
          <t>202511060017-Kervin-费用报销 - 副本 - 副本 - 副本-2025-11-06 03:23:30</t>
        </is>
      </c>
      <c r="P629" t="inlineStr">
        <is>
          <t>YES</t>
        </is>
      </c>
      <c r="Q629"/>
      <c r="R629" t="inlineStr">
        <is>
          <t>NO</t>
        </is>
      </c>
      <c r="S629" t="inlineStr">
        <is>
          <t>Outsourced Talent / Host</t>
        </is>
      </c>
      <c r="T629">
        <v>1</v>
      </c>
      <c r="U629">
        <v>9400</v>
      </c>
      <c r="V629" t="inlineStr">
        <is>
          <t>PHP</t>
        </is>
      </c>
      <c r="W629">
        <v>9400</v>
      </c>
      <c r="X629" s="2" t="str">
        <f>=HYPERLINK("https://www.larksuite.com/approval/admin/previewAttachment?key=PMgxikJBEATQK1V3V09N7WU28fNRQRCEAYM5u2Bg-sYMjNlRw6AjjdhqNcpVjDFNZPfOHZKhUNU-Huf_e92aqae51Hftdb2cxyvayoSKrAkg_n5eImkP4uv4BAAA__8", "2 attachment(s)")</f>
        <v>2 attachment(s)</v>
      </c>
      <c r="Y629" t="inlineStr">
        <is>
          <t>Bank Transfer</t>
        </is>
      </c>
      <c r="Z629" t="inlineStr">
        <is>
          <t>Hans Christian A. Galeria</t>
        </is>
      </c>
      <c r="AA629" t="inlineStr">
        <is>
          <t>9729330091</t>
        </is>
      </c>
      <c r="AB629" t="inlineStr">
        <is>
          <t>BPI</t>
        </is>
      </c>
      <c r="AC629" t="inlineStr">
        <is>
          <t>Unit 4L, 1808 Sonno Makati, Concepcion St., Brgy. Valenzuela, Makati</t>
        </is>
      </c>
      <c r="AD629" s="4">
        <v>45974</v>
      </c>
      <c r="AE629" t="inlineStr">
        <is>
          <t>100% Full payment - Nov. 28, 2025</t>
        </is>
      </c>
      <c r="AF629" s="2"/>
      <c r="AG629" t="inlineStr">
        <is>
          <t>NzQyNTk5MTgyNzQ4MTg3MDM0MTo4QThCMkEwRi03M0JGLTQ4MTItODExRC1ENjZCNUFCMDgzQzUtMTo3ZjliNDQxZjE3NjQyODYwY2M1NWIyMWVlYmY1NTJlNzox</t>
        </is>
      </c>
      <c r="AH629" t="inlineStr">
        <is>
          <t>Hans Christian A. Galeria</t>
        </is>
      </c>
      <c r="AI629"/>
      <c r="AJ629" t="inlineStr">
        <is>
          <t>LIQUIDITY PLAN (PAR # 202510230081 / 2025TEG-P0272)
Talents &gt;
Host
Shoutcaster
Total Remaining Budget = Php 20,600.00
Actual Cost = Php 9,400.00
Balance = Php 11,200.00</t>
        </is>
      </c>
      <c r="AK629"/>
    </row>
    <row r="630" ht="25.5" customHeight="1">
      <c r="A630" s="2" t="str">
        <f>=HYPERLINK("https://applink.larksuite.com/client/mini_program/open?appId=cli_9c7cc8a9a9edd105&amp;mode=appCenter&amp;path_pc=pc/pages/requested/index?instanceId=7575043050817261281&amp;source=bitable&amp;path=pages/detail/index?instanceId=7575043050817261281&amp;source=bitable", "202511210036")</f>
        <v>202511210036</v>
      </c>
      <c r="B630" t="inlineStr">
        <is>
          <t>Approved</t>
        </is>
      </c>
      <c r="C630" t="inlineStr">
        <is>
          <t>Procurement Order</t>
        </is>
      </c>
      <c r="D630" s="3">
        <v>45982.55265046296</v>
      </c>
      <c r="E630" s="3">
        <v>45986.77384259259</v>
      </c>
      <c r="F630" t="inlineStr">
        <is>
          <t>Fatima Kathleen M. FLores</t>
        </is>
      </c>
      <c r="G630" t="inlineStr">
        <is>
          <t>Procurement</t>
        </is>
      </c>
      <c r="H630"/>
      <c r="I630"/>
      <c r="J630" t="inlineStr">
        <is>
          <t>Project</t>
        </is>
      </c>
      <c r="K630" t="inlineStr">
        <is>
          <t>PDEI - Event Service</t>
        </is>
      </c>
      <c r="L630" t="inlineStr">
        <is>
          <t>BPI Bankers Cup 2</t>
        </is>
      </c>
      <c r="M630" t="inlineStr">
        <is>
          <t>2025TEG-P0272</t>
        </is>
      </c>
      <c r="N630" t="inlineStr">
        <is>
          <t>Kervin</t>
        </is>
      </c>
      <c r="O630" t="inlineStr">
        <is>
          <t>202511110072-Kervin-费用报销 - 副本 - 副本 - 副本-2025-11-11 07:32:23</t>
        </is>
      </c>
      <c r="P630" t="inlineStr">
        <is>
          <t>YES</t>
        </is>
      </c>
      <c r="Q630"/>
      <c r="R630" t="inlineStr">
        <is>
          <t>NO</t>
        </is>
      </c>
      <c r="S630" t="inlineStr">
        <is>
          <t>Outsourced Camera Operator</t>
        </is>
      </c>
      <c r="T630">
        <v>1</v>
      </c>
      <c r="U630">
        <v>2000</v>
      </c>
      <c r="V630" t="inlineStr">
        <is>
          <t>PHP</t>
        </is>
      </c>
      <c r="W630">
        <v>2000</v>
      </c>
      <c r="X630" s="2" t="str">
        <f>=HYPERLINK("https://www.larksuite.com/approval/admin/previewAttachment?key=PMhBqoIxDATgK80kaSd5l3kbS_EXKoL4g4ueXXDh9utJ9Gz0XoiiFbjV1BCOhqSs05LbNqWCKPc91vyv23s-XiPXuh_HiX1eL3M82UpmkEd4AuDfz10RUdUDX8cnAAD__w", "2 attachment(s)")</f>
        <v>2 attachment(s)</v>
      </c>
      <c r="Y630" t="inlineStr">
        <is>
          <t>Bank Transfer</t>
        </is>
      </c>
      <c r="Z630" t="inlineStr">
        <is>
          <t>Mark Arthur Cambaya</t>
        </is>
      </c>
      <c r="AA630" t="inlineStr">
        <is>
          <t>09276848935</t>
        </is>
      </c>
      <c r="AB630" t="inlineStr">
        <is>
          <t>GCash</t>
        </is>
      </c>
      <c r="AC630" t="inlineStr">
        <is>
          <t>Blk1 Q L38 P3 E1 Dagat Dagatan Caloocan City</t>
        </is>
      </c>
      <c r="AD630" s="4">
        <v>45974</v>
      </c>
      <c r="AE630" t="inlineStr">
        <is>
          <t>100% Full payment - Nov. 28, 2025</t>
        </is>
      </c>
      <c r="AF630" s="2"/>
      <c r="AG630" t="inlineStr">
        <is>
          <t>NzQyNTk5MTgyNzQ4MTg3MDM0MTo3QzM1MzlBOS00RkJELTRCNjYtOTVDRS1CNkNDOTI1NTc2MUYtMTplZDZlMjI0YTNjNWJlOGQ4NzZhMDYwNDk1MWEyMzg2Nzox</t>
        </is>
      </c>
      <c r="AH630" t="inlineStr">
        <is>
          <t>Mark Arthur Cambaya</t>
        </is>
      </c>
      <c r="AI630"/>
      <c r="AJ630" t="inlineStr">
        <is>
          <t>LIQUIDITY PLAN (PAR # 202510230081 / 2025TEG-P0272)
Broadcast Manpower &gt; Camera Operator (Basic)
Total Budget = Php 2,500.00
Actual Cost = Php 2,000.00
Balance = Php 500.00</t>
        </is>
      </c>
      <c r="AK630"/>
    </row>
    <row r="631" ht="25.5" customHeight="1">
      <c r="A631" s="2" t="str">
        <f>=HYPERLINK("https://applink.larksuite.com/client/mini_program/open?appId=cli_9c7cc8a9a9edd105&amp;mode=appCenter&amp;path_pc=pc/pages/requested/index?instanceId=7575039960407887584&amp;source=bitable&amp;path=pages/detail/index?instanceId=7575039960407887584&amp;source=bitable", "202511210031")</f>
        <v>202511210031</v>
      </c>
      <c r="B631" t="inlineStr">
        <is>
          <t>Approved</t>
        </is>
      </c>
      <c r="C631" t="inlineStr">
        <is>
          <t>Procurement Order</t>
        </is>
      </c>
      <c r="D631" s="3">
        <v>45982.54431712963</v>
      </c>
      <c r="E631" s="3">
        <v>45986.77434027778</v>
      </c>
      <c r="F631" t="inlineStr">
        <is>
          <t>Fatima Kathleen M. FLores</t>
        </is>
      </c>
      <c r="G631" t="inlineStr">
        <is>
          <t>Procurement</t>
        </is>
      </c>
      <c r="H631"/>
      <c r="I631"/>
      <c r="J631" t="inlineStr">
        <is>
          <t>Project</t>
        </is>
      </c>
      <c r="K631" t="inlineStr">
        <is>
          <t>PDEI - Event Service</t>
        </is>
      </c>
      <c r="L631" t="inlineStr">
        <is>
          <t>BPI Bankers Cup 2</t>
        </is>
      </c>
      <c r="M631" t="inlineStr">
        <is>
          <t>2025TEG-P0272</t>
        </is>
      </c>
      <c r="N631" t="inlineStr">
        <is>
          <t>Kervin</t>
        </is>
      </c>
      <c r="O631" t="inlineStr">
        <is>
          <t>202511060017-Kervin-费用报销 - 副本 - 副本 - 副本-2025-11-06 03:23:30</t>
        </is>
      </c>
      <c r="P631" t="inlineStr">
        <is>
          <t>YES</t>
        </is>
      </c>
      <c r="Q631"/>
      <c r="R631" t="inlineStr">
        <is>
          <t>NO</t>
        </is>
      </c>
      <c r="S631" t="inlineStr">
        <is>
          <t>Outsourced Talent / Shoutcaster</t>
        </is>
      </c>
      <c r="T631">
        <v>1</v>
      </c>
      <c r="U631">
        <v>11200</v>
      </c>
      <c r="V631" t="inlineStr">
        <is>
          <t>PHP</t>
        </is>
      </c>
      <c r="W631">
        <v>11200</v>
      </c>
      <c r="X631" s="2" t="str">
        <f>=HYPERLINK("https://www.larksuite.com/approval/admin/previewAttachment?key=PMgxDsIwDAXQK33HP_k2l2FpFVGksCBRGHx2JAbWN8IwopuPBNNawkpdHZ45QChCPVitTErI5F77mteTx9L2eZ8H1n0-6nXb5v60nmoNctIDgF3-7iKZOYif4xsAAP__", "2 attachment(s)")</f>
        <v>2 attachment(s)</v>
      </c>
      <c r="Y631" t="inlineStr">
        <is>
          <t>Bank Transfer</t>
        </is>
      </c>
      <c r="Z631" t="inlineStr">
        <is>
          <t>Bridgitte Alexandra Ramos</t>
        </is>
      </c>
      <c r="AA631" t="inlineStr">
        <is>
          <t>1979109799</t>
        </is>
      </c>
      <c r="AB631" t="inlineStr">
        <is>
          <t>BPI</t>
        </is>
      </c>
      <c r="AC631" t="inlineStr">
        <is>
          <t>20-G Samat st., Brgy. Lourdes, QC</t>
        </is>
      </c>
      <c r="AD631" s="4">
        <v>45974</v>
      </c>
      <c r="AE631" t="inlineStr">
        <is>
          <t>100% Full payment - Nov. 28, 2025</t>
        </is>
      </c>
      <c r="AF631" s="2"/>
      <c r="AG631" t="inlineStr">
        <is>
          <t>NzQyNTk5MTgyNzQ4MTg3MDM0MTo3Q0FFM0ZENi1BQzNBLTQxRUEtQUNFMS1GMTUwRjAzMDkyMTktMTowNGVmODM2NzYzYmZkNmNkNTNmYjJjMjhhNmJhOGI3MTox</t>
        </is>
      </c>
      <c r="AH631" t="inlineStr">
        <is>
          <t>Bridgitte Alexandra Ramos</t>
        </is>
      </c>
      <c r="AI631"/>
      <c r="AJ631" t="inlineStr">
        <is>
          <t>LIQUIDITY PLAN (PAR # 202510230081 / 2025TEG-P0272)
Talents &gt;
Host
Shoutcaster
Total Remaining Budget = Php 11,200.00
Actual Cost = Php 11,200.00</t>
        </is>
      </c>
      <c r="AK631"/>
    </row>
    <row r="632" ht="25.5" customHeight="1">
      <c r="A632" s="2" t="str">
        <f>=HYPERLINK("https://applink.larksuite.com/client/mini_program/open?appId=cli_9c7cc8a9a9edd105&amp;mode=appCenter&amp;path_pc=pc/pages/requested/index?instanceId=7575064359526633179&amp;source=bitable&amp;path=pages/detail/index?instanceId=7575064359526633179&amp;source=bitable", "202511210049")</f>
        <v>202511210049</v>
      </c>
      <c r="B632" t="inlineStr">
        <is>
          <t>Approved</t>
        </is>
      </c>
      <c r="C632" t="inlineStr">
        <is>
          <t>Procurement Order</t>
        </is>
      </c>
      <c r="D632" s="3">
        <v>45982.61006944445</v>
      </c>
      <c r="E632" s="3">
        <v>45986.78796296296</v>
      </c>
      <c r="F632" t="inlineStr">
        <is>
          <t>Fatima Kathleen M. FLores</t>
        </is>
      </c>
      <c r="G632" t="inlineStr">
        <is>
          <t>Procurement</t>
        </is>
      </c>
      <c r="H632"/>
      <c r="I632"/>
      <c r="J632" t="inlineStr">
        <is>
          <t>Project</t>
        </is>
      </c>
      <c r="K632" t="inlineStr">
        <is>
          <t>PDEI - Event Service</t>
        </is>
      </c>
      <c r="L632" t="inlineStr">
        <is>
          <t>MPL PH S16 Addendum</t>
        </is>
      </c>
      <c r="M632" t="inlineStr">
        <is>
          <t>2025TEG-P0269</t>
        </is>
      </c>
      <c r="N632" t="inlineStr">
        <is>
          <t>Katherine Denise Lee Sy</t>
        </is>
      </c>
      <c r="O632" t="inlineStr">
        <is>
          <t>202510190036-Katherine Denise Lee Sy-费用报销 - 副本 - 副本 - 副本-2025-10-19 10:49:08</t>
        </is>
      </c>
      <c r="P632" t="inlineStr">
        <is>
          <t>YES</t>
        </is>
      </c>
      <c r="Q632"/>
      <c r="R632" t="inlineStr">
        <is>
          <t>YES</t>
        </is>
      </c>
      <c r="S632" t="inlineStr">
        <is>
          <t>Outsourced Talent / Performer</t>
        </is>
      </c>
      <c r="T632">
        <v>1</v>
      </c>
      <c r="U632">
        <v>68900</v>
      </c>
      <c r="V632" t="inlineStr">
        <is>
          <t>PHP</t>
        </is>
      </c>
      <c r="W632">
        <v>68900</v>
      </c>
      <c r="X632" s="2" t="str">
        <f>=HYPERLINK("https://www.larksuite.com/approval/admin/previewAttachment?key=PMg9CsJAEAXgK735fTtexsYlKBgICBtSzNkFC9svhyBHiGXBS7QgzWAg3aJCM82E1dpCFig067lv9_3Cca5rTZzvY716PR_b_EgUVUFztwFAbn83untVOn6ObwAAAP__", "2 attachment(s)")</f>
        <v>2 attachment(s)</v>
      </c>
      <c r="Y632" t="inlineStr">
        <is>
          <t>Bank Transfer</t>
        </is>
      </c>
      <c r="Z632" t="inlineStr">
        <is>
          <t>Fender I. Fidel</t>
        </is>
      </c>
      <c r="AA632" t="inlineStr">
        <is>
          <t>4923492178250</t>
        </is>
      </c>
      <c r="AB632" t="inlineStr">
        <is>
          <t>Metrobank</t>
        </is>
      </c>
      <c r="AC632" t="inlineStr">
        <is>
          <t>Cluster 24 Unit 6H, The Cambridge Village, San Andres, Cainta Rizal</t>
        </is>
      </c>
      <c r="AD632" s="4">
        <v>45983</v>
      </c>
      <c r="AE632" t="inlineStr">
        <is>
          <t>100% Full Payment - Nov. 21, 2025</t>
        </is>
      </c>
      <c r="AF632" s="2"/>
      <c r="AG632" t="inlineStr">
        <is>
          <t>NzQyNTk5MTgyNzQ4MTg3MDM0MToxNjIyOTNBOC0wNjczLTQ0REEtQkJFOS1BQjY3MUVFRTM3NTktMTozNTg5ODllY2IxMzM4NzBhYWFkMDNlMjFjYjIwMTUzZDox</t>
        </is>
      </c>
      <c r="AH632" t="inlineStr">
        <is>
          <t>Fender I. Fidel</t>
        </is>
      </c>
      <c r="AI632"/>
      <c r="AJ632" t="inlineStr">
        <is>
          <t>LIQUIDITY PLAN (PAR # 202510120019 / 2025TEG-P0269)
ADDENDUM 1 TAB &gt; Opening Performance &gt; 
Performer
Total Budget = Php 50,000.00
Actual Cost = Php 68,900.00
Balance = (Php 18,900.00) OVER BUDGET</t>
        </is>
      </c>
      <c r="AK632"/>
    </row>
    <row r="633" ht="25.5" customHeight="1">
      <c r="A633" s="2" t="str">
        <f>=HYPERLINK("https://applink.larksuite.com/client/mini_program/open?appId=cli_9c7cc8a9a9edd105&amp;mode=appCenter&amp;path_pc=pc/pages/requested/index?instanceId=7575069476962438882&amp;source=bitable&amp;path=pages/detail/index?instanceId=7575069476962438882&amp;source=bitable", "202511210058")</f>
        <v>202511210058</v>
      </c>
      <c r="B633" t="inlineStr">
        <is>
          <t>Approved</t>
        </is>
      </c>
      <c r="C633" t="inlineStr">
        <is>
          <t>Procurement Order</t>
        </is>
      </c>
      <c r="D633" s="3">
        <v>45982.62386574074</v>
      </c>
      <c r="E633" s="3">
        <v>45986.72418981481</v>
      </c>
      <c r="F633" t="inlineStr">
        <is>
          <t>Fatima Kathleen M. FLores</t>
        </is>
      </c>
      <c r="G633" t="inlineStr">
        <is>
          <t>Procurement</t>
        </is>
      </c>
      <c r="H633"/>
      <c r="I633"/>
      <c r="J633" t="inlineStr">
        <is>
          <t>Project</t>
        </is>
      </c>
      <c r="K633" t="inlineStr">
        <is>
          <t>GG - Event Service</t>
        </is>
      </c>
      <c r="L633" t="inlineStr">
        <is>
          <t>KIC 2025 - Carnival &amp; Mini Battle</t>
        </is>
      </c>
      <c r="M633" t="inlineStr">
        <is>
          <t>2025TEG-P0301</t>
        </is>
      </c>
      <c r="N633" t="inlineStr">
        <is>
          <t>Maura Aurel Atilano Yap</t>
        </is>
      </c>
      <c r="O633" t="inlineStr">
        <is>
          <t>202511060152-Maura Aurel Atilano Yap-费用报销 - 副本 - 副本 - 副本-2025-11-06 13:34:02</t>
        </is>
      </c>
      <c r="P633" t="inlineStr">
        <is>
          <t>YES</t>
        </is>
      </c>
      <c r="Q633"/>
      <c r="R633" t="inlineStr">
        <is>
          <t>NO</t>
        </is>
      </c>
      <c r="S633" t="inlineStr">
        <is>
          <t>Outsourced Project Manager</t>
        </is>
      </c>
      <c r="T633">
        <v>1</v>
      </c>
      <c r="U633">
        <v>18000</v>
      </c>
      <c r="V633" t="inlineStr">
        <is>
          <t>PHP</t>
        </is>
      </c>
      <c r="W633">
        <v>18000</v>
      </c>
      <c r="X633" s="2" t="str">
        <f>=HYPERLINK("https://www.larksuite.com/approval/admin/previewAttachment?key=PMg9CgJBDAXgK738vsTL2LgsbuEgCNPl7IKF7ZclyAqxbHiLNmQYDGQ7s1PdqkpHR8gGhWZzvM77lmsH35fqsr0w-_k4j49EUxU0dysAcvu70d270_FzfAMAAP__", "2 attachment(s)")</f>
        <v>2 attachment(s)</v>
      </c>
      <c r="Y633" t="inlineStr">
        <is>
          <t>Bank Transfer</t>
        </is>
      </c>
      <c r="Z633" t="inlineStr">
        <is>
          <t>Glean F. Roque</t>
        </is>
      </c>
      <c r="AA633" t="inlineStr">
        <is>
          <t>0707201681</t>
        </is>
      </c>
      <c r="AB633" t="inlineStr">
        <is>
          <t>Landbank</t>
        </is>
      </c>
      <c r="AC633" t="inlineStr">
        <is>
          <t>30 Interior 5 Salvador Street, Krus na Ligas, Quezon City</t>
        </is>
      </c>
      <c r="AD633" s="4">
        <v>45966</v>
      </c>
      <c r="AE633" t="inlineStr">
        <is>
          <t>1st Payment - Nov. 28, 2025
Final Payment - Dec. 12, 2025</t>
        </is>
      </c>
      <c r="AF633" s="2"/>
      <c r="AG633" t="inlineStr">
        <is>
          <t>NzQyNTk5MTgyNzQ4MTg3MDM0MToxNTdBNzFCNC0xNjJCLTQwNjgtQjBFOS05ODczQzI3Njc3NTgtMTo4NDBiZDY4NTZiNjQ2NjdmN2U3OTY4YmExMWFkZjBlZjox</t>
        </is>
      </c>
      <c r="AH633" t="inlineStr">
        <is>
          <t>Glean F. Roque</t>
        </is>
      </c>
      <c r="AI633"/>
      <c r="AJ633" t="inlineStr">
        <is>
          <t>LIQUIDITY PLAN (PAR # 202511060038 / 2025TEG-P0301) VER 6
1108 COST ESTIMATE TAB &gt; PROJECT PLANNING &gt; 
MANPOWER &gt; Mini-Battle Booth Project Manager (Glean)
Total Budget = Php 18,000.00
Actual Cost = Php 18,000.00</t>
        </is>
      </c>
      <c r="AK633"/>
    </row>
    <row r="634" ht="25.5" customHeight="1">
      <c r="A634" s="2" t="str">
        <f>=HYPERLINK("https://applink.larksuite.com/client/mini_program/open?appId=cli_9c7cc8a9a9edd105&amp;mode=appCenter&amp;path_pc=pc/pages/requested/index?instanceId=7575093742734970588&amp;source=bitable&amp;path=pages/detail/index?instanceId=7575093742734970588&amp;source=bitable", "202511210086")</f>
        <v>202511210086</v>
      </c>
      <c r="B634" t="inlineStr">
        <is>
          <t>Approved</t>
        </is>
      </c>
      <c r="C634" t="inlineStr">
        <is>
          <t>Procurement Order</t>
        </is>
      </c>
      <c r="D634" s="3">
        <v>45982.689247685186</v>
      </c>
      <c r="E634" s="3">
        <v>45986.73630787037</v>
      </c>
      <c r="F634" t="inlineStr">
        <is>
          <t>Fatima Kathleen M. FLores</t>
        </is>
      </c>
      <c r="G634" t="inlineStr">
        <is>
          <t>Procurement</t>
        </is>
      </c>
      <c r="H634"/>
      <c r="I634"/>
      <c r="J634" t="inlineStr">
        <is>
          <t>Project</t>
        </is>
      </c>
      <c r="K634" t="inlineStr">
        <is>
          <t>GG - Event Service</t>
        </is>
      </c>
      <c r="L634" t="inlineStr">
        <is>
          <t>KIC 2025 - Carnival &amp; Mini Battle</t>
        </is>
      </c>
      <c r="M634" t="inlineStr">
        <is>
          <t>2025TEG-P0301</t>
        </is>
      </c>
      <c r="N634" t="inlineStr">
        <is>
          <t>Maura Aurel Atilano Yap</t>
        </is>
      </c>
      <c r="O634" t="inlineStr">
        <is>
          <t>202511080009-Maura Aurel Atilano Yap-费用报销 - 副本 - 副本 - 副本-2025-11-08 03:56:00</t>
        </is>
      </c>
      <c r="P634" t="inlineStr">
        <is>
          <t>YES</t>
        </is>
      </c>
      <c r="Q634"/>
      <c r="R634" t="inlineStr">
        <is>
          <t>NO</t>
        </is>
      </c>
      <c r="S634" t="inlineStr">
        <is>
          <t>Outsourced Lead Project Manager</t>
        </is>
      </c>
      <c r="T634">
        <v>1</v>
      </c>
      <c r="U634">
        <v>50000</v>
      </c>
      <c r="V634" t="inlineStr">
        <is>
          <t>PHP</t>
        </is>
      </c>
      <c r="W634">
        <v>50000</v>
      </c>
      <c r="X634" s="2" t="str">
        <f>=HYPERLINK("https://www.larksuite.com/approval/admin/previewAttachment?key=PMgxCgJBDAXQK_1MfuYnXsbGZVBBWBAXm5xdsNj2zTTMDPNZYNkoWCsUKBeHnCVEZo82qSCTR2-vdd2fjz3WNwR-Qkcf99va3halMSAnPQHY5XQXyapJ_B2_AAAA__8", "2 attachment(s)")</f>
        <v>2 attachment(s)</v>
      </c>
      <c r="Y634" t="inlineStr">
        <is>
          <t>Bank Transfer</t>
        </is>
      </c>
      <c r="Z634" t="inlineStr">
        <is>
          <t>Franz Christian Irorita</t>
        </is>
      </c>
      <c r="AA634" t="inlineStr">
        <is>
          <t>4050019174</t>
        </is>
      </c>
      <c r="AB634" t="inlineStr">
        <is>
          <t>BPI</t>
        </is>
      </c>
      <c r="AC634" t="inlineStr">
        <is>
          <t>Blk 12 Lot 2 Peso Street, Lores Country Homes, Antipolo City</t>
        </is>
      </c>
      <c r="AD634" s="4">
        <v>45975</v>
      </c>
      <c r="AE634" t="inlineStr">
        <is>
          <t>1st Payment - Nov. 28, 2025
2nd Payment - Dec. 12, 2025
Final Payment - Dec. 26, 2025</t>
        </is>
      </c>
      <c r="AF634" s="2"/>
      <c r="AG634" t="inlineStr">
        <is>
          <t>NzQyNTk5MTgyNzQ4MTg3MDM0MTpERUI3QjEzMC1DQTI3LTQ5MEItQTk4Ny0zRDQ3QTYzOTRBNEItMTpmYWEyNGFmYzY5MGI2ZDJkZDJmNmZhYWYzNDk4ODM2Mjox</t>
        </is>
      </c>
      <c r="AH634" t="inlineStr">
        <is>
          <t>Franz Christian Irorita</t>
        </is>
      </c>
      <c r="AI634"/>
      <c r="AJ634" t="inlineStr">
        <is>
          <t>LIQUIDITY PLAN (PAR # 202511060038 / 2025TEG-P0301) VER 6
1108 COST ESTIMATE TAB &gt; PROJECT PLANNING &gt; 
MANPOWER &gt; Project Officer (Franz)
Total Budget = Php 52,500.00
Actual Cost = Php 50,000.00
Balance = Php 2,500.00</t>
        </is>
      </c>
      <c r="AK634"/>
    </row>
    <row r="635" ht="25.5" customHeight="1">
      <c r="A635" s="2" t="str">
        <f>=HYPERLINK("https://applink.larksuite.com/client/mini_program/open?appId=cli_9c7cc8a9a9edd105&amp;mode=appCenter&amp;path_pc=pc/pages/requested/index?instanceId=7575087842490207969&amp;source=bitable&amp;path=pages/detail/index?instanceId=7575087842490207969&amp;source=bitable", "202511210078")</f>
        <v>202511210078</v>
      </c>
      <c r="B635" t="inlineStr">
        <is>
          <t>Approved</t>
        </is>
      </c>
      <c r="C635" t="inlineStr">
        <is>
          <t>Procurement Order</t>
        </is>
      </c>
      <c r="D635" s="3">
        <v>45982.67335648148</v>
      </c>
      <c r="E635" s="3">
        <v>45986.745474537034</v>
      </c>
      <c r="F635" t="inlineStr">
        <is>
          <t>Fatima Kathleen M. FLores</t>
        </is>
      </c>
      <c r="G635" t="inlineStr">
        <is>
          <t>Procurement</t>
        </is>
      </c>
      <c r="H635"/>
      <c r="I635"/>
      <c r="J635" t="inlineStr">
        <is>
          <t>Project</t>
        </is>
      </c>
      <c r="K635" t="inlineStr">
        <is>
          <t>GG - Event Service</t>
        </is>
      </c>
      <c r="L635" t="inlineStr">
        <is>
          <t>KIC 2025 - Carnival &amp; Mini Battle</t>
        </is>
      </c>
      <c r="M635" t="inlineStr">
        <is>
          <t>2025TEG-P0301</t>
        </is>
      </c>
      <c r="N635" t="inlineStr">
        <is>
          <t>Maura Aurel Atilano Yap</t>
        </is>
      </c>
      <c r="O635" t="inlineStr">
        <is>
          <t>202511070121-Maura Aurel Atilano Yap-费用报销 - 副本 - 副本 - 副本-2025-11-07 09:48:28</t>
        </is>
      </c>
      <c r="P635" t="inlineStr">
        <is>
          <t>YES</t>
        </is>
      </c>
      <c r="Q635"/>
      <c r="R635" t="inlineStr">
        <is>
          <t>YES</t>
        </is>
      </c>
      <c r="S635" t="inlineStr">
        <is>
          <t>Outsourced Registration Manpower</t>
        </is>
      </c>
      <c r="T635">
        <v>1</v>
      </c>
      <c r="U635">
        <v>32400</v>
      </c>
      <c r="V635" t="inlineStr">
        <is>
          <t>PHP</t>
        </is>
      </c>
      <c r="W635">
        <v>32400</v>
      </c>
      <c r="X635" s="2" t="str">
        <f>=HYPERLINK("https://www.larksuite.com/approval/admin/previewAttachment?key=PMgxCgIxFATQK83_f5LJeBkblyDKVkKwydkFi21fH4E-WlQ36EgjtpoahgaTRkLu3rlDMhSq2sc573VqYrX4rjf9mns9H_P4RLMyoSJrAIjb5SWSdif-jl8AAAD__w", "2 attachment(s)")</f>
        <v>2 attachment(s)</v>
      </c>
      <c r="Y635" t="inlineStr">
        <is>
          <t>Bank Transfer</t>
        </is>
      </c>
      <c r="Z635" t="inlineStr">
        <is>
          <t>Jhun Aldrin Manes</t>
        </is>
      </c>
      <c r="AA635" t="inlineStr">
        <is>
          <t>09668330217</t>
        </is>
      </c>
      <c r="AB635" t="inlineStr">
        <is>
          <t>GCash</t>
        </is>
      </c>
      <c r="AC635" t="inlineStr">
        <is>
          <t>2042 Candido St. Brgy. Mapulang Lupa. Valenzuela City</t>
        </is>
      </c>
      <c r="AD635" s="4">
        <v>45975</v>
      </c>
      <c r="AE635" t="inlineStr">
        <is>
          <t>1st Payment - Nov. 28, 2025
Final Payment - Dec. 5, 2025</t>
        </is>
      </c>
      <c r="AF635" s="2"/>
      <c r="AG635" t="inlineStr">
        <is>
          <t>NzQyNTk5MTgyNzQ4MTg3MDM0MTpCQzU5OURDMi00MkRBLTQ3MDYtOEJFMC0zQUMxNkE5NjRBRUEtMTpmMDRmMjc1YmEwN2MxZTljZTE2MGU3NzFlMTllODZlMjox</t>
        </is>
      </c>
      <c r="AH635" t="inlineStr">
        <is>
          <t>Jhun Aldrin Manes</t>
        </is>
      </c>
      <c r="AI635"/>
      <c r="AJ635" t="inlineStr">
        <is>
          <t>LIQUIDITY PLAN (PAR # 202511060038 / 2025TEG-P0301) VER 6
1108 COST ESTIMATE TAB &gt; CARNIVAL - SHOOTING GALLERY &gt; 
REGISTRATION &gt; Registration - Manpower
Total Remaining Budget = Php 1,800.00
Actual Cost = Php 32,400.00
Balance = (Php 30,600.00) OVER BUDGET</t>
        </is>
      </c>
      <c r="AK635"/>
    </row>
    <row r="636" ht="25.5" customHeight="1">
      <c r="A636" s="2" t="str">
        <f>=HYPERLINK("https://applink.larksuite.com/client/mini_program/open?appId=cli_9c7cc8a9a9edd105&amp;mode=appCenter&amp;path_pc=pc/pages/requested/index?instanceId=7575087107929099995&amp;source=bitable&amp;path=pages/detail/index?instanceId=7575087107929099995&amp;source=bitable", "202511210076")</f>
        <v>202511210076</v>
      </c>
      <c r="B636" t="inlineStr">
        <is>
          <t>Approved</t>
        </is>
      </c>
      <c r="C636" t="inlineStr">
        <is>
          <t>Procurement Order</t>
        </is>
      </c>
      <c r="D636" s="3">
        <v>45982.671377314815</v>
      </c>
      <c r="E636" s="3">
        <v>45986.72478009259</v>
      </c>
      <c r="F636" t="inlineStr">
        <is>
          <t>Fatima Kathleen M. FLores</t>
        </is>
      </c>
      <c r="G636" t="inlineStr">
        <is>
          <t>Procurement</t>
        </is>
      </c>
      <c r="H636"/>
      <c r="I636"/>
      <c r="J636" t="inlineStr">
        <is>
          <t>Project</t>
        </is>
      </c>
      <c r="K636" t="inlineStr">
        <is>
          <t>GG - Event Service</t>
        </is>
      </c>
      <c r="L636" t="inlineStr">
        <is>
          <t>KIC 2025 - Carnival &amp; Mini Battle</t>
        </is>
      </c>
      <c r="M636" t="inlineStr">
        <is>
          <t>2025TEG-P0301</t>
        </is>
      </c>
      <c r="N636" t="inlineStr">
        <is>
          <t>Maura Aurel Atilano Yap</t>
        </is>
      </c>
      <c r="O636" t="inlineStr">
        <is>
          <t>202511070121-Maura Aurel Atilano Yap-费用报销 - 副本 - 副本 - 副本-2025-11-07 09:48:28</t>
        </is>
      </c>
      <c r="P636" t="inlineStr">
        <is>
          <t>YES</t>
        </is>
      </c>
      <c r="Q636"/>
      <c r="R636" t="inlineStr">
        <is>
          <t>NO</t>
        </is>
      </c>
      <c r="S636" t="inlineStr">
        <is>
          <t>Outsourced Registration Manpower</t>
        </is>
      </c>
      <c r="T636">
        <v>1</v>
      </c>
      <c r="U636">
        <v>30600</v>
      </c>
      <c r="V636" t="inlineStr">
        <is>
          <t>PHP</t>
        </is>
      </c>
      <c r="W636">
        <v>30600</v>
      </c>
      <c r="X636" s="2" t="str">
        <f>=HYPERLINK("https://www.larksuite.com/approval/admin/previewAttachment?key=PMg9ikJBEATgK1VNd09N7WU28fEQ_xBEMemzCwam31zEXMWYRprDYKtUWCLkYdh29WhKhqiI3q77_43ve1zOJzyTcPXreNi3B8saA4rMWAD49_NQZtoz8XV8AgAA__8", "2 attachment(s)")</f>
        <v>2 attachment(s)</v>
      </c>
      <c r="Y636" t="inlineStr">
        <is>
          <t>Bank Transfer</t>
        </is>
      </c>
      <c r="Z636" t="inlineStr">
        <is>
          <t>John Enric Puno</t>
        </is>
      </c>
      <c r="AA636" t="inlineStr">
        <is>
          <t>000690087837</t>
        </is>
      </c>
      <c r="AB636" t="inlineStr">
        <is>
          <t>BDO</t>
        </is>
      </c>
      <c r="AC636" t="inlineStr">
        <is>
          <t>1728 G. Perfecto st. Tondo manila</t>
        </is>
      </c>
      <c r="AD636" s="4">
        <v>45975</v>
      </c>
      <c r="AE636" t="inlineStr">
        <is>
          <t>1st Payment - Nov. 28, 2025
Final Payment - Dec. 5, 2025</t>
        </is>
      </c>
      <c r="AF636" s="2"/>
      <c r="AG636" t="inlineStr">
        <is>
          <t>NzQyNTk5MTgyNzQ4MTg3MDM0MTpCOUI2NjlDMy0wQjg3LTQ4MDUtQTk0Qi05Mjk0RThGQjExMUUtMTozNGFhOWQ5MDJhYjRlYTAzMzczMWJlMDE0MDdiMmUyYzox</t>
        </is>
      </c>
      <c r="AH636" t="inlineStr">
        <is>
          <t>John Enric Puno</t>
        </is>
      </c>
      <c r="AI636"/>
      <c r="AJ636" t="inlineStr">
        <is>
          <t>LIQUIDITY PLAN (PAR # 202511060038 / 2025TEG-P0301) VER 6
1108 COST ESTIMATE TAB &gt; CARNIVAL - SHOOTING GALLERY &gt; 
REGISTRATION &gt; Registration - Manpower
Total Budget = Php 32,400.00
Actual Cost = Php 30,600.00
Balance = Php 1,800.00</t>
        </is>
      </c>
      <c r="AK636"/>
    </row>
    <row r="637" ht="25.5" customHeight="1">
      <c r="A637" s="2" t="str">
        <f>=HYPERLINK("https://applink.larksuite.com/client/mini_program/open?appId=cli_9c7cc8a9a9edd105&amp;mode=appCenter&amp;path_pc=pc/pages/requested/index?instanceId=7575084865360563935&amp;source=bitable&amp;path=pages/detail/index?instanceId=7575084865360563935&amp;source=bitable", "202511210074")</f>
        <v>202511210074</v>
      </c>
      <c r="B637" t="inlineStr">
        <is>
          <t>Approved</t>
        </is>
      </c>
      <c r="C637" t="inlineStr">
        <is>
          <t>Procurement Order</t>
        </is>
      </c>
      <c r="D637" s="3">
        <v>45982.66533564815</v>
      </c>
      <c r="E637" s="3">
        <v>45986.725381944445</v>
      </c>
      <c r="F637" t="inlineStr">
        <is>
          <t>Fatima Kathleen M. FLores</t>
        </is>
      </c>
      <c r="G637" t="inlineStr">
        <is>
          <t>Procurement</t>
        </is>
      </c>
      <c r="H637"/>
      <c r="I637"/>
      <c r="J637" t="inlineStr">
        <is>
          <t>Project</t>
        </is>
      </c>
      <c r="K637" t="inlineStr">
        <is>
          <t>GG - Event Service</t>
        </is>
      </c>
      <c r="L637" t="inlineStr">
        <is>
          <t>KIC 2025 - Carnival &amp; Mini Battle</t>
        </is>
      </c>
      <c r="M637" t="inlineStr">
        <is>
          <t>2025TEG-P0301</t>
        </is>
      </c>
      <c r="N637" t="inlineStr">
        <is>
          <t>Maura Aurel Atilano Yap</t>
        </is>
      </c>
      <c r="O637" t="inlineStr">
        <is>
          <t>202511070117-Maura Aurel Atilano Yap-费用报销 - 副本 - 副本 - 副本-2025-11-07 09:41:19</t>
        </is>
      </c>
      <c r="P637" t="inlineStr">
        <is>
          <t>YES</t>
        </is>
      </c>
      <c r="Q637"/>
      <c r="R637" t="inlineStr">
        <is>
          <t>NO</t>
        </is>
      </c>
      <c r="S637" t="inlineStr">
        <is>
          <t>Outsourced Referee</t>
        </is>
      </c>
      <c r="T637">
        <v>1</v>
      </c>
      <c r="U637">
        <v>13500</v>
      </c>
      <c r="V637" t="inlineStr">
        <is>
          <t>PHP</t>
        </is>
      </c>
      <c r="W637">
        <v>13500</v>
      </c>
      <c r="X637" s="2" t="str">
        <f>=HYPERLINK("https://www.larksuite.com/approval/admin/previewAttachment?key=PMg9qgJRDAXgLZ3c_J63mdfMJQgzgiDaZe2Che0XJYhy0SCMsgiZ9HSUVbgGPJTqs0YyiZRUnX3v_8tfffLs66h-7D3v29H7Kc5cC6lmWgDk7-eaZkaG4ev4BAAA__8", "2 attachment(s)")</f>
        <v>2 attachment(s)</v>
      </c>
      <c r="Y637" t="inlineStr">
        <is>
          <t>Bank Transfer</t>
        </is>
      </c>
      <c r="Z637" t="inlineStr">
        <is>
          <t>Aaron Raphael Pascual</t>
        </is>
      </c>
      <c r="AA637" t="inlineStr">
        <is>
          <t>003570283490</t>
        </is>
      </c>
      <c r="AB637" t="inlineStr">
        <is>
          <t>BDO</t>
        </is>
      </c>
      <c r="AC637" t="inlineStr">
        <is>
          <t>Unit 8 Las villas del Cielo Subdivision Brgy Culiat Quezon City</t>
        </is>
      </c>
      <c r="AD637" s="4">
        <v>45975</v>
      </c>
      <c r="AE637" t="inlineStr">
        <is>
          <t>1st Payment - Nov. 28, 2025
Final Payment - Dec. 5, 2025</t>
        </is>
      </c>
      <c r="AF637" s="2"/>
      <c r="AG637" t="inlineStr">
        <is>
          <t>NzQyNTk5MTgyNzQ4MTg3MDM0MTo3RjVERDcyMS1FMzIzLTREQzgtOEJEQi1BOTREMTU1OUY4QjgtMTpkZDRiMDY4N2I0ODM5ZTkwNmZmYTJmYTMyMjZjNjdkMzox</t>
        </is>
      </c>
      <c r="AH637" t="inlineStr">
        <is>
          <t>Aaron Raphael Pascual</t>
        </is>
      </c>
      <c r="AI637"/>
      <c r="AJ637" t="inlineStr">
        <is>
          <t>LIQUIDITY PLAN (PAR # 202511060038 / 2025TEG-P0301) VER 6
1108 COST ESTIMATE TAB &gt; CARNIVAL - SHOOTING GALLERY &gt; 
MINI-BATTLE BOOTH &gt; Manpower &gt;
Referees
Total Remaining Budget = Php 18,900.00
Actual Cost = Php 13,500.00
Balance = Php 5,400.00</t>
        </is>
      </c>
      <c r="AK637"/>
    </row>
    <row r="638" ht="25.5" customHeight="1">
      <c r="A638" s="2" t="str">
        <f>=HYPERLINK("https://applink.larksuite.com/client/mini_program/open?appId=cli_9c7cc8a9a9edd105&amp;mode=appCenter&amp;path_pc=pc/pages/requested/index?instanceId=7575084238001671903&amp;source=bitable&amp;path=pages/detail/index?instanceId=7575084238001671903&amp;source=bitable", "202511210073")</f>
        <v>202511210073</v>
      </c>
      <c r="B638" t="inlineStr">
        <is>
          <t>Approved</t>
        </is>
      </c>
      <c r="C638" t="inlineStr">
        <is>
          <t>Procurement Order</t>
        </is>
      </c>
      <c r="D638" s="3">
        <v>45982.66364583333</v>
      </c>
      <c r="E638" s="3">
        <v>45986.72626157408</v>
      </c>
      <c r="F638" t="inlineStr">
        <is>
          <t>Fatima Kathleen M. FLores</t>
        </is>
      </c>
      <c r="G638" t="inlineStr">
        <is>
          <t>Procurement</t>
        </is>
      </c>
      <c r="H638"/>
      <c r="I638"/>
      <c r="J638" t="inlineStr">
        <is>
          <t>Project</t>
        </is>
      </c>
      <c r="K638" t="inlineStr">
        <is>
          <t>GG - Event Service</t>
        </is>
      </c>
      <c r="L638" t="inlineStr">
        <is>
          <t>KIC 2025 - Carnival &amp; Mini Battle</t>
        </is>
      </c>
      <c r="M638" t="inlineStr">
        <is>
          <t>2025TEG-P0301</t>
        </is>
      </c>
      <c r="N638" t="inlineStr">
        <is>
          <t>Maura Aurel Atilano Yap</t>
        </is>
      </c>
      <c r="O638" t="inlineStr">
        <is>
          <t>202511070117-Maura Aurel Atilano Yap-费用报销 - 副本 - 副本 - 副本-2025-11-07 09:41:19</t>
        </is>
      </c>
      <c r="P638" t="inlineStr">
        <is>
          <t>YES</t>
        </is>
      </c>
      <c r="Q638"/>
      <c r="R638" t="inlineStr">
        <is>
          <t>NO</t>
        </is>
      </c>
      <c r="S638" t="inlineStr">
        <is>
          <t>Outsourced Referee</t>
        </is>
      </c>
      <c r="T638">
        <v>1</v>
      </c>
      <c r="U638">
        <v>13500</v>
      </c>
      <c r="V638" t="inlineStr">
        <is>
          <t>PHP</t>
        </is>
      </c>
      <c r="W638">
        <v>13500</v>
      </c>
      <c r="X638" s="2" t="str">
        <f>=HYPERLINK("https://www.larksuite.com/approval/admin/previewAttachment?key=PMs9CsJQEATgK83sz5u3XsbGEIwQG4mQYs8uWth-8I1JjJn0UYiiFdhKJWaYT4BDLHhbUyqI8uxlX6-P_YkJO9c8tu08-n2_rcuLWTKDPOK7wcvfXRFRNQI_xycAAP__", "2 attachment(s)")</f>
        <v>2 attachment(s)</v>
      </c>
      <c r="Y638" t="inlineStr">
        <is>
          <t>Bank Transfer</t>
        </is>
      </c>
      <c r="Z638" t="inlineStr">
        <is>
          <t>Cedric Allen Conde</t>
        </is>
      </c>
      <c r="AA638" t="inlineStr">
        <is>
          <t>016071162464</t>
        </is>
      </c>
      <c r="AB638" t="inlineStr">
        <is>
          <t>GoTyme Bank</t>
        </is>
      </c>
      <c r="AC638" t="inlineStr">
        <is>
          <t>23 Tinagan St. San Jose Quezon City</t>
        </is>
      </c>
      <c r="AD638" s="4">
        <v>45975</v>
      </c>
      <c r="AE638" t="inlineStr">
        <is>
          <t>1st Payment - Nov. 28, 2025
Final Payment - Dec. 5, 2025</t>
        </is>
      </c>
      <c r="AF638" s="2"/>
      <c r="AG638" t="inlineStr">
        <is>
          <t>NzQyNTk5MTgyNzQ4MTg3MDM0MTpFOUMwRDlCNy1DRkRCLTRGQ0MtQTAwOS1GRUI5RkJERDhFQkEtMTo3ZGE1MTE4ZDFiMGY1NTQ0NjhjZDBjY2UxODhjMDQ0ODox</t>
        </is>
      </c>
      <c r="AH638" t="inlineStr">
        <is>
          <t>Cedric Allen Conde</t>
        </is>
      </c>
      <c r="AI638"/>
      <c r="AJ638" t="inlineStr">
        <is>
          <t>LIQUIDITY PLAN (PAR # 202511060038 / 2025TEG-P0301) VER 6
1108 COST ESTIMATE TAB &gt; CARNIVAL - SHOOTING GALLERY &gt; 
MINI-BATTLE BOOTH &gt; Manpower &gt;
Referees
Total Budget = Php 32,400.00
Actual Cost = Php 13,500.00
Balance = Php 18,900.00</t>
        </is>
      </c>
      <c r="AK638"/>
    </row>
    <row r="639" ht="25.5" customHeight="1">
      <c r="A639" s="2" t="str">
        <f>=HYPERLINK("https://applink.larksuite.com/client/mini_program/open?appId=cli_9c7cc8a9a9edd105&amp;mode=appCenter&amp;path_pc=pc/pages/requested/index?instanceId=7575082089423376098&amp;source=bitable&amp;path=pages/detail/index?instanceId=7575082089423376098&amp;source=bitable", "202511210071")</f>
        <v>202511210071</v>
      </c>
      <c r="B639" t="inlineStr">
        <is>
          <t>Approved</t>
        </is>
      </c>
      <c r="C639" t="inlineStr">
        <is>
          <t>Procurement Order</t>
        </is>
      </c>
      <c r="D639" s="3">
        <v>45982.657858796294</v>
      </c>
      <c r="E639" s="3">
        <v>45986.72693287037</v>
      </c>
      <c r="F639" t="inlineStr">
        <is>
          <t>Fatima Kathleen M. FLores</t>
        </is>
      </c>
      <c r="G639" t="inlineStr">
        <is>
          <t>Procurement</t>
        </is>
      </c>
      <c r="H639"/>
      <c r="I639"/>
      <c r="J639" t="inlineStr">
        <is>
          <t>Project</t>
        </is>
      </c>
      <c r="K639" t="inlineStr">
        <is>
          <t>GG - Event Service</t>
        </is>
      </c>
      <c r="L639" t="inlineStr">
        <is>
          <t>KIC 2025 - Carnival &amp; Mini Battle</t>
        </is>
      </c>
      <c r="M639" t="inlineStr">
        <is>
          <t>2025TEG-P0301</t>
        </is>
      </c>
      <c r="N639" t="inlineStr">
        <is>
          <t>Maura Aurel Atilano Yap</t>
        </is>
      </c>
      <c r="O639" t="inlineStr">
        <is>
          <t>202511070117-Maura Aurel Atilano Yap-费用报销 - 副本 - 副本 - 副本-2025-11-07 09:41:19</t>
        </is>
      </c>
      <c r="P639" t="inlineStr">
        <is>
          <t>YES</t>
        </is>
      </c>
      <c r="Q639"/>
      <c r="R639" t="inlineStr">
        <is>
          <t>NO</t>
        </is>
      </c>
      <c r="S639" t="inlineStr">
        <is>
          <t>Outsourced Head of League Operations</t>
        </is>
      </c>
      <c r="T639">
        <v>1</v>
      </c>
      <c r="U639">
        <v>14850</v>
      </c>
      <c r="V639" t="inlineStr">
        <is>
          <t>PHP</t>
        </is>
      </c>
      <c r="W639">
        <v>14850</v>
      </c>
      <c r="X639" s="2" t="str">
        <f>=HYPERLINK("https://www.larksuite.com/approval/admin/previewAttachment?key=PMg7jgJBDATQK5W_Ze9lNplRC0ETISDy2ZEISF-WICvEsuEt2pBhMFCKalczJrpGR8gGhRZz3tf_jue6LXvv61HbdV6XY50PiaYqaO5WAOTv50Z3707H1_EJAAD__w", "2 attachment(s)")</f>
        <v>2 attachment(s)</v>
      </c>
      <c r="Y639" t="inlineStr">
        <is>
          <t>Bank Transfer</t>
        </is>
      </c>
      <c r="Z639" t="inlineStr">
        <is>
          <t>Al Fernando A. Crespo</t>
        </is>
      </c>
      <c r="AA639" t="inlineStr">
        <is>
          <t>09174392913</t>
        </is>
      </c>
      <c r="AB639" t="inlineStr">
        <is>
          <t>Gcash</t>
        </is>
      </c>
      <c r="AC639" t="inlineStr">
        <is>
          <t>40 Seminary Rd. Bagbag Novaliches, Queson City</t>
        </is>
      </c>
      <c r="AD639" s="4">
        <v>45975</v>
      </c>
      <c r="AE639" t="inlineStr">
        <is>
          <t>1st Payment - Nov. 28, 2025
Final Payment - Dec. 5, 2025</t>
        </is>
      </c>
      <c r="AF639" s="2"/>
      <c r="AG639" t="inlineStr">
        <is>
          <t>NzQyNTk5MTgyNzQ4MTg3MDM0MTpDN0EzMjkyNS04MkJELTQyQjEtODNCMy05ODIyMDI5REQ5OUUtMTphZDlmMWE4ZjkyOWQ3YjcyMGE2Nzg1NDhiZTIxYzQ5Mjox</t>
        </is>
      </c>
      <c r="AH639" t="inlineStr">
        <is>
          <t>Al Fernando A. Crespo</t>
        </is>
      </c>
      <c r="AI639"/>
      <c r="AJ639" t="inlineStr">
        <is>
          <t>LIQUIDITY PLAN (PAR # 202511060038 / 2025TEG-P0301) VER 6
1108 COST ESTIMATE TAB &gt; CARNIVAL - SHOOTING GALLERY &gt; 
MINI-BATTLE BOOTH &gt; Manpower &gt;
Head LOps
Total Budget = Php 16,200.00
Actual Cost = Php 14,850.00
Balance = Php 1,350.00</t>
        </is>
      </c>
      <c r="AK639"/>
    </row>
    <row r="640" ht="25.5" customHeight="1">
      <c r="A640" s="2" t="str">
        <f>=HYPERLINK("https://applink.larksuite.com/client/mini_program/open?appId=cli_9c7cc8a9a9edd105&amp;mode=appCenter&amp;path_pc=pc/pages/requested/index?instanceId=7575080508024016606&amp;source=bitable&amp;path=pages/detail/index?instanceId=7575080508024016606&amp;source=bitable", "202511210067")</f>
        <v>202511210067</v>
      </c>
      <c r="B640" t="inlineStr">
        <is>
          <t>Approved</t>
        </is>
      </c>
      <c r="C640" t="inlineStr">
        <is>
          <t>Procurement Order</t>
        </is>
      </c>
      <c r="D640" s="3">
        <v>45982.65358796297</v>
      </c>
      <c r="E640" s="3">
        <v>45987.47377314815</v>
      </c>
      <c r="F640" t="inlineStr">
        <is>
          <t>Fatima Kathleen M. FLores</t>
        </is>
      </c>
      <c r="G640" t="inlineStr">
        <is>
          <t>Procurement</t>
        </is>
      </c>
      <c r="H640"/>
      <c r="I640"/>
      <c r="J640" t="inlineStr">
        <is>
          <t>Project</t>
        </is>
      </c>
      <c r="K640" t="inlineStr">
        <is>
          <t>GG - Event Service</t>
        </is>
      </c>
      <c r="L640" t="inlineStr">
        <is>
          <t>KIC 2025 - Carnival &amp; Mini Battle</t>
        </is>
      </c>
      <c r="M640" t="inlineStr">
        <is>
          <t>2025TEG-P0301</t>
        </is>
      </c>
      <c r="N640" t="inlineStr">
        <is>
          <t>Maura Aurel Atilano Yap</t>
        </is>
      </c>
      <c r="O640" t="inlineStr">
        <is>
          <t>202511070113-Maura Aurel Atilano Yap-费用报销 - 副本 - 副本 - 副本-2025-11-07 09:33:10</t>
        </is>
      </c>
      <c r="P640" t="inlineStr">
        <is>
          <t>YES</t>
        </is>
      </c>
      <c r="Q640"/>
      <c r="R640" t="inlineStr">
        <is>
          <t>NO</t>
        </is>
      </c>
      <c r="S640" t="inlineStr">
        <is>
          <t>Outsourced Broadcast Manpower</t>
        </is>
      </c>
      <c r="T640">
        <v>1</v>
      </c>
      <c r="U640">
        <v>121500</v>
      </c>
      <c r="V640" t="inlineStr">
        <is>
          <t>PHP</t>
        </is>
      </c>
      <c r="W640">
        <v>121500</v>
      </c>
      <c r="X640" s="2" t="str">
        <f>=HYPERLINK("https://www.larksuite.com/approval/admin/previewAttachment?key=PMg9CoJBDATQK01-J_EyNt-yiCAIgmKRs4sWFq95WYKsEMuGt2hDhsFA4UsdkokcHSEbFFrMuu1zeez7ax_F7uvb5nk59npINFVBc7cCIKf_G929Ox2_xycAAP__", "2 attachment(s)")</f>
        <v>2 attachment(s)</v>
      </c>
      <c r="Y640" t="inlineStr">
        <is>
          <t>Bank Transfer</t>
        </is>
      </c>
      <c r="Z640" t="inlineStr">
        <is>
          <t>John Benigno R. Magat</t>
        </is>
      </c>
      <c r="AA640" t="inlineStr">
        <is>
          <t>046110005388</t>
        </is>
      </c>
      <c r="AB640" t="inlineStr">
        <is>
          <t>PSBank</t>
        </is>
      </c>
      <c r="AC640" t="inlineStr">
        <is>
          <t>228 Grissom st. Brgy Moonwalk Paranaque</t>
        </is>
      </c>
      <c r="AD640" s="4">
        <v>45975</v>
      </c>
      <c r="AE640" t="inlineStr">
        <is>
          <t>1st Payment - Nov. 28, 2025
Final Payment - Dec. 12, 2025</t>
        </is>
      </c>
      <c r="AF640" s="2"/>
      <c r="AG640" t="inlineStr">
        <is>
          <t>NzQyNTk5MTgyNzQ4MTg3MDM0MTo3Q0M4QzBGQS1FN0U0LTQ1QkEtOUMzRC1ERUFDMjhDMUY1MzgtMTo0ZWQ0MTczZGIyYjgzNjI0M2QxZWRiMzEzYzZiNzEwNzox</t>
        </is>
      </c>
      <c r="AH640" t="inlineStr">
        <is>
          <t>John Benigno R. Magat</t>
        </is>
      </c>
      <c r="AI640"/>
      <c r="AJ640" t="inlineStr">
        <is>
          <t>LIQUIDITY PLAN (PAR # 202511060038 / 2025TEG-P0301) VER 6
1108 COST ESTIMATE TAB &gt; CARNIVAL - SHOOTING GALLERY &gt; 
MINI-BATTLE BOOTH &gt; Manpower &gt;
Game Observer
Gaming Laptop (for Observer)
Total Budget = Php 129,600.00
Actual Cost = Php 121,500.00
Balance = Php 8,100.00</t>
        </is>
      </c>
      <c r="AK640"/>
    </row>
    <row r="641" ht="25.5" customHeight="1">
      <c r="A641" s="2" t="str">
        <f>=HYPERLINK("https://applink.larksuite.com/client/mini_program/open?appId=cli_9c7cc8a9a9edd105&amp;mode=appCenter&amp;path_pc=pc/pages/requested/index?instanceId=7575095745188040415&amp;source=bitable&amp;path=pages/detail/index?instanceId=7575095745188040415&amp;source=bitable", "202511210089")</f>
        <v>202511210089</v>
      </c>
      <c r="B641" t="inlineStr">
        <is>
          <t>Approved</t>
        </is>
      </c>
      <c r="C641" t="inlineStr">
        <is>
          <t>Procurement Order</t>
        </is>
      </c>
      <c r="D641" s="3">
        <v>45982.694652777776</v>
      </c>
      <c r="E641" s="3">
        <v>45986.73332175926</v>
      </c>
      <c r="F641" t="inlineStr">
        <is>
          <t>Fatima Kathleen M. FLores</t>
        </is>
      </c>
      <c r="G641" t="inlineStr">
        <is>
          <t>Procurement</t>
        </is>
      </c>
      <c r="H641"/>
      <c r="I641"/>
      <c r="J641" t="inlineStr">
        <is>
          <t>Project</t>
        </is>
      </c>
      <c r="K641" t="inlineStr">
        <is>
          <t>GG - Event Service</t>
        </is>
      </c>
      <c r="L641" t="inlineStr">
        <is>
          <t>KIC 2025 - Carnival &amp; Mini Battle</t>
        </is>
      </c>
      <c r="M641" t="inlineStr">
        <is>
          <t>2025TEG-P0301</t>
        </is>
      </c>
      <c r="N641" t="inlineStr">
        <is>
          <t>Maura Aurel Atilano Yap</t>
        </is>
      </c>
      <c r="O641" t="inlineStr">
        <is>
          <t>202511080009-Maura Aurel Atilano Yap-费用报销 - 副本 - 副本 - 副本-2025-11-08 03:56:00</t>
        </is>
      </c>
      <c r="P641" t="inlineStr">
        <is>
          <t>YES</t>
        </is>
      </c>
      <c r="Q641"/>
      <c r="R641" t="inlineStr">
        <is>
          <t>NO</t>
        </is>
      </c>
      <c r="S641" t="inlineStr">
        <is>
          <t>Outsourced Production Manager</t>
        </is>
      </c>
      <c r="T641">
        <v>1</v>
      </c>
      <c r="U641">
        <v>30000</v>
      </c>
      <c r="V641" t="inlineStr">
        <is>
          <t>PHP</t>
        </is>
      </c>
      <c r="W641">
        <v>30000</v>
      </c>
      <c r="X641" s="2" t="str">
        <f>=HYPERLINK("https://www.larksuite.com/approval/admin/previewAttachment?key=PMgxqsMwEATQK81oZzXaf5nfxIikMAQCtlPo7IEUaV8fRB_J6AUVW4HL6USllRwDgpirLdoF05Fr2-c_fc469wvxvp6PYx3329xezHJrcEgxAPDv52FJVV34Oj4BAAD__w", "2 attachment(s)")</f>
        <v>2 attachment(s)</v>
      </c>
      <c r="Y641" t="inlineStr">
        <is>
          <t>Bank Transfer</t>
        </is>
      </c>
      <c r="Z641" t="inlineStr">
        <is>
          <t>Juan Angelo B. Masongsong</t>
        </is>
      </c>
      <c r="AA641" t="inlineStr">
        <is>
          <t>0068 4024 9688</t>
        </is>
      </c>
      <c r="AB641" t="inlineStr">
        <is>
          <t>BDO</t>
        </is>
      </c>
      <c r="AC641" t="inlineStr">
        <is>
          <t>Munsayac Street, Barangay Calantipay, Baliwag Bulacan</t>
        </is>
      </c>
      <c r="AD641" s="4">
        <v>45964</v>
      </c>
      <c r="AE641" t="inlineStr">
        <is>
          <t>1st Payment - Nov. 28, 2025
2nd Payment - Dec. 12, 2025
Final Payment - Dec. 26, 2025</t>
        </is>
      </c>
      <c r="AF641" s="2"/>
      <c r="AG641" t="inlineStr">
        <is>
          <t>NzQyNTk5MTgyNzQ4MTg3MDM0MTo3NkZCMjgyNC00ODZELTRGN0UtOTc4RC1ERTQ2Qjc5RTdGOEQtMTo4ZDJjMjZmYzZhZjFlODFhZTAzYjRjN2VhYTI4N2ZmYzox</t>
        </is>
      </c>
      <c r="AH641" t="inlineStr">
        <is>
          <t>Juan Angelo B. Masongsong</t>
        </is>
      </c>
      <c r="AI641"/>
      <c r="AJ641" t="inlineStr">
        <is>
          <t>LIQUIDITY PLAN (PAR # 202511060038 / 2025TEG-P0301) VER 6
1108 COST ESTIMATE TAB &gt; PROJECT PLANNING &gt; 
MANPOWER &gt; Assistant Production Manager (Angelo)
Total Budget = Php 30,000.00
Actual Cost = Php 30,000.00</t>
        </is>
      </c>
      <c r="AK641"/>
    </row>
    <row r="642" ht="25.5" customHeight="1">
      <c r="A642" s="2" t="str">
        <f>=HYPERLINK("https://applink.larksuite.com/client/mini_program/open?appId=cli_9c7cc8a9a9edd105&amp;mode=appCenter&amp;path_pc=pc/pages/requested/index?instanceId=7575111080528056031&amp;source=bitable&amp;path=pages/detail/index?instanceId=7575111080528056031&amp;source=bitable", "202511210097")</f>
        <v>202511210097</v>
      </c>
      <c r="B642" t="inlineStr">
        <is>
          <t>Approved</t>
        </is>
      </c>
      <c r="C642" t="inlineStr">
        <is>
          <t>Procurement Order</t>
        </is>
      </c>
      <c r="D642" s="3">
        <v>45982.735972222225</v>
      </c>
      <c r="E642" s="3">
        <v>45986.73148148148</v>
      </c>
      <c r="F642" t="inlineStr">
        <is>
          <t>Fatima Kathleen M. FLores</t>
        </is>
      </c>
      <c r="G642" t="inlineStr">
        <is>
          <t>Procurement</t>
        </is>
      </c>
      <c r="H642"/>
      <c r="I642"/>
      <c r="J642" t="inlineStr">
        <is>
          <t>Project</t>
        </is>
      </c>
      <c r="K642" t="inlineStr">
        <is>
          <t>GG - Event Service</t>
        </is>
      </c>
      <c r="L642" t="inlineStr">
        <is>
          <t>KIC 2025 - Carnival &amp; Mini Battle</t>
        </is>
      </c>
      <c r="M642" t="inlineStr">
        <is>
          <t>2025TEG-P0301</t>
        </is>
      </c>
      <c r="N642" t="inlineStr">
        <is>
          <t>Maura Aurel Atilano Yap</t>
        </is>
      </c>
      <c r="O642" t="inlineStr">
        <is>
          <t>202511110053-Maura Aurel Atilano Yap-费用报销 - 副本 - 副本 - 副本-2025-11-11 05:15:32</t>
        </is>
      </c>
      <c r="P642" t="inlineStr">
        <is>
          <t>YES</t>
        </is>
      </c>
      <c r="Q642"/>
      <c r="R642" t="inlineStr">
        <is>
          <t>NO</t>
        </is>
      </c>
      <c r="S642" t="inlineStr">
        <is>
          <t>Outsourced Booth Operator</t>
        </is>
      </c>
      <c r="T642">
        <v>1</v>
      </c>
      <c r="U642">
        <v>4050</v>
      </c>
      <c r="V642" t="inlineStr">
        <is>
          <t>PHP</t>
        </is>
      </c>
      <c r="W642">
        <v>4050</v>
      </c>
      <c r="X642" s="2" t="str">
        <f>=HYPERLINK("https://www.larksuite.com/approval/admin/previewAttachment?key=PMg7jgIxEATQK1X1x-Xey2wyIwskT4SAqM-ORED6xiTGTPooRNEKbKWSJCbSJnLA2daUCqI8-7zWf9h7PfPYul87uPt1O9b5YJbMII_wCYB_P3dFRNUIfB2fAAAA__8", "2 attachment(s)")</f>
        <v>2 attachment(s)</v>
      </c>
      <c r="Y642" t="inlineStr">
        <is>
          <t>Bank Transfer</t>
        </is>
      </c>
      <c r="Z642" t="inlineStr">
        <is>
          <t>Juan Diego Villarama Legislador</t>
        </is>
      </c>
      <c r="AA642" t="inlineStr">
        <is>
          <t>1096 7009 1261</t>
        </is>
      </c>
      <c r="AB642" t="inlineStr">
        <is>
          <t>Unionbank</t>
        </is>
      </c>
      <c r="AC642" t="inlineStr">
        <is>
          <t>1246 Cardona St. Rizal Village Makati City</t>
        </is>
      </c>
      <c r="AD642" s="4">
        <v>45975</v>
      </c>
      <c r="AE642" t="inlineStr">
        <is>
          <t>100% Full Payment - Nov. 28, 2025</t>
        </is>
      </c>
      <c r="AF642" s="2"/>
      <c r="AG642" t="inlineStr">
        <is>
          <t>NzQyNTk5MTgyNzQ4MTg3MDM0MTo1M0VGMTIzOC1DQTA4LTRERDAtQkQ2NC04ODBCMDZDRDUzMjUtMTo2NTAxNmZlM2UwMDVlMmQ5ZGVhY2QwZTRkNzM1NjcwMjox</t>
        </is>
      </c>
      <c r="AH642" t="inlineStr">
        <is>
          <t>Juan Diego Villarama Legislador</t>
        </is>
      </c>
      <c r="AI642"/>
      <c r="AJ642" t="inlineStr">
        <is>
          <t>LIQUIDITY PLAN (PAR # 202511060038 / 2025TEG-P0301) VER 6
1108 COST ESTIMATE TAB &gt; CARNIVAL - SHOOTING GALLERY &gt; 
YELLOW STUDIO &gt; Redemption Booth Manpower
Total Remaining Budget = Php 20,250.00
Actual Cost = Php 4,050.00
Balance = Php 16,200.00</t>
        </is>
      </c>
      <c r="AK642"/>
    </row>
    <row r="643" ht="25.5" customHeight="1">
      <c r="A643" s="2" t="str">
        <f>=HYPERLINK("https://applink.larksuite.com/client/mini_program/open?appId=cli_9c7cc8a9a9edd105&amp;mode=appCenter&amp;path_pc=pc/pages/requested/index?instanceId=7575109676535140060&amp;source=bitable&amp;path=pages/detail/index?instanceId=7575109676535140060&amp;source=bitable", "202511210095")</f>
        <v>202511210095</v>
      </c>
      <c r="B643" t="inlineStr">
        <is>
          <t>Approved</t>
        </is>
      </c>
      <c r="C643" t="inlineStr">
        <is>
          <t>Procurement Order</t>
        </is>
      </c>
      <c r="D643" s="3">
        <v>45982.7321875</v>
      </c>
      <c r="E643" s="3">
        <v>45986.73266203704</v>
      </c>
      <c r="F643" t="inlineStr">
        <is>
          <t>Fatima Kathleen M. FLores</t>
        </is>
      </c>
      <c r="G643" t="inlineStr">
        <is>
          <t>Procurement</t>
        </is>
      </c>
      <c r="H643"/>
      <c r="I643"/>
      <c r="J643" t="inlineStr">
        <is>
          <t>Project</t>
        </is>
      </c>
      <c r="K643" t="inlineStr">
        <is>
          <t>GG - Event Service</t>
        </is>
      </c>
      <c r="L643" t="inlineStr">
        <is>
          <t>KIC 2025 - Carnival &amp; Mini Battle</t>
        </is>
      </c>
      <c r="M643" t="inlineStr">
        <is>
          <t>2025TEG-P0301</t>
        </is>
      </c>
      <c r="N643" t="inlineStr">
        <is>
          <t>Maura Aurel Atilano Yap</t>
        </is>
      </c>
      <c r="O643" t="inlineStr">
        <is>
          <t>202511110053-Maura Aurel Atilano Yap-费用报销 - 副本 - 副本 - 副本-2025-11-11 05:15:32</t>
        </is>
      </c>
      <c r="P643" t="inlineStr">
        <is>
          <t>YES</t>
        </is>
      </c>
      <c r="Q643"/>
      <c r="R643" t="inlineStr">
        <is>
          <t>NO</t>
        </is>
      </c>
      <c r="S643" t="inlineStr">
        <is>
          <t>Outsourced Booth Operator</t>
        </is>
      </c>
      <c r="T643">
        <v>1</v>
      </c>
      <c r="U643">
        <v>12150</v>
      </c>
      <c r="V643" t="inlineStr">
        <is>
          <t>PHP</t>
        </is>
      </c>
      <c r="W643">
        <v>12150</v>
      </c>
      <c r="X643" s="2" t="str">
        <f>=HYPERLINK("https://www.larksuite.com/approval/admin/previewAttachment?key=PMg7CgJBEATQK1VNf2ray5jsMIigibAb9dkFA9OXk8gZtCx4cRTYCgVRqQwLOpDo0ZQKoix6vfZ9WYDXefk-8H5Gn49jrw-jNAZk7jYB8PZ3k7tXpePn-AYAAP__", "2 attachment(s)")</f>
        <v>2 attachment(s)</v>
      </c>
      <c r="Y643" t="inlineStr">
        <is>
          <t>Bank Transfer</t>
        </is>
      </c>
      <c r="Z643" t="inlineStr">
        <is>
          <t>Kimberly Rose Culala</t>
        </is>
      </c>
      <c r="AA643" t="inlineStr">
        <is>
          <t>1010-1024-0818</t>
        </is>
      </c>
      <c r="AB643" t="inlineStr">
        <is>
          <t>PNB</t>
        </is>
      </c>
      <c r="AC643" t="inlineStr">
        <is>
          <t>12 Little Tagaytay Marulas Valenzuela City</t>
        </is>
      </c>
      <c r="AD643" s="4">
        <v>45964</v>
      </c>
      <c r="AE643" t="inlineStr">
        <is>
          <t>1st Payment - Nov. 28, 2025
Final Payment - Dec. 5, 2025</t>
        </is>
      </c>
      <c r="AF643" s="2"/>
      <c r="AG643" t="inlineStr">
        <is>
          <t>NzQyNTk5MTgyNzQ4MTg3MDM0MTpGRThEOUQ5Ny03NDgyLTQyQzktOEZEMS04MTQ3NkNGRUUxN0UtMTpiNWIwYzI1MjI4YTk4N2Q0YWYwNDc2ZmEwYjQyY2UzZDox</t>
        </is>
      </c>
      <c r="AH643" t="inlineStr">
        <is>
          <t>Kimberly Rose Culala</t>
        </is>
      </c>
      <c r="AI643"/>
      <c r="AJ643" t="inlineStr">
        <is>
          <t>LIQUIDITY PLAN (PAR # 202511060038 / 2025TEG-P0301) VER 6
1108 COST ESTIMATE TAB &gt; CARNIVAL - SHOOTING GALLERY &gt; 
YELLOW STUDIO &gt; Redemption Booth Manpower
Total Budget = Php 32,400.00
Actual Cost = Php 12,150.00
Balance = Php 20,250.00</t>
        </is>
      </c>
      <c r="AK643"/>
    </row>
    <row r="644" ht="25.5" customHeight="1">
      <c r="A644" s="2" t="str">
        <f>=HYPERLINK("https://applink.larksuite.com/client/mini_program/open?appId=cli_9c7cc8a9a9edd105&amp;mode=appCenter&amp;path_pc=pc/pages/requested/index?instanceId=7575112429718212322&amp;source=bitable&amp;path=pages/detail/index?instanceId=7575112429718212322&amp;source=bitable", "202511210101")</f>
        <v>202511210101</v>
      </c>
      <c r="B644" t="inlineStr">
        <is>
          <t>Approved</t>
        </is>
      </c>
      <c r="C644" t="inlineStr">
        <is>
          <t>Procurement Order</t>
        </is>
      </c>
      <c r="D644" s="3">
        <v>45982.73960648148</v>
      </c>
      <c r="E644" s="3">
        <v>45986.7371412037</v>
      </c>
      <c r="F644" t="inlineStr">
        <is>
          <t>Fatima Kathleen M. FLores</t>
        </is>
      </c>
      <c r="G644" t="inlineStr">
        <is>
          <t>Procurement</t>
        </is>
      </c>
      <c r="H644"/>
      <c r="I644"/>
      <c r="J644" t="inlineStr">
        <is>
          <t>Project</t>
        </is>
      </c>
      <c r="K644" t="inlineStr">
        <is>
          <t>GG - Event Service</t>
        </is>
      </c>
      <c r="L644" t="inlineStr">
        <is>
          <t>KIC 2025 - Carnival &amp; Mini Battle</t>
        </is>
      </c>
      <c r="M644" t="inlineStr">
        <is>
          <t>2025TEG-P0301</t>
        </is>
      </c>
      <c r="N644" t="inlineStr">
        <is>
          <t>Maura Aurel Atilano Yap</t>
        </is>
      </c>
      <c r="O644" t="inlineStr">
        <is>
          <t>202511110053-Maura Aurel Atilano Yap-费用报销 - 副本 - 副本 - 副本-2025-11-11 05:15:32</t>
        </is>
      </c>
      <c r="P644" t="inlineStr">
        <is>
          <t>YES</t>
        </is>
      </c>
      <c r="Q644"/>
      <c r="R644" t="inlineStr">
        <is>
          <t>NO</t>
        </is>
      </c>
      <c r="S644" t="inlineStr">
        <is>
          <t>Outsourced Booth Operator</t>
        </is>
      </c>
      <c r="T644">
        <v>1</v>
      </c>
      <c r="U644">
        <v>8100</v>
      </c>
      <c r="V644" t="inlineStr">
        <is>
          <t>PHP</t>
        </is>
      </c>
      <c r="W644">
        <v>8100</v>
      </c>
      <c r="X644" s="2" t="str">
        <f>=HYPERLINK("https://www.larksuite.com/approval/admin/previewAttachment?key=PMgxqsMwEATQK83MrjTaf5nfRJi4MAQCjlPo7IEUaV8fRB-N0QtZVIHLzY1UqswhKqSlRbtgOtqax_a_n4XXfh0X3kPzsc77bZtPtrIER2YMAPz7eTgzq3ri6_gEAAD__w", "2 attachment(s)")</f>
        <v>2 attachment(s)</v>
      </c>
      <c r="Y644" t="inlineStr">
        <is>
          <t>Bank Transfer</t>
        </is>
      </c>
      <c r="Z644" t="inlineStr">
        <is>
          <t>Colline Jewel S. Atanacio</t>
        </is>
      </c>
      <c r="AA644" t="inlineStr">
        <is>
          <t>09858614347</t>
        </is>
      </c>
      <c r="AB644" t="inlineStr">
        <is>
          <t>Maya Wallet</t>
        </is>
      </c>
      <c r="AC644" t="inlineStr">
        <is>
          <t>Carnation Street, Gloria V Subdivision, Barangay Talipapa, Quezon City</t>
        </is>
      </c>
      <c r="AD644" s="4">
        <v>45978</v>
      </c>
      <c r="AE644" t="inlineStr">
        <is>
          <t>1st Payment - Nov. 28, 2025
Final Payment - Dec. 5, 2025</t>
        </is>
      </c>
      <c r="AF644" s="2"/>
      <c r="AG644" t="inlineStr">
        <is>
          <t>NzQyNTk5MTgyNzQ4MTg3MDM0MTo0REFDQTA1Ny04MTA1LTQ0MDktOTI4MS1GQTVEQThDOTg5NDktMTpjYjEzYzZlMzE1YTM0YzE4NTg4YjhlOWY4ZDY2MjA4MDox</t>
        </is>
      </c>
      <c r="AH644" t="inlineStr">
        <is>
          <t>Colline Jewel S. Atanacio</t>
        </is>
      </c>
      <c r="AI644"/>
      <c r="AJ644" t="inlineStr">
        <is>
          <t>LIQUIDITY PLAN (PAR # 202511060038 / 2025TEG-P0301) VER 6
1108 COST ESTIMATE TAB &gt; CARNIVAL - SHOOTING GALLERY &gt; 
YELLOW STUDIO &gt; Redemption Booth Manpower
Total Remaining Budget = Php 16,200.00
Actual Cost = Php 8,100.00
Balance = Php 8,100.00</t>
        </is>
      </c>
      <c r="AK644"/>
    </row>
    <row r="645" ht="25.5" customHeight="1">
      <c r="A645" s="2" t="str">
        <f>=HYPERLINK("https://applink.larksuite.com/client/mini_program/open?appId=cli_9c7cc8a9a9edd105&amp;mode=appCenter&amp;path_pc=pc/pages/requested/index?instanceId=7575114546692493021&amp;source=bitable&amp;path=pages/detail/index?instanceId=7575114546692493021&amp;source=bitable", "202511210103")</f>
        <v>202511210103</v>
      </c>
      <c r="B645" t="inlineStr">
        <is>
          <t>Approved</t>
        </is>
      </c>
      <c r="C645" t="inlineStr">
        <is>
          <t>Procurement Order</t>
        </is>
      </c>
      <c r="D645" s="3">
        <v>45982.7453125</v>
      </c>
      <c r="E645" s="3">
        <v>45986.73857638889</v>
      </c>
      <c r="F645" t="inlineStr">
        <is>
          <t>Fatima Kathleen M. FLores</t>
        </is>
      </c>
      <c r="G645" t="inlineStr">
        <is>
          <t>Procurement</t>
        </is>
      </c>
      <c r="H645"/>
      <c r="I645"/>
      <c r="J645" t="inlineStr">
        <is>
          <t>Project</t>
        </is>
      </c>
      <c r="K645" t="inlineStr">
        <is>
          <t>GG - Event Service</t>
        </is>
      </c>
      <c r="L645" t="inlineStr">
        <is>
          <t>KIC 2025 - Carnival &amp; Mini Battle</t>
        </is>
      </c>
      <c r="M645" t="inlineStr">
        <is>
          <t>2025TEG-P0301</t>
        </is>
      </c>
      <c r="N645" t="inlineStr">
        <is>
          <t>Maura Aurel Atilano Yap</t>
        </is>
      </c>
      <c r="O645" t="inlineStr">
        <is>
          <t>202511110091-Maura Aurel Atilano Yap-费用报销 - 副本 - 副本 - 副本-2025-11-11 08:21:35</t>
        </is>
      </c>
      <c r="P645" t="inlineStr">
        <is>
          <t>YES</t>
        </is>
      </c>
      <c r="Q645"/>
      <c r="R645" t="inlineStr">
        <is>
          <t>NO</t>
        </is>
      </c>
      <c r="S645" t="inlineStr">
        <is>
          <t>Outsourced Ushers (Media Day)</t>
        </is>
      </c>
      <c r="T645">
        <v>1</v>
      </c>
      <c r="U645">
        <v>12150</v>
      </c>
      <c r="V645" t="inlineStr">
        <is>
          <t>PHP</t>
        </is>
      </c>
      <c r="W645">
        <v>12150</v>
      </c>
      <c r="X645" s="2" t="str">
        <f>=HYPERLINK("https://www.larksuite.com/approval/admin/previewAttachment?key=PMg7qsJgFATgLc2c5z93M7cxBC0igkSrs3bBwvarRdRKegkhmsDp7CQjo0oWchjHht1Csz1nO_Z_-Bvn4ecjl-63nNf1sm9PptoM7RG-APDv594RIVXg6_gEAAD__w", "2 attachment(s)")</f>
        <v>2 attachment(s)</v>
      </c>
      <c r="Y645" t="inlineStr">
        <is>
          <t>Bank Transfer</t>
        </is>
      </c>
      <c r="Z645" t="inlineStr">
        <is>
          <t>John Ravean Cabrera</t>
        </is>
      </c>
      <c r="AA645" t="inlineStr">
        <is>
          <t>011249098679</t>
        </is>
      </c>
      <c r="AB645" t="inlineStr">
        <is>
          <t>GoTyme</t>
        </is>
      </c>
      <c r="AC645" t="inlineStr">
        <is>
          <t>330 Marulas A. Caloocan City</t>
        </is>
      </c>
      <c r="AD645" s="4">
        <v>45975</v>
      </c>
      <c r="AE645" t="inlineStr">
        <is>
          <t>1st Payment - Nov. 28, 2025
Final Payment - Dec. 5, 2025</t>
        </is>
      </c>
      <c r="AF645" s="2"/>
      <c r="AG645" t="inlineStr">
        <is>
          <t>NzQyNTk5MTgyNzQ4MTg3MDM0MTo1Q0FERTI3Mi00RDJDLTRCQTEtOERGMS1BMjIzQjFEMDUyRTEtMTo5MzAyNTMyNTU1Njc3ZTdhNWI5OGQxZGNhZTdlODc3OTox</t>
        </is>
      </c>
      <c r="AH645" t="inlineStr">
        <is>
          <t>John Ravean Cabrera</t>
        </is>
      </c>
      <c r="AI645"/>
      <c r="AJ645" t="inlineStr">
        <is>
          <t>LIQUIDITY PLAN (PAR # 202511060038 / 2025TEG-P0301) VER 6
1108 COST ESTIMATE TAB &gt; CARNIVAL - SHOOTING GALLERY &gt; 
GENERAL ITEMS &gt; Manpower &gt; Ushers
Total Budget = Php 129,600.00
Actual Cost = Php 12,150.00
Balance = Php 121,500.00</t>
        </is>
      </c>
      <c r="AK645"/>
    </row>
    <row r="646" ht="25.5" customHeight="1">
      <c r="A646" s="2" t="str">
        <f>=HYPERLINK("https://applink.larksuite.com/client/mini_program/open?appId=cli_9c7cc8a9a9edd105&amp;mode=appCenter&amp;path_pc=pc/pages/requested/index?instanceId=7575117218191593186&amp;source=bitable&amp;path=pages/detail/index?instanceId=7575117218191593186&amp;source=bitable", "202511210104")</f>
        <v>202511210104</v>
      </c>
      <c r="B646" t="inlineStr">
        <is>
          <t>Approved</t>
        </is>
      </c>
      <c r="C646" t="inlineStr">
        <is>
          <t>Procurement Order</t>
        </is>
      </c>
      <c r="D646" s="3">
        <v>45982.75251157407</v>
      </c>
      <c r="E646" s="3">
        <v>45986.7400462963</v>
      </c>
      <c r="F646" t="inlineStr">
        <is>
          <t>Fatima Kathleen M. FLores</t>
        </is>
      </c>
      <c r="G646" t="inlineStr">
        <is>
          <t>Procurement</t>
        </is>
      </c>
      <c r="H646"/>
      <c r="I646"/>
      <c r="J646" t="inlineStr">
        <is>
          <t>Project</t>
        </is>
      </c>
      <c r="K646" t="inlineStr">
        <is>
          <t>GG - Event Service</t>
        </is>
      </c>
      <c r="L646" t="inlineStr">
        <is>
          <t>KIC 2025 - Carnival &amp; Mini Battle</t>
        </is>
      </c>
      <c r="M646" t="inlineStr">
        <is>
          <t>2025TEG-P0301</t>
        </is>
      </c>
      <c r="N646" t="inlineStr">
        <is>
          <t>Maura Aurel Atilano Yap</t>
        </is>
      </c>
      <c r="O646" t="inlineStr">
        <is>
          <t>202511110091-Maura Aurel Atilano Yap-费用报销 - 副本 - 副本 - 副本-2025-11-11 08:21:35</t>
        </is>
      </c>
      <c r="P646" t="inlineStr">
        <is>
          <t>YES</t>
        </is>
      </c>
      <c r="Q646"/>
      <c r="R646" t="inlineStr">
        <is>
          <t>NO</t>
        </is>
      </c>
      <c r="S646" t="inlineStr">
        <is>
          <t>Outsourced Ushers (Media Day)</t>
        </is>
      </c>
      <c r="T646">
        <v>1</v>
      </c>
      <c r="U646">
        <v>85050</v>
      </c>
      <c r="V646" t="inlineStr">
        <is>
          <t>PHP</t>
        </is>
      </c>
      <c r="W646">
        <v>85050</v>
      </c>
      <c r="X646" s="2" t="str">
        <f>=HYPERLINK("https://www.larksuite.com/approval/admin/previewAttachment?key=PMgxDsIwFAPQK9n5_8cxl2FpFSGgEwKmnB2Joevrg-ijGN1IsxlcKhWpxkGzHBx9tUXJEBW19mNeqe90Ss_t_j7isT63be4vltUaFJkxAPByeigz7Z74O34BAAD__w", "2 attachment(s)")</f>
        <v>2 attachment(s)</v>
      </c>
      <c r="Y646" t="inlineStr">
        <is>
          <t>Bank Transfer</t>
        </is>
      </c>
      <c r="Z646" t="inlineStr">
        <is>
          <t>Marc Kevin Serrano</t>
        </is>
      </c>
      <c r="AA646" t="inlineStr">
        <is>
          <t>1519218972</t>
        </is>
      </c>
      <c r="AB646" t="inlineStr">
        <is>
          <t>BPI</t>
        </is>
      </c>
      <c r="AC646" t="inlineStr">
        <is>
          <t>3 Don Guillermo Street, Barangay Holy Spirit, Commonwealth, Quezon City</t>
        </is>
      </c>
      <c r="AD646" s="4">
        <v>45975</v>
      </c>
      <c r="AE646" t="inlineStr">
        <is>
          <t>1st Payment - Nov. 28, 2025
Final Payment - Dec. 5, 2025</t>
        </is>
      </c>
      <c r="AF646" s="2"/>
      <c r="AG646" t="inlineStr">
        <is>
          <t>NzQyNTk5MTgyNzQ4MTg3MDM0MToxMkYwOTcxQy1CREJCLTQ5REMtQkEzNC00RkFDRjhGNkIwMjAtMTplZTE4ZGRjY2E4YmNjMzA4YTE5YjVlMWIwZjMwZDUxMjox</t>
        </is>
      </c>
      <c r="AH646" t="inlineStr">
        <is>
          <t>Marc Kevin Serrano</t>
        </is>
      </c>
      <c r="AI646"/>
      <c r="AJ646" t="inlineStr">
        <is>
          <t>LIQUIDITY PLAN (PAR # 202511060038 / 2025TEG-P0301) VER 6
1108 COST ESTIMATE TAB &gt; CARNIVAL - SHOOTING GALLERY &gt; 
GENERAL ITEMS &gt; Manpower &gt; Ushers
Total Remaining Budget = Php 121,500.00
Actual Cost = Php 85,050.00
Balance = Php 36,450.00</t>
        </is>
      </c>
      <c r="AK646"/>
    </row>
    <row r="647" ht="25.5" customHeight="1">
      <c r="A647" s="2" t="str">
        <f>=HYPERLINK("https://applink.larksuite.com/client/mini_program/open?appId=cli_9c7cc8a9a9edd105&amp;mode=appCenter&amp;path_pc=pc/pages/requested/index?instanceId=7575147204092907232&amp;source=bitable&amp;path=pages/detail/index?instanceId=7575147204092907232&amp;source=bitable", "202511210113")</f>
        <v>202511210113</v>
      </c>
      <c r="B647" t="inlineStr">
        <is>
          <t>Approved</t>
        </is>
      </c>
      <c r="C647" t="inlineStr">
        <is>
          <t>Procurement Order</t>
        </is>
      </c>
      <c r="D647" s="3">
        <v>45982.83332175926</v>
      </c>
      <c r="E647" s="3">
        <v>45985.37159722222</v>
      </c>
      <c r="F647" t="inlineStr">
        <is>
          <t>Fatima Kathleen M. FLores</t>
        </is>
      </c>
      <c r="G647" t="inlineStr">
        <is>
          <t>Procurement</t>
        </is>
      </c>
      <c r="H647"/>
      <c r="I647"/>
      <c r="J647" t="inlineStr">
        <is>
          <t>Project</t>
        </is>
      </c>
      <c r="K647" t="inlineStr">
        <is>
          <t>GG - Event Service</t>
        </is>
      </c>
      <c r="L647" t="inlineStr">
        <is>
          <t>KIC 2025 - Group Stage &amp; Knockouts</t>
        </is>
      </c>
      <c r="M647" t="inlineStr">
        <is>
          <t>2025TEG-P0286</t>
        </is>
      </c>
      <c r="N647" t="inlineStr">
        <is>
          <t>Carla Andrea Calma Crespo</t>
        </is>
      </c>
      <c r="O647" t="inlineStr">
        <is>
          <t>202511100097-Carla Andrea Calma Crespo-费用报销 - 副本 - 副本 - 副本-2025-11-10 08:55:17</t>
        </is>
      </c>
      <c r="P647" t="inlineStr">
        <is>
          <t>YES</t>
        </is>
      </c>
      <c r="Q647"/>
      <c r="R647" t="inlineStr">
        <is>
          <t>NO</t>
        </is>
      </c>
      <c r="S647" t="inlineStr">
        <is>
          <t>Outsourced  HMUA (for Talents)</t>
        </is>
      </c>
      <c r="T647">
        <v>1</v>
      </c>
      <c r="U647">
        <v>62300</v>
      </c>
      <c r="V647" t="inlineStr">
        <is>
          <t>PHP</t>
        </is>
      </c>
      <c r="W647">
        <v>62300</v>
      </c>
      <c r="X647" s="2" t="str">
        <f>=HYPERLINK("https://www.larksuite.com/approval/admin/previewAttachment?key=PMg9CsJQEATgK83sz5usl7FJCEJMeCCIzZ5dsLD9xkKMJemjEEUrsJVKhgyBsoLMra0pFUR59nbu94ufec7L5prH80C_H-u-vZglM8gjfAHA299dEVE1Aj_HNwAA__8", "2 attachment(s)")</f>
        <v>2 attachment(s)</v>
      </c>
      <c r="Y647" t="inlineStr">
        <is>
          <t>Bank Transfer</t>
        </is>
      </c>
      <c r="Z647" t="inlineStr">
        <is>
          <t>Hearty Christian Tandayag</t>
        </is>
      </c>
      <c r="AA647" t="inlineStr">
        <is>
          <t>1689024811</t>
        </is>
      </c>
      <c r="AB647" t="inlineStr">
        <is>
          <t>BPI</t>
        </is>
      </c>
      <c r="AC647" t="inlineStr">
        <is>
          <t>7343 J Victor st. Pio del Pilar Makati City</t>
        </is>
      </c>
      <c r="AD647" s="4">
        <v>45976</v>
      </c>
      <c r="AE647" t="inlineStr">
        <is>
          <t>1st Payment - Nov. 28, 2025
2nd Payment - Dec. 5, 2025
Final Payment - Dec. 12, 2025</t>
        </is>
      </c>
      <c r="AF647" s="2"/>
      <c r="AG647" t="inlineStr">
        <is>
          <t>NzQyNTk5MTgyNzQ4MTg3MDM0MTpDQjQyRDI2My0yOEYzLTRCREQtOTlENy03QjQyMjNDRkJBODUtMTpkMTkxMzJkYjE2NGUzMTkyNGRiNmQ0MzhlNDJjYmFhZDox</t>
        </is>
      </c>
      <c r="AH647" t="inlineStr">
        <is>
          <t>Hearty Christian Tandayag</t>
        </is>
      </c>
      <c r="AI647"/>
      <c r="AJ647" t="inlineStr">
        <is>
          <t>LIQUIDITY PLAN (PAR # 202510290062 / 2025TEG-P0286)
1108 CE KIC GS+KO TAB &gt; OPERATIONS TEAM &gt;
Talent Management &gt; HMUA (for Talents)
Total Budget = Php 180,000.00
This Request = Php 62,300.00
Balance = Php 117,700.00</t>
        </is>
      </c>
      <c r="AK647"/>
    </row>
    <row r="648" ht="25.5" customHeight="1">
      <c r="A648" s="2" t="str">
        <f>=HYPERLINK("https://applink.larksuite.com/client/mini_program/open?appId=cli_9c7cc8a9a9edd105&amp;mode=appCenter&amp;path_pc=pc/pages/requested/index?instanceId=7575158853243834077&amp;source=bitable&amp;path=pages/detail/index?instanceId=7575158853243834077&amp;source=bitable", "202511210117")</f>
        <v>202511210117</v>
      </c>
      <c r="B648" t="inlineStr">
        <is>
          <t>Approved</t>
        </is>
      </c>
      <c r="C648" t="inlineStr">
        <is>
          <t>Procurement Order</t>
        </is>
      </c>
      <c r="D648" s="3">
        <v>45982.86471064815</v>
      </c>
      <c r="E648" s="3">
        <v>45985.36116898148</v>
      </c>
      <c r="F648" t="inlineStr">
        <is>
          <t>Fatima Kathleen M. FLores</t>
        </is>
      </c>
      <c r="G648" t="inlineStr">
        <is>
          <t>Procurement</t>
        </is>
      </c>
      <c r="H648"/>
      <c r="I648"/>
      <c r="J648" t="inlineStr">
        <is>
          <t>Project</t>
        </is>
      </c>
      <c r="K648" t="inlineStr">
        <is>
          <t>GG - Event Service</t>
        </is>
      </c>
      <c r="L648" t="inlineStr">
        <is>
          <t>KIC 2025 - Group Stage &amp; Knockouts</t>
        </is>
      </c>
      <c r="M648" t="inlineStr">
        <is>
          <t>2025TEG-P0286</t>
        </is>
      </c>
      <c r="N648" t="inlineStr">
        <is>
          <t>Carla Andrea Calma Crespo</t>
        </is>
      </c>
      <c r="O648" t="inlineStr">
        <is>
          <t>202511100097-Carla Andrea Calma Crespo-费用报销 - 副本 - 副本 - 副本-2025-11-10 08:55:17</t>
        </is>
      </c>
      <c r="P648" t="inlineStr">
        <is>
          <t>YES</t>
        </is>
      </c>
      <c r="Q648"/>
      <c r="R648" t="inlineStr">
        <is>
          <t>NO</t>
        </is>
      </c>
      <c r="S648" t="inlineStr">
        <is>
          <t>Outsourced  HMUA (for Talents)</t>
        </is>
      </c>
      <c r="T648">
        <v>1</v>
      </c>
      <c r="U648">
        <v>31200</v>
      </c>
      <c r="V648" t="inlineStr">
        <is>
          <t>PHP</t>
        </is>
      </c>
      <c r="W648">
        <v>31200</v>
      </c>
      <c r="X648" s="2" t="str">
        <f>=HYPERLINK("https://www.larksuite.com/approval/admin/previewAttachment?key=PMhBCsIwEAXQK_2fmcmf8TJuGopIGwTRXc4uuOj29SR6Bq0XvNgKXAoFIzOsuaU5pNUWpYIoizXO_f48Jz4zx_GyyWNb38e2jzej1Bpk7pYAeLvc5O5V3fF3_AIAAP__", "2 attachment(s)")</f>
        <v>2 attachment(s)</v>
      </c>
      <c r="Y648" t="inlineStr">
        <is>
          <t>Bank Transfer</t>
        </is>
      </c>
      <c r="Z648" t="inlineStr">
        <is>
          <t>Grace Filomeno</t>
        </is>
      </c>
      <c r="AA648" t="inlineStr">
        <is>
          <t>007340484415</t>
        </is>
      </c>
      <c r="AB648" t="inlineStr">
        <is>
          <t>BDO</t>
        </is>
      </c>
      <c r="AC648" t="inlineStr">
        <is>
          <t>89 T Santos St. San Jose, Rodriguez, Rizal</t>
        </is>
      </c>
      <c r="AD648" s="4">
        <v>45975</v>
      </c>
      <c r="AE648" t="inlineStr">
        <is>
          <t>1st Payment - Nov. 28, 2025
Final Payment - Dec. 5, 2025</t>
        </is>
      </c>
      <c r="AF648" s="2"/>
      <c r="AG648" t="inlineStr">
        <is>
          <t>NzQyNTk5MTgyNzQ4MTg3MDM0MToyRUQzODg5Qi1DNkM5LTQ2RDEtQTE0RC03MUY4QTZFQjNDMTEtMTo3NTk1ZGZkYzA1N2EyNmZmNzc4YzcxNTcyNTBkYzRiMzox</t>
        </is>
      </c>
      <c r="AH648" t="inlineStr">
        <is>
          <t>Grace Filomeno</t>
        </is>
      </c>
      <c r="AI648"/>
      <c r="AJ648" t="inlineStr">
        <is>
          <t>LIQUIDITY PLAN (PAR # 202510290062 / 2025TEG-P0286)
1108 CE KIC GS+KO TAB &gt; OPERATIONS TEAM &gt;
Talent Management &gt; HMUA (for Talents)
Total Remaining Budget = Php 117,700.00
This Request = Php 31,200.00
Balance = Php 86,500.00</t>
        </is>
      </c>
      <c r="AK648"/>
    </row>
    <row r="649" ht="25.5" customHeight="1">
      <c r="A649" s="2" t="str">
        <f>=HYPERLINK("https://applink.larksuite.com/client/mini_program/open?appId=cli_9c7cc8a9a9edd105&amp;mode=appCenter&amp;path_pc=pc/pages/requested/index?instanceId=7575159552132550368&amp;source=bitable&amp;path=pages/detail/index?instanceId=7575159552132550368&amp;source=bitable", "202511210118")</f>
        <v>202511210118</v>
      </c>
      <c r="B649" t="inlineStr">
        <is>
          <t>Approved</t>
        </is>
      </c>
      <c r="C649" t="inlineStr">
        <is>
          <t>Procurement Order</t>
        </is>
      </c>
      <c r="D649" s="3">
        <v>45982.86659722222</v>
      </c>
      <c r="E649" s="3">
        <v>45985.36210648148</v>
      </c>
      <c r="F649" t="inlineStr">
        <is>
          <t>Fatima Kathleen M. FLores</t>
        </is>
      </c>
      <c r="G649" t="inlineStr">
        <is>
          <t>Procurement</t>
        </is>
      </c>
      <c r="H649"/>
      <c r="I649"/>
      <c r="J649" t="inlineStr">
        <is>
          <t>Project</t>
        </is>
      </c>
      <c r="K649" t="inlineStr">
        <is>
          <t>GG - Event Service</t>
        </is>
      </c>
      <c r="L649" t="inlineStr">
        <is>
          <t>KIC 2025 - Group Stage &amp; Knockouts</t>
        </is>
      </c>
      <c r="M649" t="inlineStr">
        <is>
          <t>2025TEG-P0286</t>
        </is>
      </c>
      <c r="N649" t="inlineStr">
        <is>
          <t>Carla Andrea Calma Crespo</t>
        </is>
      </c>
      <c r="O649" t="inlineStr">
        <is>
          <t>202511100097-Carla Andrea Calma Crespo-费用报销 - 副本 - 副本 - 副本-2025-11-10 08:55:17</t>
        </is>
      </c>
      <c r="P649" t="inlineStr">
        <is>
          <t>YES</t>
        </is>
      </c>
      <c r="Q649"/>
      <c r="R649" t="inlineStr">
        <is>
          <t>NO</t>
        </is>
      </c>
      <c r="S649" t="inlineStr">
        <is>
          <t>Outsourced  HMUA (for Talents)</t>
        </is>
      </c>
      <c r="T649">
        <v>1</v>
      </c>
      <c r="U649">
        <v>46800</v>
      </c>
      <c r="V649" t="inlineStr">
        <is>
          <t>PHP</t>
        </is>
      </c>
      <c r="W649">
        <v>46800</v>
      </c>
      <c r="X649" s="2" t="str">
        <f>=HYPERLINK("https://www.larksuite.com/approval/admin/previewAttachment?key=PMgxCkIxEATQK83s7mSzXsbGT5CgNqKQImcXLH77WidaF70VomgF7lSKKsnoJsFb37aZWUimax_Pca25hq_50PpM4LW_99s43lSlGdIjvAPg5XTPiKhqgb_jFwAA__8", "2 attachment(s)")</f>
        <v>2 attachment(s)</v>
      </c>
      <c r="Y649" t="inlineStr">
        <is>
          <t>Bank Transfer</t>
        </is>
      </c>
      <c r="Z649" t="inlineStr">
        <is>
          <t>Nico Rio Ong Rivera</t>
        </is>
      </c>
      <c r="AA649" t="inlineStr">
        <is>
          <t>0646703869</t>
        </is>
      </c>
      <c r="AB649" t="inlineStr">
        <is>
          <t>BPI</t>
        </is>
      </c>
      <c r="AC649" t="inlineStr">
        <is>
          <t>312 Edang St. Pasay City</t>
        </is>
      </c>
      <c r="AD649" s="4">
        <v>45981</v>
      </c>
      <c r="AE649" t="inlineStr">
        <is>
          <t>1st Payment - Nov. 28, 2025
Final Payment - Dec. 12, 2025</t>
        </is>
      </c>
      <c r="AF649" s="2"/>
      <c r="AG649" t="inlineStr">
        <is>
          <t>NzQyNTk5MTgyNzQ4MTg3MDM0MTo0MERBMDUxNC0yREQ4LTQ1MEItOEEzNi03Q0FGRTgwMTQ4MUItMTplY2ExZjA3Yzk5MjczNjg1MmMwN2Y0YzczOWE1ZjEzMzox</t>
        </is>
      </c>
      <c r="AH649" t="inlineStr">
        <is>
          <t>Nico Rio Ong Rivera</t>
        </is>
      </c>
      <c r="AI649"/>
      <c r="AJ649" t="inlineStr">
        <is>
          <t>LIQUIDITY PLAN (PAR # 202510290062 / 2025TEG-P0286)
1108 CE KIC GS+KO TAB &gt; OPERATIONS TEAM &gt;
Talent Management &gt; HMUA (for Talents)
Total Remaining Budget = Php 86,500.00
This Request = Php 46,800.00
Balance = Php 39,700.00</t>
        </is>
      </c>
      <c r="AK649"/>
    </row>
    <row r="650" ht="25.5" customHeight="1">
      <c r="A650" s="2" t="str">
        <f>=HYPERLINK("https://applink.larksuite.com/client/mini_program/open?appId=cli_9c7cc8a9a9edd105&amp;mode=appCenter&amp;path_pc=pc/pages/requested/index?instanceId=7575162149354376928&amp;source=bitable&amp;path=pages/detail/index?instanceId=7575162149354376928&amp;source=bitable", "202511210119")</f>
        <v>202511210119</v>
      </c>
      <c r="B650" t="inlineStr">
        <is>
          <t>Approved</t>
        </is>
      </c>
      <c r="C650" t="inlineStr">
        <is>
          <t>Procurement Order</t>
        </is>
      </c>
      <c r="D650" s="3">
        <v>45982.87359953704</v>
      </c>
      <c r="E650" s="3">
        <v>45985.363078703704</v>
      </c>
      <c r="F650" t="inlineStr">
        <is>
          <t>Fatima Kathleen M. FLores</t>
        </is>
      </c>
      <c r="G650" t="inlineStr">
        <is>
          <t>Procurement</t>
        </is>
      </c>
      <c r="H650"/>
      <c r="I650"/>
      <c r="J650" t="inlineStr">
        <is>
          <t>Project</t>
        </is>
      </c>
      <c r="K650" t="inlineStr">
        <is>
          <t>GG - Event Service</t>
        </is>
      </c>
      <c r="L650" t="inlineStr">
        <is>
          <t>KIC 2025 - Group Stage &amp; Knockouts</t>
        </is>
      </c>
      <c r="M650" t="inlineStr">
        <is>
          <t>2025TEG-P0286</t>
        </is>
      </c>
      <c r="N650" t="inlineStr">
        <is>
          <t>Carla Andrea Calma Crespo</t>
        </is>
      </c>
      <c r="O650" t="inlineStr">
        <is>
          <t>202511100101-Carla Andrea Calma Crespo-费用报销 - 副本 - 副本 - 副本-2025-11-10 09:13:33</t>
        </is>
      </c>
      <c r="P650" t="inlineStr">
        <is>
          <t>YES</t>
        </is>
      </c>
      <c r="Q650"/>
      <c r="R650" t="inlineStr">
        <is>
          <t>NO</t>
        </is>
      </c>
      <c r="S650" t="inlineStr">
        <is>
          <t>Outsourced  FOH Technical Director</t>
        </is>
      </c>
      <c r="T650">
        <v>1</v>
      </c>
      <c r="U650">
        <v>70000</v>
      </c>
      <c r="V650" t="inlineStr">
        <is>
          <t>PHP</t>
        </is>
      </c>
      <c r="W650">
        <v>70000</v>
      </c>
      <c r="X650" s="2" t="str">
        <f>=HYPERLINK("https://www.larksuite.com/approval/admin/previewAttachment?key=PMg7CsJAGATgK83_nB0vY2MINgFBDNlizy5Y2H49DD3KooWUuWCLxbJ2S0VlsOVj-TJSoDFqbcd-PyZep-bnCr_kvs7nY9_eVqI7GJkxANjt78HMlDrxc3wDAAD__w", "2 attachment(s)")</f>
        <v>2 attachment(s)</v>
      </c>
      <c r="Y650" t="inlineStr">
        <is>
          <t>Bank Transfer</t>
        </is>
      </c>
      <c r="Z650" t="inlineStr">
        <is>
          <t>Jordan Swing</t>
        </is>
      </c>
      <c r="AA650" t="inlineStr">
        <is>
          <t>001560339452</t>
        </is>
      </c>
      <c r="AB650" t="inlineStr">
        <is>
          <t>BDO</t>
        </is>
      </c>
      <c r="AC650" t="inlineStr">
        <is>
          <t>723 P Gomez St Brgy Hagdan Bato Itaas Mandaluyong City</t>
        </is>
      </c>
      <c r="AD650" s="4">
        <v>45981</v>
      </c>
      <c r="AE650" t="inlineStr">
        <is>
          <t>1st Payment - Nov. 28, 2025
Final Payment - Dec. 12, 2025</t>
        </is>
      </c>
      <c r="AF650" s="2"/>
      <c r="AG650" t="inlineStr">
        <is>
          <t>NzQyNTk5MTgyNzQ4MTg3MDM0MTo5NUJBNDkzMC1BRTNELTRBNDUtQUMzOS1FNTk1QkQ4Q0FGQTUtMTpiMjZhZWZhMDZhYWEwYmM4ZWE0MmE5YjY1NDU4Nzk5MDox</t>
        </is>
      </c>
      <c r="AH650" t="inlineStr">
        <is>
          <t>Jordan Swing</t>
        </is>
      </c>
      <c r="AI650"/>
      <c r="AJ650" t="inlineStr">
        <is>
          <t>LIQUIDITY PLAN (PAR # 202510290062 / 2025TEG-P0286)
1108 CE KIC GS+KO TAB &gt; OPERATIONS TEAM &gt;
Production Management &gt; FOH Technical Director
Total Budget = Php 75,000.00
Actual Cost = Php 70,000.00
Balance = Php 5,000.00</t>
        </is>
      </c>
      <c r="AK650"/>
    </row>
    <row r="651" ht="25.5" customHeight="1">
      <c r="A651" s="2" t="str">
        <f>=HYPERLINK("https://applink.larksuite.com/client/mini_program/open?appId=cli_9c7cc8a9a9edd105&amp;mode=appCenter&amp;path_pc=pc/pages/requested/index?instanceId=7575163249356934875&amp;source=bitable&amp;path=pages/detail/index?instanceId=7575163249356934875&amp;source=bitable", "202511210120")</f>
        <v>202511210120</v>
      </c>
      <c r="B651" t="inlineStr">
        <is>
          <t>Approved</t>
        </is>
      </c>
      <c r="C651" t="inlineStr">
        <is>
          <t>Procurement Order</t>
        </is>
      </c>
      <c r="D651" s="3">
        <v>45982.8765625</v>
      </c>
      <c r="E651" s="3">
        <v>45989.68665509259</v>
      </c>
      <c r="F651" t="inlineStr">
        <is>
          <t>Fatima Kathleen M. FLores</t>
        </is>
      </c>
      <c r="G651" t="inlineStr">
        <is>
          <t>Procurement</t>
        </is>
      </c>
      <c r="H651"/>
      <c r="I651"/>
      <c r="J651" t="inlineStr">
        <is>
          <t>Project</t>
        </is>
      </c>
      <c r="K651" t="inlineStr">
        <is>
          <t>GG - Event Service</t>
        </is>
      </c>
      <c r="L651" t="inlineStr">
        <is>
          <t>KIC 2025 - Group Stage &amp; Knockouts</t>
        </is>
      </c>
      <c r="M651" t="inlineStr">
        <is>
          <t>2025TEG-P0286</t>
        </is>
      </c>
      <c r="N651" t="inlineStr">
        <is>
          <t>Carla Andrea Calma Crespo</t>
        </is>
      </c>
      <c r="O651" t="inlineStr">
        <is>
          <t>202511100115-Carla Andrea Calma Crespo-费用报销 - 副本 - 副本 - 副本-2025-11-10 09:55:13</t>
        </is>
      </c>
      <c r="P651" t="inlineStr">
        <is>
          <t>YES</t>
        </is>
      </c>
      <c r="Q651"/>
      <c r="R651" t="inlineStr">
        <is>
          <t>NO</t>
        </is>
      </c>
      <c r="S651" t="inlineStr">
        <is>
          <t>Outsourced  FOH Assistant Technical Director</t>
        </is>
      </c>
      <c r="T651">
        <v>1</v>
      </c>
      <c r="U651">
        <v>82000</v>
      </c>
      <c r="V651" t="inlineStr">
        <is>
          <t>PHP</t>
        </is>
      </c>
      <c r="W651">
        <v>82000</v>
      </c>
      <c r="X651" s="2" t="str">
        <f>=HYPERLINK("https://www.larksuite.com/approval/admin/previewAttachment?key=PMg9CsJAEAXgK735fTtexibLopBUQkwzZxcs0n45BDlCLAteogVpBkPS1Msiy3wwWlvIAoUWPY_11PO7DNf23o957ezzta35kSiqguZuA4A8bje6e1U6_o5fAAAA__8", "2 attachment(s)")</f>
        <v>2 attachment(s)</v>
      </c>
      <c r="Y651" t="inlineStr">
        <is>
          <t>Bank Transfer</t>
        </is>
      </c>
      <c r="Z651" t="inlineStr">
        <is>
          <t>Ricardo Cuevas</t>
        </is>
      </c>
      <c r="AA651" t="inlineStr">
        <is>
          <t>200039521228</t>
        </is>
      </c>
      <c r="AB651" t="inlineStr">
        <is>
          <t>EastWest Banking Corporation</t>
        </is>
      </c>
      <c r="AC651" t="inlineStr">
        <is>
          <t>130 F. Acab St. Caloocan City</t>
        </is>
      </c>
      <c r="AD651" s="4">
        <v>45972</v>
      </c>
      <c r="AE651" t="inlineStr">
        <is>
          <t>1st Payment - Nov. 28, 2025
2nd Payment - Dec. 12, 2025
Final Payment - Dec. 26, 2025</t>
        </is>
      </c>
      <c r="AF651" s="2"/>
      <c r="AG651" t="inlineStr">
        <is>
          <t>NzQyNTk5MTgyNzQ4MTg3MDM0MTo3MTY5NkY4RS04QTVDLTRENUItOEVFNS01NUM3NDk5NzgyMzQtMTo2NzI0ZWU1YjliYTI3MmY1MDk5NTIyYzQ5ZjU3YTZhYjox</t>
        </is>
      </c>
      <c r="AH651" t="inlineStr">
        <is>
          <t>Ricardo Cuevas</t>
        </is>
      </c>
      <c r="AI651"/>
      <c r="AJ651" t="inlineStr">
        <is>
          <t>LIQUIDITY PLAN (PAR # 202510290062 / 2025TEG-P0286)
1108 CE KIC GS+KO TAB &gt; OPERATIONS TEAM &gt;
Production Management &gt; FOH Ass. Technical Director - Main Event
Total Budget = Php 84,000.00
Actual Cost = Php 82,000.00
Balance = Php 2,000.00</t>
        </is>
      </c>
      <c r="AK651"/>
    </row>
    <row r="652" ht="25.5" customHeight="1">
      <c r="A652" s="2" t="str">
        <f>=HYPERLINK("https://applink.larksuite.com/client/mini_program/open?appId=cli_9c7cc8a9a9edd105&amp;mode=appCenter&amp;path_pc=pc/pages/requested/index?instanceId=7575165010012278496&amp;source=bitable&amp;path=pages/detail/index?instanceId=7575165010012278496&amp;source=bitable", "202511210121")</f>
        <v>202511210121</v>
      </c>
      <c r="B652" t="inlineStr">
        <is>
          <t>Approved</t>
        </is>
      </c>
      <c r="C652" t="inlineStr">
        <is>
          <t>Procurement Order</t>
        </is>
      </c>
      <c r="D652" s="3">
        <v>45982.88130787037</v>
      </c>
      <c r="E652" s="3">
        <v>45985.36541666667</v>
      </c>
      <c r="F652" t="inlineStr">
        <is>
          <t>Fatima Kathleen M. FLores</t>
        </is>
      </c>
      <c r="G652" t="inlineStr">
        <is>
          <t>Procurement</t>
        </is>
      </c>
      <c r="H652"/>
      <c r="I652"/>
      <c r="J652" t="inlineStr">
        <is>
          <t>Project</t>
        </is>
      </c>
      <c r="K652" t="inlineStr">
        <is>
          <t>GG - Event Service</t>
        </is>
      </c>
      <c r="L652" t="inlineStr">
        <is>
          <t>KIC 2025 - Group Stage &amp; Knockouts</t>
        </is>
      </c>
      <c r="M652" t="inlineStr">
        <is>
          <t>2025TEG-P0286</t>
        </is>
      </c>
      <c r="N652" t="inlineStr">
        <is>
          <t>Carla Andrea Calma Crespo</t>
        </is>
      </c>
      <c r="O652" t="inlineStr">
        <is>
          <t>202511100119-Carla Andrea Calma Crespo-费用报销 - 副本 - 副本 - 副本-2025-11-10 10:13:35</t>
        </is>
      </c>
      <c r="P652" t="inlineStr">
        <is>
          <t>YES</t>
        </is>
      </c>
      <c r="Q652"/>
      <c r="R652" t="inlineStr">
        <is>
          <t>NO</t>
        </is>
      </c>
      <c r="S652" t="inlineStr">
        <is>
          <t>Outsourced Liaison Officer</t>
        </is>
      </c>
      <c r="T652">
        <v>1</v>
      </c>
      <c r="U652">
        <v>10500</v>
      </c>
      <c r="V652" t="inlineStr">
        <is>
          <t>PHP</t>
        </is>
      </c>
      <c r="W652">
        <v>10500</v>
      </c>
      <c r="X652" s="2" t="str">
        <f>=HYPERLINK("https://www.larksuite.com/approval/admin/previewAttachment?key=PMhBCsJQDATQK83kJ5kfL-OmpQhVEASri5xdcNHty0nkDI4seNEKbIWCGSBAM02vbGtKBVEjen1s193uOIiPL9_9eFq_b8u2vhglM2i4jwmAl9OH3L0qHX_HLwAA__8", "2 attachment(s)")</f>
        <v>2 attachment(s)</v>
      </c>
      <c r="Y652" t="inlineStr">
        <is>
          <t>Bank Transfer</t>
        </is>
      </c>
      <c r="Z652" t="inlineStr">
        <is>
          <t>Juvin Daryl L. Chico</t>
        </is>
      </c>
      <c r="AA652" t="inlineStr">
        <is>
          <t>2486264929</t>
        </is>
      </c>
      <c r="AB652" t="inlineStr">
        <is>
          <t>Landbank</t>
        </is>
      </c>
      <c r="AC652" t="inlineStr">
        <is>
          <t>Blk 1 lot 27 Amethyst st. Saint Francis Homes III. San Pedro Laguna</t>
        </is>
      </c>
      <c r="AD652" s="4">
        <v>45977</v>
      </c>
      <c r="AE652" t="inlineStr">
        <is>
          <t>1st Payment - Nov. 28, 2025
Final Payment - Dec. 5, 2025</t>
        </is>
      </c>
      <c r="AF652" s="2"/>
      <c r="AG652" t="inlineStr">
        <is>
          <t>NzQyNTk5MTgyNzQ4MTg3MDM0MTpGQkRBOTkxQi1BOTkyLTQzQ0EtQkIwRi05NzQ2M0EyNkVCNkEtMToxNGRkNjQ5MjA0MWUzNTk3NmIwYjBlM2U3NTVmMmRjNjox</t>
        </is>
      </c>
      <c r="AH652" t="inlineStr">
        <is>
          <t>Juvin Daryl L. Chico</t>
        </is>
      </c>
      <c r="AI652"/>
      <c r="AJ652" t="inlineStr">
        <is>
          <t>LIQUIDITY PLAN (PAR # 202510290062 / 2025TEG-P0286)
1108 CE KIC GS+KO TAB &gt; OPERATIONS TEAM &gt;
Hospitality &gt; Liaison Officers - Players
Total Budget = Php 326,400.00
Actual Cost = Php 10,500.00
Balance = Php 315,900.00</t>
        </is>
      </c>
      <c r="AK652"/>
    </row>
    <row r="653" ht="25.5" customHeight="1">
      <c r="A653" s="2" t="str">
        <f>=HYPERLINK("https://applink.larksuite.com/client/mini_program/open?appId=cli_9c7cc8a9a9edd105&amp;mode=appCenter&amp;path_pc=pc/pages/requested/index?instanceId=7575165800139460321&amp;source=bitable&amp;path=pages/detail/index?instanceId=7575165800139460321&amp;source=bitable", "202511210122")</f>
        <v>202511210122</v>
      </c>
      <c r="B653" t="inlineStr">
        <is>
          <t>Approved</t>
        </is>
      </c>
      <c r="C653" t="inlineStr">
        <is>
          <t>Procurement Order</t>
        </is>
      </c>
      <c r="D653" s="3">
        <v>45982.8834375</v>
      </c>
      <c r="E653" s="3">
        <v>45985.36666666667</v>
      </c>
      <c r="F653" t="inlineStr">
        <is>
          <t>Fatima Kathleen M. FLores</t>
        </is>
      </c>
      <c r="G653" t="inlineStr">
        <is>
          <t>Procurement</t>
        </is>
      </c>
      <c r="H653"/>
      <c r="I653"/>
      <c r="J653" t="inlineStr">
        <is>
          <t>Project</t>
        </is>
      </c>
      <c r="K653" t="inlineStr">
        <is>
          <t>GG - Event Service</t>
        </is>
      </c>
      <c r="L653" t="inlineStr">
        <is>
          <t>KIC 2025 - Group Stage &amp; Knockouts</t>
        </is>
      </c>
      <c r="M653" t="inlineStr">
        <is>
          <t>2025TEG-P0286</t>
        </is>
      </c>
      <c r="N653" t="inlineStr">
        <is>
          <t>Carla Andrea Calma Crespo</t>
        </is>
      </c>
      <c r="O653" t="inlineStr">
        <is>
          <t>202511100119-Carla Andrea Calma Crespo-费用报销 - 副本 - 副本 - 副本-2025-11-10 10:13:35</t>
        </is>
      </c>
      <c r="P653" t="inlineStr">
        <is>
          <t>YES</t>
        </is>
      </c>
      <c r="Q653"/>
      <c r="R653" t="inlineStr">
        <is>
          <t>NO</t>
        </is>
      </c>
      <c r="S653" t="inlineStr">
        <is>
          <t>Outsourced Liaison Officers</t>
        </is>
      </c>
      <c r="T653">
        <v>1</v>
      </c>
      <c r="U653">
        <v>84750</v>
      </c>
      <c r="V653" t="inlineStr">
        <is>
          <t>PHP</t>
        </is>
      </c>
      <c r="W653">
        <v>84750</v>
      </c>
      <c r="X653" s="2" t="str">
        <f>=HYPERLINK("https://www.larksuite.com/approval/admin/previewAttachment?key=PMg9CsJAEAXgK703vztexsawaDAgCJtqzi5YpP1iEDGcGgUrSoGdns7wAVDLAipsaWYWkqne2zHvp72Oz1qy7-95Jno9H3P70itFkGqmAwBvl2uaWVUY_o5fAAAA__8", "2 attachment(s)")</f>
        <v>2 attachment(s)</v>
      </c>
      <c r="Y653" t="inlineStr">
        <is>
          <t>Bank Transfer</t>
        </is>
      </c>
      <c r="Z653" t="inlineStr">
        <is>
          <t>Marc Kevin Serrano</t>
        </is>
      </c>
      <c r="AA653" t="inlineStr">
        <is>
          <t>1519218972</t>
        </is>
      </c>
      <c r="AB653" t="inlineStr">
        <is>
          <t>BPI</t>
        </is>
      </c>
      <c r="AC653" t="inlineStr">
        <is>
          <t>3 Don Guillermo Street, Barangay Holy Spirit, Commonwealth, Quezon City</t>
        </is>
      </c>
      <c r="AD653" s="4">
        <v>45977</v>
      </c>
      <c r="AE653" t="inlineStr">
        <is>
          <t>1st Payment - Nov. 28, 2025
2nd Payment - Dec. 5, 2025
Final Payment - Dec. 12, 2025</t>
        </is>
      </c>
      <c r="AF653" s="2"/>
      <c r="AG653" t="inlineStr">
        <is>
          <t>NzQyNTk5MTgyNzQ4MTg3MDM0MTpFNDZEQkFGNC05MzFCLTRDOUItOURDNi1FOUI5NzBFODEzRTUtMTo4YWEwMmIzOGRiM2EyZWY3NTU1NmI5MTNjNjM1Mjg4NTox</t>
        </is>
      </c>
      <c r="AH653" t="inlineStr">
        <is>
          <t>Marc Kevin Serrano</t>
        </is>
      </c>
      <c r="AI653"/>
      <c r="AJ653" t="inlineStr">
        <is>
          <t>LIQUIDITY PLAN (PAR # 202510290062 / 2025TEG-P0286)
1108 CE KIC GS+KO TAB &gt; OPERATIONS TEAM &gt;
Hospitality &gt; Liaison Officers - Players
Total Remaining Budget = Php 315,900.00
Actual Cost = Php 84,750.00
Balance = Php 231,150.00</t>
        </is>
      </c>
      <c r="AK653"/>
    </row>
    <row r="654" ht="25.5" customHeight="1">
      <c r="A654" s="2" t="str">
        <f>=HYPERLINK("https://applink.larksuite.com/client/mini_program/open?appId=cli_9c7cc8a9a9edd105&amp;mode=appCenter&amp;path_pc=pc/pages/requested/index?instanceId=7575167335321849569&amp;source=bitable&amp;path=pages/detail/index?instanceId=7575167335321849569&amp;source=bitable", "202511210123")</f>
        <v>202511210123</v>
      </c>
      <c r="B654" t="inlineStr">
        <is>
          <t>Approved</t>
        </is>
      </c>
      <c r="C654" t="inlineStr">
        <is>
          <t>Procurement Order</t>
        </is>
      </c>
      <c r="D654" s="3">
        <v>45982.88756944444</v>
      </c>
      <c r="E654" s="3">
        <v>45985.36712962963</v>
      </c>
      <c r="F654" t="inlineStr">
        <is>
          <t>Fatima Kathleen M. FLores</t>
        </is>
      </c>
      <c r="G654" t="inlineStr">
        <is>
          <t>Procurement</t>
        </is>
      </c>
      <c r="H654"/>
      <c r="I654"/>
      <c r="J654" t="inlineStr">
        <is>
          <t>Project</t>
        </is>
      </c>
      <c r="K654" t="inlineStr">
        <is>
          <t>GG - Event Service</t>
        </is>
      </c>
      <c r="L654" t="inlineStr">
        <is>
          <t>KIC 2025 - Group Stage &amp; Knockouts</t>
        </is>
      </c>
      <c r="M654" t="inlineStr">
        <is>
          <t>2025TEG-P0286</t>
        </is>
      </c>
      <c r="N654" t="inlineStr">
        <is>
          <t>Carla Andrea Calma Crespo</t>
        </is>
      </c>
      <c r="O654" t="inlineStr">
        <is>
          <t>202511100119-Carla Andrea Calma Crespo-费用报销 - 副本 - 副本 - 副本-2025-11-10 10:13:35</t>
        </is>
      </c>
      <c r="P654" t="inlineStr">
        <is>
          <t>YES</t>
        </is>
      </c>
      <c r="Q654"/>
      <c r="R654" t="inlineStr">
        <is>
          <t>NO</t>
        </is>
      </c>
      <c r="S654" t="inlineStr">
        <is>
          <t>Outsourced Liaison Officer</t>
        </is>
      </c>
      <c r="T654">
        <v>1</v>
      </c>
      <c r="U654">
        <v>24750</v>
      </c>
      <c r="V654" t="inlineStr">
        <is>
          <t>PHP</t>
        </is>
      </c>
      <c r="W654">
        <v>24750</v>
      </c>
      <c r="X654" s="2" t="str">
        <f>=HYPERLINK("https://www.larksuite.com/approval/admin/previewAttachment?key=PMg9CgIxEAXgK735fRkvY-MSRBIQhAWLObtgse2XQ5AjxLLgJVqQZjAkaRamMrwiq7WFLFBo0cee9_3F-9yG11q61-zz-ZjHR6KoCpq7DQByu9zo7lXp-Dt-AQAA__8", "2 attachment(s)")</f>
        <v>2 attachment(s)</v>
      </c>
      <c r="Y654" t="inlineStr">
        <is>
          <t>Bank Transfer</t>
        </is>
      </c>
      <c r="Z654" t="inlineStr">
        <is>
          <t>Honey Jane Vertudes</t>
        </is>
      </c>
      <c r="AA654" t="inlineStr">
        <is>
          <t>109324861046</t>
        </is>
      </c>
      <c r="AB654" t="inlineStr">
        <is>
          <t>Unionbank</t>
        </is>
      </c>
      <c r="AC654" t="inlineStr">
        <is>
          <t>9 sto.thomas street bagumbayan Quezon City</t>
        </is>
      </c>
      <c r="AD654" s="4">
        <v>45970</v>
      </c>
      <c r="AE654" t="inlineStr">
        <is>
          <t>1st Payment - Nov. 28, 2025
Final Payment - Dec. 5, 2025</t>
        </is>
      </c>
      <c r="AF654" s="2"/>
      <c r="AG654" t="inlineStr">
        <is>
          <t>NzQyNTk5MTgyNzQ4MTg3MDM0MTo4MjJDRUYxRi0zQ0I1LTQ0OEUtQjQzNi03RTI1RTBBNEM0RUQtMTo3NWIzOTg5NDM0ZDBmMDk4NjEzMjg5MGE5OTQ3NGFjMjox</t>
        </is>
      </c>
      <c r="AH654" t="inlineStr">
        <is>
          <t>Honey Jane Vertudes</t>
        </is>
      </c>
      <c r="AI654"/>
      <c r="AJ654" t="inlineStr">
        <is>
          <t>LIQUIDITY PLAN (PAR # 202510290062 / 2025TEG-P0286)
1108 CE KIC GS+KO TAB &gt; OPERATIONS TEAM &gt;
Hospitality &gt; Liaison Officers - Players
Total Remaining Budget = Php 231,150.00
Actual Cost = Php 24,750.00
Balance = Php 206,400.00</t>
        </is>
      </c>
      <c r="AK654"/>
    </row>
    <row r="655" ht="25.5" customHeight="1">
      <c r="A655" s="2" t="str">
        <f>=HYPERLINK("https://applink.larksuite.com/client/mini_program/open?appId=cli_9c7cc8a9a9edd105&amp;mode=appCenter&amp;path_pc=pc/pages/requested/index?instanceId=7575168404550815456&amp;source=bitable&amp;path=pages/detail/index?instanceId=7575168404550815456&amp;source=bitable", "202511210124")</f>
        <v>202511210124</v>
      </c>
      <c r="B655" t="inlineStr">
        <is>
          <t>Approved</t>
        </is>
      </c>
      <c r="C655" t="inlineStr">
        <is>
          <t>Procurement Order</t>
        </is>
      </c>
      <c r="D655" s="3">
        <v>45982.89045138889</v>
      </c>
      <c r="E655" s="3">
        <v>45985.36756944445</v>
      </c>
      <c r="F655" t="inlineStr">
        <is>
          <t>Fatima Kathleen M. FLores</t>
        </is>
      </c>
      <c r="G655" t="inlineStr">
        <is>
          <t>Procurement</t>
        </is>
      </c>
      <c r="H655"/>
      <c r="I655"/>
      <c r="J655" t="inlineStr">
        <is>
          <t>Project</t>
        </is>
      </c>
      <c r="K655" t="inlineStr">
        <is>
          <t>GG - Event Service</t>
        </is>
      </c>
      <c r="L655" t="inlineStr">
        <is>
          <t>KIC 2025 - Group Stage &amp; Knockouts</t>
        </is>
      </c>
      <c r="M655" t="inlineStr">
        <is>
          <t>2025TEG-P0286</t>
        </is>
      </c>
      <c r="N655" t="inlineStr">
        <is>
          <t>Carla Andrea Calma Crespo</t>
        </is>
      </c>
      <c r="O655" t="inlineStr">
        <is>
          <t>202511100119-Carla Andrea Calma Crespo-费用报销 - 副本 - 副本 - 副本-2025-11-10 10:13:35</t>
        </is>
      </c>
      <c r="P655" t="inlineStr">
        <is>
          <t>YES</t>
        </is>
      </c>
      <c r="Q655"/>
      <c r="R655" t="inlineStr">
        <is>
          <t>NO</t>
        </is>
      </c>
      <c r="S655" t="inlineStr">
        <is>
          <t>Outsourced Liaison Officer</t>
        </is>
      </c>
      <c r="T655">
        <v>1</v>
      </c>
      <c r="U655">
        <v>24750</v>
      </c>
      <c r="V655" t="inlineStr">
        <is>
          <t>PHP</t>
        </is>
      </c>
      <c r="W655">
        <v>24750</v>
      </c>
      <c r="X655" s="2" t="str">
        <f>=HYPERLINK("https://www.larksuite.com/approval/admin/previewAttachment?key=PMgxrgIxDATQK83EM3b8L_MbViuKpUJEosjZkShoX04ipxnZUHM0uMtl5hRkY9Jy7rFZ1ShWeB-P8__y66wl83qvGMde99t5POmuMVAhxQTAv59HSepO4ev4BAAA__8", "2 attachment(s)")</f>
        <v>2 attachment(s)</v>
      </c>
      <c r="Y655" t="inlineStr">
        <is>
          <t>Bank Transfer</t>
        </is>
      </c>
      <c r="Z655" t="inlineStr">
        <is>
          <t>Justine Cerezo</t>
        </is>
      </c>
      <c r="AA655" t="inlineStr">
        <is>
          <t>4856020938</t>
        </is>
      </c>
      <c r="AB655" t="inlineStr">
        <is>
          <t>Landbank</t>
        </is>
      </c>
      <c r="AC655" t="inlineStr">
        <is>
          <t>7a Sto Tomas St Bagumbayan Quezon City</t>
        </is>
      </c>
      <c r="AD655" s="4">
        <v>45970</v>
      </c>
      <c r="AE655" t="inlineStr">
        <is>
          <t>1st Payment - Nov. 28, 2025
Final Payment - Dec. 5, 2025</t>
        </is>
      </c>
      <c r="AF655" s="2"/>
      <c r="AG655" t="inlineStr">
        <is>
          <t>NzQyNTk5MTgyNzQ4MTg3MDM0MToxQTMwMjAzMy0wOTNFLTRCOUItOEI4Mi1CNjgxQzM5ODgzRUUtMTplNjY3Zjk2MmViOWEwNDJmODI0ZjNhMzk3MGJlOTMyYzox</t>
        </is>
      </c>
      <c r="AH655" t="inlineStr">
        <is>
          <t>Justine Cerezo</t>
        </is>
      </c>
      <c r="AI655"/>
      <c r="AJ655" t="inlineStr">
        <is>
          <t>LIQUIDITY PLAN (PAR # 202510290062 / 2025TEG-P0286)
1108 CE KIC GS+KO TAB &gt; OPERATIONS TEAM &gt;
Hospitality &gt; Liaison Officers - Players
Total Remaining Budget = Php 206,400.00
Actual Cost = Php 24,750.00
Balance = Php 181,650.00</t>
        </is>
      </c>
      <c r="AK655"/>
    </row>
    <row r="656" ht="25.5" customHeight="1">
      <c r="A656" s="2" t="str">
        <f>=HYPERLINK("https://applink.larksuite.com/client/mini_program/open?appId=cli_9c7cc8a9a9edd105&amp;mode=appCenter&amp;path_pc=pc/pages/requested/index?instanceId=7575169010086481630&amp;source=bitable&amp;path=pages/detail/index?instanceId=7575169010086481630&amp;source=bitable", "202511210125")</f>
        <v>202511210125</v>
      </c>
      <c r="B656" t="inlineStr">
        <is>
          <t>Approved</t>
        </is>
      </c>
      <c r="C656" t="inlineStr">
        <is>
          <t>Procurement Order</t>
        </is>
      </c>
      <c r="D656" s="3">
        <v>45982.89208333333</v>
      </c>
      <c r="E656" s="3">
        <v>45985.36796296296</v>
      </c>
      <c r="F656" t="inlineStr">
        <is>
          <t>Fatima Kathleen M. FLores</t>
        </is>
      </c>
      <c r="G656" t="inlineStr">
        <is>
          <t>Procurement</t>
        </is>
      </c>
      <c r="H656"/>
      <c r="I656"/>
      <c r="J656" t="inlineStr">
        <is>
          <t>Project</t>
        </is>
      </c>
      <c r="K656" t="inlineStr">
        <is>
          <t>GG - Event Service</t>
        </is>
      </c>
      <c r="L656" t="inlineStr">
        <is>
          <t>KIC 2025 - Group Stage &amp; Knockouts</t>
        </is>
      </c>
      <c r="M656" t="inlineStr">
        <is>
          <t>2025TEG-P0286</t>
        </is>
      </c>
      <c r="N656" t="inlineStr">
        <is>
          <t>Carla Andrea Calma Crespo</t>
        </is>
      </c>
      <c r="O656" t="inlineStr">
        <is>
          <t>202511100119-Carla Andrea Calma Crespo-费用报销 - 副本 - 副本 - 副本-2025-11-10 10:13:35</t>
        </is>
      </c>
      <c r="P656" t="inlineStr">
        <is>
          <t>YES</t>
        </is>
      </c>
      <c r="Q656"/>
      <c r="R656" t="inlineStr">
        <is>
          <t>NO</t>
        </is>
      </c>
      <c r="S656" t="inlineStr">
        <is>
          <t>Outsourced Liaison Officer</t>
        </is>
      </c>
      <c r="T656">
        <v>1</v>
      </c>
      <c r="U656">
        <v>24750</v>
      </c>
      <c r="V656" t="inlineStr">
        <is>
          <t>PHP</t>
        </is>
      </c>
      <c r="W656">
        <v>24750</v>
      </c>
      <c r="X656" s="2" t="str">
        <f>=HYPERLINK("https://www.larksuite.com/approval/admin/previewAttachment?key=PMg7CgJBEATQK1X1v72Micug4poIk_XZBQPTF0VEOTUa1pQGJz2d0SBQYcVQjAwzG8lUn-Nc183HrpfpsZ59ynv2_baOD71TBKlmWgB4-bummXWH4ef4BgAA__8", "2 attachment(s)")</f>
        <v>2 attachment(s)</v>
      </c>
      <c r="Y656" t="inlineStr">
        <is>
          <t>Bank Transfer</t>
        </is>
      </c>
      <c r="Z656" t="inlineStr">
        <is>
          <t>JOHN JOSEPH SANCHEZ</t>
        </is>
      </c>
      <c r="AA656" t="inlineStr">
        <is>
          <t>2487023763</t>
        </is>
      </c>
      <c r="AB656" t="inlineStr">
        <is>
          <t>Landbank</t>
        </is>
      </c>
      <c r="AC656" t="inlineStr">
        <is>
          <t>Certeza St. Beata Pandacan, Manila</t>
        </is>
      </c>
      <c r="AD656" s="4">
        <v>45970</v>
      </c>
      <c r="AE656" t="inlineStr">
        <is>
          <t>1st Payment - Nov. 28, 2025
Final Payment - Dec. 5, 2025</t>
        </is>
      </c>
      <c r="AF656" s="2"/>
      <c r="AG656" t="inlineStr">
        <is>
          <t>NzQyNTk5MTgyNzQ4MTg3MDM0MTo3NTQ5N0I1Ny00REQ1LTRDRjAtODIzOC1BN0E3MURGNjQ1OEItMTplNDYyYTdjYjYyNTBjNTQwNjhmODFmMWM3ZGIyZDI5Nzox</t>
        </is>
      </c>
      <c r="AH656" t="inlineStr">
        <is>
          <t>JOHN JOSEPH SANCHEZ</t>
        </is>
      </c>
      <c r="AI656"/>
      <c r="AJ656" t="inlineStr">
        <is>
          <t>LIQUIDITY PLAN (PAR # 202510290062 / 2025TEG-P0286)
1108 CE KIC GS+KO TAB &gt; OPERATIONS TEAM &gt;
Hospitality &gt; Liaison Officers - Players
Total Remaining Budget = Php 181,650.00
Actual Cost = Php 24,750.00
Balance = Php 156,900.00</t>
        </is>
      </c>
      <c r="AK656"/>
    </row>
    <row r="657" ht="25.5" customHeight="1">
      <c r="A657" s="2" t="str">
        <f>=HYPERLINK("https://applink.larksuite.com/client/mini_program/open?appId=cli_9c7cc8a9a9edd105&amp;mode=appCenter&amp;path_pc=pc/pages/requested/index?instanceId=7575169670517411547&amp;source=bitable&amp;path=pages/detail/index?instanceId=7575169670517411547&amp;source=bitable", "202511210126")</f>
        <v>202511210126</v>
      </c>
      <c r="B657" t="inlineStr">
        <is>
          <t>Approved</t>
        </is>
      </c>
      <c r="C657" t="inlineStr">
        <is>
          <t>Procurement Order</t>
        </is>
      </c>
      <c r="D657" s="3">
        <v>45982.89386574074</v>
      </c>
      <c r="E657" s="3">
        <v>45985.3683912037</v>
      </c>
      <c r="F657" t="inlineStr">
        <is>
          <t>Fatima Kathleen M. FLores</t>
        </is>
      </c>
      <c r="G657" t="inlineStr">
        <is>
          <t>Procurement</t>
        </is>
      </c>
      <c r="H657"/>
      <c r="I657"/>
      <c r="J657" t="inlineStr">
        <is>
          <t>Project</t>
        </is>
      </c>
      <c r="K657" t="inlineStr">
        <is>
          <t>GG - Event Service</t>
        </is>
      </c>
      <c r="L657" t="inlineStr">
        <is>
          <t>KIC 2025 - Group Stage &amp; Knockouts</t>
        </is>
      </c>
      <c r="M657" t="inlineStr">
        <is>
          <t>2025TEG-P0286</t>
        </is>
      </c>
      <c r="N657" t="inlineStr">
        <is>
          <t>Carla Andrea Calma Crespo</t>
        </is>
      </c>
      <c r="O657" t="inlineStr">
        <is>
          <t>202511100119-Carla Andrea Calma Crespo-费用报销 - 副本 - 副本 - 副本-2025-11-10 10:13:35</t>
        </is>
      </c>
      <c r="P657" t="inlineStr">
        <is>
          <t>YES</t>
        </is>
      </c>
      <c r="Q657"/>
      <c r="R657" t="inlineStr">
        <is>
          <t>NO</t>
        </is>
      </c>
      <c r="S657" t="inlineStr">
        <is>
          <t>Outsourced Liaison Officer</t>
        </is>
      </c>
      <c r="T657">
        <v>1</v>
      </c>
      <c r="U657">
        <v>24750</v>
      </c>
      <c r="V657" t="inlineStr">
        <is>
          <t>PHP</t>
        </is>
      </c>
      <c r="W657">
        <v>24750</v>
      </c>
      <c r="X657" s="2" t="str">
        <f>=HYPERLINK("https://www.larksuite.com/approval/admin/previewAttachment?key=PMgxDsJADATAL-36bO-Zz9BwihBR0iCg8tuRKGgnJ5EzOLLgRSuwFQpmpRCUk-Fqa0oFUSN6Hdv1cZx4xW5hOz7r7Pf9tq0no2QGDfcxAfDy9yF3r0rHz_ENAAD__w", "2 attachment(s)")</f>
        <v>2 attachment(s)</v>
      </c>
      <c r="Y657" t="inlineStr">
        <is>
          <t>Bank Transfer</t>
        </is>
      </c>
      <c r="Z657" t="inlineStr">
        <is>
          <t>Lord JC Molines</t>
        </is>
      </c>
      <c r="AA657" t="inlineStr">
        <is>
          <t>00005 8448 372</t>
        </is>
      </c>
      <c r="AB657" t="inlineStr">
        <is>
          <t>Security Bank</t>
        </is>
      </c>
      <c r="AC657" t="inlineStr">
        <is>
          <t>B7 L11 Kingston St. Greenland Ph.1 Nangka Marikina City</t>
        </is>
      </c>
      <c r="AD657" s="4">
        <v>45970</v>
      </c>
      <c r="AE657" t="inlineStr">
        <is>
          <t>1st Payment - Nov. 28, 2025
Final Payment - Dec. 5, 2025</t>
        </is>
      </c>
      <c r="AF657" s="2"/>
      <c r="AG657" t="inlineStr">
        <is>
          <t>NzQyNTk5MTgyNzQ4MTg3MDM0MTpEMThFNzU3OC1FNkVGLTQ4MUYtOTk3MC1BMzg4NTk1RDcxRjQtMTphNzk4MTllZTg5MWQ3NWFiM2U0NGQzZmQxNTU1ODAzZjox</t>
        </is>
      </c>
      <c r="AH657" t="inlineStr">
        <is>
          <t>Lord JC Molines</t>
        </is>
      </c>
      <c r="AI657"/>
      <c r="AJ657" t="inlineStr">
        <is>
          <t>LIQUIDITY PLAN (PAR # 202510290062 / 2025TEG-P0286)
1108 CE KIC GS+KO TAB &gt; OPERATIONS TEAM &gt;
Hospitality &gt; Liaison Officers - Players
Total Remaining Budget = Php 156,900.00
Actual Cost = Php 24,750.00
Balance = Php 132,150.00</t>
        </is>
      </c>
      <c r="AK657"/>
    </row>
    <row r="658" ht="25.5" customHeight="1">
      <c r="A658" s="2" t="str">
        <f>=HYPERLINK("https://applink.larksuite.com/client/mini_program/open?appId=cli_9c7cc8a9a9edd105&amp;mode=appCenter&amp;path_pc=pc/pages/requested/index?instanceId=7575170283066117852&amp;source=bitable&amp;path=pages/detail/index?instanceId=7575170283066117852&amp;source=bitable", "202511210127")</f>
        <v>202511210127</v>
      </c>
      <c r="B658" t="inlineStr">
        <is>
          <t>Approved</t>
        </is>
      </c>
      <c r="C658" t="inlineStr">
        <is>
          <t>Procurement Order</t>
        </is>
      </c>
      <c r="D658" s="3">
        <v>45982.89550925926</v>
      </c>
      <c r="E658" s="3">
        <v>45985.37033564815</v>
      </c>
      <c r="F658" t="inlineStr">
        <is>
          <t>Fatima Kathleen M. FLores</t>
        </is>
      </c>
      <c r="G658" t="inlineStr">
        <is>
          <t>Procurement</t>
        </is>
      </c>
      <c r="H658"/>
      <c r="I658"/>
      <c r="J658" t="inlineStr">
        <is>
          <t>Project</t>
        </is>
      </c>
      <c r="K658" t="inlineStr">
        <is>
          <t>GG - Event Service</t>
        </is>
      </c>
      <c r="L658" t="inlineStr">
        <is>
          <t>KIC 2025 - Group Stage &amp; Knockouts</t>
        </is>
      </c>
      <c r="M658" t="inlineStr">
        <is>
          <t>2025TEG-P0286</t>
        </is>
      </c>
      <c r="N658" t="inlineStr">
        <is>
          <t>Carla Andrea Calma Crespo</t>
        </is>
      </c>
      <c r="O658" t="inlineStr">
        <is>
          <t>202511100119-Carla Andrea Calma Crespo-费用报销 - 副本 - 副本 - 副本-2025-11-10 10:13:35</t>
        </is>
      </c>
      <c r="P658" t="inlineStr">
        <is>
          <t>YES</t>
        </is>
      </c>
      <c r="Q658"/>
      <c r="R658" t="inlineStr">
        <is>
          <t>NO</t>
        </is>
      </c>
      <c r="S658" t="inlineStr">
        <is>
          <t>Outsourced Liaison Officer</t>
        </is>
      </c>
      <c r="T658">
        <v>1</v>
      </c>
      <c r="U658">
        <v>24750</v>
      </c>
      <c r="V658" t="inlineStr">
        <is>
          <t>PHP</t>
        </is>
      </c>
      <c r="W658">
        <v>24750</v>
      </c>
      <c r="X658" s="2" t="str">
        <f>=HYPERLINK("https://www.larksuite.com/approval/admin/previewAttachment?key=PMg7igJhEATgK1X1q7r3MpvMMMiIIIga_WcXDEy_aqI66TWIoQ24lEoK1o4qUp22bFEaiPJc--34356G8wps7XE_3-t12Y79wRyZQR7hDYB_P3dFxEwFvo5PAAAA__8", "2 attachment(s)")</f>
        <v>2 attachment(s)</v>
      </c>
      <c r="Y658" t="inlineStr">
        <is>
          <t>Bank Transfer</t>
        </is>
      </c>
      <c r="Z658" t="inlineStr">
        <is>
          <t>Jenny Rose Ellema</t>
        </is>
      </c>
      <c r="AA658" t="inlineStr">
        <is>
          <t>019898858790</t>
        </is>
      </c>
      <c r="AB658" t="inlineStr">
        <is>
          <t>GoTyme</t>
        </is>
      </c>
      <c r="AC658" t="inlineStr">
        <is>
          <t>Lakebreeze phase 1A Blk 1 Lot 18 Looc Calamba City</t>
        </is>
      </c>
      <c r="AD658" s="4">
        <v>45970</v>
      </c>
      <c r="AE658" t="inlineStr">
        <is>
          <t>1st Payment - Nov. 28, 2025
Final Payment - Dec. 5, 2025</t>
        </is>
      </c>
      <c r="AF658" s="2"/>
      <c r="AG658" t="inlineStr">
        <is>
          <t>NzQyNTk5MTgyNzQ4MTg3MDM0MTpGRDVCMkY2Mi0xM0E4LTRDRDgtQkRDMS0yNjQ2MTcwNjdERDktMToxMTRkNDNhMzc2NGUxMzZiNDE2N2IwZDcwMzU1YzYwZDox</t>
        </is>
      </c>
      <c r="AH658" t="inlineStr">
        <is>
          <t>Jenny Rose Ellema</t>
        </is>
      </c>
      <c r="AI658"/>
      <c r="AJ658" t="inlineStr">
        <is>
          <t>LIQUIDITY PLAN (PAR # 202510290062 / 2025TEG-P0286)
1108 CE KIC GS+KO TAB &gt; OPERATIONS TEAM &gt;
Hospitality &gt; Liaison Officers - Players
Total Remaining Budget = Php 132,150.00
Actual Cost = Php 24,750.00
Balance = Php 107,400.00</t>
        </is>
      </c>
      <c r="AK658"/>
    </row>
    <row r="659" ht="25.5" customHeight="1">
      <c r="A659" s="2" t="str">
        <f>=HYPERLINK("https://applink.larksuite.com/client/mini_program/open?appId=cli_9c7cc8a9a9edd105&amp;mode=appCenter&amp;path_pc=pc/pages/requested/index?instanceId=7575172144322072286&amp;source=bitable&amp;path=pages/detail/index?instanceId=7575172144322072286&amp;source=bitable", "202511210129")</f>
        <v>202511210129</v>
      </c>
      <c r="B659" t="inlineStr">
        <is>
          <t>Approved</t>
        </is>
      </c>
      <c r="C659" t="inlineStr">
        <is>
          <t>Procurement Order</t>
        </is>
      </c>
      <c r="D659" s="3">
        <v>45982.90053240741</v>
      </c>
      <c r="E659" s="3">
        <v>45985.35152777778</v>
      </c>
      <c r="F659" t="inlineStr">
        <is>
          <t>Fatima Kathleen M. FLores</t>
        </is>
      </c>
      <c r="G659" t="inlineStr">
        <is>
          <t>Procurement</t>
        </is>
      </c>
      <c r="H659"/>
      <c r="I659"/>
      <c r="J659" t="inlineStr">
        <is>
          <t>Project</t>
        </is>
      </c>
      <c r="K659" t="inlineStr">
        <is>
          <t>GG - Event Service</t>
        </is>
      </c>
      <c r="L659" t="inlineStr">
        <is>
          <t>KIC 2025 - Group Stage &amp; Knockouts</t>
        </is>
      </c>
      <c r="M659" t="inlineStr">
        <is>
          <t>2025TEG-P0286</t>
        </is>
      </c>
      <c r="N659" t="inlineStr">
        <is>
          <t>Carla Andrea Calma Crespo</t>
        </is>
      </c>
      <c r="O659" t="inlineStr">
        <is>
          <t>202511100119-Carla Andrea Calma Crespo-费用报销 - 副本 - 副本 - 副本-2025-11-10 10:13:35</t>
        </is>
      </c>
      <c r="P659" t="inlineStr">
        <is>
          <t>YES</t>
        </is>
      </c>
      <c r="Q659"/>
      <c r="R659" t="inlineStr">
        <is>
          <t>NO</t>
        </is>
      </c>
      <c r="S659" t="inlineStr">
        <is>
          <t>Outsourced Liaison Officer</t>
        </is>
      </c>
      <c r="T659">
        <v>1</v>
      </c>
      <c r="U659">
        <v>24750</v>
      </c>
      <c r="V659" t="inlineStr">
        <is>
          <t>PHP</t>
        </is>
      </c>
      <c r="W659">
        <v>24750</v>
      </c>
      <c r="X659" s="2" t="str">
        <f>=HYPERLINK("https://www.larksuite.com/approval/admin/previewAttachment?key=PMtBCsJQDATQK80k-X8SL-PGUkRpN9KCi5xddOH2wZtJzBz0WYiiFdgaGpQxws0gs5xtTakgykcv23p9bDsOOzalnu9z7_N-W5cXR-l7PMITAC9_d0VE1Qz8HJ8AAAD__w", "2 attachment(s)")</f>
        <v>2 attachment(s)</v>
      </c>
      <c r="Y659" t="inlineStr">
        <is>
          <t>Bank Transfer</t>
        </is>
      </c>
      <c r="Z659" t="inlineStr">
        <is>
          <t>Jharine Abestros</t>
        </is>
      </c>
      <c r="AA659" t="inlineStr">
        <is>
          <t>09622984624</t>
        </is>
      </c>
      <c r="AB659" t="inlineStr">
        <is>
          <t>GCash</t>
        </is>
      </c>
      <c r="AC659" t="inlineStr">
        <is>
          <t>Blk56 Lot11, kaypian, San Jose Del Monte, Bulacan</t>
        </is>
      </c>
      <c r="AD659" s="4">
        <v>45970</v>
      </c>
      <c r="AE659" t="inlineStr">
        <is>
          <t>1st Payment - Nov. 28, 2025
Final Payment - Dec. 5, 2025</t>
        </is>
      </c>
      <c r="AF659" s="2"/>
      <c r="AG659" t="inlineStr">
        <is>
          <t>NzQyNTk5MTgyNzQ4MTg3MDM0MTo1RTRFRDYzMy0yOTNDLTQzREItQThGMi0wMUM5Nzk1N0M5MkUtMTpkMWY4NjNhMWU2ZjM0Zjk0NmVmYWRlYThlMTY1NjRmNjox</t>
        </is>
      </c>
      <c r="AH659" t="inlineStr">
        <is>
          <t>Jharine Abestros</t>
        </is>
      </c>
      <c r="AI659"/>
      <c r="AJ659" t="inlineStr">
        <is>
          <t>LIQUIDITY PLAN (PAR # 202510290062 / 2025TEG-P0286)
1108 CE KIC GS+KO TAB &gt; OPERATIONS TEAM &gt;
Hospitality &gt; Liaison Officers - Players
Total Remaining Budget = Php 82,650.00
Actual Cost = Php 24,750.00
Balance = Php 57,900.00</t>
        </is>
      </c>
      <c r="AK659"/>
    </row>
    <row r="660" ht="25.5" customHeight="1">
      <c r="A660" s="2" t="str">
        <f>=HYPERLINK("https://applink.larksuite.com/client/mini_program/open?appId=cli_9c7cc8a9a9edd105&amp;mode=appCenter&amp;path_pc=pc/pages/requested/index?instanceId=7575172786923048672&amp;source=bitable&amp;path=pages/detail/index?instanceId=7575172786923048672&amp;source=bitable", "202511210130")</f>
        <v>202511210130</v>
      </c>
      <c r="B660" t="inlineStr">
        <is>
          <t>Approved</t>
        </is>
      </c>
      <c r="C660" t="inlineStr">
        <is>
          <t>Procurement Order</t>
        </is>
      </c>
      <c r="D660" s="3">
        <v>45982.90225694444</v>
      </c>
      <c r="E660" s="3">
        <v>45985.3562962963</v>
      </c>
      <c r="F660" t="inlineStr">
        <is>
          <t>Fatima Kathleen M. FLores</t>
        </is>
      </c>
      <c r="G660" t="inlineStr">
        <is>
          <t>Procurement</t>
        </is>
      </c>
      <c r="H660"/>
      <c r="I660"/>
      <c r="J660" t="inlineStr">
        <is>
          <t>Project</t>
        </is>
      </c>
      <c r="K660" t="inlineStr">
        <is>
          <t>GG - Event Service</t>
        </is>
      </c>
      <c r="L660" t="inlineStr">
        <is>
          <t>KIC 2025 - Group Stage &amp; Knockouts</t>
        </is>
      </c>
      <c r="M660" t="inlineStr">
        <is>
          <t>2025TEG-P0286</t>
        </is>
      </c>
      <c r="N660" t="inlineStr">
        <is>
          <t>Carla Andrea Calma Crespo</t>
        </is>
      </c>
      <c r="O660" t="inlineStr">
        <is>
          <t>202511100119-Carla Andrea Calma Crespo-费用报销 - 副本 - 副本 - 副本-2025-11-10 10:13:35</t>
        </is>
      </c>
      <c r="P660" t="inlineStr">
        <is>
          <t>YES</t>
        </is>
      </c>
      <c r="Q660"/>
      <c r="R660" t="inlineStr">
        <is>
          <t>NO</t>
        </is>
      </c>
      <c r="S660" t="inlineStr">
        <is>
          <t>Outsourced Liaison Officer</t>
        </is>
      </c>
      <c r="T660">
        <v>1</v>
      </c>
      <c r="U660">
        <v>24750</v>
      </c>
      <c r="V660" t="inlineStr">
        <is>
          <t>PHP</t>
        </is>
      </c>
      <c r="W660">
        <v>24750</v>
      </c>
      <c r="X660" s="2" t="str">
        <f>=HYPERLINK("https://www.larksuite.com/approval/admin/previewAttachment?key=PMg7CsJgEATgK83OPuZfL2NjCEK0EiIWe3bBwvarZaiV5tWINjZslEoTtarpiFXicExqyOQ523O_HnzgnedBfJjZc95v-_aybJGQR_gCYJe_uyKiuwI_xzcAAP__", "2 attachment(s)")</f>
        <v>2 attachment(s)</v>
      </c>
      <c r="Y660" t="inlineStr">
        <is>
          <t>Bank Transfer</t>
        </is>
      </c>
      <c r="Z660" t="inlineStr">
        <is>
          <t>Rovic JohnRoberto</t>
        </is>
      </c>
      <c r="AA660" t="inlineStr">
        <is>
          <t>09260362676</t>
        </is>
      </c>
      <c r="AB660" t="inlineStr">
        <is>
          <t>GCash</t>
        </is>
      </c>
      <c r="AC660" t="inlineStr">
        <is>
          <t>Banaba 2, Brgy Camangyanan, Sta Maria, Bulacan</t>
        </is>
      </c>
      <c r="AD660" s="4">
        <v>45970</v>
      </c>
      <c r="AE660" t="inlineStr">
        <is>
          <t>1st Payment - Nov. 28, 2025
Final Payment - Dec. 5, 2025</t>
        </is>
      </c>
      <c r="AF660" s="2"/>
      <c r="AG660" t="inlineStr">
        <is>
          <t>NzQyNTk5MTgyNzQ4MTg3MDM0MTpDMTg5OUM4NC0xNTQyLTQwNjQtOTU5RS01NzcyNzA4NzE5RUYtMTo1YThiMzQ0NTgzZjU1MWMzZGNmMzUwZmJkMDAzZjY4OTox</t>
        </is>
      </c>
      <c r="AH660" t="inlineStr">
        <is>
          <t>Rovic JohnRoberto</t>
        </is>
      </c>
      <c r="AI660"/>
      <c r="AJ660" t="inlineStr">
        <is>
          <t>LIQUIDITY PLAN (PAR # 202510290062 / 2025TEG-P0286)
1108 CE KIC GS+KO TAB &gt; OPERATIONS TEAM &gt;
Hospitality &gt; Liaison Officers - Players
Total Remaining Budget = Php 57,900.00
Actual Cost = Php 24,750.00
Balance = Php 33,150.00</t>
        </is>
      </c>
      <c r="AK660"/>
    </row>
    <row r="661" ht="25.5" customHeight="1">
      <c r="A661" s="2" t="str">
        <f>=HYPERLINK("https://applink.larksuite.com/client/mini_program/open?appId=cli_9c7cc8a9a9edd105&amp;mode=appCenter&amp;path_pc=pc/pages/requested/index?instanceId=7575173630116499165&amp;source=bitable&amp;path=pages/detail/index?instanceId=7575173630116499165&amp;source=bitable", "202511210131")</f>
        <v>202511210131</v>
      </c>
      <c r="B661" t="inlineStr">
        <is>
          <t>Approved</t>
        </is>
      </c>
      <c r="C661" t="inlineStr">
        <is>
          <t>Procurement Order</t>
        </is>
      </c>
      <c r="D661" s="3">
        <v>45982.90453703704</v>
      </c>
      <c r="E661" s="3">
        <v>45985.35685185185</v>
      </c>
      <c r="F661" t="inlineStr">
        <is>
          <t>Fatima Kathleen M. FLores</t>
        </is>
      </c>
      <c r="G661" t="inlineStr">
        <is>
          <t>Procurement</t>
        </is>
      </c>
      <c r="H661"/>
      <c r="I661"/>
      <c r="J661" t="inlineStr">
        <is>
          <t>Project</t>
        </is>
      </c>
      <c r="K661" t="inlineStr">
        <is>
          <t>GG - Event Service</t>
        </is>
      </c>
      <c r="L661" t="inlineStr">
        <is>
          <t>KIC 2025 - Group Stage &amp; Knockouts</t>
        </is>
      </c>
      <c r="M661" t="inlineStr">
        <is>
          <t>2025TEG-P0286</t>
        </is>
      </c>
      <c r="N661" t="inlineStr">
        <is>
          <t>Carla Andrea Calma Crespo</t>
        </is>
      </c>
      <c r="O661" t="inlineStr">
        <is>
          <t>202511100119-Carla Andrea Calma Crespo-费用报销 - 副本 - 副本 - 副本-2025-11-10 10:13:35</t>
        </is>
      </c>
      <c r="P661" t="inlineStr">
        <is>
          <t>YES</t>
        </is>
      </c>
      <c r="Q661"/>
      <c r="R661" t="inlineStr">
        <is>
          <t>NO</t>
        </is>
      </c>
      <c r="S661" t="inlineStr">
        <is>
          <t>Outsourced Liaison Officer</t>
        </is>
      </c>
      <c r="T661">
        <v>1</v>
      </c>
      <c r="U661">
        <v>24750</v>
      </c>
      <c r="V661" t="inlineStr">
        <is>
          <t>PHP</t>
        </is>
      </c>
      <c r="W661">
        <v>24750</v>
      </c>
      <c r="X661" s="2" t="str">
        <f>=HYPERLINK("https://www.larksuite.com/approval/admin/previewAttachment?key=PMg7CgJBEATQK1VNf2ray5g4DCa7LAiCQZ9dMDB9OYmcQcuCF0eBrVBQlgYyvYoZPZpSQZRFr2Pft3Ge13GdtrTWp9_Px14vRmkMyNxtAuDt7yZ3r0rHz_ENAAD__w", "2 attachment(s)")</f>
        <v>2 attachment(s)</v>
      </c>
      <c r="Y661" t="inlineStr">
        <is>
          <t>Bank Transfer</t>
        </is>
      </c>
      <c r="Z661" t="inlineStr">
        <is>
          <t>Anne Chrisbell M. Regondola</t>
        </is>
      </c>
      <c r="AA661" t="inlineStr">
        <is>
          <t>09497333227</t>
        </is>
      </c>
      <c r="AB661" t="inlineStr">
        <is>
          <t>GCash</t>
        </is>
      </c>
      <c r="AC661" t="inlineStr">
        <is>
          <t>Blk, 87, Lot 16, CHE-2, Bgry. Dalig, Teresa, Rizal</t>
        </is>
      </c>
      <c r="AD661" s="4">
        <v>45970</v>
      </c>
      <c r="AE661" t="inlineStr">
        <is>
          <t>1st Payment - Nov. 28, 2025
Final Payment - Dec. 5, 2025</t>
        </is>
      </c>
      <c r="AF661" s="2"/>
      <c r="AG661" t="inlineStr">
        <is>
          <t>NzQyNTk5MTgyNzQ4MTg3MDM0MTo5MjA0RjcwRi1DOUM4LTQ1NEUtOTE2MC0xQjk0MjU1RjE4QjItMTpmYjkwZDQ0NTcwNDg2MTJmYmI4MWRiNGQwZGFkYTEzNzox</t>
        </is>
      </c>
      <c r="AH661" t="inlineStr">
        <is>
          <t>Anne Chrisbell M. Regondola</t>
        </is>
      </c>
      <c r="AI661"/>
      <c r="AJ661" t="inlineStr">
        <is>
          <t>LIQUIDITY PLAN (PAR # 202510290062 / 2025TEG-P0286)
1108 CE KIC GS+KO TAB &gt; OPERATIONS TEAM &gt;
Hospitality &gt; Liaison Officers - Players
Total Remaining Budget = Php 33,150.00
Actual Cost = Php 24,750.00
Balance = Php 8,400.00</t>
        </is>
      </c>
      <c r="AK661"/>
    </row>
    <row r="662" ht="25.5" customHeight="1">
      <c r="A662" s="2" t="str">
        <f>=HYPERLINK("https://applink.larksuite.com/client/mini_program/open?appId=cli_9c7cc8a9a9edd105&amp;mode=appCenter&amp;path_pc=pc/pages/requested/index?instanceId=7575177104778612450&amp;source=bitable&amp;path=pages/detail/index?instanceId=7575177104778612450&amp;source=bitable", "202511210137")</f>
        <v>202511210137</v>
      </c>
      <c r="B662" t="inlineStr">
        <is>
          <t>Approved</t>
        </is>
      </c>
      <c r="C662" t="inlineStr">
        <is>
          <t>Procurement Order</t>
        </is>
      </c>
      <c r="D662" s="3">
        <v>45982.91390046296</v>
      </c>
      <c r="E662" s="3">
        <v>45985.357511574075</v>
      </c>
      <c r="F662" t="inlineStr">
        <is>
          <t>Fatima Kathleen M. FLores</t>
        </is>
      </c>
      <c r="G662" t="inlineStr">
        <is>
          <t>Procurement</t>
        </is>
      </c>
      <c r="H662"/>
      <c r="I662"/>
      <c r="J662" t="inlineStr">
        <is>
          <t>Project</t>
        </is>
      </c>
      <c r="K662" t="inlineStr">
        <is>
          <t>GG - Event Service</t>
        </is>
      </c>
      <c r="L662" t="inlineStr">
        <is>
          <t>KIC 2025 - Group Stage &amp; Knockouts</t>
        </is>
      </c>
      <c r="M662" t="inlineStr">
        <is>
          <t>2025TEG-P0286</t>
        </is>
      </c>
      <c r="N662" t="inlineStr">
        <is>
          <t>Carla Andrea Calma Crespo</t>
        </is>
      </c>
      <c r="O662" t="inlineStr">
        <is>
          <t>202511100125-Carla Andrea Calma Crespo-费用报销 - 副本 - 副本 - 副本-2025-11-10 10:27:07</t>
        </is>
      </c>
      <c r="P662" t="inlineStr">
        <is>
          <t>YES</t>
        </is>
      </c>
      <c r="Q662"/>
      <c r="R662" t="inlineStr">
        <is>
          <t>NO</t>
        </is>
      </c>
      <c r="S662" t="inlineStr">
        <is>
          <t>Outsourced Liaison Officer (Crew / Client)</t>
        </is>
      </c>
      <c r="T662">
        <v>1</v>
      </c>
      <c r="U662">
        <v>26400</v>
      </c>
      <c r="V662" t="inlineStr">
        <is>
          <t>PHP</t>
        </is>
      </c>
      <c r="W662">
        <v>26400</v>
      </c>
      <c r="X662" s="2" t="str">
        <f>=HYPERLINK("https://www.larksuite.com/approval/admin/previewAttachment?key=PMixDsIwDATQX7pzzrmYn2FpFbEwIbWTvx2JgfXNRcyVHLOgYhTYTidtQvaaDCU6mnbB9Mg-3_tpxkYdd161lHdfr2OfH2Y5Ah7SWAD4-PuwpKop_BzfAAAA__8", "2 attachment(s)")</f>
        <v>2 attachment(s)</v>
      </c>
      <c r="Y662" t="inlineStr">
        <is>
          <t>Bank Transfer</t>
        </is>
      </c>
      <c r="Z662" t="inlineStr">
        <is>
          <t>Neil Kristopher Lou Adon Sy</t>
        </is>
      </c>
      <c r="AA662" t="inlineStr">
        <is>
          <t>503-3-503-157048</t>
        </is>
      </c>
      <c r="AB662" t="inlineStr">
        <is>
          <t>Metrobank</t>
        </is>
      </c>
      <c r="AC662" t="inlineStr">
        <is>
          <t>23D Lerma St. Maypajo Caloocan City</t>
        </is>
      </c>
      <c r="AD662" s="4">
        <v>45969</v>
      </c>
      <c r="AE662" t="inlineStr">
        <is>
          <t>1st Payment - Nov. 28, 2025
Final Payment - Dec. 5, 2025</t>
        </is>
      </c>
      <c r="AF662" s="2"/>
      <c r="AG662" t="inlineStr">
        <is>
          <t>NzQyNTk5MTgyNzQ4MTg3MDM0MTpBNUZGNEM3NC1FM0JFLTRENzgtQkEzRS1CMjg2Nzk3QjM5NkUtMTpiOTE4Yzk5ZjM2NTgwMGQ1MDMxYTdiMmYyYmYzNGE2ODox</t>
        </is>
      </c>
      <c r="AH662" t="inlineStr">
        <is>
          <t>Neil Kristopher Lou Adon Sy</t>
        </is>
      </c>
      <c r="AI662"/>
      <c r="AJ662" t="inlineStr">
        <is>
          <t>LIQUIDITY PLAN (PAR # 202510290062 / 2025TEG-P0286)
1108 CE KIC GS+KO TAB &gt; OPERATIONS TEAM &gt;
Hospitality &gt; Liaison Officers - Crew/Client
Total Budget = Php 122,400.00
Actual Cost = Php 26,400.00
Balance = Php 96,000.00</t>
        </is>
      </c>
      <c r="AK662"/>
    </row>
    <row r="663" ht="25.5" customHeight="1">
      <c r="A663" s="2" t="str">
        <f>=HYPERLINK("https://applink.larksuite.com/client/mini_program/open?appId=cli_9c7cc8a9a9edd105&amp;mode=appCenter&amp;path_pc=pc/pages/requested/index?instanceId=7575177757202616027&amp;source=bitable&amp;path=pages/detail/index?instanceId=7575177757202616027&amp;source=bitable", "202511210138")</f>
        <v>202511210138</v>
      </c>
      <c r="B663" t="inlineStr">
        <is>
          <t>Approved</t>
        </is>
      </c>
      <c r="C663" t="inlineStr">
        <is>
          <t>Procurement Order</t>
        </is>
      </c>
      <c r="D663" s="3">
        <v>45982.915659722225</v>
      </c>
      <c r="E663" s="3">
        <v>45985.35800925926</v>
      </c>
      <c r="F663" t="inlineStr">
        <is>
          <t>Fatima Kathleen M. FLores</t>
        </is>
      </c>
      <c r="G663" t="inlineStr">
        <is>
          <t>Procurement</t>
        </is>
      </c>
      <c r="H663"/>
      <c r="I663"/>
      <c r="J663" t="inlineStr">
        <is>
          <t>Project</t>
        </is>
      </c>
      <c r="K663" t="inlineStr">
        <is>
          <t>GG - Event Service</t>
        </is>
      </c>
      <c r="L663" t="inlineStr">
        <is>
          <t>KIC 2025 - Group Stage &amp; Knockouts</t>
        </is>
      </c>
      <c r="M663" t="inlineStr">
        <is>
          <t>2025TEG-P0286</t>
        </is>
      </c>
      <c r="N663" t="inlineStr">
        <is>
          <t>Carla Andrea Calma Crespo</t>
        </is>
      </c>
      <c r="O663" t="inlineStr">
        <is>
          <t>202511100125-Carla Andrea Calma Crespo-费用报销 - 副本 - 副本 - 副本-2025-11-10 10:27:07</t>
        </is>
      </c>
      <c r="P663" t="inlineStr">
        <is>
          <t>YES</t>
        </is>
      </c>
      <c r="Q663"/>
      <c r="R663" t="inlineStr">
        <is>
          <t>NO</t>
        </is>
      </c>
      <c r="S663" t="inlineStr">
        <is>
          <t>Outsourced Liaison Officer (Crew / Client)</t>
        </is>
      </c>
      <c r="T663">
        <v>1</v>
      </c>
      <c r="U663">
        <v>26400</v>
      </c>
      <c r="V663" t="inlineStr">
        <is>
          <t>PHP</t>
        </is>
      </c>
      <c r="W663">
        <v>26400</v>
      </c>
      <c r="X663" s="2" t="str">
        <f>=HYPERLINK("https://www.larksuite.com/approval/admin/previewAttachment?key=PMhNCkIxDATgK82kSabxMm58FP95IBZc9OyCC7dfdiJ7sGXBi1bgUigoKWSwZMK0bFEqiGqxtsc47tfLrrm9--c-bs-55vk0thejZAY199YB8PD3JnevSsfP8Q0AAP__", "2 attachment(s)")</f>
        <v>2 attachment(s)</v>
      </c>
      <c r="Y663" t="inlineStr">
        <is>
          <t>Bank Transfer</t>
        </is>
      </c>
      <c r="Z663" t="inlineStr">
        <is>
          <t>Sean Niño Elizalde</t>
        </is>
      </c>
      <c r="AA663" t="inlineStr">
        <is>
          <t>09812633086</t>
        </is>
      </c>
      <c r="AB663" t="inlineStr">
        <is>
          <t>GCash</t>
        </is>
      </c>
      <c r="AC663" t="inlineStr">
        <is>
          <t>#68 Sta Cruz Compound Congress Village Caloocan City</t>
        </is>
      </c>
      <c r="AD663" s="4">
        <v>45969</v>
      </c>
      <c r="AE663" t="inlineStr">
        <is>
          <t>1st Payment - Nov. 28, 2025
Final Payment - Dec. 5, 2025</t>
        </is>
      </c>
      <c r="AF663" s="2"/>
      <c r="AG663" t="inlineStr">
        <is>
          <t>NzQyNTk5MTgyNzQ4MTg3MDM0MTo3RUM3RkY4My0xMkY5LTRFMUYtQjk5RS00OTEzNzQ1RDZDOTUtMTo1NjU3ODc5N2I3YTVhMWRhYjJkOTQ3OWFhNTk4Zjc5Yzox</t>
        </is>
      </c>
      <c r="AH663" t="inlineStr">
        <is>
          <t>Sean Niño Elizalde</t>
        </is>
      </c>
      <c r="AI663"/>
      <c r="AJ663" t="inlineStr">
        <is>
          <t>LIQUIDITY PLAN (PAR # 202510290062 / 2025TEG-P0286)
1108 CE KIC GS+KO TAB &gt; OPERATIONS TEAM &gt;
Hospitality &gt; Liaison Officers - Crew/Client
Total Remaining Budget = Php 96,000.00
Actual Cost = Php 26,400.00
Balance = Php 69,600.00</t>
        </is>
      </c>
      <c r="AK663"/>
    </row>
    <row r="664" ht="25.5" customHeight="1">
      <c r="A664" s="2" t="str">
        <f>=HYPERLINK("https://applink.larksuite.com/client/mini_program/open?appId=cli_9c7cc8a9a9edd105&amp;mode=appCenter&amp;path_pc=pc/pages/requested/index?instanceId=7575178362415501026&amp;source=bitable&amp;path=pages/detail/index?instanceId=7575178362415501026&amp;source=bitable", "202511210139")</f>
        <v>202511210139</v>
      </c>
      <c r="B664" t="inlineStr">
        <is>
          <t>Approved</t>
        </is>
      </c>
      <c r="C664" t="inlineStr">
        <is>
          <t>Procurement Order</t>
        </is>
      </c>
      <c r="D664" s="3">
        <v>45982.917291666665</v>
      </c>
      <c r="E664" s="3">
        <v>45985.35927083333</v>
      </c>
      <c r="F664" t="inlineStr">
        <is>
          <t>Fatima Kathleen M. FLores</t>
        </is>
      </c>
      <c r="G664" t="inlineStr">
        <is>
          <t>Procurement</t>
        </is>
      </c>
      <c r="H664"/>
      <c r="I664"/>
      <c r="J664" t="inlineStr">
        <is>
          <t>Project</t>
        </is>
      </c>
      <c r="K664" t="inlineStr">
        <is>
          <t>GG - Event Service</t>
        </is>
      </c>
      <c r="L664" t="inlineStr">
        <is>
          <t>KIC 2025 - Group Stage &amp; Knockouts</t>
        </is>
      </c>
      <c r="M664" t="inlineStr">
        <is>
          <t>2025TEG-P0286</t>
        </is>
      </c>
      <c r="N664" t="inlineStr">
        <is>
          <t>Carla Andrea Calma Crespo</t>
        </is>
      </c>
      <c r="O664" t="inlineStr">
        <is>
          <t>202511100125-Carla Andrea Calma Crespo-费用报销 - 副本 - 副本 - 副本-2025-11-10 10:27:07</t>
        </is>
      </c>
      <c r="P664" t="inlineStr">
        <is>
          <t>YES</t>
        </is>
      </c>
      <c r="Q664"/>
      <c r="R664" t="inlineStr">
        <is>
          <t>NO</t>
        </is>
      </c>
      <c r="S664" t="inlineStr">
        <is>
          <t>Outsourced Liaison Officer (Crew / Client)</t>
        </is>
      </c>
      <c r="T664">
        <v>1</v>
      </c>
      <c r="U664">
        <v>26400</v>
      </c>
      <c r="V664" t="inlineStr">
        <is>
          <t>PHP</t>
        </is>
      </c>
      <c r="W664">
        <v>26400</v>
      </c>
      <c r="X664" s="2" t="str">
        <f>=HYPERLINK("https://www.larksuite.com/approval/admin/previewAttachment?key=PMi7CQJhEATglmb2Nf_ajInHocGJIIrJ1i4YmH61iFpJr0Y0rcFRKqnlZcFMEFZjQ6khynO2Yz-LtqPvt8dhr_7kvK-XfXsyW2aQR_gCwNPfXRHRXYGf4xsAAP__", "2 attachment(s)")</f>
        <v>2 attachment(s)</v>
      </c>
      <c r="Y664" t="inlineStr">
        <is>
          <t>Bank Transfer</t>
        </is>
      </c>
      <c r="Z664" t="inlineStr">
        <is>
          <t>Kyle del Rosario Esparagoza</t>
        </is>
      </c>
      <c r="AA664" t="inlineStr">
        <is>
          <t>0119 6619 4698</t>
        </is>
      </c>
      <c r="AB664" t="inlineStr">
        <is>
          <t>GoTyme</t>
        </is>
      </c>
      <c r="AC664" t="inlineStr">
        <is>
          <t>4443 BLK 6 Sawata Maypajo Caloocan City</t>
        </is>
      </c>
      <c r="AD664" s="4">
        <v>45969</v>
      </c>
      <c r="AE664" t="inlineStr">
        <is>
          <t>1st Payment - Nov. 28, 2025
Final Payment - Dec. 5, 2025</t>
        </is>
      </c>
      <c r="AF664" s="2"/>
      <c r="AG664" t="inlineStr">
        <is>
          <t>NzQyNTk5MTgyNzQ4MTg3MDM0MTo0Mzc0NUM1MC04NzQ3LTQ4MTYtODE5QS05NEMyREY2MEQ3RkUtMTpiNGVkMDY5NDkxMmZkN2IwMjkwMmRiNzNjYzNjZTE5OTox</t>
        </is>
      </c>
      <c r="AH664" t="inlineStr">
        <is>
          <t>Kyle del Rosario Esparagoza</t>
        </is>
      </c>
      <c r="AI664"/>
      <c r="AJ664" t="inlineStr">
        <is>
          <t>LIQUIDITY PLAN (PAR # 202510290062 / 2025TEG-P0286)
1108 CE KIC GS+KO TAB &gt; OPERATIONS TEAM &gt;
Hospitality &gt; Liaison Officers - Crew/Client
Total Remaining Budget = Php 69,600.00
Actual Cost = Php 26,400.00
Balance = Php 43,200.00</t>
        </is>
      </c>
      <c r="AK664"/>
    </row>
    <row r="665" ht="25.5" customHeight="1">
      <c r="A665" s="2" t="str">
        <f>=HYPERLINK("https://applink.larksuite.com/client/mini_program/open?appId=cli_9c7cc8a9a9edd105&amp;mode=appCenter&amp;path_pc=pc/pages/requested/index?instanceId=7575179108531883740&amp;source=bitable&amp;path=pages/detail/index?instanceId=7575179108531883740&amp;source=bitable", "202511210140")</f>
        <v>202511210140</v>
      </c>
      <c r="B665" t="inlineStr">
        <is>
          <t>Approved</t>
        </is>
      </c>
      <c r="C665" t="inlineStr">
        <is>
          <t>Procurement Order</t>
        </is>
      </c>
      <c r="D665" s="3">
        <v>45982.91929398148</v>
      </c>
      <c r="E665" s="3">
        <v>45985.36015046296</v>
      </c>
      <c r="F665" t="inlineStr">
        <is>
          <t>Fatima Kathleen M. FLores</t>
        </is>
      </c>
      <c r="G665" t="inlineStr">
        <is>
          <t>Procurement</t>
        </is>
      </c>
      <c r="H665"/>
      <c r="I665"/>
      <c r="J665" t="inlineStr">
        <is>
          <t>Project</t>
        </is>
      </c>
      <c r="K665" t="inlineStr">
        <is>
          <t>GG - Event Service</t>
        </is>
      </c>
      <c r="L665" t="inlineStr">
        <is>
          <t>KIC 2025 - Group Stage &amp; Knockouts</t>
        </is>
      </c>
      <c r="M665" t="inlineStr">
        <is>
          <t>2025TEG-P0286</t>
        </is>
      </c>
      <c r="N665" t="inlineStr">
        <is>
          <t>Carla Andrea Calma Crespo</t>
        </is>
      </c>
      <c r="O665" t="inlineStr">
        <is>
          <t>202511100125-Carla Andrea Calma Crespo-费用报销 - 副本 - 副本 - 副本-2025-11-10 10:27:07</t>
        </is>
      </c>
      <c r="P665" t="inlineStr">
        <is>
          <t>YES</t>
        </is>
      </c>
      <c r="Q665"/>
      <c r="R665" t="inlineStr">
        <is>
          <t>NO</t>
        </is>
      </c>
      <c r="S665" t="inlineStr">
        <is>
          <t>Outsourced Assistant Talent Manager</t>
        </is>
      </c>
      <c r="T665">
        <v>1</v>
      </c>
      <c r="U665">
        <v>26400</v>
      </c>
      <c r="V665" t="inlineStr">
        <is>
          <t>PHP</t>
        </is>
      </c>
      <c r="W665">
        <v>26400</v>
      </c>
      <c r="X665" s="2" t="str">
        <f>=HYPERLINK("https://www.larksuite.com/approval/admin/previewAttachment?key=PMhBCgIxDAXQK_3fJP2Jl3EzQ3GEEUG0q55dcOH29SR6Bq0XvNgKXAoFVUSGMdPkWG1RKoiyWPs5rtOP83nfxjHfOcZjfW7b2F-MUmuQuVsC4OXvJnev6o6f4xsAAP__", "2 attachment(s)")</f>
        <v>2 attachment(s)</v>
      </c>
      <c r="Y665" t="inlineStr">
        <is>
          <t>Bank Transfer</t>
        </is>
      </c>
      <c r="Z665" t="inlineStr">
        <is>
          <t>Kimberly Diamse</t>
        </is>
      </c>
      <c r="AA665" t="inlineStr">
        <is>
          <t>0905-279-4340</t>
        </is>
      </c>
      <c r="AB665" t="inlineStr">
        <is>
          <t>PayMaya</t>
        </is>
      </c>
      <c r="AC665" t="inlineStr">
        <is>
          <t>2364 Coral Street San Andres Bukid Manila</t>
        </is>
      </c>
      <c r="AD665" s="4">
        <v>45969</v>
      </c>
      <c r="AE665" t="inlineStr">
        <is>
          <t>1st Payment - Nov. 28, 2025
Final Payment - Dec. 5, 2025</t>
        </is>
      </c>
      <c r="AF665" s="2"/>
      <c r="AG665" t="inlineStr">
        <is>
          <t>NzQyNTk5MTgyNzQ4MTg3MDM0MTo4QzlBMEUxOS0zMDM2LTRDQzMtOTBENC1CRDJEODE5MkU1QjYtMTo2ZDc1MGYzOWEyMjEwYWYxZThlN2Y2N2M2MTgzYmFiYTox</t>
        </is>
      </c>
      <c r="AH665" t="inlineStr">
        <is>
          <t>Kimberly Diamse</t>
        </is>
      </c>
      <c r="AI665"/>
      <c r="AJ665" t="inlineStr">
        <is>
          <t>LIQUIDITY PLAN (PAR # 202510290062 / 2025TEG-P0286)
1108 CE KIC GS+KO TAB &gt; OPERATIONS TEAM &gt;
Hospitality &gt; Liaison Officers - Crew/Client
Total Remaining Budget = Php 43,200.00
Actual Cost = Php 26,400.00
Balance = Php 16,800.00
*NOTE: Outsourced initially hired as Liaison Officer but was transitioned to Asst. Talent Manager</t>
        </is>
      </c>
      <c r="AK665"/>
    </row>
    <row r="666" ht="25.5" customHeight="1">
      <c r="A666" s="2" t="str">
        <f>=HYPERLINK("https://applink.larksuite.com/client/mini_program/open?appId=cli_9c7cc8a9a9edd105&amp;mode=appCenter&amp;path_pc=pc/pages/requested/index?instanceId=7575182276078603997&amp;source=bitable&amp;path=pages/detail/index?instanceId=7575182276078603997&amp;source=bitable", "202511210141")</f>
        <v>202511210141</v>
      </c>
      <c r="B666" t="inlineStr">
        <is>
          <t>Approved</t>
        </is>
      </c>
      <c r="C666" t="inlineStr">
        <is>
          <t>Procurement Order</t>
        </is>
      </c>
      <c r="D666" s="3">
        <v>45982.927835648145</v>
      </c>
      <c r="E666" s="3">
        <v>45986.78917824074</v>
      </c>
      <c r="F666" t="inlineStr">
        <is>
          <t>Fatima Kathleen M. FLores</t>
        </is>
      </c>
      <c r="G666" t="inlineStr">
        <is>
          <t>Procurement</t>
        </is>
      </c>
      <c r="H666"/>
      <c r="I666"/>
      <c r="J666" t="inlineStr">
        <is>
          <t>Project</t>
        </is>
      </c>
      <c r="K666" t="inlineStr">
        <is>
          <t>PDEI - Game Marketing</t>
        </is>
      </c>
      <c r="L666" t="inlineStr">
        <is>
          <t>RO3 Pioneer GvG Closed Testing</t>
        </is>
      </c>
      <c r="M666" t="inlineStr">
        <is>
          <t>2025TEG-P0290</t>
        </is>
      </c>
      <c r="N666" t="inlineStr">
        <is>
          <t>Ronelle Kylene Chaneco Lim</t>
        </is>
      </c>
      <c r="O666" t="inlineStr">
        <is>
          <t>202511100034-Ronelle Kylene Chaneco Lim-费用报销 - 副本 - 副本 - 副本-2025-11-10 04:28:28</t>
        </is>
      </c>
      <c r="P666" t="inlineStr">
        <is>
          <t>NO</t>
        </is>
      </c>
      <c r="Q666"/>
      <c r="R666" t="inlineStr">
        <is>
          <t>NO</t>
        </is>
      </c>
      <c r="S666" t="inlineStr">
        <is>
          <t>PC RENTALS (Morayta)</t>
        </is>
      </c>
      <c r="T666">
        <v>1</v>
      </c>
      <c r="U666">
        <v>52336.45</v>
      </c>
      <c r="V666" t="inlineStr">
        <is>
          <t>PHP</t>
        </is>
      </c>
      <c r="W666">
        <v>52336.45</v>
      </c>
      <c r="X666" s="2" t="str">
        <f>=HYPERLINK("https://www.larksuite.com/approval/admin/previewAttachment?key=PMg7CsJgEATgK80-Z8fL2CQEFRRBSPefXbCw_XoMPWXRQspcsMVi2bizwWmExOXLSIHGqLU_j-tp93Mkf2_1gL_WeduO_WMluoORGQPALn8PZqbUiZ_jGwAA__8", "2 attachment(s)")</f>
        <v>2 attachment(s)</v>
      </c>
      <c r="Y666" t="inlineStr">
        <is>
          <t>Bank Transfer</t>
        </is>
      </c>
      <c r="Z666" t="inlineStr">
        <is>
          <t>Manila Esports Icafe Inc.</t>
        </is>
      </c>
      <c r="AA666" t="inlineStr">
        <is>
          <t>002908019834</t>
        </is>
      </c>
      <c r="AB666" t="inlineStr">
        <is>
          <t>BDO</t>
        </is>
      </c>
      <c r="AC666" t="inlineStr">
        <is>
          <t>Unit 2A, 2nd Floor, H&amp;L Santiago Building, McArthur HighWay, Barangay marulas, Valenzuela City</t>
        </is>
      </c>
      <c r="AD666" s="4">
        <v>45983</v>
      </c>
      <c r="AE666" t="inlineStr">
        <is>
          <t>100% Full Payment upon completion of services</t>
        </is>
      </c>
      <c r="AF666" s="2"/>
      <c r="AG666" t="inlineStr">
        <is>
          <t>NzQyNTk5MTgyNzQ4MTg3MDM0MTo5M0E3RDQyRi1BRDRDLTRFQTEtOTNFQy1BMjA2MDcxMjk1RDUtMTplOTgzMGU0OWYwOTQ0NjkwMmYwMGIwMmYwMzliNDY1Yjox</t>
        </is>
      </c>
      <c r="AH666" t="inlineStr">
        <is>
          <t>KDM</t>
        </is>
      </c>
      <c r="AI666"/>
      <c r="AJ666" t="inlineStr">
        <is>
          <t>LIQUIDITY PLAN (PAR # 202511060116 / 2025TEG-P0290)
Project Planning &gt; Venue and PC Rental
League Operations &gt;
Runners (Logistics)
Registration Staff
Usher
Total Budget = Php 63,500.00
Actual Cost = Php 56,000.00
Balance = Php 7,500.00</t>
        </is>
      </c>
      <c r="AK666"/>
    </row>
    <row r="667" ht="25.5" customHeight="1">
      <c r="A667" s="2" t="str">
        <f>=HYPERLINK("https://applink.larksuite.com/client/mini_program/open?appId=cli_9c7cc8a9a9edd105&amp;mode=appCenter&amp;path_pc=pc/pages/requested/index?instanceId=7575182276078603997&amp;source=bitable&amp;path=pages/detail/index?instanceId=7575182276078603997&amp;source=bitable", "202511210141")</f>
        <v>202511210141</v>
      </c>
      <c r="B667" t="inlineStr">
        <is>
          <t>Approved</t>
        </is>
      </c>
      <c r="C667" t="inlineStr">
        <is>
          <t>Procurement Order</t>
        </is>
      </c>
      <c r="D667" s="3">
        <v>45982.927835648145</v>
      </c>
      <c r="E667" s="3">
        <v>45986.78917824074</v>
      </c>
      <c r="F667" t="inlineStr">
        <is>
          <t>Fatima Kathleen M. FLores</t>
        </is>
      </c>
      <c r="G667" t="inlineStr">
        <is>
          <t>Procurement</t>
        </is>
      </c>
      <c r="H667"/>
      <c r="I667"/>
      <c r="J667" t="inlineStr">
        <is>
          <t>Project</t>
        </is>
      </c>
      <c r="K667" t="inlineStr">
        <is>
          <t>PDEI - Game Marketing</t>
        </is>
      </c>
      <c r="L667" t="inlineStr">
        <is>
          <t>RO3 Pioneer GvG Closed Testing</t>
        </is>
      </c>
      <c r="M667" t="inlineStr">
        <is>
          <t>2025TEG-P0290</t>
        </is>
      </c>
      <c r="N667" t="inlineStr">
        <is>
          <t>Ronelle Kylene Chaneco Lim</t>
        </is>
      </c>
      <c r="O667" t="inlineStr">
        <is>
          <t>202511100034-Ronelle Kylene Chaneco Lim-费用报销 - 副本 - 副本 - 副本-2025-11-10 04:28:28</t>
        </is>
      </c>
      <c r="P667" t="inlineStr">
        <is>
          <t>NO</t>
        </is>
      </c>
      <c r="Q667"/>
      <c r="R667" t="inlineStr">
        <is>
          <t>NO</t>
        </is>
      </c>
      <c r="S667" t="inlineStr">
        <is>
          <t>Outsourced Manpower</t>
        </is>
      </c>
      <c r="T667">
        <v>1</v>
      </c>
      <c r="U667">
        <v>3663.55</v>
      </c>
      <c r="V667" t="inlineStr">
        <is>
          <t>PHP</t>
        </is>
      </c>
      <c r="W667">
        <v>3663.55</v>
      </c>
      <c r="X667" s="2" t="str">
        <f>=HYPERLINK("https://www.larksuite.com/approval/admin/previewAttachment?key=PMg7CsJgEATgK80-Z8fL2CQEFRRBSPefXbCw_XoMPWXRQspcsMVi2bizwWmExOXLSIHGqLU_j-tp93Mkf2_1gL_WeduO_WMluoORGQPALn8PZqbUiZ_bNwAA__8", "1 attachment(s)")</f>
        <v>1 attachment(s)</v>
      </c>
      <c r="Y667"/>
      <c r="Z667"/>
      <c r="AA667"/>
      <c r="AB667"/>
      <c r="AC667"/>
      <c r="AD667" s="4"/>
      <c r="AE667"/>
      <c r="AF667" s="2"/>
      <c r="AG667" t="inlineStr">
        <is>
          <t>NzQyNTk5MTgyNzQ4MTg3MDM0MTo5M0E3RDQyRi1BRDRDLTRFQTEtOTNFQy1BMjA2MDcxMjk1RDUtMjpkMzIwMTIwZWMxNzY2ZjJjMWZiZGY0ZmVhNTVkOTYzOTox</t>
        </is>
      </c>
      <c r="AH667"/>
      <c r="AI667"/>
      <c r="AJ667" t="inlineStr">
        <is>
          <t>LIQUIDITY PLAN (PAR # 202511060116 / 2025TEG-P0290)
Project Planning &gt; Venue and PC Rental
League Operations &gt;
Runners (Logistics)
Registration Staff
Usher
Total Budget = Php 63,500.00
Actual Cost = Php 56,000.00
Balance = Php 7,500.00</t>
        </is>
      </c>
      <c r="AK667"/>
    </row>
    <row r="668" ht="25.5" customHeight="1">
      <c r="A668" s="2" t="str">
        <f>=HYPERLINK("https://applink.larksuite.com/client/mini_program/open?appId=cli_9c7cc8a9a9edd105&amp;mode=appCenter&amp;path_pc=pc/pages/requested/index?instanceId=7575171478337965792&amp;source=bitable&amp;path=pages/detail/index?instanceId=7575171478337965792&amp;source=bitable", "202511210128")</f>
        <v>202511210128</v>
      </c>
      <c r="B668" t="inlineStr">
        <is>
          <t>Approved</t>
        </is>
      </c>
      <c r="C668" t="inlineStr">
        <is>
          <t>Procurement Order</t>
        </is>
      </c>
      <c r="D668" s="3">
        <v>45982.89873842592</v>
      </c>
      <c r="E668" s="3">
        <v>45985.370833333334</v>
      </c>
      <c r="F668" t="inlineStr">
        <is>
          <t>Fatima Kathleen M. FLores</t>
        </is>
      </c>
      <c r="G668" t="inlineStr">
        <is>
          <t>Procurement</t>
        </is>
      </c>
      <c r="H668"/>
      <c r="I668"/>
      <c r="J668" t="inlineStr">
        <is>
          <t>Project</t>
        </is>
      </c>
      <c r="K668" t="inlineStr">
        <is>
          <t>GG - Event Service</t>
        </is>
      </c>
      <c r="L668" t="inlineStr">
        <is>
          <t>KIC 2025 - Group Stage &amp; Knockouts</t>
        </is>
      </c>
      <c r="M668" t="inlineStr">
        <is>
          <t>2025TEG-P0286</t>
        </is>
      </c>
      <c r="N668" t="inlineStr">
        <is>
          <t>Carla Andrea Calma Crespo</t>
        </is>
      </c>
      <c r="O668" t="inlineStr">
        <is>
          <t>202511100119-Carla Andrea Calma Crespo-费用报销 - 副本 - 副本 - 副本-2025-11-10 10:13:35</t>
        </is>
      </c>
      <c r="P668" t="inlineStr">
        <is>
          <t>YES</t>
        </is>
      </c>
      <c r="Q668"/>
      <c r="R668" t="inlineStr">
        <is>
          <t>NO</t>
        </is>
      </c>
      <c r="S668" t="inlineStr">
        <is>
          <t>Outsourced Liaison Officer</t>
        </is>
      </c>
      <c r="T668">
        <v>1</v>
      </c>
      <c r="U668">
        <v>24750</v>
      </c>
      <c r="V668" t="inlineStr">
        <is>
          <t>PHP</t>
        </is>
      </c>
      <c r="W668">
        <v>24750</v>
      </c>
      <c r="X668" s="2" t="str">
        <f>=HYPERLINK("https://www.larksuite.com/approval/admin/previewAttachment?key=PMhNDkFBEATgK1VN_9S0y9h4eUGwESMWfXaJhe2Xk8gZtCx4cRTYCgVF1zRTZahGj6ZUEGXR230_Rqz9dvnopcd7Xa3X-bRvT0ZpDMjcbQLg4e8md69Kx8_xDQAA__8", "2 attachment(s)")</f>
        <v>2 attachment(s)</v>
      </c>
      <c r="Y668" t="inlineStr">
        <is>
          <t>Bank Transfer</t>
        </is>
      </c>
      <c r="Z668" t="inlineStr">
        <is>
          <t>Nathaniel Razo Enriquez</t>
        </is>
      </c>
      <c r="AA668" t="inlineStr">
        <is>
          <t>0696-1256-60</t>
        </is>
      </c>
      <c r="AB668" t="inlineStr">
        <is>
          <t>Landbank</t>
        </is>
      </c>
      <c r="AC668" t="inlineStr">
        <is>
          <t>13th Pangasinan st. Bago Bantay Quezon City</t>
        </is>
      </c>
      <c r="AD668" s="4">
        <v>45970</v>
      </c>
      <c r="AE668" t="inlineStr">
        <is>
          <t>1st Payment - Nov. 28, 2025
Final Payment - Dec. 5, 2025</t>
        </is>
      </c>
      <c r="AF668" s="2"/>
      <c r="AG668" t="inlineStr">
        <is>
          <t>NzQyNTk5MTgyNzQ4MTg3MDM0MTo4RTVBMDdDNS0yNkNDLTRBM0UtOTYyQS03MUNBRUE4NTQ5RjAtMTowMjMwYjgzZTQ5NzM4MWQ3MmE0ZGJmZDg3MDE3MTRkODox</t>
        </is>
      </c>
      <c r="AH668" t="inlineStr">
        <is>
          <t>Nathaniel Razo Enriquez</t>
        </is>
      </c>
      <c r="AI668"/>
      <c r="AJ668" t="inlineStr">
        <is>
          <t>LIQUIDITY PLAN (PAR # 202510290062 / 2025TEG-P0286)
1108 CE KIC GS+KO TAB &gt; OPERATIONS TEAM &gt;
Hospitality &gt; Liaison Officers - Players
Total Remaining Budget = Php 107,400.00
Actual Cost = Php 24,750.00
Balance = Php 82,650.00</t>
        </is>
      </c>
      <c r="AK668"/>
    </row>
    <row r="669" ht="25.5" customHeight="1">
      <c r="A669" s="2" t="str">
        <f>=HYPERLINK("https://applink.larksuite.com/client/mini_program/open?appId=cli_9c7cc8a9a9edd105&amp;mode=appCenter&amp;path_pc=pc/pages/requested/index?instanceId=7575175520237670109&amp;source=bitable&amp;path=pages/detail/index?instanceId=7575175520237670109&amp;source=bitable", "202511210135")</f>
        <v>202511210135</v>
      </c>
      <c r="B669" t="inlineStr">
        <is>
          <t>Approved</t>
        </is>
      </c>
      <c r="C669" t="inlineStr">
        <is>
          <t>Procurement Order</t>
        </is>
      </c>
      <c r="D669" s="3">
        <v>45982.90962962963</v>
      </c>
      <c r="E669" s="3">
        <v>45988.533472222225</v>
      </c>
      <c r="F669" t="inlineStr">
        <is>
          <t>Fatima Kathleen M. FLores</t>
        </is>
      </c>
      <c r="G669" t="inlineStr">
        <is>
          <t>Procurement</t>
        </is>
      </c>
      <c r="H669"/>
      <c r="I669"/>
      <c r="J669" t="inlineStr">
        <is>
          <t>Project</t>
        </is>
      </c>
      <c r="K669" t="inlineStr">
        <is>
          <t>GG - Event Service</t>
        </is>
      </c>
      <c r="L669" t="inlineStr">
        <is>
          <t>KIC 2025 - Group Stage &amp; Knockouts</t>
        </is>
      </c>
      <c r="M669" t="inlineStr">
        <is>
          <t>2025TEG-P0286</t>
        </is>
      </c>
      <c r="N669" t="inlineStr">
        <is>
          <t>Carla Andrea Calma Crespo</t>
        </is>
      </c>
      <c r="O669" t="inlineStr">
        <is>
          <t>202511100119-Carla Andrea Calma Crespo-费用报销 - 副本 - 副本 - 副本-2025-11-10 10:13:35</t>
        </is>
      </c>
      <c r="P669" t="inlineStr">
        <is>
          <t>YES</t>
        </is>
      </c>
      <c r="Q669"/>
      <c r="R669" t="inlineStr">
        <is>
          <t>YES</t>
        </is>
      </c>
      <c r="S669" t="inlineStr">
        <is>
          <t>Outsourced Liaison Officer</t>
        </is>
      </c>
      <c r="T669">
        <v>1</v>
      </c>
      <c r="U669">
        <v>24750</v>
      </c>
      <c r="V669" t="inlineStr">
        <is>
          <t>PHP</t>
        </is>
      </c>
      <c r="W669">
        <v>24750</v>
      </c>
      <c r="X669" s="2" t="str">
        <f>=HYPERLINK("https://www.larksuite.com/approval/admin/previewAttachment?key=PMg9CgIxFATgK837y2S8jI0hiKAIgmDxzi5sse03pmHMshhCylywZrGMVQ4PDsKg9jZSoDGq13Nf9fjt0H6tmf5e2d_7ba-PlegORmZMAHY5PZiZ0kgcjn8AAAD__w", "2 attachment(s)")</f>
        <v>2 attachment(s)</v>
      </c>
      <c r="Y669" t="inlineStr">
        <is>
          <t>Bank Transfer</t>
        </is>
      </c>
      <c r="Z669" t="inlineStr">
        <is>
          <t>Gillian Marie Buhay</t>
        </is>
      </c>
      <c r="AA669" t="inlineStr">
        <is>
          <t>004456001081</t>
        </is>
      </c>
      <c r="AB669" t="inlineStr">
        <is>
          <t>BDO</t>
        </is>
      </c>
      <c r="AC669" t="inlineStr">
        <is>
          <t>2511 Viera Residence Sct Tuason Quezon City</t>
        </is>
      </c>
      <c r="AD669" s="4">
        <v>45970</v>
      </c>
      <c r="AE669" t="inlineStr">
        <is>
          <t>1st Payment - Nov. 28, 2025
Final Payment - Dec. 5, 2025</t>
        </is>
      </c>
      <c r="AF669" s="2"/>
      <c r="AG669" t="inlineStr">
        <is>
          <t>NzQyNTk5MTgyNzQ4MTg3MDM0MTo1QTdGN0QyRi04RkRCLTQ2NzUtOEM1OS0wOTlERjZGNkIwMDctMTo4NmMxMTM5NzgzYmIzMzMyNTdjZWFkOTg5MGYzYzZjNDox</t>
        </is>
      </c>
      <c r="AH669" t="inlineStr">
        <is>
          <t>Gillian Marie Buhay</t>
        </is>
      </c>
      <c r="AI669"/>
      <c r="AJ669" t="inlineStr">
        <is>
          <t>LIQUIDITY PLAN (PAR # 202510290062 / 2025TEG-P0286)
1108 CE KIC GS+KO TAB &gt; OPERATIONS TEAM &gt;
Hospitality &gt; Liaison Officers - Players
Total Remaining Budget = (Php 41,100.00) NEGATIVE
Actual Cost = Php 24,750.00
Balance = (Php 65,850.00) OVER BUDGET</t>
        </is>
      </c>
      <c r="AK669"/>
    </row>
    <row r="670" ht="25.5" customHeight="1">
      <c r="A670" s="2" t="str">
        <f>=HYPERLINK("https://applink.larksuite.com/client/mini_program/open?appId=cli_9c7cc8a9a9edd105&amp;mode=appCenter&amp;path_pc=pc/pages/requested/index?instanceId=7575174900759940828&amp;source=bitable&amp;path=pages/detail/index?instanceId=7575174900759940828&amp;source=bitable", "202511210133")</f>
        <v>202511210133</v>
      </c>
      <c r="B670" t="inlineStr">
        <is>
          <t>Approved</t>
        </is>
      </c>
      <c r="C670" t="inlineStr">
        <is>
          <t>Procurement Order</t>
        </is>
      </c>
      <c r="D670" s="3">
        <v>45982.90796296296</v>
      </c>
      <c r="E670" s="3">
        <v>45988.532685185186</v>
      </c>
      <c r="F670" t="inlineStr">
        <is>
          <t>Fatima Kathleen M. FLores</t>
        </is>
      </c>
      <c r="G670" t="inlineStr">
        <is>
          <t>Procurement</t>
        </is>
      </c>
      <c r="H670"/>
      <c r="I670"/>
      <c r="J670" t="inlineStr">
        <is>
          <t>Project</t>
        </is>
      </c>
      <c r="K670" t="inlineStr">
        <is>
          <t>GG - Event Service</t>
        </is>
      </c>
      <c r="L670" t="inlineStr">
        <is>
          <t>KIC 2025 - Group Stage &amp; Knockouts</t>
        </is>
      </c>
      <c r="M670" t="inlineStr">
        <is>
          <t>2025TEG-P0286</t>
        </is>
      </c>
      <c r="N670" t="inlineStr">
        <is>
          <t>Carla Andrea Calma Crespo</t>
        </is>
      </c>
      <c r="O670" t="inlineStr">
        <is>
          <t>202511100119-Carla Andrea Calma Crespo-费用报销 - 副本 - 副本 - 副本-2025-11-10 10:13:35</t>
        </is>
      </c>
      <c r="P670" t="inlineStr">
        <is>
          <t>YES</t>
        </is>
      </c>
      <c r="Q670"/>
      <c r="R670" t="inlineStr">
        <is>
          <t>YES</t>
        </is>
      </c>
      <c r="S670" t="inlineStr">
        <is>
          <t>Outsourced Liaison Officer</t>
        </is>
      </c>
      <c r="T670">
        <v>1</v>
      </c>
      <c r="U670">
        <v>24750</v>
      </c>
      <c r="V670" t="inlineStr">
        <is>
          <t>PHP</t>
        </is>
      </c>
      <c r="W670">
        <v>24750</v>
      </c>
      <c r="X670" s="2" t="str">
        <f>=HYPERLINK("https://www.larksuite.com/approval/admin/previewAttachment?key=PMgxCgIxFATQK838_J_JeBkbl8UVFwQhYJGzCxa2rw-ij2LrRpphcKlUVBpQ2YkRY8WiZIhqtbZzv54fvObxDDF0PLTm_bZvb5YVAbXMNgDw8vemzLR74uf4BgAA__8", "2 attachment(s)")</f>
        <v>2 attachment(s)</v>
      </c>
      <c r="Y670" t="inlineStr">
        <is>
          <t>Bank Transfer</t>
        </is>
      </c>
      <c r="Z670" t="inlineStr">
        <is>
          <t>Mark Ronald Tubang</t>
        </is>
      </c>
      <c r="AA670" t="inlineStr">
        <is>
          <t>09156448667</t>
        </is>
      </c>
      <c r="AB670" t="inlineStr">
        <is>
          <t>GCash</t>
        </is>
      </c>
      <c r="AC670" t="inlineStr">
        <is>
          <t>36 Dinar Street, CBE Townhomes, Brgy. Pasong Tamo, Quezon City</t>
        </is>
      </c>
      <c r="AD670" s="4">
        <v>45970</v>
      </c>
      <c r="AE670" t="inlineStr">
        <is>
          <t>1st Payment - Nov. 28, 2025
Final Payment - Dec. 5, 2025</t>
        </is>
      </c>
      <c r="AF670" s="2"/>
      <c r="AG670" t="inlineStr">
        <is>
          <t>NzQyNTk5MTgyNzQ4MTg3MDM0MTpGRkFBMjk2Ri02RjczLTRBM0EtOERGRS04ODk4NkE4NjE2NzctMTplNjVjNDg3NTQ3MGU1NWIxMjFkZWE5ODUzZDlkZGRkYTox</t>
        </is>
      </c>
      <c r="AH670" t="inlineStr">
        <is>
          <t>Mark Ronald Tubang</t>
        </is>
      </c>
      <c r="AI670"/>
      <c r="AJ670" t="inlineStr">
        <is>
          <t>LIQUIDITY PLAN (PAR # 202510290062 / 2025TEG-P0286)
1108 CE KIC GS+KO TAB &gt; OPERATIONS TEAM &gt;
Hospitality &gt; Liaison Officers - Players
Total Remaining Budget = (Php 16,350.00) NEGATIVE
Actual Cost = Php 24,750.00
Balance = (Php 41,100.00) OVER BUDGET</t>
        </is>
      </c>
      <c r="AK670"/>
    </row>
    <row r="671" ht="25.5" customHeight="1">
      <c r="A671" s="2" t="str">
        <f>=HYPERLINK("https://applink.larksuite.com/client/mini_program/open?appId=cli_9c7cc8a9a9edd105&amp;mode=appCenter&amp;path_pc=pc/pages/requested/index?instanceId=7575174276094004956&amp;source=bitable&amp;path=pages/detail/index?instanceId=7575174276094004956&amp;source=bitable", "202511210132")</f>
        <v>202511210132</v>
      </c>
      <c r="B671" t="inlineStr">
        <is>
          <t>Approved</t>
        </is>
      </c>
      <c r="C671" t="inlineStr">
        <is>
          <t>Procurement Order</t>
        </is>
      </c>
      <c r="D671" s="3">
        <v>45982.906273148146</v>
      </c>
      <c r="E671" s="3">
        <v>45988.53189814815</v>
      </c>
      <c r="F671" t="inlineStr">
        <is>
          <t>Fatima Kathleen M. FLores</t>
        </is>
      </c>
      <c r="G671" t="inlineStr">
        <is>
          <t>Procurement</t>
        </is>
      </c>
      <c r="H671"/>
      <c r="I671"/>
      <c r="J671" t="inlineStr">
        <is>
          <t>Project</t>
        </is>
      </c>
      <c r="K671" t="inlineStr">
        <is>
          <t>GG - Event Service</t>
        </is>
      </c>
      <c r="L671" t="inlineStr">
        <is>
          <t>KIC 2025 - Group Stage &amp; Knockouts</t>
        </is>
      </c>
      <c r="M671" t="inlineStr">
        <is>
          <t>2025TEG-P0286</t>
        </is>
      </c>
      <c r="N671" t="inlineStr">
        <is>
          <t>Carla Andrea Calma Crespo</t>
        </is>
      </c>
      <c r="O671" t="inlineStr">
        <is>
          <t>202511100119-Carla Andrea Calma Crespo-费用报销 - 副本 - 副本 - 副本-2025-11-10 10:13:35</t>
        </is>
      </c>
      <c r="P671" t="inlineStr">
        <is>
          <t>YES</t>
        </is>
      </c>
      <c r="Q671"/>
      <c r="R671" t="inlineStr">
        <is>
          <t>YES</t>
        </is>
      </c>
      <c r="S671" t="inlineStr">
        <is>
          <t>Outsourced Liaison Officer</t>
        </is>
      </c>
      <c r="T671">
        <v>1</v>
      </c>
      <c r="U671">
        <v>24750</v>
      </c>
      <c r="V671" t="inlineStr">
        <is>
          <t>PHP</t>
        </is>
      </c>
      <c r="W671">
        <v>24750</v>
      </c>
      <c r="X671" s="2" t="str">
        <f>=HYPERLINK("https://www.larksuite.com/approval/admin/previewAttachment?key=PMgxjkIxDATQK43jsSfey2xDFCERKqRP5bMjUdC-nIacYZ4Flo2CtUJh4lCiCLAie7RJBZk8ej33f8S1T3E5zzsep6_7ba-XRWkMyEmfAOzv5y6SVUl8HZ8AAAD__w", "2 attachment(s)")</f>
        <v>2 attachment(s)</v>
      </c>
      <c r="Y671" t="inlineStr">
        <is>
          <t>Bank Transfer</t>
        </is>
      </c>
      <c r="Z671" t="inlineStr">
        <is>
          <t>Joana Mariz Pereda Diamse</t>
        </is>
      </c>
      <c r="AA671" t="inlineStr">
        <is>
          <t>0000071440672</t>
        </is>
      </c>
      <c r="AB671" t="inlineStr">
        <is>
          <t>Security Bank</t>
        </is>
      </c>
      <c r="AC671" t="inlineStr">
        <is>
          <t>Building 10, Urban Deca Homes Manila</t>
        </is>
      </c>
      <c r="AD671" s="4">
        <v>45970</v>
      </c>
      <c r="AE671" t="inlineStr">
        <is>
          <t>1st Payment - Nov. 28, 2025
Final Payment - Dec. 5, 2025</t>
        </is>
      </c>
      <c r="AF671" s="2"/>
      <c r="AG671" t="inlineStr">
        <is>
          <t>NzQyNTk5MTgyNzQ4MTg3MDM0MTpFNEJCMkJGOC0yRDlGLTQzQ0EtOEQwMS1EMjQwMjkxNTc4M0UtMTo5ZGViYmQ0NDMwNjY2NGZhZTA0NDkyZTM1Mzg5YzJkYTox</t>
        </is>
      </c>
      <c r="AH671" t="inlineStr">
        <is>
          <t>Joana Mariz Pereda Diamse</t>
        </is>
      </c>
      <c r="AI671"/>
      <c r="AJ671" t="inlineStr">
        <is>
          <t>LIQUIDITY PLAN (PAR # 202510290062 / 2025TEG-P0286)
1108 CE KIC GS+KO TAB &gt; OPERATIONS TEAM &gt;
Hospitality &gt; Liaison Officers - Players
Total Remaining Budget = Php 8,400.00
Actual Cost = Php 24,750.00
Balance = (Php 16,350.00) OVER BUDGET</t>
        </is>
      </c>
      <c r="AK671"/>
    </row>
    <row r="672" ht="25.5" customHeight="1">
      <c r="A672" s="2" t="str">
        <f>=HYPERLINK("https://applink.larksuite.com/client/mini_program/open?appId=cli_9c7cc8a9a9edd105&amp;mode=appCenter&amp;path_pc=pc/pages/requested/index?instanceId=7576141611231350491&amp;source=bitable&amp;path=pages/detail/index?instanceId=7576141611231350491&amp;source=bitable", "202511240028")</f>
        <v>202511240028</v>
      </c>
      <c r="B672" t="inlineStr">
        <is>
          <t>Approved</t>
        </is>
      </c>
      <c r="C672" t="inlineStr">
        <is>
          <t>Procurement Order</t>
        </is>
      </c>
      <c r="D672" s="3">
        <v>45985.51304398148</v>
      </c>
      <c r="E672" s="3">
        <v>45986.768842592595</v>
      </c>
      <c r="F672" t="inlineStr">
        <is>
          <t>Fatima Kathleen M. FLores</t>
        </is>
      </c>
      <c r="G672" t="inlineStr">
        <is>
          <t>Procurement</t>
        </is>
      </c>
      <c r="H672"/>
      <c r="I672"/>
      <c r="J672" t="inlineStr">
        <is>
          <t>Project</t>
        </is>
      </c>
      <c r="K672" t="inlineStr">
        <is>
          <t>GG - Event Service</t>
        </is>
      </c>
      <c r="L672" t="inlineStr">
        <is>
          <t>KIC 2025 - Playoffs</t>
        </is>
      </c>
      <c r="M672" t="inlineStr">
        <is>
          <t>2025TEG-P0321</t>
        </is>
      </c>
      <c r="N672" t="inlineStr">
        <is>
          <t>Carla Andrea Calma Crespo</t>
        </is>
      </c>
      <c r="O672" t="inlineStr">
        <is>
          <t>202511210044-Carla Andrea Calma Crespo-费用报销 - 副本 - 副本 - 副本-2025-11-21 06:13:12;202511210043-Carla Andrea Calma Crespo-费用报销 - 副本 - 副本 - 副本-2025-11-21 06:09:31</t>
        </is>
      </c>
      <c r="P672" t="inlineStr">
        <is>
          <t>NO</t>
        </is>
      </c>
      <c r="Q672"/>
      <c r="R672" t="inlineStr">
        <is>
          <t>NO</t>
        </is>
      </c>
      <c r="S672" t="inlineStr">
        <is>
          <t>Room Accommodations (7 days, 6 Nights)</t>
        </is>
      </c>
      <c r="T672">
        <v>1</v>
      </c>
      <c r="U672">
        <v>153810</v>
      </c>
      <c r="V672" t="inlineStr">
        <is>
          <t>PHP</t>
        </is>
      </c>
      <c r="W672">
        <v>153810</v>
      </c>
      <c r="X672" s="2" t="str">
        <f>=HYPERLINK("https://www.larksuite.com/approval/admin/previewAttachment?key=PMg7jgIxEATQK1X1r9x7mU08shiNiBBkPjuCgPTVIGokvRrRtAa3UsVgkeb0_Pi2TakhynMf9_Uv2jrxNJvzvPLar9tcx4PZMoM8wgcA_v3cFRHdFfg63gEAAP__", "3 attachment(s)")</f>
        <v>3 attachment(s)</v>
      </c>
      <c r="Y672" t="inlineStr">
        <is>
          <t>Bank Transfer</t>
        </is>
      </c>
      <c r="Z672" t="inlineStr">
        <is>
          <t>LOVE NESS APARTELLE</t>
        </is>
      </c>
      <c r="AA672" t="inlineStr">
        <is>
          <t>002898036298</t>
        </is>
      </c>
      <c r="AB672" t="inlineStr">
        <is>
          <t>BDO</t>
        </is>
      </c>
      <c r="AC672" t="inlineStr">
        <is>
          <t>94 Layug St., cor. FB Harrison St., Brgy. 2, Pasay City</t>
        </is>
      </c>
      <c r="AD672" s="4">
        <v>45985</v>
      </c>
      <c r="AE672" t="inlineStr">
        <is>
          <t>100% Full Payment - Nov. 24, 2025</t>
        </is>
      </c>
      <c r="AF672" s="2" t="str">
        <f>=HYPERLINK("https://www.larksuite.com/approval/admin/previewAttachment?key=TMi7DQIxEATQlmb266UZEp8sThYRgmxrRxBd-mIQMZwaBStKgZ2eQWOQolT_eUszs5BM9T6e656UdeItMue5fffnMdfxYgwNWLkZCwBvFydRQ0P_jm8AAAD__w", "1 attachment(s)")</f>
        <v>1 attachment(s)</v>
      </c>
      <c r="AG672" t="inlineStr">
        <is>
          <t>NzQyNTk5MTgyNzQ4MTg3MDM0MTo1MjI1OTVBMi04MzM4LTRCRDktQTY2MS0xMjc0NzU4NkE0NTktMTo4YWNmY2RjMDY5Y2I1YTJhMWM4ZTQ0Y2NkZDA0Mjg0MTox</t>
        </is>
      </c>
      <c r="AH672" t="inlineStr">
        <is>
          <t>LOVE NESS APARTELLE</t>
        </is>
      </c>
      <c r="AI672"/>
      <c r="AJ672" t="inlineStr">
        <is>
          <t>LIQUIDITY PLAN (PAR # 202511200098 / 2025TEG-P0321)
MOBILIZATION &gt; 
Crew Accommodation (Ops)
Crew Accommodation (Prod)
Total Budget = Php 240,000.00
Actual Cost = Php 153,810.00
Balance = Php 86,190.00</t>
        </is>
      </c>
      <c r="AK672"/>
    </row>
    <row r="673" ht="25.5" customHeight="1">
      <c r="A673" s="2" t="str">
        <f>=HYPERLINK("https://applink.larksuite.com/client/mini_program/open?appId=cli_9c7cc8a9a9edd105&amp;mode=appCenter&amp;path_pc=pc/pages/requested/index?instanceId=7576157788892565217&amp;source=bitable&amp;path=pages/detail/index?instanceId=7576157788892565217&amp;source=bitable", "202511240039")</f>
        <v>202511240039</v>
      </c>
      <c r="B673" t="inlineStr">
        <is>
          <t>Approved</t>
        </is>
      </c>
      <c r="C673" t="inlineStr">
        <is>
          <t>Procurement Order</t>
        </is>
      </c>
      <c r="D673" s="3">
        <v>45985.55664351852</v>
      </c>
      <c r="E673" s="3">
        <v>45986.65225694444</v>
      </c>
      <c r="F673" t="inlineStr">
        <is>
          <t>Fatima Kathleen M. FLores</t>
        </is>
      </c>
      <c r="G673" t="inlineStr">
        <is>
          <t>Procurement</t>
        </is>
      </c>
      <c r="H673"/>
      <c r="I673"/>
      <c r="J673" t="inlineStr">
        <is>
          <t>Project</t>
        </is>
      </c>
      <c r="K673" t="inlineStr">
        <is>
          <t>GG - Event Service</t>
        </is>
      </c>
      <c r="L673" t="inlineStr">
        <is>
          <t>KIC 2025 - Carnival [Playoffs]</t>
        </is>
      </c>
      <c r="M673" t="inlineStr">
        <is>
          <t>2025TEG-P0316</t>
        </is>
      </c>
      <c r="N673" t="inlineStr">
        <is>
          <t>Maura Aurel Atilano Yap</t>
        </is>
      </c>
      <c r="O673" t="inlineStr">
        <is>
          <t>202511190063-Maura Aurel Atilano Yap-费用报销 - 副本 - 副本 - 副本-2025-11-19 06:42:24</t>
        </is>
      </c>
      <c r="P673" t="inlineStr">
        <is>
          <t>NO</t>
        </is>
      </c>
      <c r="Q673"/>
      <c r="R673" t="inlineStr">
        <is>
          <t>NO</t>
        </is>
      </c>
      <c r="S673" t="inlineStr">
        <is>
          <t>Lottery Ticket (Size: 14.3cm x 5cm)</t>
        </is>
      </c>
      <c r="T673">
        <v>1500</v>
      </c>
      <c r="U673">
        <v>3</v>
      </c>
      <c r="V673" t="inlineStr">
        <is>
          <t>PHP</t>
        </is>
      </c>
      <c r="W673">
        <v>4500</v>
      </c>
      <c r="X673" s="2"/>
      <c r="Y673" t="inlineStr">
        <is>
          <t>Bank Transfer</t>
        </is>
      </c>
      <c r="Z673" t="inlineStr">
        <is>
          <t>Elias Perez Lucena Jr.</t>
        </is>
      </c>
      <c r="AA673" t="inlineStr">
        <is>
          <t>8196063045</t>
        </is>
      </c>
      <c r="AB673" t="inlineStr">
        <is>
          <t>BPI</t>
        </is>
      </c>
      <c r="AC673" t="inlineStr">
        <is>
          <t>504 Arnaiz Ave., Brgy. 108 Zone 12, Pasay City</t>
        </is>
      </c>
      <c r="AD673" s="4">
        <v>45988</v>
      </c>
      <c r="AE673" t="inlineStr">
        <is>
          <t>50% Down Payment upon confirmation
50% Balance upon complete delivery</t>
        </is>
      </c>
      <c r="AF673" s="2"/>
      <c r="AG673" t="inlineStr">
        <is>
          <t>NzQyNTk5MTgyNzQ4MTg3MDM0MTpDQjQzQUE4Qi1GOTAzLTQ0RjItOTYxQi05NkJEOTgxNTgwODctMTpiMTUxMTUzZDlkYTEzZmZiNzM1MmQ5MjFiNDU4Y2RkMTox</t>
        </is>
      </c>
      <c r="AH673" t="inlineStr">
        <is>
          <t>A-E PRINTING SHOP</t>
        </is>
      </c>
      <c r="AI673"/>
      <c r="AJ673" t="inlineStr">
        <is>
          <t>LIQUIDITY PLAN (PAR # 202511190039 / 2025TEG-P0316)
PRODUCTION &gt; GRAND FINALS &gt;
A1 Signages
Sticker Rally Card + Sticker Pack - GF
Total Budget = Php 172,500.00
Actual Cost = Php 66,750.00
Balance = Php 105,750.00</t>
        </is>
      </c>
      <c r="AK673"/>
    </row>
    <row r="674" ht="25.5" customHeight="1">
      <c r="A674" s="2" t="str">
        <f>=HYPERLINK("https://applink.larksuite.com/client/mini_program/open?appId=cli_9c7cc8a9a9edd105&amp;mode=appCenter&amp;path_pc=pc/pages/requested/index?instanceId=7576157788892565217&amp;source=bitable&amp;path=pages/detail/index?instanceId=7576157788892565217&amp;source=bitable", "202511240039")</f>
        <v>202511240039</v>
      </c>
      <c r="B674" t="inlineStr">
        <is>
          <t>Approved</t>
        </is>
      </c>
      <c r="C674" t="inlineStr">
        <is>
          <t>Procurement Order</t>
        </is>
      </c>
      <c r="D674" s="3">
        <v>45985.55664351852</v>
      </c>
      <c r="E674" s="3">
        <v>45986.65225694444</v>
      </c>
      <c r="F674" t="inlineStr">
        <is>
          <t>Fatima Kathleen M. FLores</t>
        </is>
      </c>
      <c r="G674" t="inlineStr">
        <is>
          <t>Procurement</t>
        </is>
      </c>
      <c r="H674"/>
      <c r="I674"/>
      <c r="J674" t="inlineStr">
        <is>
          <t>Project</t>
        </is>
      </c>
      <c r="K674" t="inlineStr">
        <is>
          <t>GG - Event Service</t>
        </is>
      </c>
      <c r="L674" t="inlineStr">
        <is>
          <t>KIC 2025 - Carnival [Playoffs]</t>
        </is>
      </c>
      <c r="M674" t="inlineStr">
        <is>
          <t>2025TEG-P0316</t>
        </is>
      </c>
      <c r="N674" t="inlineStr">
        <is>
          <t>Maura Aurel Atilano Yap</t>
        </is>
      </c>
      <c r="O674" t="inlineStr">
        <is>
          <t>202511190063-Maura Aurel Atilano Yap-费用报销 - 副本 - 副本 - 副本-2025-11-19 06:42:24</t>
        </is>
      </c>
      <c r="P674" t="inlineStr">
        <is>
          <t>NO</t>
        </is>
      </c>
      <c r="Q674"/>
      <c r="R674" t="inlineStr">
        <is>
          <t>NO</t>
        </is>
      </c>
      <c r="S674" t="inlineStr">
        <is>
          <t>Rally Card (Size: A5, Double Sided Print)</t>
        </is>
      </c>
      <c r="T674">
        <v>1500</v>
      </c>
      <c r="U674">
        <v>10</v>
      </c>
      <c r="V674" t="inlineStr">
        <is>
          <t>PHP</t>
        </is>
      </c>
      <c r="W674">
        <v>15000</v>
      </c>
      <c r="X674" s="2"/>
      <c r="Y674"/>
      <c r="Z674"/>
      <c r="AA674"/>
      <c r="AB674"/>
      <c r="AC674"/>
      <c r="AD674" s="4"/>
      <c r="AE674"/>
      <c r="AF674" s="2"/>
      <c r="AG674" t="inlineStr">
        <is>
          <t>NzQyNTk5MTgyNzQ4MTg3MDM0MTpDQjQzQUE4Qi1GOTAzLTQ0RjItOTYxQi05NkJEOTgxNTgwODctMjpiMzU1ZDlkZTVhNjU4M2U0YTY3NTFlOTJjNTJlNzQ1NTox</t>
        </is>
      </c>
      <c r="AH674"/>
      <c r="AI674"/>
      <c r="AJ674" t="inlineStr">
        <is>
          <t>LIQUIDITY PLAN (PAR # 202511190039 / 2025TEG-P0316)
PRODUCTION &gt; GRAND FINALS &gt;
A1 Signages
Sticker Rally Card + Sticker Pack - GF
Total Budget = Php 172,500.00
Actual Cost = Php 66,750.00
Balance = Php 105,750.00</t>
        </is>
      </c>
      <c r="AK674"/>
    </row>
    <row r="675" ht="25.5" customHeight="1">
      <c r="A675" s="2" t="str">
        <f>=HYPERLINK("https://applink.larksuite.com/client/mini_program/open?appId=cli_9c7cc8a9a9edd105&amp;mode=appCenter&amp;path_pc=pc/pages/requested/index?instanceId=7576157788892565217&amp;source=bitable&amp;path=pages/detail/index?instanceId=7576157788892565217&amp;source=bitable", "202511240039")</f>
        <v>202511240039</v>
      </c>
      <c r="B675" t="inlineStr">
        <is>
          <t>Approved</t>
        </is>
      </c>
      <c r="C675" t="inlineStr">
        <is>
          <t>Procurement Order</t>
        </is>
      </c>
      <c r="D675" s="3">
        <v>45985.55664351852</v>
      </c>
      <c r="E675" s="3">
        <v>45986.65225694444</v>
      </c>
      <c r="F675" t="inlineStr">
        <is>
          <t>Fatima Kathleen M. FLores</t>
        </is>
      </c>
      <c r="G675" t="inlineStr">
        <is>
          <t>Procurement</t>
        </is>
      </c>
      <c r="H675"/>
      <c r="I675"/>
      <c r="J675" t="inlineStr">
        <is>
          <t>Project</t>
        </is>
      </c>
      <c r="K675" t="inlineStr">
        <is>
          <t>GG - Event Service</t>
        </is>
      </c>
      <c r="L675" t="inlineStr">
        <is>
          <t>KIC 2025 - Carnival [Playoffs]</t>
        </is>
      </c>
      <c r="M675" t="inlineStr">
        <is>
          <t>2025TEG-P0316</t>
        </is>
      </c>
      <c r="N675" t="inlineStr">
        <is>
          <t>Maura Aurel Atilano Yap</t>
        </is>
      </c>
      <c r="O675" t="inlineStr">
        <is>
          <t>202511190063-Maura Aurel Atilano Yap-费用报销 - 副本 - 副本 - 副本-2025-11-19 06:42:24</t>
        </is>
      </c>
      <c r="P675" t="inlineStr">
        <is>
          <t>NO</t>
        </is>
      </c>
      <c r="Q675"/>
      <c r="R675" t="inlineStr">
        <is>
          <t>NO</t>
        </is>
      </c>
      <c r="S675" t="inlineStr">
        <is>
          <t>Sticker Printing (Size: Assorted, 9 designs, Die-Cut with Backing)</t>
        </is>
      </c>
      <c r="T675">
        <v>13500</v>
      </c>
      <c r="U675">
        <v>3.5</v>
      </c>
      <c r="V675" t="inlineStr">
        <is>
          <t>PHP</t>
        </is>
      </c>
      <c r="W675">
        <v>47250</v>
      </c>
      <c r="X675" s="2" t="str">
        <f>=HYPERLINK("https://www.larksuite.com/approval/admin/previewAttachment?key=PMgxjkIxDATQK804tsfey2zzowgkoEFKl7MjUdC-LCIrOLLhTWvwKJQMqaraIsOoY4dSQ9SIM5_rf_O-p2lN9fV44ezbteab0TKDhvsoAPz7-ZC7d6fj6_YJAAD__w", "3 attachment(s)")</f>
        <v>3 attachment(s)</v>
      </c>
      <c r="Y675"/>
      <c r="Z675"/>
      <c r="AA675"/>
      <c r="AB675"/>
      <c r="AC675"/>
      <c r="AD675" s="4"/>
      <c r="AE675"/>
      <c r="AF675" s="2"/>
      <c r="AG675" t="inlineStr">
        <is>
          <t>NzQyNTk5MTgyNzQ4MTg3MDM0MTpDQjQzQUE4Qi1GOTAzLTQ0RjItOTYxQi05NkJEOTgxNTgwODctMzo4MDU4NGQ4ODRmNjJiZmVmZTFlMGIyMzJmYTQzNTZiNjox</t>
        </is>
      </c>
      <c r="AH675"/>
      <c r="AI675"/>
      <c r="AJ675" t="inlineStr">
        <is>
          <t>LIQUIDITY PLAN (PAR # 202511190039 / 2025TEG-P0316)
PRODUCTION &gt; GRAND FINALS &gt;
A1 Signages
Sticker Rally Card + Sticker Pack - GF
Total Budget = Php 172,500.00
Actual Cost = Php 66,750.00
Balance = Php 105,750.00</t>
        </is>
      </c>
      <c r="AK675"/>
    </row>
    <row r="676" ht="25.5" customHeight="1">
      <c r="A676" s="2" t="str">
        <f>=HYPERLINK("https://applink.larksuite.com/client/mini_program/open?appId=cli_9c7cc8a9a9edd105&amp;mode=appCenter&amp;path_pc=pc/pages/requested/index?instanceId=7576150316320558816&amp;source=bitable&amp;path=pages/detail/index?instanceId=7576150316320558816&amp;source=bitable", "202511240037")</f>
        <v>202511240037</v>
      </c>
      <c r="B676" t="inlineStr">
        <is>
          <t>Approved</t>
        </is>
      </c>
      <c r="C676" t="inlineStr">
        <is>
          <t>Procurement Order</t>
        </is>
      </c>
      <c r="D676" s="3">
        <v>45985.53650462963</v>
      </c>
      <c r="E676" s="3">
        <v>45986.68041666667</v>
      </c>
      <c r="F676" t="inlineStr">
        <is>
          <t>Fatima Kathleen M. FLores</t>
        </is>
      </c>
      <c r="G676" t="inlineStr">
        <is>
          <t>Procurement</t>
        </is>
      </c>
      <c r="H676"/>
      <c r="I676"/>
      <c r="J676" t="inlineStr">
        <is>
          <t>Project</t>
        </is>
      </c>
      <c r="K676" t="inlineStr">
        <is>
          <t>GG - Event Service</t>
        </is>
      </c>
      <c r="L676" t="inlineStr">
        <is>
          <t>KIC 2025 - Carnival [Playoffs]</t>
        </is>
      </c>
      <c r="M676" t="inlineStr">
        <is>
          <t>2025TEG-P0316</t>
        </is>
      </c>
      <c r="N676" t="inlineStr">
        <is>
          <t>Maura Aurel Atilano Yap</t>
        </is>
      </c>
      <c r="O676" t="inlineStr">
        <is>
          <t>202511190148-Maura Aurel Atilano Yap-费用报销 - 副本 - 副本 - 副本-2025-11-19 11:56:51</t>
        </is>
      </c>
      <c r="P676" t="inlineStr">
        <is>
          <t>NO</t>
        </is>
      </c>
      <c r="Q676"/>
      <c r="R676" t="inlineStr">
        <is>
          <t>NO</t>
        </is>
      </c>
      <c r="S676" t="inlineStr">
        <is>
          <t>Full Magnet Photobooth Package Services (10 hours)</t>
        </is>
      </c>
      <c r="T676">
        <v>1</v>
      </c>
      <c r="U676">
        <v>54432</v>
      </c>
      <c r="V676" t="inlineStr">
        <is>
          <t>PHP</t>
        </is>
      </c>
      <c r="W676">
        <v>54432</v>
      </c>
      <c r="X676" s="2" t="str">
        <f>=HYPERLINK("https://www.larksuite.com/approval/admin/previewAttachment?key=PMg7CgJhDATgK838eUziZWxcFhUUQVCbnF2wsP2yiKygZcObq8FRKBkwpi1EVDFnDaWGKIvZbvsR9sZF--de5dd4zOt82rcno7UWZO5WAHj4u8ndu9Pxc3wDAAD__w", "2 attachment(s)")</f>
        <v>2 attachment(s)</v>
      </c>
      <c r="Y676" t="inlineStr">
        <is>
          <t>Bank Transfer</t>
        </is>
      </c>
      <c r="Z676" t="inlineStr">
        <is>
          <t>JERWIN CRISOSTOMO</t>
        </is>
      </c>
      <c r="AA676" t="inlineStr">
        <is>
          <t>3979-0830-24</t>
        </is>
      </c>
      <c r="AB676" t="inlineStr">
        <is>
          <t>BPI</t>
        </is>
      </c>
      <c r="AC676" t="inlineStr">
        <is>
          <t>7 F. Pascual St., San Jose, Navotas</t>
        </is>
      </c>
      <c r="AD676" s="4">
        <v>45493</v>
      </c>
      <c r="AE676" t="inlineStr">
        <is>
          <t>50% Down Payment upon confirmation
50% Balance upon completion of services</t>
        </is>
      </c>
      <c r="AF676" s="2" t="str">
        <f>=HYPERLINK("https://www.larksuite.com/approval/admin/previewAttachment?key=TMgxCgJRDATQK81skkniZWxcPioogqA2ObtgZftUhCpoanhza3AyUgwYZRsiqqjZhpmNZFrMfltH2BuXXJ97lV_jMa_zae1PqkzwDnc2AB7-nESXyX6ObwAAAP__", "3 attachment(s)")</f>
        <v>3 attachment(s)</v>
      </c>
      <c r="AG676" t="inlineStr">
        <is>
          <t>NzQyNTk5MTgyNzQ4MTg3MDM0MTowOUYyN0QyRC01ODRFLTQyQTQtQUJFMi05QTlFOUUxQjZBMDAtMTpiMmVlN2E1M2U1YjliYzZkMDE1YTFiMmMzMDY3ZWEyZTox</t>
        </is>
      </c>
      <c r="AH676" t="inlineStr">
        <is>
          <t>Flip Fun Photobooth</t>
        </is>
      </c>
      <c r="AI676"/>
      <c r="AJ676" t="inlineStr">
        <is>
          <t>LIQUIDITY PLAN (PAR # 202511190039 / 2025TEG-P0316)
BOOTHS &gt; Menki Bubble Photo Booth &gt;
Photo Booth Vendor
Total Budget = Php 150,000.00
Actual Cost = Php 54,432.00
Balance = Php 95,568.00</t>
        </is>
      </c>
      <c r="AK676"/>
    </row>
    <row r="677" ht="25.5" customHeight="1">
      <c r="A677" s="2" t="str">
        <f>=HYPERLINK("https://applink.larksuite.com/client/mini_program/open?appId=cli_9c7cc8a9a9edd105&amp;mode=appCenter&amp;path_pc=pc/pages/requested/index?instanceId=7576181702335237853&amp;source=bitable&amp;path=pages/detail/index?instanceId=7576181702335237853&amp;source=bitable", "202511240054")</f>
        <v>202511240054</v>
      </c>
      <c r="B677" t="inlineStr">
        <is>
          <t>Approved</t>
        </is>
      </c>
      <c r="C677" t="inlineStr">
        <is>
          <t>Procurement Order</t>
        </is>
      </c>
      <c r="D677" s="3">
        <v>45985.621087962965</v>
      </c>
      <c r="E677" s="3">
        <v>45986.642847222225</v>
      </c>
      <c r="F677" t="inlineStr">
        <is>
          <t>Fatima Kathleen M. FLores</t>
        </is>
      </c>
      <c r="G677" t="inlineStr">
        <is>
          <t>Procurement</t>
        </is>
      </c>
      <c r="H677"/>
      <c r="I677"/>
      <c r="J677" t="inlineStr">
        <is>
          <t>Project</t>
        </is>
      </c>
      <c r="K677" t="inlineStr">
        <is>
          <t>GG - Event Service</t>
        </is>
      </c>
      <c r="L677" t="inlineStr">
        <is>
          <t>Mini Battle [Playoffs]</t>
        </is>
      </c>
      <c r="M677" t="inlineStr">
        <is>
          <t>2025TEG-P0319</t>
        </is>
      </c>
      <c r="N677" t="inlineStr">
        <is>
          <t>Maura Aurel Atilano Yap</t>
        </is>
      </c>
      <c r="O677" t="inlineStr">
        <is>
          <t>202511240049-Maura Aurel Atilano Yap-费用报销 - 副本 - 副本 - 副本-2025-11-24 06:23:20</t>
        </is>
      </c>
      <c r="P677" t="inlineStr">
        <is>
          <t>NO</t>
        </is>
      </c>
      <c r="Q677"/>
      <c r="R677" t="inlineStr">
        <is>
          <t>YES</t>
        </is>
      </c>
      <c r="S677" t="inlineStr">
        <is>
          <t>Mini Battle Booth Fabrication (Refurbished &amp; Addtiional)</t>
        </is>
      </c>
      <c r="T677">
        <v>1</v>
      </c>
      <c r="U677">
        <v>302400</v>
      </c>
      <c r="V677" t="inlineStr">
        <is>
          <t>PHP</t>
        </is>
      </c>
      <c r="W677">
        <v>302400</v>
      </c>
      <c r="X677" s="2" t="str">
        <f>=HYPERLINK("https://www.larksuite.com/approval/admin/previewAttachment?key=PMgxCkIxEATQK83u7GayXsYmIah8K0GxyNkFi9--1g2tp7EVoswLtpVq1k1wMp3qye3bpIJMzD2f6wp-cB_KY3znsR77fRtrvixL7hAj2AHY5XQqIqpa4O_4BQAA__8", "2 attachment(s)")</f>
        <v>2 attachment(s)</v>
      </c>
      <c r="Y677" t="inlineStr">
        <is>
          <t>Bank Transfer</t>
        </is>
      </c>
      <c r="Z677" t="inlineStr">
        <is>
          <t>Marivic Reotan</t>
        </is>
      </c>
      <c r="AA677" t="inlineStr">
        <is>
          <t>0429800633</t>
        </is>
      </c>
      <c r="AB677" t="inlineStr">
        <is>
          <t>BPI</t>
        </is>
      </c>
      <c r="AC677" t="inlineStr">
        <is>
          <t>72 Tumana Dulo, Bagong Silangan, District 2, QC</t>
        </is>
      </c>
      <c r="AD677" s="4">
        <v>45986</v>
      </c>
      <c r="AE677" t="inlineStr">
        <is>
          <t>60% Down Payment upon confirmation
40% Balance - Dec. 5, 2025
NOTE: VENDOR IS STILL IN THE PROCESSING THEIR BIR 2303. AS PER AGREEMENT, THEY'LL ISSUE OFFICIAL INVOICE  ON THE FINAL PAYMENT.</t>
        </is>
      </c>
      <c r="AF677" s="2" t="str">
        <f>=HYPERLINK("https://www.larksuite.com/approval/admin/previewAttachment?key=TMg7CgIxGATgK81k8r-8jE1CUFkrQbHI2QWrbT9PwtMoL_RiK3CHhTMZaJI1RZp224woBEO253NdoQ_uI-wY33msx37fxpovesrRy3pnAeDl5CQq5fo7fgEAAP__", "5 attachment(s)")</f>
        <v>5 attachment(s)</v>
      </c>
      <c r="AG677" t="inlineStr">
        <is>
          <t>NzQyNTk5MTgyNzQ4MTg3MDM0MTpBN0ExOEM2OS03NERDLTQ2REYtQkYwMi04MDBDODNDQzUzMTEtMTphMmUwMmVhOWYwNDg0NTU5ZmQ2YTkzOTU3NGExMDRjMDox</t>
        </is>
      </c>
      <c r="AH677" t="inlineStr">
        <is>
          <t>M.F.R. Designs</t>
        </is>
      </c>
      <c r="AI677"/>
      <c r="AJ677" t="inlineStr">
        <is>
          <t>LIQUIDITY PLAN (PAR # 202511190046 / 2025TEG-P0319)
FABRICATION &gt; GRAND FINALS &gt;
Fabrication &gt;
Fabrication Transport &amp; Refurbishment
Extra Fabrications
Total Budget = Php 60,000.00
Actual Cost = Php 302,400.00
Balance = (Php 242,400.00) OVER BUDGET</t>
        </is>
      </c>
      <c r="AK677"/>
    </row>
    <row r="678" ht="25.5" customHeight="1">
      <c r="A678" s="2" t="str">
        <f>=HYPERLINK("https://applink.larksuite.com/client/mini_program/open?appId=cli_9c7cc8a9a9edd105&amp;mode=appCenter&amp;path_pc=pc/pages/requested/index?instanceId=7576247340432920289&amp;source=bitable&amp;path=pages/detail/index?instanceId=7576247340432920289&amp;source=bitable", "202511240115")</f>
        <v>202511240115</v>
      </c>
      <c r="B678" t="inlineStr">
        <is>
          <t>Approved</t>
        </is>
      </c>
      <c r="C678" t="inlineStr">
        <is>
          <t>Procurement Order</t>
        </is>
      </c>
      <c r="D678" s="3">
        <v>45985.79796296296</v>
      </c>
      <c r="E678" s="3">
        <v>45986.61268518519</v>
      </c>
      <c r="F678" t="inlineStr">
        <is>
          <t>Fatima Kathleen M. FLores</t>
        </is>
      </c>
      <c r="G678" t="inlineStr">
        <is>
          <t>Procurement</t>
        </is>
      </c>
      <c r="H678"/>
      <c r="I678"/>
      <c r="J678" t="inlineStr">
        <is>
          <t>Project</t>
        </is>
      </c>
      <c r="K678" t="inlineStr">
        <is>
          <t>GG - Event Service</t>
        </is>
      </c>
      <c r="L678" t="inlineStr">
        <is>
          <t>KIC 2025 - Group Stage &amp; Knockouts</t>
        </is>
      </c>
      <c r="M678" t="inlineStr">
        <is>
          <t>2025TEG-P0286</t>
        </is>
      </c>
      <c r="N678" t="inlineStr">
        <is>
          <t>Carla Andrea Calma Crespo</t>
        </is>
      </c>
      <c r="O678" t="inlineStr">
        <is>
          <t>202511110037-Carla Andrea Calma Crespo-费用报销 - 副本 - 副本 - 副本-2025-11-11 03:49:25</t>
        </is>
      </c>
      <c r="P678" t="inlineStr">
        <is>
          <t>YES</t>
        </is>
      </c>
      <c r="Q678"/>
      <c r="R678" t="inlineStr">
        <is>
          <t>NO</t>
        </is>
      </c>
      <c r="S678" t="inlineStr">
        <is>
          <t>Outsourced Road Manager</t>
        </is>
      </c>
      <c r="T678">
        <v>1</v>
      </c>
      <c r="U678">
        <v>22000</v>
      </c>
      <c r="V678" t="inlineStr">
        <is>
          <t>PHP</t>
        </is>
      </c>
      <c r="W678">
        <v>22000</v>
      </c>
      <c r="X678" s="2"/>
      <c r="Y678" t="inlineStr">
        <is>
          <t>Bank Transfer</t>
        </is>
      </c>
      <c r="Z678" t="inlineStr">
        <is>
          <t>Lorenzo S. Joaquin</t>
        </is>
      </c>
      <c r="AA678" t="inlineStr">
        <is>
          <t>09670566726</t>
        </is>
      </c>
      <c r="AB678" t="inlineStr">
        <is>
          <t>GCash</t>
        </is>
      </c>
      <c r="AC678" t="inlineStr">
        <is>
          <t>31a Allajur St Zone 3 Nia Npc Fairview Q.C</t>
        </is>
      </c>
      <c r="AD678" s="4">
        <v>45973</v>
      </c>
      <c r="AE678" t="inlineStr">
        <is>
          <t>1st Payment - Nov. 28, 2025
Final Payment - Dec. 5, 2025</t>
        </is>
      </c>
      <c r="AF678" s="2"/>
      <c r="AG678" t="inlineStr">
        <is>
          <t>NzQyNTk5MTgyNzQ4MTg3MDM0MTpFODFDMEVGQi1BM0E1LTQ0QTctOTIzQi01MDdEMDQ4M0M1RUQtMTpjYjNiMTJmNGFkYTUzN2JiNDE2ZDg0NDYyYTJkODIwMTox</t>
        </is>
      </c>
      <c r="AH678" t="inlineStr">
        <is>
          <t>Lorenzo S. Joaquin</t>
        </is>
      </c>
      <c r="AI678"/>
      <c r="AJ678" t="inlineStr">
        <is>
          <t>LIQUIDITY PLAN (PAR # 202510290062 / 2025TEG-P0286)
1108 CE KIC GS+KO TAB &gt; OPERATIONS TEAM &gt;
Talent Management &gt;
Road Manager - for KOLs &amp; Cosplayers
Total Budget = Php 25,000.00
Actual Cost = Php 22,000.00
Balance = Php 3,000.00</t>
        </is>
      </c>
      <c r="AK678"/>
    </row>
    <row r="679" ht="25.5" customHeight="1">
      <c r="A679" s="2" t="str">
        <f>=HYPERLINK("https://applink.larksuite.com/client/mini_program/open?appId=cli_9c7cc8a9a9edd105&amp;mode=appCenter&amp;path_pc=pc/pages/requested/index?instanceId=7576244916779486941&amp;source=bitable&amp;path=pages/detail/index?instanceId=7576244916779486941&amp;source=bitable", "202511240113")</f>
        <v>202511240113</v>
      </c>
      <c r="B679" t="inlineStr">
        <is>
          <t>Approved</t>
        </is>
      </c>
      <c r="C679" t="inlineStr">
        <is>
          <t>Procurement Order</t>
        </is>
      </c>
      <c r="D679" s="3">
        <v>45985.79143518519</v>
      </c>
      <c r="E679" s="3">
        <v>45986.63123842593</v>
      </c>
      <c r="F679" t="inlineStr">
        <is>
          <t>Fatima Kathleen M. FLores</t>
        </is>
      </c>
      <c r="G679" t="inlineStr">
        <is>
          <t>Procurement</t>
        </is>
      </c>
      <c r="H679"/>
      <c r="I679"/>
      <c r="J679" t="inlineStr">
        <is>
          <t>Project</t>
        </is>
      </c>
      <c r="K679" t="inlineStr">
        <is>
          <t>GG - Event Service</t>
        </is>
      </c>
      <c r="L679" t="inlineStr">
        <is>
          <t>KIC 2025 - Group Stage &amp; Knockouts</t>
        </is>
      </c>
      <c r="M679" t="inlineStr">
        <is>
          <t>2025TEG-P0286</t>
        </is>
      </c>
      <c r="N679" t="inlineStr">
        <is>
          <t>Carla Andrea Calma Crespo</t>
        </is>
      </c>
      <c r="O679" t="inlineStr">
        <is>
          <t>202511110134-Carla Andrea Calma Crespo-费用报销 - 副本 - 副本 - 副本-2025-11-11 10:48:37</t>
        </is>
      </c>
      <c r="P679" t="inlineStr">
        <is>
          <t>YES</t>
        </is>
      </c>
      <c r="Q679"/>
      <c r="R679" t="inlineStr">
        <is>
          <t>NO</t>
        </is>
      </c>
      <c r="S679" t="inlineStr">
        <is>
          <t>Outsourced Resolume Operator</t>
        </is>
      </c>
      <c r="T679">
        <v>1</v>
      </c>
      <c r="U679">
        <v>45000</v>
      </c>
      <c r="V679" t="inlineStr">
        <is>
          <t>PHP</t>
        </is>
      </c>
      <c r="W679">
        <v>45000</v>
      </c>
      <c r="X679" s="2" t="str">
        <f>=HYPERLINK("https://www.larksuite.com/approval/admin/previewAttachment?key=PMgxCgIxFATQK80kkz__exkbl0XQiCAsWuTsgoXtiyQiB3sUVGwFLg9Hk4phlzJKXG3RLpjuY21zPz_4fqrlPHJ-7jes43rZtxdHuTW4Sz0B8PT3bklVIfwc3wAAAP__", "2 attachment(s)")</f>
        <v>2 attachment(s)</v>
      </c>
      <c r="Y679" t="inlineStr">
        <is>
          <t>Bank Transfer</t>
        </is>
      </c>
      <c r="Z679" t="inlineStr">
        <is>
          <t>Remar John Bayona</t>
        </is>
      </c>
      <c r="AA679" t="inlineStr">
        <is>
          <t>09458591894</t>
        </is>
      </c>
      <c r="AB679" t="inlineStr">
        <is>
          <t>GCash</t>
        </is>
      </c>
      <c r="AC679" t="inlineStr">
        <is>
          <t>Puntales Road,Concepcion,Iloilo</t>
        </is>
      </c>
      <c r="AD679" s="4">
        <v>45968</v>
      </c>
      <c r="AE679" t="inlineStr">
        <is>
          <t>1st Payment - Nov. 28, 2025
Final Payment - Dec. 5, 2025</t>
        </is>
      </c>
      <c r="AF679" s="2"/>
      <c r="AG679" t="inlineStr">
        <is>
          <t>NzQyNTk5MTgyNzQ4MTg3MDM0MTo4M0ZDMjQ0RC00RENGLTQ3MDQtQUNDNC1ERDBFQzMzNDJGMTUtMTpjMTJiYmU1Y2ViZGNhOTlkMmY5ZmIyNDY5NzliMzc4Zjox</t>
        </is>
      </c>
      <c r="AH679" t="inlineStr">
        <is>
          <t>Remar John Bayona</t>
        </is>
      </c>
      <c r="AI679"/>
      <c r="AJ679" t="inlineStr">
        <is>
          <t>LIQUIDITY PLAN (PAR # 202510290062 / 2025TEG-P0286)
1108 CE KIC GS+KO TAB &gt; BROADCAST TEAM &gt;
Resolume Operator
Total Budget = Php 48,000.00
Actual Cost = Php 45,000.00
Balance = Php 3,000.00</t>
        </is>
      </c>
      <c r="AK679"/>
    </row>
    <row r="680" ht="25.5" customHeight="1">
      <c r="A680" s="2" t="str">
        <f>=HYPERLINK("https://applink.larksuite.com/client/mini_program/open?appId=cli_9c7cc8a9a9edd105&amp;mode=appCenter&amp;path_pc=pc/pages/requested/index?instanceId=7576249118113156830&amp;source=bitable&amp;path=pages/detail/index?instanceId=7576249118113156830&amp;source=bitable", "202511240120")</f>
        <v>202511240120</v>
      </c>
      <c r="B680" t="inlineStr">
        <is>
          <t>Approved</t>
        </is>
      </c>
      <c r="C680" t="inlineStr">
        <is>
          <t>Procurement Order</t>
        </is>
      </c>
      <c r="D680" s="3">
        <v>45985.80275462963</v>
      </c>
      <c r="E680" s="3">
        <v>45986.617256944446</v>
      </c>
      <c r="F680" t="inlineStr">
        <is>
          <t>Fatima Kathleen M. FLores</t>
        </is>
      </c>
      <c r="G680" t="inlineStr">
        <is>
          <t>Procurement</t>
        </is>
      </c>
      <c r="H680"/>
      <c r="I680"/>
      <c r="J680" t="inlineStr">
        <is>
          <t>Project</t>
        </is>
      </c>
      <c r="K680" t="inlineStr">
        <is>
          <t>GG - Event Service</t>
        </is>
      </c>
      <c r="L680" t="inlineStr">
        <is>
          <t>KIC 2025 - Group Stage &amp; Knockouts</t>
        </is>
      </c>
      <c r="M680" t="inlineStr">
        <is>
          <t>2025TEG-P0286</t>
        </is>
      </c>
      <c r="N680" t="inlineStr">
        <is>
          <t>Carla Andrea Calma Crespo</t>
        </is>
      </c>
      <c r="O680" t="inlineStr">
        <is>
          <t>202511110079-Carla Andrea Calma Crespo-费用报销 - 副本 - 副本 - 副本-2025-11-11 07:53:22</t>
        </is>
      </c>
      <c r="P680" t="inlineStr">
        <is>
          <t>YES</t>
        </is>
      </c>
      <c r="Q680"/>
      <c r="R680" t="inlineStr">
        <is>
          <t>NO</t>
        </is>
      </c>
      <c r="S680" t="inlineStr">
        <is>
          <t>Outsourced Logistics Assistant - Merch and Client Inventory</t>
        </is>
      </c>
      <c r="T680">
        <v>1</v>
      </c>
      <c r="U680">
        <v>30000</v>
      </c>
      <c r="V680" t="inlineStr">
        <is>
          <t>PHP</t>
        </is>
      </c>
      <c r="W680">
        <v>30000</v>
      </c>
      <c r="X680" s="2" t="str">
        <f>=HYPERLINK("https://www.larksuite.com/approval/admin/previewAttachment?key=PMi7DcJAEATQlmZuP7NLMyRYJxyYBMkWwdWORED6soisoGXDm6PBpVAOb7JIY2QZ1liUGqIs1nbMO3XNz76_6jjnFec6n4-5vRmtMSBztwLA299N7t6djp_jGwAA__8", "2 attachment(s)")</f>
        <v>2 attachment(s)</v>
      </c>
      <c r="Y680" t="inlineStr">
        <is>
          <t>Bank Transfer</t>
        </is>
      </c>
      <c r="Z680" t="inlineStr">
        <is>
          <t>Angelica Acerda</t>
        </is>
      </c>
      <c r="AA680" t="inlineStr">
        <is>
          <t>003520226779</t>
        </is>
      </c>
      <c r="AB680" t="inlineStr">
        <is>
          <t>BDO</t>
        </is>
      </c>
      <c r="AC680" t="inlineStr">
        <is>
          <t>BLk 62 Lot 9 KC21 Kaibigan st. Karangalan Village Manggahan Pasig City</t>
        </is>
      </c>
      <c r="AD680" s="4">
        <v>45973</v>
      </c>
      <c r="AE680" t="inlineStr">
        <is>
          <t>1st Payment - Nov. 28, 2025
2nd Payment - Dec. 12, 2025
Final Payment - Jan. 9, 2026</t>
        </is>
      </c>
      <c r="AF680" s="2"/>
      <c r="AG680" t="inlineStr">
        <is>
          <t>NzQyNTk5MTgyNzQ4MTg3MDM0MTpDRkYwOENENS1DQTYzLTRBODEtQUQ3Ny1GRUMxOUFCMzRGMEMtMTo5OGUzMzNjZDQzZGZmNDE2OGY5YjRkYjFjZjk3NGJkYTox</t>
        </is>
      </c>
      <c r="AH680" t="inlineStr">
        <is>
          <t>Angelica Acerda</t>
        </is>
      </c>
      <c r="AI680"/>
      <c r="AJ680" t="inlineStr">
        <is>
          <t>LIQUIDITY PLAN (PAR # 202510290062 / 2025TEG-P0286)
1108 CE KIC GS+KO TAB &gt; OPERATIONS TEAM &gt;
Logistics &gt; Logistics Assistants
Total Budget = Php 50,000.00
Actual Cost = Php 30,000.00
Balance = Php 20,000.00</t>
        </is>
      </c>
      <c r="AK680"/>
    </row>
    <row r="681" ht="25.5" customHeight="1">
      <c r="A681" s="2" t="str">
        <f>=HYPERLINK("https://applink.larksuite.com/client/mini_program/open?appId=cli_9c7cc8a9a9edd105&amp;mode=appCenter&amp;path_pc=pc/pages/requested/index?instanceId=7576251660654087906&amp;source=bitable&amp;path=pages/detail/index?instanceId=7576251660654087906&amp;source=bitable", "202511240123")</f>
        <v>202511240123</v>
      </c>
      <c r="B681" t="inlineStr">
        <is>
          <t>Approved</t>
        </is>
      </c>
      <c r="C681" t="inlineStr">
        <is>
          <t>Procurement Order</t>
        </is>
      </c>
      <c r="D681" s="3">
        <v>45985.80960648148</v>
      </c>
      <c r="E681" s="3">
        <v>45986.63208333333</v>
      </c>
      <c r="F681" t="inlineStr">
        <is>
          <t>Fatima Kathleen M. FLores</t>
        </is>
      </c>
      <c r="G681" t="inlineStr">
        <is>
          <t>Procurement</t>
        </is>
      </c>
      <c r="H681"/>
      <c r="I681"/>
      <c r="J681" t="inlineStr">
        <is>
          <t>Project</t>
        </is>
      </c>
      <c r="K681" t="inlineStr">
        <is>
          <t>GG - Event Service</t>
        </is>
      </c>
      <c r="L681" t="inlineStr">
        <is>
          <t>KIC 2025 - Group Stage &amp; Knockouts</t>
        </is>
      </c>
      <c r="M681" t="inlineStr">
        <is>
          <t>2025TEG-P0286</t>
        </is>
      </c>
      <c r="N681" t="inlineStr">
        <is>
          <t>Carla Andrea Calma Crespo</t>
        </is>
      </c>
      <c r="O681" t="inlineStr">
        <is>
          <t>202511110104-Carla Andrea Calma Crespo-费用报销 - 副本 - 副本 - 副本-2025-11-11 09:11:11</t>
        </is>
      </c>
      <c r="P681" t="inlineStr">
        <is>
          <t>YES</t>
        </is>
      </c>
      <c r="Q681"/>
      <c r="R681" t="inlineStr">
        <is>
          <t>NO</t>
        </is>
      </c>
      <c r="S681" t="inlineStr">
        <is>
          <t>Outsourced IT Support</t>
        </is>
      </c>
      <c r="T681">
        <v>1</v>
      </c>
      <c r="U681">
        <v>36300</v>
      </c>
      <c r="V681" t="inlineStr">
        <is>
          <t>PHP</t>
        </is>
      </c>
      <c r="W681">
        <v>36300</v>
      </c>
      <c r="X681" s="2" t="str">
        <f>=HYPERLINK("https://www.larksuite.com/approval/admin/previewAttachment?key=PMgxqoJBDATgK02yk8zmXeY1Lov-ogiCVjm7YGH75TTkDBtZYJkXrBVKD8tEBjFVyPY2qSDTiF63_U9_7-NY13jcebHVr_Npr6dFyR0a5JgA7O_nQySrkvg6PgEAAP__", "2 attachment(s)")</f>
        <v>2 attachment(s)</v>
      </c>
      <c r="Y681" t="inlineStr">
        <is>
          <t>Bank Transfer</t>
        </is>
      </c>
      <c r="Z681" t="inlineStr">
        <is>
          <t>Wilson Mazaredo</t>
        </is>
      </c>
      <c r="AA681" t="inlineStr">
        <is>
          <t>09662375484</t>
        </is>
      </c>
      <c r="AB681" t="inlineStr">
        <is>
          <t>Gcash</t>
        </is>
      </c>
      <c r="AC681" t="inlineStr">
        <is>
          <t>20 P. Ladia St. Proj 4. Quezon City</t>
        </is>
      </c>
      <c r="AD681" s="4">
        <v>45973</v>
      </c>
      <c r="AE681" t="inlineStr">
        <is>
          <t>1st Payment - Nov. 28, 2025
Final Payment - Dec. 12, 2025</t>
        </is>
      </c>
      <c r="AF681" s="2"/>
      <c r="AG681" t="inlineStr">
        <is>
          <t>NzQyNTk5MTgyNzQ4MTg3MDM0MTpCQ0ExNUM3QS1EODcxLTREMzgtOTlGMi05NDU4QTNEODk3NTQtMTpjMzhiYjQ3OWZhYzAzMWIyZTA0YTIwYjA0YmVkODdlODox</t>
        </is>
      </c>
      <c r="AH681" t="inlineStr">
        <is>
          <t>Wilson Mazaredo</t>
        </is>
      </c>
      <c r="AI681"/>
      <c r="AJ681" t="inlineStr">
        <is>
          <t>LIQUIDITY PLAN (PAR # 202510290062 / 2025TEG-P0286)
1108 CE KIC GS+KO TAB &gt; OPERATIONS TEAM &gt;
Information Tech &gt; IT Support - Ingress GS to Egress PO only
Total Budget = Php 72,600.00
Actual Cost = Php 36,300.00
Balance = Php 36,300.00</t>
        </is>
      </c>
      <c r="AK681"/>
    </row>
    <row r="682" ht="25.5" customHeight="1">
      <c r="A682" s="2" t="str">
        <f>=HYPERLINK("https://applink.larksuite.com/client/mini_program/open?appId=cli_9c7cc8a9a9edd105&amp;mode=appCenter&amp;path_pc=pc/pages/requested/index?instanceId=7576252314470600411&amp;source=bitable&amp;path=pages/detail/index?instanceId=7576252314470600411&amp;source=bitable", "202511240124")</f>
        <v>202511240124</v>
      </c>
      <c r="B682" t="inlineStr">
        <is>
          <t>Approved</t>
        </is>
      </c>
      <c r="C682" t="inlineStr">
        <is>
          <t>Procurement Order</t>
        </is>
      </c>
      <c r="D682" s="3">
        <v>45985.81136574074</v>
      </c>
      <c r="E682" s="3">
        <v>45986.63427083333</v>
      </c>
      <c r="F682" t="inlineStr">
        <is>
          <t>Fatima Kathleen M. FLores</t>
        </is>
      </c>
      <c r="G682" t="inlineStr">
        <is>
          <t>Procurement</t>
        </is>
      </c>
      <c r="H682"/>
      <c r="I682"/>
      <c r="J682" t="inlineStr">
        <is>
          <t>Project</t>
        </is>
      </c>
      <c r="K682" t="inlineStr">
        <is>
          <t>GG - Event Service</t>
        </is>
      </c>
      <c r="L682" t="inlineStr">
        <is>
          <t>KIC 2025 - Group Stage &amp; Knockouts</t>
        </is>
      </c>
      <c r="M682" t="inlineStr">
        <is>
          <t>2025TEG-P0286</t>
        </is>
      </c>
      <c r="N682" t="inlineStr">
        <is>
          <t>Carla Andrea Calma Crespo</t>
        </is>
      </c>
      <c r="O682" t="inlineStr">
        <is>
          <t>202511110104-Carla Andrea Calma Crespo-费用报销 - 副本 - 副本 - 副本-2025-11-11 09:11:11</t>
        </is>
      </c>
      <c r="P682" t="inlineStr">
        <is>
          <t>YES</t>
        </is>
      </c>
      <c r="Q682"/>
      <c r="R682" t="inlineStr">
        <is>
          <t>NO</t>
        </is>
      </c>
      <c r="S682" t="inlineStr">
        <is>
          <t>Outsourced IT Support</t>
        </is>
      </c>
      <c r="T682">
        <v>1</v>
      </c>
      <c r="U682">
        <v>36300</v>
      </c>
      <c r="V682" t="inlineStr">
        <is>
          <t>PHP</t>
        </is>
      </c>
      <c r="W682">
        <v>36300</v>
      </c>
      <c r="X682" s="2" t="str">
        <f>=HYPERLINK("https://www.larksuite.com/approval/admin/previewAttachment?key=PMg9rsJADATgK83Ys_b6XeY1WUUgkQqFn8JnR6Kg_WISMQc9CipagZ0jw4Y5pUQAItuamYVk-uh17P_baVjX9wm-Dt2e_bhs-7pzVJohXfIJgH8_95RUFcLX8QkAAP__", "2 attachment(s)")</f>
        <v>2 attachment(s)</v>
      </c>
      <c r="Y682" t="inlineStr">
        <is>
          <t>Bank Transfer</t>
        </is>
      </c>
      <c r="Z682" t="inlineStr">
        <is>
          <t>Rommel Lopera</t>
        </is>
      </c>
      <c r="AA682" t="inlineStr">
        <is>
          <t>0946-059-5772</t>
        </is>
      </c>
      <c r="AB682" t="inlineStr">
        <is>
          <t>Gcash</t>
        </is>
      </c>
      <c r="AC682" t="inlineStr">
        <is>
          <t>#29 EVERLAST COMPOUND MAMBUGAN ANTIPOLO CITY</t>
        </is>
      </c>
      <c r="AD682" s="4">
        <v>45969</v>
      </c>
      <c r="AE682" t="inlineStr">
        <is>
          <t>1st Payment - Nov. 28, 2025
Final Payment - Dec. 12, 2025</t>
        </is>
      </c>
      <c r="AF682" s="2"/>
      <c r="AG682" t="inlineStr">
        <is>
          <t>NzQyNTk5MTgyNzQ4MTg3MDM0MTpGN0MyRERCRC1BODFELTQ1NzYtQTBFMS03N0VDNEU3RkM5RUEtMTo2YmNiYTg2OWU1NTUzYjBhMGIwMDhiYjM0Nzg0Y2U4Mjox</t>
        </is>
      </c>
      <c r="AH682" t="inlineStr">
        <is>
          <t>Rommel Lopera</t>
        </is>
      </c>
      <c r="AI682"/>
      <c r="AJ682" t="inlineStr">
        <is>
          <t>LIQUIDITY PLAN (PAR # 202510290062 / 2025TEG-P0286)
1108 CE KIC GS+KO TAB &gt; OPERATIONS TEAM &gt;
Information Tech &gt; IT Support - Ingress GS to Egress PO only
Total Remaining Budget = Php 36,300.00
Actual Cost = Php 36,300.00</t>
        </is>
      </c>
      <c r="AK682"/>
    </row>
    <row r="683" ht="25.5" customHeight="1">
      <c r="A683" s="2" t="str">
        <f>=HYPERLINK("https://applink.larksuite.com/client/mini_program/open?appId=cli_9c7cc8a9a9edd105&amp;mode=appCenter&amp;path_pc=pc/pages/requested/index?instanceId=7576256653926862555&amp;source=bitable&amp;path=pages/detail/index?instanceId=7576256653926862555&amp;source=bitable", "202511240126")</f>
        <v>202511240126</v>
      </c>
      <c r="B683" t="inlineStr">
        <is>
          <t>Approved</t>
        </is>
      </c>
      <c r="C683" t="inlineStr">
        <is>
          <t>Procurement Order</t>
        </is>
      </c>
      <c r="D683" s="3">
        <v>45985.823067129626</v>
      </c>
      <c r="E683" s="3">
        <v>45986.68482638889</v>
      </c>
      <c r="F683" t="inlineStr">
        <is>
          <t>Fatima Kathleen M. FLores</t>
        </is>
      </c>
      <c r="G683" t="inlineStr">
        <is>
          <t>Procurement</t>
        </is>
      </c>
      <c r="H683"/>
      <c r="I683"/>
      <c r="J683" t="inlineStr">
        <is>
          <t>Project</t>
        </is>
      </c>
      <c r="K683" t="inlineStr">
        <is>
          <t>GG - Event Service</t>
        </is>
      </c>
      <c r="L683" t="inlineStr">
        <is>
          <t>KIC 2025 - Group Stage &amp; Knockouts</t>
        </is>
      </c>
      <c r="M683" t="inlineStr">
        <is>
          <t>2025TEG-P0286</t>
        </is>
      </c>
      <c r="N683" t="inlineStr">
        <is>
          <t>Carla Andrea Calma Crespo</t>
        </is>
      </c>
      <c r="O683" t="inlineStr">
        <is>
          <t>202511110106-Carla Andrea Calma Crespo-费用报销 - 副本 - 副本 - 副本-2025-11-11 09:14:19</t>
        </is>
      </c>
      <c r="P683" t="inlineStr">
        <is>
          <t>YES</t>
        </is>
      </c>
      <c r="Q683"/>
      <c r="R683" t="inlineStr">
        <is>
          <t>NO</t>
        </is>
      </c>
      <c r="S683" t="inlineStr">
        <is>
          <t>Outsourced IT Network Cable Management Support</t>
        </is>
      </c>
      <c r="T683">
        <v>1</v>
      </c>
      <c r="U683">
        <v>21000</v>
      </c>
      <c r="V683" t="inlineStr">
        <is>
          <t>PHP</t>
        </is>
      </c>
      <c r="W683">
        <v>21000</v>
      </c>
      <c r="X683" s="2" t="str">
        <f>=HYPERLINK("https://www.larksuite.com/approval/admin/previewAttachment?key=PMg9CsJAFATgK837m9nnZWwMQRIUQZBt9uyChe3HYeAoCzayzRu2VKIXWdHOQa-q5cukhkxRa3vs16fNV57TMeM4TqzP_bZvb6uWOxSZMQDY5e-hzOxm4uf4BgAA__8", "2 attachment(s)")</f>
        <v>2 attachment(s)</v>
      </c>
      <c r="Y683" t="inlineStr">
        <is>
          <t>Bank Transfer</t>
        </is>
      </c>
      <c r="Z683" t="inlineStr">
        <is>
          <t>Lawrence Yaco</t>
        </is>
      </c>
      <c r="AA683" t="inlineStr">
        <is>
          <t>09062522647</t>
        </is>
      </c>
      <c r="AB683" t="inlineStr">
        <is>
          <t>Gcash</t>
        </is>
      </c>
      <c r="AC683" t="inlineStr">
        <is>
          <t>B4 L10 J Abad Santos st Liamson Subdivision Guitnang Bayan 1 San Mateo Rizal</t>
        </is>
      </c>
      <c r="AD683" s="4">
        <v>45975</v>
      </c>
      <c r="AE683" t="inlineStr">
        <is>
          <t>1st Payment - Nov. 28, 2025
Final Payment - Dec. 12, 2025</t>
        </is>
      </c>
      <c r="AF683" s="2"/>
      <c r="AG683" t="inlineStr">
        <is>
          <t>NzQyNTk5MTgyNzQ4MTg3MDM0MTo2MkFBNEZGRS1DMDU4LTQwRDEtOUM5OS03RDFEMUI0RTA3QkQtMTpjODQwNjc1NGQ3NTcyMTc1ZDhjNGU4Y2NiYTYxYTQzYjox</t>
        </is>
      </c>
      <c r="AH683" t="inlineStr">
        <is>
          <t>Lawrence Yaco</t>
        </is>
      </c>
      <c r="AI683"/>
      <c r="AJ683" t="inlineStr">
        <is>
          <t>LIQUIDITY PLAN (PAR # 202510290062 / 2025TEG-P0286)
1108 CE KIC GS+KO TAB &gt; OPERATIONS TEAM &gt;
Information Tech &gt; IT Support - Ingress GS, Event  GS and Egress PO only
Total Budget = Php 33,000.00
Actual Cost = Php 21,000.00
Balance = Php 12,000.00</t>
        </is>
      </c>
      <c r="AK683"/>
    </row>
    <row r="684" ht="25.5" customHeight="1">
      <c r="A684" s="2" t="str">
        <f>=HYPERLINK("https://applink.larksuite.com/client/mini_program/open?appId=cli_9c7cc8a9a9edd105&amp;mode=appCenter&amp;path_pc=pc/pages/requested/index?instanceId=7576262522118885087&amp;source=bitable&amp;path=pages/detail/index?instanceId=7576262522118885087&amp;source=bitable", "202511240133")</f>
        <v>202511240133</v>
      </c>
      <c r="B684" t="inlineStr">
        <is>
          <t>Approved</t>
        </is>
      </c>
      <c r="C684" t="inlineStr">
        <is>
          <t>Procurement Order</t>
        </is>
      </c>
      <c r="D684" s="3">
        <v>45985.83887731482</v>
      </c>
      <c r="E684" s="3">
        <v>45986.68543981481</v>
      </c>
      <c r="F684" t="inlineStr">
        <is>
          <t>Fatima Kathleen M. FLores</t>
        </is>
      </c>
      <c r="G684" t="inlineStr">
        <is>
          <t>Procurement</t>
        </is>
      </c>
      <c r="H684"/>
      <c r="I684"/>
      <c r="J684" t="inlineStr">
        <is>
          <t>Project</t>
        </is>
      </c>
      <c r="K684" t="inlineStr">
        <is>
          <t>GG - Event Service</t>
        </is>
      </c>
      <c r="L684" t="inlineStr">
        <is>
          <t>KIC 2025 - Group Stage &amp; Knockouts</t>
        </is>
      </c>
      <c r="M684" t="inlineStr">
        <is>
          <t>2025TEG-P0286</t>
        </is>
      </c>
      <c r="N684" t="inlineStr">
        <is>
          <t>Carla Andrea Calma Crespo</t>
        </is>
      </c>
      <c r="O684" t="inlineStr">
        <is>
          <t>202511110115-Carla Andrea Calma Crespo-费用报销 - 副本 - 副本 - 副本-2025-11-11 10:13:09</t>
        </is>
      </c>
      <c r="P684" t="inlineStr">
        <is>
          <t>YES</t>
        </is>
      </c>
      <c r="Q684"/>
      <c r="R684" t="inlineStr">
        <is>
          <t>NO</t>
        </is>
      </c>
      <c r="S684" t="inlineStr">
        <is>
          <t>Outsourced Technical Assistant (Execution)</t>
        </is>
      </c>
      <c r="T684">
        <v>1</v>
      </c>
      <c r="U684">
        <v>19200</v>
      </c>
      <c r="V684" t="inlineStr">
        <is>
          <t>PHP</t>
        </is>
      </c>
      <c r="W684">
        <v>19200</v>
      </c>
      <c r="X684" s="2" t="str">
        <f>=HYPERLINK("https://www.larksuite.com/approval/admin/previewAttachment?key=PMg9CgIxEAXgK735fTNexsZl0WAgIGiVswsWtl-WICvEsuEt2pDNYGpqqIpUVaC4dQvZoNBiH_O8rvFY8zMDMYY9137fb-fxkmiqguZuBUAufze6e3c6fo5vAAAA__8", "2 attachment(s)")</f>
        <v>2 attachment(s)</v>
      </c>
      <c r="Y684" t="inlineStr">
        <is>
          <t>Bank Transfer</t>
        </is>
      </c>
      <c r="Z684" t="inlineStr">
        <is>
          <t>John Mark Ramos</t>
        </is>
      </c>
      <c r="AA684" t="inlineStr">
        <is>
          <t>0000007591426151</t>
        </is>
      </c>
      <c r="AB684" t="inlineStr">
        <is>
          <t>RCBC</t>
        </is>
      </c>
      <c r="AC684" t="inlineStr">
        <is>
          <t>Camella St. Patdu Compound South Green Heights, Putatan Muntinlupa City</t>
        </is>
      </c>
      <c r="AD684" s="4">
        <v>45964</v>
      </c>
      <c r="AE684" t="inlineStr">
        <is>
          <t>1st Payment - Nov. 28, 2025
Final Payment - Dec. 5, 2025</t>
        </is>
      </c>
      <c r="AF684" s="2"/>
      <c r="AG684" t="inlineStr">
        <is>
          <t>NzQyNTk5MTgyNzQ4MTg3MDM0MTpFMzM1Q0U5Ny04OEJELTRFQkMtOTY1RS1ENTcwNUM3NkRDRjUtMTpjNjA4MzdlYTQyNzQwNDViZDk2MTFlOGU3MTEyZTQyNTox</t>
        </is>
      </c>
      <c r="AH684" t="inlineStr">
        <is>
          <t>John Mark Ramos</t>
        </is>
      </c>
      <c r="AI684"/>
      <c r="AJ684" t="inlineStr">
        <is>
          <t>LIQUIDITY PLAN (PAR # 202510290062 / 2025TEG-P0286)
1108 CE KIC GS+KO TAB &gt; BROADCAST TEAM &gt;
Technical Assistant (Execution)
Total Budget = Php 64,800.00
Actual Cost = Php 19,200.00
Balance = Php 45,600.00</t>
        </is>
      </c>
      <c r="AK684"/>
    </row>
    <row r="685" ht="25.5" customHeight="1">
      <c r="A685" s="2" t="str">
        <f>=HYPERLINK("https://applink.larksuite.com/client/mini_program/open?appId=cli_9c7cc8a9a9edd105&amp;mode=appCenter&amp;path_pc=pc/pages/requested/index?instanceId=7576259988369215202&amp;source=bitable&amp;path=pages/detail/index?instanceId=7576259988369215202&amp;source=bitable", "202511240132")</f>
        <v>202511240132</v>
      </c>
      <c r="B685" t="inlineStr">
        <is>
          <t>Approved</t>
        </is>
      </c>
      <c r="C685" t="inlineStr">
        <is>
          <t>Procurement Order</t>
        </is>
      </c>
      <c r="D685" s="3">
        <v>45985.83204861111</v>
      </c>
      <c r="E685" s="3">
        <v>45986.68697916667</v>
      </c>
      <c r="F685" t="inlineStr">
        <is>
          <t>Fatima Kathleen M. FLores</t>
        </is>
      </c>
      <c r="G685" t="inlineStr">
        <is>
          <t>Procurement</t>
        </is>
      </c>
      <c r="H685"/>
      <c r="I685"/>
      <c r="J685" t="inlineStr">
        <is>
          <t>Project</t>
        </is>
      </c>
      <c r="K685" t="inlineStr">
        <is>
          <t>GG - Event Service</t>
        </is>
      </c>
      <c r="L685" t="inlineStr">
        <is>
          <t>KIC 2025 - Group Stage &amp; Knockouts</t>
        </is>
      </c>
      <c r="M685" t="inlineStr">
        <is>
          <t>2025TEG-P0286</t>
        </is>
      </c>
      <c r="N685" t="inlineStr">
        <is>
          <t>Carla Andrea Calma Crespo</t>
        </is>
      </c>
      <c r="O685" t="inlineStr">
        <is>
          <t>202511110111-Carla Andrea Calma Crespo-费用报销 - 副本 - 副本 - 副本-2025-11-11 09:55:27</t>
        </is>
      </c>
      <c r="P685" t="inlineStr">
        <is>
          <t>YES</t>
        </is>
      </c>
      <c r="Q685"/>
      <c r="R685" t="inlineStr">
        <is>
          <t>NO</t>
        </is>
      </c>
      <c r="S685" t="inlineStr">
        <is>
          <t>Outsourced IT Network Cable Management Support</t>
        </is>
      </c>
      <c r="T685">
        <v>1</v>
      </c>
      <c r="U685">
        <v>1500</v>
      </c>
      <c r="V685" t="inlineStr">
        <is>
          <t>PHP</t>
        </is>
      </c>
      <c r="W685">
        <v>1500</v>
      </c>
      <c r="X685" s="2" t="str">
        <f>=HYPERLINK("https://www.larksuite.com/approval/admin/previewAttachment?key=PMg7CsJAGATgK838zx0vY2NYRE0lKCn27IJF2q8GUSPpJYRoAldnl6U0hpeMabBli91Csz3Xts8r_Is8dgafx2s-1ud-m9ubqTZDe4QPALyc7h0RUgX-jl8AAAD__w", "2 attachment(s)")</f>
        <v>2 attachment(s)</v>
      </c>
      <c r="Y685" t="inlineStr">
        <is>
          <t>Bank Transfer</t>
        </is>
      </c>
      <c r="Z685" t="inlineStr">
        <is>
          <t>Jay Laurence Francisco</t>
        </is>
      </c>
      <c r="AA685" t="inlineStr">
        <is>
          <t>09275444740</t>
        </is>
      </c>
      <c r="AB685" t="inlineStr">
        <is>
          <t>GCash</t>
        </is>
      </c>
      <c r="AC685" t="inlineStr">
        <is>
          <t>45 Zamora Compound Banaba San Mateo Rizal</t>
        </is>
      </c>
      <c r="AD685" s="4">
        <v>45984</v>
      </c>
      <c r="AE685" t="inlineStr">
        <is>
          <t>100% Full Payment - Dec. 5, 2025</t>
        </is>
      </c>
      <c r="AF685" s="2"/>
      <c r="AG685" t="inlineStr">
        <is>
          <t>NzQyNTk5MTgyNzQ4MTg3MDM0MTo4NEI0NzlDQi1BQjdBLTRGMjMtOUE0NC01RjNCMTNERjNGOTgtMTpkOGQyMGEyZjU3MzlhMmNkNDM3OTY0OTQ4NTViY2UxMDox</t>
        </is>
      </c>
      <c r="AH685" t="inlineStr">
        <is>
          <t>Jay Laurence Francisco</t>
        </is>
      </c>
      <c r="AI685"/>
      <c r="AJ685" t="inlineStr">
        <is>
          <t>LIQUIDITY PLAN (PAR # 202510290062 / 2025TEG-P0286)
1108 CE KIC GS+KO TAB &gt; OPERATIONS TEAM &gt;
Information Tech &gt; IT Support - Ingress GS only
Total Budget = Php 1,650.00
Actual Cost = Php 1,500.00
Balance = Php 150.00</t>
        </is>
      </c>
      <c r="AK685"/>
    </row>
    <row r="686" ht="25.5" customHeight="1">
      <c r="A686" s="2" t="str">
        <f>=HYPERLINK("https://applink.larksuite.com/client/mini_program/open?appId=cli_9c7cc8a9a9edd105&amp;mode=appCenter&amp;path_pc=pc/pages/requested/index?instanceId=7553235044597235751&amp;source=bitable&amp;path=pages/detail/index?instanceId=7553235044597235751&amp;source=bitable", "202509230109")</f>
        <v>202509230109</v>
      </c>
      <c r="B686" t="inlineStr">
        <is>
          <t>Approved</t>
        </is>
      </c>
      <c r="C686" t="inlineStr">
        <is>
          <t>Procurement Order</t>
        </is>
      </c>
      <c r="D686" s="3">
        <v>45923.78445601852</v>
      </c>
      <c r="E686" s="3">
        <v>45923.87099537037</v>
      </c>
      <c r="F686" t="inlineStr">
        <is>
          <t>Fatima Kathleen M. FLores</t>
        </is>
      </c>
      <c r="G686" t="inlineStr">
        <is>
          <t>Procurement</t>
        </is>
      </c>
      <c r="H686"/>
      <c r="I686"/>
      <c r="J686" t="inlineStr">
        <is>
          <t>Project</t>
        </is>
      </c>
      <c r="K686" t="inlineStr">
        <is>
          <t>PDEI - Game Marketing</t>
        </is>
      </c>
      <c r="L686" t="inlineStr">
        <is>
          <t>WCG 2025 Creator Rumble</t>
        </is>
      </c>
      <c r="M686" t="inlineStr">
        <is>
          <t>2025TEG-P0041</t>
        </is>
      </c>
      <c r="N686" t="inlineStr">
        <is>
          <t>Maura Aurel Atilano Yap</t>
        </is>
      </c>
      <c r="O686" t="inlineStr">
        <is>
          <t>202509080119-Maura Aurel Atilano Yap-费用报销 - 副本 - 副本 - 副本-2025-09-08 10:53:19</t>
        </is>
      </c>
      <c r="P686" t="inlineStr">
        <is>
          <t>YES</t>
        </is>
      </c>
      <c r="Q686"/>
      <c r="R686" t="inlineStr">
        <is>
          <t>NO</t>
        </is>
      </c>
      <c r="S686" t="inlineStr">
        <is>
          <t>Outsourced KOL (Amara TV)</t>
        </is>
      </c>
      <c r="T686">
        <v>1</v>
      </c>
      <c r="U686">
        <v>165000</v>
      </c>
      <c r="V686" t="inlineStr">
        <is>
          <t>PHP</t>
        </is>
      </c>
      <c r="W686">
        <v>165000</v>
      </c>
      <c r="X686" s="2" t="str">
        <f>=HYPERLINK("https://www.larksuite.com/approval/admin/previewAttachment?key=PMtBCsJQDATQK80kk58fL-OmpSjSIgjqJmcXXbh98MYkxgz6KKhoBXZGuHlAikrzyGBbM7OQTFav-3b2_bi-dD_emovdjn5elm198DsM6ZJPADz93VNS1RB-jk8AAAD__w", "2 attachment(s)")</f>
        <v>2 attachment(s)</v>
      </c>
      <c r="Y686" t="inlineStr">
        <is>
          <t>Bank Transfer</t>
        </is>
      </c>
      <c r="Z686" t="inlineStr">
        <is>
          <t>Amara Bianca Ui</t>
        </is>
      </c>
      <c r="AA686" t="inlineStr">
        <is>
          <t>0016796839</t>
        </is>
      </c>
      <c r="AB686" t="inlineStr">
        <is>
          <t>BPI</t>
        </is>
      </c>
      <c r="AC686" t="inlineStr">
        <is>
          <t>The Xavierville Royale Condominium, 61 Xavierville Avenue, Quezon City</t>
        </is>
      </c>
      <c r="AD686" s="4">
        <v>45908</v>
      </c>
      <c r="AE686" t="inlineStr">
        <is>
          <t>1st Payment - Sept. 26, 2025
2nd Payment - Oct. 17, 2025
3rd Payment - Nov. 7, 2025
Final Payment - Nov. 28, 2025</t>
        </is>
      </c>
      <c r="AF686" s="2"/>
      <c r="AG686" t="inlineStr">
        <is>
          <t>NzQyNTk5MTgyNzQ4MTg3MDM0MTo2MzkxOURGMS03MzY4LTRFOTctQTI5My1CQjQ5NDExNTk5MTEtMTpkY2JkYmZhOGFkY2E2MDUyM2FiYzg4NjI0OTBlNWExYzox</t>
        </is>
      </c>
      <c r="AH686" t="inlineStr">
        <is>
          <t>Amara Bianca Ui</t>
        </is>
      </c>
      <c r="AI686"/>
      <c r="AJ686"/>
      <c r="AK686"/>
    </row>
    <row r="687" ht="25.5" customHeight="1">
      <c r="A687" s="2" t="str">
        <f>=HYPERLINK("https://applink.larksuite.com/client/mini_program/open?appId=cli_9c7cc8a9a9edd105&amp;mode=appCenter&amp;path_pc=pc/pages/requested/index?instanceId=7553233851892400167&amp;source=bitable&amp;path=pages/detail/index?instanceId=7553233851892400167&amp;source=bitable", "202509230107")</f>
        <v>202509230107</v>
      </c>
      <c r="B687" t="inlineStr">
        <is>
          <t>Approved</t>
        </is>
      </c>
      <c r="C687" t="inlineStr">
        <is>
          <t>Procurement Order</t>
        </is>
      </c>
      <c r="D687" s="3">
        <v>45923.78123842592</v>
      </c>
      <c r="E687" s="3">
        <v>45923.87018518519</v>
      </c>
      <c r="F687" t="inlineStr">
        <is>
          <t>Fatima Kathleen M. FLores</t>
        </is>
      </c>
      <c r="G687" t="inlineStr">
        <is>
          <t>Procurement</t>
        </is>
      </c>
      <c r="H687"/>
      <c r="I687"/>
      <c r="J687" t="inlineStr">
        <is>
          <t>Project</t>
        </is>
      </c>
      <c r="K687" t="inlineStr">
        <is>
          <t>PDEI - Game Marketing</t>
        </is>
      </c>
      <c r="L687" t="inlineStr">
        <is>
          <t>WCG 2025 Creator Rumble</t>
        </is>
      </c>
      <c r="M687" t="inlineStr">
        <is>
          <t>2025TEG-P0041</t>
        </is>
      </c>
      <c r="N687" t="inlineStr">
        <is>
          <t>Maura Aurel Atilano Yap</t>
        </is>
      </c>
      <c r="O687" t="inlineStr">
        <is>
          <t>202509080119-Maura Aurel Atilano Yap-费用报销 - 副本 - 副本 - 副本-2025-09-08 10:53:19</t>
        </is>
      </c>
      <c r="P687" t="inlineStr">
        <is>
          <t>YES</t>
        </is>
      </c>
      <c r="Q687"/>
      <c r="R687" t="inlineStr">
        <is>
          <t>NO</t>
        </is>
      </c>
      <c r="S687" t="inlineStr">
        <is>
          <t>Outsourced KOL (PaylStation)</t>
        </is>
      </c>
      <c r="T687">
        <v>1</v>
      </c>
      <c r="U687">
        <v>165000</v>
      </c>
      <c r="V687" t="inlineStr">
        <is>
          <t>PHP</t>
        </is>
      </c>
      <c r="W687">
        <v>165000</v>
      </c>
      <c r="X687" s="2" t="str">
        <f>=HYPERLINK("https://www.larksuite.com/approval/admin/previewAttachment?key=PMg9CgIxFATgK828n7yMl7ExBBHWRohskbMLFtt-rROtJ70JIZrAXZlu7j3ZZQGw1bbNKqFY1B7HvL-OkWfaPJf0Xe-9no85PkyVGcojvAPg7XKviJBa4O_4BQAA__8", "2 attachment(s)")</f>
        <v>2 attachment(s)</v>
      </c>
      <c r="Y687" t="inlineStr">
        <is>
          <t>Bank Transfer</t>
        </is>
      </c>
      <c r="Z687" t="inlineStr">
        <is>
          <t>Aeriel Feihl A. Canlas</t>
        </is>
      </c>
      <c r="AA687" t="inlineStr">
        <is>
          <t>6126507818</t>
        </is>
      </c>
      <c r="AB687" t="inlineStr">
        <is>
          <t>BPI</t>
        </is>
      </c>
      <c r="AC687" t="inlineStr">
        <is>
          <t>House #9, B6 L9, Scotland St. Birmingham Alberto, Bankers Village, Guitnang Bayan I, San Mateo, Rizal</t>
        </is>
      </c>
      <c r="AD687" s="4">
        <v>45908</v>
      </c>
      <c r="AE687" t="inlineStr">
        <is>
          <t>1st Payment - Sept. 26, 2025
2nd Payment - Oct. 17, 2025
3rd Payment - Nov. 7, 2025
Final Payment - Nov. 28, 2025</t>
        </is>
      </c>
      <c r="AF687" s="2"/>
      <c r="AG687" t="inlineStr">
        <is>
          <t>NzQyNTk5MTgyNzQ4MTg3MDM0MTpDQ0Y0MjEwMC0zOTEzLTQzRDYtQTRGQy1CMzRGNjlCMTZBMEYtMTo2YTBiNTYxMzQ4ODU2NjVlNmExMjBiN2M2MTY4YTYyMDox</t>
        </is>
      </c>
      <c r="AH687" t="inlineStr">
        <is>
          <t>Aeriel Feihl A. Canlas</t>
        </is>
      </c>
      <c r="AI687"/>
      <c r="AJ687"/>
      <c r="AK687"/>
    </row>
    <row r="688" ht="25.5" customHeight="1">
      <c r="A688" s="2" t="str">
        <f>=HYPERLINK("https://applink.larksuite.com/client/mini_program/open?appId=cli_9c7cc8a9a9edd105&amp;mode=appCenter&amp;path_pc=pc/pages/requested/index?instanceId=7553228165594791975&amp;source=bitable&amp;path=pages/detail/index?instanceId=7553228165594791975&amp;source=bitable", "202509230101")</f>
        <v>202509230101</v>
      </c>
      <c r="B688" t="inlineStr">
        <is>
          <t>Approved</t>
        </is>
      </c>
      <c r="C688" t="inlineStr">
        <is>
          <t>Procurement Order</t>
        </is>
      </c>
      <c r="D688" s="3">
        <v>45923.765914351854</v>
      </c>
      <c r="E688" s="3">
        <v>45923.914988425924</v>
      </c>
      <c r="F688" t="inlineStr">
        <is>
          <t>Fatima Kathleen M. FLores</t>
        </is>
      </c>
      <c r="G688" t="inlineStr">
        <is>
          <t>Procurement</t>
        </is>
      </c>
      <c r="H688"/>
      <c r="I688"/>
      <c r="J688" t="inlineStr">
        <is>
          <t>Project</t>
        </is>
      </c>
      <c r="K688" t="inlineStr">
        <is>
          <t>PDEI - Event Service</t>
        </is>
      </c>
      <c r="L688" t="inlineStr">
        <is>
          <t>GTCC 2025: September Arena</t>
        </is>
      </c>
      <c r="M688" t="inlineStr">
        <is>
          <t>2025TEG-P0236</t>
        </is>
      </c>
      <c r="N688" t="inlineStr">
        <is>
          <t>Carla Andrea Calma Crespo</t>
        </is>
      </c>
      <c r="O688" t="inlineStr">
        <is>
          <t>202509140019-Carla Andrea Calma Crespo-费用报销 - 副本 - 副本 - 副本-2025-09-14 15:47:16</t>
        </is>
      </c>
      <c r="P688" t="inlineStr">
        <is>
          <t>YES</t>
        </is>
      </c>
      <c r="Q688"/>
      <c r="R688" t="inlineStr">
        <is>
          <t>NO</t>
        </is>
      </c>
      <c r="S688" t="inlineStr">
        <is>
          <t>Outsourced Referee</t>
        </is>
      </c>
      <c r="T688">
        <v>1</v>
      </c>
      <c r="U688">
        <v>3000</v>
      </c>
      <c r="V688" t="inlineStr">
        <is>
          <t>PHP</t>
        </is>
      </c>
      <c r="W688">
        <v>3000</v>
      </c>
      <c r="X688" s="2" t="str">
        <f>=HYPERLINK("https://www.larksuite.com/approval/admin/previewAttachment?key=PMgxqoIxEATgK81sdjOZd5nXGIIgfyUIFnt2wcL2m4uYqzimkWYYbFWNiMVZ5ZRpVUdTMkTRva_z_4j9JrmK1wllv-63s58sKwIamWMB4N_PhzLTnomv4xMAAP__", "2 attachment(s)")</f>
        <v>2 attachment(s)</v>
      </c>
      <c r="Y688" t="inlineStr">
        <is>
          <t>Bank Transfer</t>
        </is>
      </c>
      <c r="Z688" t="inlineStr">
        <is>
          <t>Irene Joy Quizana</t>
        </is>
      </c>
      <c r="AA688" t="inlineStr">
        <is>
          <t>170710060475</t>
        </is>
      </c>
      <c r="AB688" t="inlineStr">
        <is>
          <t>PNB</t>
        </is>
      </c>
      <c r="AC688" t="inlineStr">
        <is>
          <t>Block 5 lot 70 phase 2 Sapphire Street Maryhomes Subdivision, Molino IV, Bacoor, Cavite</t>
        </is>
      </c>
      <c r="AD688" s="4">
        <v>45919</v>
      </c>
      <c r="AE688" t="inlineStr">
        <is>
          <t>100% Full Payment - Oct. 3, 2025</t>
        </is>
      </c>
      <c r="AF688" s="2"/>
      <c r="AG688" t="inlineStr">
        <is>
          <t>NzQyNTk5MTgyNzQ4MTg3MDM0MTo0MEZGODYwQi05OUU5LTRCNDctQkUyOC0yREEyNzAyOEVFM0UtMTozOTBhMzY3MjM5MDk2ZGQ3YjExNjYzMGZiZmM3MGExYjox</t>
        </is>
      </c>
      <c r="AH688" t="inlineStr">
        <is>
          <t>Irene Joy Quizana</t>
        </is>
      </c>
      <c r="AI688"/>
      <c r="AJ688"/>
      <c r="AK688"/>
    </row>
    <row r="689" ht="25.5" customHeight="1">
      <c r="A689" s="2" t="str">
        <f>=HYPERLINK("https://applink.larksuite.com/client/mini_program/open?appId=cli_9c7cc8a9a9edd105&amp;mode=appCenter&amp;path_pc=pc/pages/requested/index?instanceId=7553227277820002343&amp;source=bitable&amp;path=pages/detail/index?instanceId=7553227277820002343&amp;source=bitable", "202509230099")</f>
        <v>202509230099</v>
      </c>
      <c r="B689" t="inlineStr">
        <is>
          <t>Approved</t>
        </is>
      </c>
      <c r="C689" t="inlineStr">
        <is>
          <t>Procurement Order</t>
        </is>
      </c>
      <c r="D689" s="3">
        <v>45923.76351851852</v>
      </c>
      <c r="E689" s="3">
        <v>45923.914722222224</v>
      </c>
      <c r="F689" t="inlineStr">
        <is>
          <t>Fatima Kathleen M. FLores</t>
        </is>
      </c>
      <c r="G689" t="inlineStr">
        <is>
          <t>Procurement</t>
        </is>
      </c>
      <c r="H689"/>
      <c r="I689"/>
      <c r="J689" t="inlineStr">
        <is>
          <t>Project</t>
        </is>
      </c>
      <c r="K689" t="inlineStr">
        <is>
          <t>PDEI - Event Service</t>
        </is>
      </c>
      <c r="L689" t="inlineStr">
        <is>
          <t>GTCC 2025: September Arena</t>
        </is>
      </c>
      <c r="M689" t="inlineStr">
        <is>
          <t>2025TEG-P0236</t>
        </is>
      </c>
      <c r="N689" t="inlineStr">
        <is>
          <t>Carla Andrea Calma Crespo</t>
        </is>
      </c>
      <c r="O689" t="inlineStr">
        <is>
          <t>202509140019-Carla Andrea Calma Crespo-费用报销 - 副本 - 副本 - 副本-2025-09-14 15:47:16</t>
        </is>
      </c>
      <c r="P689" t="inlineStr">
        <is>
          <t>YES</t>
        </is>
      </c>
      <c r="Q689"/>
      <c r="R689" t="inlineStr">
        <is>
          <t>NO</t>
        </is>
      </c>
      <c r="S689" t="inlineStr">
        <is>
          <t>Outsourced Referee</t>
        </is>
      </c>
      <c r="T689">
        <v>1</v>
      </c>
      <c r="U689">
        <v>3000</v>
      </c>
      <c r="V689" t="inlineStr">
        <is>
          <t>PHP</t>
        </is>
      </c>
      <c r="W689">
        <v>3000</v>
      </c>
      <c r="X689" s="2" t="str">
        <f>=HYPERLINK("https://www.larksuite.com/approval/admin/previewAttachment?key=PMgxCkIxEATQK83OTjJZL2Pj52NhbATBYs8uWNi-uQJzjchZUAUL0R4jSdNeBMBUNjvsgsNRfezz-hhHSDupeu4P-32_nccrRpmEU8oFIC5_T0uqmsLP8Q0AAP__", "2 attachment(s)")</f>
        <v>2 attachment(s)</v>
      </c>
      <c r="Y689" t="inlineStr">
        <is>
          <t>Bank Transfer</t>
        </is>
      </c>
      <c r="Z689" t="inlineStr">
        <is>
          <t>Nico Suarez</t>
        </is>
      </c>
      <c r="AA689" t="inlineStr">
        <is>
          <t>014508530251</t>
        </is>
      </c>
      <c r="AB689" t="inlineStr">
        <is>
          <t>GoTyme</t>
        </is>
      </c>
      <c r="AC689" t="inlineStr">
        <is>
          <t>Green Valley San Nicolas 3 Bacoor Cavite</t>
        </is>
      </c>
      <c r="AD689" s="4">
        <v>45919</v>
      </c>
      <c r="AE689" t="inlineStr">
        <is>
          <t>100% Full Payment - Oct. 3, 2025</t>
        </is>
      </c>
      <c r="AF689" s="2"/>
      <c r="AG689" t="inlineStr">
        <is>
          <t>NzQyNTk5MTgyNzQ4MTg3MDM0MTpERkU1M0ZCRS0wNDE2LTQ2RTQtODlBQi0wNTIxREVFNTEyNEEtMToyMDBlN2UyMDA1OGI1MDU0NGRjOGM4NzU4ZDczMzAxMTox</t>
        </is>
      </c>
      <c r="AH689" t="inlineStr">
        <is>
          <t>Nico Suarez</t>
        </is>
      </c>
      <c r="AI689"/>
      <c r="AJ689"/>
      <c r="AK689"/>
    </row>
    <row r="690" ht="25.5" customHeight="1">
      <c r="A690" s="2" t="str">
        <f>=HYPERLINK("https://applink.larksuite.com/client/mini_program/open?appId=cli_9c7cc8a9a9edd105&amp;mode=appCenter&amp;path_pc=pc/pages/requested/index?instanceId=7553226436207706150&amp;source=bitable&amp;path=pages/detail/index?instanceId=7553226436207706150&amp;source=bitable", "202509230098")</f>
        <v>202509230098</v>
      </c>
      <c r="B690" t="inlineStr">
        <is>
          <t>Approved</t>
        </is>
      </c>
      <c r="C690" t="inlineStr">
        <is>
          <t>Procurement Order</t>
        </is>
      </c>
      <c r="D690" s="3">
        <v>45923.76125</v>
      </c>
      <c r="E690" s="3">
        <v>45923.914456018516</v>
      </c>
      <c r="F690" t="inlineStr">
        <is>
          <t>Fatima Kathleen M. FLores</t>
        </is>
      </c>
      <c r="G690" t="inlineStr">
        <is>
          <t>Procurement</t>
        </is>
      </c>
      <c r="H690"/>
      <c r="I690"/>
      <c r="J690" t="inlineStr">
        <is>
          <t>Project</t>
        </is>
      </c>
      <c r="K690" t="inlineStr">
        <is>
          <t>PDEI - Event Service</t>
        </is>
      </c>
      <c r="L690" t="inlineStr">
        <is>
          <t>GTCC 2025: September Arena</t>
        </is>
      </c>
      <c r="M690" t="inlineStr">
        <is>
          <t>2025TEG-P0236</t>
        </is>
      </c>
      <c r="N690" t="inlineStr">
        <is>
          <t>Carla Andrea Calma Crespo</t>
        </is>
      </c>
      <c r="O690" t="inlineStr">
        <is>
          <t>202509140019-Carla Andrea Calma Crespo-费用报销 - 副本 - 副本 - 副本-2025-09-14 15:47:16</t>
        </is>
      </c>
      <c r="P690" t="inlineStr">
        <is>
          <t>YES</t>
        </is>
      </c>
      <c r="Q690"/>
      <c r="R690" t="inlineStr">
        <is>
          <t>NO</t>
        </is>
      </c>
      <c r="S690" t="inlineStr">
        <is>
          <t>Outsourced Referee</t>
        </is>
      </c>
      <c r="T690">
        <v>1</v>
      </c>
      <c r="U690">
        <v>3000</v>
      </c>
      <c r="V690" t="inlineStr">
        <is>
          <t>PHP</t>
        </is>
      </c>
      <c r="W690">
        <v>3000</v>
      </c>
      <c r="X690" s="2" t="str">
        <f>=HYPERLINK("https://www.larksuite.com/approval/admin/previewAttachment?key=PMgxDsJADATAL-3aPu-Zz9AkihAnKkRS-e1IFLSTk8g56FmIohXYGsPNMjwNEpIDbU2pIIrV--u4b5-53M9t-cL1vPp8bMf-5iiZQR7hEwBvf3dFRFUGfo5vAAAA__8", "2 attachment(s)")</f>
        <v>2 attachment(s)</v>
      </c>
      <c r="Y690" t="inlineStr">
        <is>
          <t>Bank Transfer</t>
        </is>
      </c>
      <c r="Z690" t="inlineStr">
        <is>
          <t>Hernando Castro Jr.</t>
        </is>
      </c>
      <c r="AA690" t="inlineStr">
        <is>
          <t>0939 191 7829</t>
        </is>
      </c>
      <c r="AB690" t="inlineStr">
        <is>
          <t>GCash</t>
        </is>
      </c>
      <c r="AC690" t="inlineStr">
        <is>
          <t>Latero Greenvalley San Nicolas 3 Bacoor Cavite</t>
        </is>
      </c>
      <c r="AD690" s="4">
        <v>45919</v>
      </c>
      <c r="AE690" t="inlineStr">
        <is>
          <t>100% Full Payment - Oct. 3, 2025</t>
        </is>
      </c>
      <c r="AF690" s="2"/>
      <c r="AG690" t="inlineStr">
        <is>
          <t>NzQyNTk5MTgyNzQ4MTg3MDM0MTo5MDREOTkxRS1BNjU2LTQwMUItQTc1QS0wNDVDQTRCMEQ1QzAtMTozOTg4OTUyZmVkMjdkYTMzOTdiMzEwMzBhODVjYzQ1Mzox</t>
        </is>
      </c>
      <c r="AH690" t="inlineStr">
        <is>
          <t>Hernando Castro Jr.</t>
        </is>
      </c>
      <c r="AI690"/>
      <c r="AJ690"/>
      <c r="AK690"/>
    </row>
    <row r="691" ht="25.5" customHeight="1">
      <c r="A691" s="2" t="str">
        <f>=HYPERLINK("https://applink.larksuite.com/client/mini_program/open?appId=cli_9c7cc8a9a9edd105&amp;mode=appCenter&amp;path_pc=pc/pages/requested/index?instanceId=7553224841998991398&amp;source=bitable&amp;path=pages/detail/index?instanceId=7553224841998991398&amp;source=bitable", "202509230097")</f>
        <v>202509230097</v>
      </c>
      <c r="B691" t="inlineStr">
        <is>
          <t>Approved</t>
        </is>
      </c>
      <c r="C691" t="inlineStr">
        <is>
          <t>Procurement Order</t>
        </is>
      </c>
      <c r="D691" s="3">
        <v>45923.75695601852</v>
      </c>
      <c r="E691" s="3">
        <v>45923.91417824074</v>
      </c>
      <c r="F691" t="inlineStr">
        <is>
          <t>Fatima Kathleen M. FLores</t>
        </is>
      </c>
      <c r="G691" t="inlineStr">
        <is>
          <t>Procurement</t>
        </is>
      </c>
      <c r="H691"/>
      <c r="I691"/>
      <c r="J691" t="inlineStr">
        <is>
          <t>Project</t>
        </is>
      </c>
      <c r="K691" t="inlineStr">
        <is>
          <t>PDEI - Event Service</t>
        </is>
      </c>
      <c r="L691" t="inlineStr">
        <is>
          <t>GTCC 2025: September Arena</t>
        </is>
      </c>
      <c r="M691" t="inlineStr">
        <is>
          <t>2025TEG-P0236</t>
        </is>
      </c>
      <c r="N691" t="inlineStr">
        <is>
          <t>Carla Andrea Calma Crespo</t>
        </is>
      </c>
      <c r="O691" t="inlineStr">
        <is>
          <t>202509140019-Carla Andrea Calma Crespo-费用报销 - 副本 - 副本 - 副本-2025-09-14 15:47:16</t>
        </is>
      </c>
      <c r="P691" t="inlineStr">
        <is>
          <t>YES</t>
        </is>
      </c>
      <c r="Q691"/>
      <c r="R691" t="inlineStr">
        <is>
          <t>NO</t>
        </is>
      </c>
      <c r="S691" t="inlineStr">
        <is>
          <t>Outsourced Referee</t>
        </is>
      </c>
      <c r="T691">
        <v>1</v>
      </c>
      <c r="U691">
        <v>4500</v>
      </c>
      <c r="V691" t="inlineStr">
        <is>
          <t>PHP</t>
        </is>
      </c>
      <c r="W691">
        <v>4500</v>
      </c>
      <c r="X691" s="2" t="str">
        <f>=HYPERLINK("https://www.larksuite.com/approval/admin/previewAttachment?key=PMgxCkJBDATQK80k2U3Gy9i4LPJVEAS7nF2w-O2bRcwa9CmEaAI7x3CzqKBUEl3V1swUkkn1eu3rcyzGsd-QHoev_t5ve304lGZIj_ACwMvpnhEhzcDf8QsAAP__", "2 attachment(s)")</f>
        <v>2 attachment(s)</v>
      </c>
      <c r="Y691" t="inlineStr">
        <is>
          <t>Bank Transfer</t>
        </is>
      </c>
      <c r="Z691" t="inlineStr">
        <is>
          <t>Jimmy Montero Zapata Jr.</t>
        </is>
      </c>
      <c r="AA691" t="inlineStr">
        <is>
          <t>8419297101</t>
        </is>
      </c>
      <c r="AB691" t="inlineStr">
        <is>
          <t>BPI</t>
        </is>
      </c>
      <c r="AC691" t="inlineStr">
        <is>
          <t>278E Sta,Teresita St, Sampaloc Manila</t>
        </is>
      </c>
      <c r="AD691" s="4">
        <v>45919</v>
      </c>
      <c r="AE691" t="inlineStr">
        <is>
          <t>100% Full Payment - Oct. 3, 2025</t>
        </is>
      </c>
      <c r="AF691" s="2"/>
      <c r="AG691" t="inlineStr">
        <is>
          <t>NzQyNTk5MTgyNzQ4MTg3MDM0MTo3MjEyRTE0MS1FRDRCLTREQkUtQUJDMC00MTY2MEEzRkE4QzAtMTo5ZGFhMGY2MjU0ZWIwZjA2OGZjNjQzOGNmYjI0ZWQxNTox</t>
        </is>
      </c>
      <c r="AH691" t="inlineStr">
        <is>
          <t>Jimmy Montero Zapata Jr.</t>
        </is>
      </c>
      <c r="AI691"/>
      <c r="AJ691"/>
      <c r="AK691"/>
    </row>
    <row r="692" ht="25.5" customHeight="1">
      <c r="A692" s="2" t="str">
        <f>=HYPERLINK("https://applink.larksuite.com/client/mini_program/open?appId=cli_9c7cc8a9a9edd105&amp;mode=appCenter&amp;path_pc=pc/pages/requested/index?instanceId=7553223467026366495&amp;source=bitable&amp;path=pages/detail/index?instanceId=7553223467026366495&amp;source=bitable", "202509230093")</f>
        <v>202509230093</v>
      </c>
      <c r="B692" t="inlineStr">
        <is>
          <t>Approved</t>
        </is>
      </c>
      <c r="C692" t="inlineStr">
        <is>
          <t>Procurement Order</t>
        </is>
      </c>
      <c r="D692" s="3">
        <v>45923.75325231482</v>
      </c>
      <c r="E692" s="3">
        <v>45923.91384259259</v>
      </c>
      <c r="F692" t="inlineStr">
        <is>
          <t>Fatima Kathleen M. FLores</t>
        </is>
      </c>
      <c r="G692" t="inlineStr">
        <is>
          <t>Procurement</t>
        </is>
      </c>
      <c r="H692"/>
      <c r="I692"/>
      <c r="J692" t="inlineStr">
        <is>
          <t>Project</t>
        </is>
      </c>
      <c r="K692" t="inlineStr">
        <is>
          <t>PDEI - Event Service</t>
        </is>
      </c>
      <c r="L692" t="inlineStr">
        <is>
          <t>GTCC 2025: September Arena</t>
        </is>
      </c>
      <c r="M692" t="inlineStr">
        <is>
          <t>2025TEG-P0236</t>
        </is>
      </c>
      <c r="N692" t="inlineStr">
        <is>
          <t>Carla Andrea Calma Crespo</t>
        </is>
      </c>
      <c r="O692" t="inlineStr">
        <is>
          <t>202509140019-Carla Andrea Calma Crespo-费用报销 - 副本 - 副本 - 副本-2025-09-14 15:47:16</t>
        </is>
      </c>
      <c r="P692" t="inlineStr">
        <is>
          <t>YES</t>
        </is>
      </c>
      <c r="Q692"/>
      <c r="R692" t="inlineStr">
        <is>
          <t>NO</t>
        </is>
      </c>
      <c r="S692" t="inlineStr">
        <is>
          <t>Outsourced Referee</t>
        </is>
      </c>
      <c r="T692">
        <v>1</v>
      </c>
      <c r="U692">
        <v>3000</v>
      </c>
      <c r="V692" t="inlineStr">
        <is>
          <t>PHP</t>
        </is>
      </c>
      <c r="W692">
        <v>3000</v>
      </c>
      <c r="X692" s="2" t="str">
        <f>=HYPERLINK("https://www.larksuite.com/approval/admin/previewAttachment?key=PMg9CgIxEAXgK703vxkvY7MhaLEgiEGLObtgYfvFIGI4NQpWlAI73VVELRISGmHlLc3MQjJZPc91fX2Wzjsf534Dh_e-HWs-6ZUiSDXTAYCXv2uaWVUYfo5vAAAA__8", "2 attachment(s)")</f>
        <v>2 attachment(s)</v>
      </c>
      <c r="Y692" t="inlineStr">
        <is>
          <t>Bank Transfer</t>
        </is>
      </c>
      <c r="Z692" t="inlineStr">
        <is>
          <t>Paula Rivas Bacaoco</t>
        </is>
      </c>
      <c r="AA692" t="inlineStr">
        <is>
          <t>09214463305</t>
        </is>
      </c>
      <c r="AB692" t="inlineStr">
        <is>
          <t>Gcash</t>
        </is>
      </c>
      <c r="AC692" t="inlineStr">
        <is>
          <t>Greenvalley Molino 2 Bacoor City, Cavite</t>
        </is>
      </c>
      <c r="AD692" s="4">
        <v>45919</v>
      </c>
      <c r="AE692" t="inlineStr">
        <is>
          <t>100% Full Payment - Oct. 3, 2025</t>
        </is>
      </c>
      <c r="AF692" s="2"/>
      <c r="AG692" t="inlineStr">
        <is>
          <t>NzQyNTk5MTgyNzQ4MTg3MDM0MTo2Q0JDRDU0Qi1CMzdELTRDOUEtQUFCMi1BMTI0NTY5NzNFQkUtMTo5YTBkOTdiNzI4N2RiOGNmYTU0NGRlMjRlYzU0ZTdlMzox</t>
        </is>
      </c>
      <c r="AH692" t="inlineStr">
        <is>
          <t>Paula Rivas Bacaoco</t>
        </is>
      </c>
      <c r="AI692"/>
      <c r="AJ692"/>
      <c r="AK692"/>
    </row>
    <row r="693" ht="25.5" customHeight="1">
      <c r="A693" s="2" t="str">
        <f>=HYPERLINK("https://applink.larksuite.com/client/mini_program/open?appId=cli_9c7cc8a9a9edd105&amp;mode=appCenter&amp;path_pc=pc/pages/requested/index?instanceId=7553222480274456614&amp;source=bitable&amp;path=pages/detail/index?instanceId=7553222480274456614&amp;source=bitable", "202509230092")</f>
        <v>202509230092</v>
      </c>
      <c r="B693" t="inlineStr">
        <is>
          <t>Approved</t>
        </is>
      </c>
      <c r="C693" t="inlineStr">
        <is>
          <t>Procurement Order</t>
        </is>
      </c>
      <c r="D693" s="3">
        <v>45923.750601851854</v>
      </c>
      <c r="E693" s="3">
        <v>45923.91311342592</v>
      </c>
      <c r="F693" t="inlineStr">
        <is>
          <t>Fatima Kathleen M. FLores</t>
        </is>
      </c>
      <c r="G693" t="inlineStr">
        <is>
          <t>Procurement</t>
        </is>
      </c>
      <c r="H693"/>
      <c r="I693"/>
      <c r="J693" t="inlineStr">
        <is>
          <t>Project</t>
        </is>
      </c>
      <c r="K693" t="inlineStr">
        <is>
          <t>PDEI - Event Service</t>
        </is>
      </c>
      <c r="L693" t="inlineStr">
        <is>
          <t>GTCC 2025: September Arena</t>
        </is>
      </c>
      <c r="M693" t="inlineStr">
        <is>
          <t>2025TEG-P0236</t>
        </is>
      </c>
      <c r="N693" t="inlineStr">
        <is>
          <t>Carla Andrea Calma Crespo</t>
        </is>
      </c>
      <c r="O693" t="inlineStr">
        <is>
          <t>202509140019-Carla Andrea Calma Crespo-费用报销 - 副本 - 副本 - 副本-2025-09-14 15:47:16</t>
        </is>
      </c>
      <c r="P693" t="inlineStr">
        <is>
          <t>YES</t>
        </is>
      </c>
      <c r="Q693"/>
      <c r="R693" t="inlineStr">
        <is>
          <t>NO</t>
        </is>
      </c>
      <c r="S693" t="inlineStr">
        <is>
          <t>Outsourced Referee</t>
        </is>
      </c>
      <c r="T693">
        <v>1</v>
      </c>
      <c r="U693">
        <v>4500</v>
      </c>
      <c r="V693" t="inlineStr">
        <is>
          <t>PHP</t>
        </is>
      </c>
      <c r="W693">
        <v>4500</v>
      </c>
      <c r="X693" s="2" t="str">
        <f>=HYPERLINK("https://www.larksuite.com/approval/admin/previewAttachment?key=PMgxCkJBDATQK02SSWbjZWxcPoJ-G3G7PbtgYftqGGqkRTXY5g3bygx354CLzCrj9m1SQybrPc_jOmM8ZvrC56nzlXvdb8d8W7bcoSBjALDL30Mku4v4Ob4BAAD__w", "2 attachment(s)")</f>
        <v>2 attachment(s)</v>
      </c>
      <c r="Y693" t="inlineStr">
        <is>
          <t>Bank Transfer</t>
        </is>
      </c>
      <c r="Z693" t="inlineStr">
        <is>
          <t>Yves Pinangang Enriquez</t>
        </is>
      </c>
      <c r="AA693" t="inlineStr">
        <is>
          <t>017943173225</t>
        </is>
      </c>
      <c r="AB693" t="inlineStr">
        <is>
          <t>GoTyme Bank</t>
        </is>
      </c>
      <c r="AC693" t="inlineStr">
        <is>
          <t>13 Pangasinan Street, Brgy. Alicia, Quezon City</t>
        </is>
      </c>
      <c r="AD693" s="4">
        <v>45919</v>
      </c>
      <c r="AE693" t="inlineStr">
        <is>
          <t>100% Full Payment - Oct. 3, 2025</t>
        </is>
      </c>
      <c r="AF693" s="2"/>
      <c r="AG693" t="inlineStr">
        <is>
          <t>NzQyNTk5MTgyNzQ4MTg3MDM0MTpGOTIwRDIwMy03RkUzLTQ1MDItOEI1MC1BODMyMjRGREUzNjItMTplZmRkNTBkNDRhODk3ZWU4ZDk3NmQ0NTYxMGE0OTE1Mzox</t>
        </is>
      </c>
      <c r="AH693" t="inlineStr">
        <is>
          <t>Yves Pinangang Enriquez</t>
        </is>
      </c>
      <c r="AI693"/>
      <c r="AJ693"/>
      <c r="AK693"/>
    </row>
    <row r="694" ht="25.5" customHeight="1">
      <c r="A694" s="2" t="str">
        <f>=HYPERLINK("https://applink.larksuite.com/client/mini_program/open?appId=cli_9c7cc8a9a9edd105&amp;mode=appCenter&amp;path_pc=pc/pages/requested/index?instanceId=7553221000792375334&amp;source=bitable&amp;path=pages/detail/index?instanceId=7553221000792375334&amp;source=bitable", "202509230090")</f>
        <v>202509230090</v>
      </c>
      <c r="B694" t="inlineStr">
        <is>
          <t>Approved</t>
        </is>
      </c>
      <c r="C694" t="inlineStr">
        <is>
          <t>Procurement Order</t>
        </is>
      </c>
      <c r="D694" s="3">
        <v>45923.7466087963</v>
      </c>
      <c r="E694" s="3">
        <v>45923.912777777776</v>
      </c>
      <c r="F694" t="inlineStr">
        <is>
          <t>Fatima Kathleen M. FLores</t>
        </is>
      </c>
      <c r="G694" t="inlineStr">
        <is>
          <t>Procurement</t>
        </is>
      </c>
      <c r="H694"/>
      <c r="I694"/>
      <c r="J694" t="inlineStr">
        <is>
          <t>Project</t>
        </is>
      </c>
      <c r="K694" t="inlineStr">
        <is>
          <t>PDEI - Event Service</t>
        </is>
      </c>
      <c r="L694" t="inlineStr">
        <is>
          <t>GTCC 2025: September Arena</t>
        </is>
      </c>
      <c r="M694" t="inlineStr">
        <is>
          <t>2025TEG-P0236</t>
        </is>
      </c>
      <c r="N694" t="inlineStr">
        <is>
          <t>Carla Andrea Calma Crespo</t>
        </is>
      </c>
      <c r="O694" t="inlineStr">
        <is>
          <t>202509140019-Carla Andrea Calma Crespo-费用报销 - 副本 - 副本 - 副本-2025-09-14 15:47:16</t>
        </is>
      </c>
      <c r="P694" t="inlineStr">
        <is>
          <t>YES</t>
        </is>
      </c>
      <c r="Q694"/>
      <c r="R694" t="inlineStr">
        <is>
          <t>NO</t>
        </is>
      </c>
      <c r="S694" t="inlineStr">
        <is>
          <t>Outsourced Referee</t>
        </is>
      </c>
      <c r="T694">
        <v>1</v>
      </c>
      <c r="U694">
        <v>3000</v>
      </c>
      <c r="V694" t="inlineStr">
        <is>
          <t>PHP</t>
        </is>
      </c>
      <c r="W694">
        <v>3000</v>
      </c>
      <c r="X694" s="2" t="str">
        <f>=HYPERLINK("https://www.larksuite.com/approval/admin/previewAttachment?key=PMg9CsJQEATgK83sz5usl7ExBEUDD4SYZs8uWNh-YyHGkvRRiKIV2Mp0MwJQmSvdo60pFUSxet23Kzwe52fOcx7Pub_6uN-29c0smUEe4QsAXv7uioiqEfg5vgEAAP__", "2 attachment(s)")</f>
        <v>2 attachment(s)</v>
      </c>
      <c r="Y694" t="inlineStr">
        <is>
          <t>Bank Transfer</t>
        </is>
      </c>
      <c r="Z694" t="inlineStr">
        <is>
          <t>John Kenneth Ordaz</t>
        </is>
      </c>
      <c r="AA694" t="inlineStr">
        <is>
          <t>09197853141</t>
        </is>
      </c>
      <c r="AB694" t="inlineStr">
        <is>
          <t>Gcash</t>
        </is>
      </c>
      <c r="AC694" t="inlineStr">
        <is>
          <t>Celina Plains Imus Malagasang 1-G Imus Cavite</t>
        </is>
      </c>
      <c r="AD694" s="4">
        <v>45919</v>
      </c>
      <c r="AE694" t="inlineStr">
        <is>
          <t>100% Full Payment - Oct. 3, 2025</t>
        </is>
      </c>
      <c r="AF694" s="2"/>
      <c r="AG694" t="inlineStr">
        <is>
          <t>NzQyNTk5MTgyNzQ4MTg3MDM0MTo5NEJFRTlFRi0yN0ZCLTRCQzQtOURGOS03ODU0MkM1MjZEQzktMTpiOTRjYjFhMjE0MmEyMjU2YWU2N2ExN2NlNGVjZmQ2NTox</t>
        </is>
      </c>
      <c r="AH694" t="inlineStr">
        <is>
          <t>John Kenneth Ordaz</t>
        </is>
      </c>
      <c r="AI694"/>
      <c r="AJ694"/>
      <c r="AK694"/>
    </row>
    <row r="695" ht="25.5" customHeight="1">
      <c r="A695" s="2" t="str">
        <f>=HYPERLINK("https://applink.larksuite.com/client/mini_program/open?appId=cli_9c7cc8a9a9edd105&amp;mode=appCenter&amp;path_pc=pc/pages/requested/index?instanceId=7553220119209279519&amp;source=bitable&amp;path=pages/detail/index?instanceId=7553220119209279519&amp;source=bitable", "202509230088")</f>
        <v>202509230088</v>
      </c>
      <c r="B695" t="inlineStr">
        <is>
          <t>Approved</t>
        </is>
      </c>
      <c r="C695" t="inlineStr">
        <is>
          <t>Procurement Order</t>
        </is>
      </c>
      <c r="D695" s="3">
        <v>45923.74423611111</v>
      </c>
      <c r="E695" s="3">
        <v>45923.9125</v>
      </c>
      <c r="F695" t="inlineStr">
        <is>
          <t>Fatima Kathleen M. FLores</t>
        </is>
      </c>
      <c r="G695" t="inlineStr">
        <is>
          <t>Procurement</t>
        </is>
      </c>
      <c r="H695"/>
      <c r="I695"/>
      <c r="J695" t="inlineStr">
        <is>
          <t>Project</t>
        </is>
      </c>
      <c r="K695" t="inlineStr">
        <is>
          <t>PDEI - Event Service</t>
        </is>
      </c>
      <c r="L695" t="inlineStr">
        <is>
          <t>GTCC 2025: September Arena</t>
        </is>
      </c>
      <c r="M695" t="inlineStr">
        <is>
          <t>2025TEG-P0236</t>
        </is>
      </c>
      <c r="N695" t="inlineStr">
        <is>
          <t>Carla Andrea Calma Crespo</t>
        </is>
      </c>
      <c r="O695" t="inlineStr">
        <is>
          <t>202509140019-Carla Andrea Calma Crespo-费用报销 - 副本 - 副本 - 副本-2025-09-14 15:47:16</t>
        </is>
      </c>
      <c r="P695" t="inlineStr">
        <is>
          <t>YES</t>
        </is>
      </c>
      <c r="Q695"/>
      <c r="R695" t="inlineStr">
        <is>
          <t>NO</t>
        </is>
      </c>
      <c r="S695" t="inlineStr">
        <is>
          <t>Outsourced Referee</t>
        </is>
      </c>
      <c r="T695">
        <v>1</v>
      </c>
      <c r="U695">
        <v>3000</v>
      </c>
      <c r="V695" t="inlineStr">
        <is>
          <t>PHP</t>
        </is>
      </c>
      <c r="W695">
        <v>3000</v>
      </c>
      <c r="X695" s="2" t="str">
        <f>=HYPERLINK("https://www.larksuite.com/approval/admin/previewAttachment?key=PMg7CgJBEATQK1XVdE9veRkTh8UPGwkLBn12wcD0zY2YW3JMI0wZ7MocEkgLVjnpVrPKKBbd69ivL60PV_gZhx6n-rzf9vVmuiTUiBgbAF7-Pioi7Bn4Ob4BAAD__w", "2 attachment(s)")</f>
        <v>2 attachment(s)</v>
      </c>
      <c r="Y695" t="inlineStr">
        <is>
          <t>Bank Transfer</t>
        </is>
      </c>
      <c r="Z695" t="inlineStr">
        <is>
          <t>Jean Francois Dominique Galvez</t>
        </is>
      </c>
      <c r="AA695" t="inlineStr">
        <is>
          <t>09157822237</t>
        </is>
      </c>
      <c r="AB695" t="inlineStr">
        <is>
          <t>Gcash</t>
        </is>
      </c>
      <c r="AC695" t="inlineStr">
        <is>
          <t>3b Grace St. Camella Homes, Pilar Village, Las Piñas City</t>
        </is>
      </c>
      <c r="AD695" s="4">
        <v>45919</v>
      </c>
      <c r="AE695" t="inlineStr">
        <is>
          <t>100% Full Payment - Oct. 3, 2025</t>
        </is>
      </c>
      <c r="AF695" s="2"/>
      <c r="AG695" t="inlineStr">
        <is>
          <t>NzQyNTk5MTgyNzQ4MTg3MDM0MTo4OEJBQ0YwMC1FQTk2LTQzOTUtQTFCRS00RTlGNUIxQUFBRjUtMTowYzQwYzJkNTViMWY5ZWM0MTMyNjM4M2JkMGVhNGIxMjox</t>
        </is>
      </c>
      <c r="AH695" t="inlineStr">
        <is>
          <t>Jean Francois Dominique Galvez</t>
        </is>
      </c>
      <c r="AI695"/>
      <c r="AJ695"/>
      <c r="AK695"/>
    </row>
    <row r="696" ht="25.5" customHeight="1">
      <c r="A696" s="2" t="str">
        <f>=HYPERLINK("https://applink.larksuite.com/client/mini_program/open?appId=cli_9c7cc8a9a9edd105&amp;mode=appCenter&amp;path_pc=pc/pages/requested/index?instanceId=7553154142357733414&amp;source=bitable&amp;path=pages/detail/index?instanceId=7553154142357733414&amp;source=bitable", "202509230031")</f>
        <v>202509230031</v>
      </c>
      <c r="B696" t="inlineStr">
        <is>
          <t>Approved</t>
        </is>
      </c>
      <c r="C696" t="inlineStr">
        <is>
          <t>Procurement Order</t>
        </is>
      </c>
      <c r="D696" s="3">
        <v>45923.56643518519</v>
      </c>
      <c r="E696" s="3">
        <v>45925.66092592593</v>
      </c>
      <c r="F696" t="inlineStr">
        <is>
          <t>Fatima Kathleen M. FLores</t>
        </is>
      </c>
      <c r="G696" t="inlineStr">
        <is>
          <t>Procurement</t>
        </is>
      </c>
      <c r="H696"/>
      <c r="I696"/>
      <c r="J696" t="inlineStr">
        <is>
          <t>Project</t>
        </is>
      </c>
      <c r="K696" t="inlineStr">
        <is>
          <t>GG - Event Service</t>
        </is>
      </c>
      <c r="L696" t="inlineStr">
        <is>
          <t>HOK Philippine Kings League - Fall Season</t>
        </is>
      </c>
      <c r="M696" t="inlineStr">
        <is>
          <t>2025TEG-P0219</t>
        </is>
      </c>
      <c r="N696" t="inlineStr">
        <is>
          <t>Carla Andrea Calma Crespo</t>
        </is>
      </c>
      <c r="O696" t="inlineStr">
        <is>
          <t>202509160138-Carla Andrea Calma Crespo-费用报销 - 副本 - 副本 - 副本-2025-09-16 11:44:48</t>
        </is>
      </c>
      <c r="P696" t="inlineStr">
        <is>
          <t>YES</t>
        </is>
      </c>
      <c r="Q696"/>
      <c r="R696" t="inlineStr">
        <is>
          <t>YES</t>
        </is>
      </c>
      <c r="S696" t="inlineStr">
        <is>
          <t>Outsourced Registration Manpower</t>
        </is>
      </c>
      <c r="T696">
        <v>1</v>
      </c>
      <c r="U696">
        <v>74800</v>
      </c>
      <c r="V696" t="inlineStr">
        <is>
          <t>PHP</t>
        </is>
      </c>
      <c r="W696">
        <v>74800</v>
      </c>
      <c r="X696" s="2" t="str">
        <f>=HYPERLINK("https://www.larksuite.com/approval/admin/previewAttachment?key=PMgxDgIxDATAL3njdTbmMzScIlIcDSLSFX47EgXt9AHrI-A9jYmWhlKEIwg2D8mdYLWClCYIWcc5759r-h57XSvO17FqPx_zeCNSrZmc9GFmuP3dRTKz035u3wAAAP__", "2 attachment(s)")</f>
        <v>2 attachment(s)</v>
      </c>
      <c r="Y696" t="inlineStr">
        <is>
          <t>Bank Transfer</t>
        </is>
      </c>
      <c r="Z696" t="inlineStr">
        <is>
          <t>Jhun Aldrin Manes</t>
        </is>
      </c>
      <c r="AA696" t="inlineStr">
        <is>
          <t>09668330217</t>
        </is>
      </c>
      <c r="AB696" t="inlineStr">
        <is>
          <t>GCash</t>
        </is>
      </c>
      <c r="AC696" t="inlineStr">
        <is>
          <t>2042 Candido St. Brgy. Mapulang Lupa. Valenzuela City</t>
        </is>
      </c>
      <c r="AD696" s="4">
        <v>45898</v>
      </c>
      <c r="AE696" t="inlineStr">
        <is>
          <t>1st Payment - Sept. 26, 2025
2nd Payment - Oct. 10, 2025
Final Payment - Oct. 31, 2025</t>
        </is>
      </c>
      <c r="AF696" s="2"/>
      <c r="AG696" t="inlineStr">
        <is>
          <t>NzQyNTk5MTgyNzQ4MTg3MDM0MTo2OEQ2NUZFOC1DMEMzLTQ2NzgtQkQ3Qy0wMjQyMkZFNDU2NkYtMTphNzJiN2MwNDIwYjAzMTQyNDI2OGQ1NTRiM2FiZTBhODox</t>
        </is>
      </c>
      <c r="AH696" t="inlineStr">
        <is>
          <t>Jhun Aldrin Manes</t>
        </is>
      </c>
      <c r="AI696"/>
      <c r="AJ696"/>
      <c r="AK696"/>
    </row>
    <row r="697" ht="25.5" customHeight="1">
      <c r="A697" s="2" t="str">
        <f>=HYPERLINK("https://applink.larksuite.com/client/mini_program/open?appId=cli_9c7cc8a9a9edd105&amp;mode=appCenter&amp;path_pc=pc/pages/requested/index?instanceId=7553218419198263327&amp;source=bitable&amp;path=pages/detail/index?instanceId=7553218419198263327&amp;source=bitable", "202509230087")</f>
        <v>202509230087</v>
      </c>
      <c r="B697" t="inlineStr">
        <is>
          <t>Approved</t>
        </is>
      </c>
      <c r="C697" t="inlineStr">
        <is>
          <t>Procurement Order</t>
        </is>
      </c>
      <c r="D697" s="3">
        <v>45923.739652777775</v>
      </c>
      <c r="E697" s="3">
        <v>45923.912152777775</v>
      </c>
      <c r="F697" t="inlineStr">
        <is>
          <t>Fatima Kathleen M. FLores</t>
        </is>
      </c>
      <c r="G697" t="inlineStr">
        <is>
          <t>Procurement</t>
        </is>
      </c>
      <c r="H697"/>
      <c r="I697"/>
      <c r="J697" t="inlineStr">
        <is>
          <t>Project</t>
        </is>
      </c>
      <c r="K697" t="inlineStr">
        <is>
          <t>PDEI - Event Service</t>
        </is>
      </c>
      <c r="L697" t="inlineStr">
        <is>
          <t>GTCC 2025: September Arena</t>
        </is>
      </c>
      <c r="M697" t="inlineStr">
        <is>
          <t>2025TEG-P0236</t>
        </is>
      </c>
      <c r="N697" t="inlineStr">
        <is>
          <t>Carla Andrea Calma Crespo</t>
        </is>
      </c>
      <c r="O697" t="inlineStr">
        <is>
          <t>202509140019-Carla Andrea Calma Crespo-费用报销 - 副本 - 副本 - 副本-2025-09-14 15:47:16</t>
        </is>
      </c>
      <c r="P697" t="inlineStr">
        <is>
          <t>YES</t>
        </is>
      </c>
      <c r="Q697"/>
      <c r="R697" t="inlineStr">
        <is>
          <t>NO</t>
        </is>
      </c>
      <c r="S697" t="inlineStr">
        <is>
          <t>Outsourced Referee</t>
        </is>
      </c>
      <c r="T697">
        <v>1</v>
      </c>
      <c r="U697">
        <v>3000</v>
      </c>
      <c r="V697" t="inlineStr">
        <is>
          <t>PHP</t>
        </is>
      </c>
      <c r="W697">
        <v>3000</v>
      </c>
      <c r="X697" s="2" t="str">
        <f>=HYPERLINK("https://www.larksuite.com/approval/admin/previewAttachment?key=PMgxCgJBDAXQK_2fZCb5XsbGYRGWrURxi5xdsNj2zSJmDfoUQjSBnWO4sYKiyqa7ZVszU0gm1evY7rutk0vv0w_uX_Xn-djWi0NphvQILwC8Xe4ZEdIM_B2_AAAA__8", "2 attachment(s)")</f>
        <v>2 attachment(s)</v>
      </c>
      <c r="Y697" t="inlineStr">
        <is>
          <t>Bank Transfer</t>
        </is>
      </c>
      <c r="Z697" t="inlineStr">
        <is>
          <t>Jason Rivas</t>
        </is>
      </c>
      <c r="AA697" t="inlineStr">
        <is>
          <t>09619885748</t>
        </is>
      </c>
      <c r="AB697" t="inlineStr">
        <is>
          <t>Gcash</t>
        </is>
      </c>
      <c r="AC697" t="inlineStr">
        <is>
          <t>14 Santa Ana Brgy San Antonio Quezon City</t>
        </is>
      </c>
      <c r="AD697" s="4">
        <v>45919</v>
      </c>
      <c r="AE697" t="inlineStr">
        <is>
          <t>100% Full Payment - Oct. 3, 2025</t>
        </is>
      </c>
      <c r="AF697" s="2"/>
      <c r="AG697" t="inlineStr">
        <is>
          <t>NzQyNTk5MTgyNzQ4MTg3MDM0MTo3QzREMEU5MC03NTFFLTRENkMtODk0OS01RUYxM0M5NzlGM0UtMTo0ZTc4ZmE0MTlmNmNlNjZlNmY3YjA5YzZkODEzYjcwOTox</t>
        </is>
      </c>
      <c r="AH697" t="inlineStr">
        <is>
          <t>Jason Rivas</t>
        </is>
      </c>
      <c r="AI697"/>
      <c r="AJ697"/>
      <c r="AK697"/>
    </row>
    <row r="698" ht="25.5" customHeight="1">
      <c r="A698" s="2" t="str">
        <f>=HYPERLINK("https://applink.larksuite.com/client/mini_program/open?appId=cli_9c7cc8a9a9edd105&amp;mode=appCenter&amp;path_pc=pc/pages/requested/index?instanceId=7553243937889108000&amp;source=bitable&amp;path=pages/detail/index?instanceId=7553243937889108000&amp;source=bitable", "202509230117")</f>
        <v>202509230117</v>
      </c>
      <c r="B698" t="inlineStr">
        <is>
          <t>Approved</t>
        </is>
      </c>
      <c r="C698" t="inlineStr">
        <is>
          <t>Procurement Order</t>
        </is>
      </c>
      <c r="D698" s="3">
        <v>45923.80841435185</v>
      </c>
      <c r="E698" s="3">
        <v>45923.87059027778</v>
      </c>
      <c r="F698" t="inlineStr">
        <is>
          <t>Fatima Kathleen M. FLores</t>
        </is>
      </c>
      <c r="G698" t="inlineStr">
        <is>
          <t>Procurement</t>
        </is>
      </c>
      <c r="H698"/>
      <c r="I698"/>
      <c r="J698" t="inlineStr">
        <is>
          <t>Project</t>
        </is>
      </c>
      <c r="K698" t="inlineStr">
        <is>
          <t>PDEI - Game Marketing</t>
        </is>
      </c>
      <c r="L698" t="inlineStr">
        <is>
          <t>WCG 2025 Creator Rumble</t>
        </is>
      </c>
      <c r="M698" t="inlineStr">
        <is>
          <t>2025TEG-P0041</t>
        </is>
      </c>
      <c r="N698" t="inlineStr">
        <is>
          <t>Maura Aurel Atilano Yap</t>
        </is>
      </c>
      <c r="O698" t="inlineStr">
        <is>
          <t>202509080119-Maura Aurel Atilano Yap-费用报销 - 副本 - 副本 - 副本-2025-09-08 10:53:19</t>
        </is>
      </c>
      <c r="P698" t="inlineStr">
        <is>
          <t>YES</t>
        </is>
      </c>
      <c r="Q698"/>
      <c r="R698" t="inlineStr">
        <is>
          <t>NO</t>
        </is>
      </c>
      <c r="S698" t="inlineStr">
        <is>
          <t>Outsourced KOL (Obri)</t>
        </is>
      </c>
      <c r="T698">
        <v>1</v>
      </c>
      <c r="U698">
        <v>20000</v>
      </c>
      <c r="V698" t="inlineStr">
        <is>
          <t>PHP</t>
        </is>
      </c>
      <c r="W698">
        <v>20000</v>
      </c>
      <c r="X698" s="2" t="str">
        <f>=HYPERLINK("https://www.larksuite.com/approval/admin/previewAttachment?key=PMs7CkIxFATQLc39JJNxMzaGIOirhDws7tpFC9sDpw9DH82iCylzwYqthWcoOIYMA0B5GSnQaKp5rOuZ69xPb_u9Ds5H7fttzZc10R2MzPg-u_w9mJlST_wcnwAAAP__", "2 attachment(s)")</f>
        <v>2 attachment(s)</v>
      </c>
      <c r="Y698" t="inlineStr">
        <is>
          <t>Bank Transfer</t>
        </is>
      </c>
      <c r="Z698" t="inlineStr">
        <is>
          <t>Aubrey Mandigma</t>
        </is>
      </c>
      <c r="AA698" t="inlineStr">
        <is>
          <t>0869447612</t>
        </is>
      </c>
      <c r="AB698" t="inlineStr">
        <is>
          <t>BPI</t>
        </is>
      </c>
      <c r="AC698" t="inlineStr">
        <is>
          <t>Brgy. Mayowe Tayabas City, Quezon Province</t>
        </is>
      </c>
      <c r="AD698" s="4">
        <v>45908</v>
      </c>
      <c r="AE698" t="inlineStr">
        <is>
          <t>1st Payment - Sept. 26, 2025
Final Payment - Nov. 7, 2025</t>
        </is>
      </c>
      <c r="AF698" s="2"/>
      <c r="AG698" t="inlineStr">
        <is>
          <t>NzQyNTk5MTgyNzQ4MTg3MDM0MTo3MDQ5OTE4QS1CRERGLTQ1M0YtOTMzNi1GQ0RCOUQ4N0RFQUQtMTo0MDgyZDFhZDNhZDgzZGZjZTc4MTk2MDgxNjA0NjBlZjox</t>
        </is>
      </c>
      <c r="AH698" t="inlineStr">
        <is>
          <t>Aubrey Mandigma</t>
        </is>
      </c>
      <c r="AI698"/>
      <c r="AJ698"/>
      <c r="AK698"/>
    </row>
    <row r="699" ht="25.5" customHeight="1">
      <c r="A699" s="2" t="str">
        <f>=HYPERLINK("https://applink.larksuite.com/client/mini_program/open?appId=cli_9c7cc8a9a9edd105&amp;mode=appCenter&amp;path_pc=pc/pages/requested/index?instanceId=7553260822022094886&amp;source=bitable&amp;path=pages/detail/index?instanceId=7553260822022094886&amp;source=bitable", "202509230139")</f>
        <v>202509230139</v>
      </c>
      <c r="B699" t="inlineStr">
        <is>
          <t>Approved</t>
        </is>
      </c>
      <c r="C699" t="inlineStr">
        <is>
          <t>Procurement Order</t>
        </is>
      </c>
      <c r="D699" s="3">
        <v>45923.85391203704</v>
      </c>
      <c r="E699" s="3">
        <v>45923.89282407407</v>
      </c>
      <c r="F699" t="inlineStr">
        <is>
          <t>Fatima Kathleen M. FLores</t>
        </is>
      </c>
      <c r="G699" t="inlineStr">
        <is>
          <t>Procurement</t>
        </is>
      </c>
      <c r="H699"/>
      <c r="I699"/>
      <c r="J699" t="inlineStr">
        <is>
          <t>Project</t>
        </is>
      </c>
      <c r="K699" t="inlineStr">
        <is>
          <t>PDEI - Game Marketing</t>
        </is>
      </c>
      <c r="L699" t="inlineStr">
        <is>
          <t>WCG 2025 Creator Rumble</t>
        </is>
      </c>
      <c r="M699" t="inlineStr">
        <is>
          <t>2025TEG-P0041</t>
        </is>
      </c>
      <c r="N699" t="inlineStr">
        <is>
          <t>Maura Aurel Atilano Yap</t>
        </is>
      </c>
      <c r="O699" t="inlineStr">
        <is>
          <t>202509080119-Maura Aurel Atilano Yap-费用报销 - 副本 - 副本 - 副本-2025-09-08 10:53:19</t>
        </is>
      </c>
      <c r="P699" t="inlineStr">
        <is>
          <t>YES</t>
        </is>
      </c>
      <c r="Q699"/>
      <c r="R699" t="inlineStr">
        <is>
          <t>NO</t>
        </is>
      </c>
      <c r="S699" t="inlineStr">
        <is>
          <t>Outsourced KOL (Cholo Tolentino)</t>
        </is>
      </c>
      <c r="T699">
        <v>1</v>
      </c>
      <c r="U699">
        <v>39000</v>
      </c>
      <c r="V699" t="inlineStr">
        <is>
          <t>PHP</t>
        </is>
      </c>
      <c r="W699">
        <v>39000</v>
      </c>
      <c r="X699" s="2" t="str">
        <f>=HYPERLINK("https://www.larksuite.com/approval/admin/previewAttachment?key=PMg9CgJBDAXgK70kb_LjZWwcBhcZG3GxydkFC9vPU-A5xLzAEi1IxximjlSFKoqZ3toSUQgJqZ57XZPnsef7-Ky5-Xz0eb-t-ZJRoYow0hKAXP5uQbLKiZ_jGwAA__8", "2 attachment(s)")</f>
        <v>2 attachment(s)</v>
      </c>
      <c r="Y699" t="inlineStr">
        <is>
          <t>Bank Transfer</t>
        </is>
      </c>
      <c r="Z699" t="inlineStr">
        <is>
          <t>Jose Miguel S. Tolentino</t>
        </is>
      </c>
      <c r="AA699" t="inlineStr">
        <is>
          <t>008158016840</t>
        </is>
      </c>
      <c r="AB699" t="inlineStr">
        <is>
          <t>BDO</t>
        </is>
      </c>
      <c r="AC699" t="inlineStr">
        <is>
          <t>720 Tower B Acacia Escalades, Barangay Manggahan, Pasig</t>
        </is>
      </c>
      <c r="AD699" s="4">
        <v>45908</v>
      </c>
      <c r="AE699" t="inlineStr">
        <is>
          <t>1st Payment - Sept. 26, 2025
Final Payment - Nov. 7, 2025</t>
        </is>
      </c>
      <c r="AF699" s="2"/>
      <c r="AG699" t="inlineStr">
        <is>
          <t>NzQyNTk5MTgyNzQ4MTg3MDM0MTpFRERDNjdERC1FOTY0LTQ3N0UtQTM5OC1GNTE1QzMyMTUwQ0QtMTpjYzQwZjhlMzMxZjcyYjg0YjcxNWIwMGY4OWZhYTdhYjox</t>
        </is>
      </c>
      <c r="AH699" t="inlineStr">
        <is>
          <t>Jose Miguel S. Tolentino</t>
        </is>
      </c>
      <c r="AI699"/>
      <c r="AJ699"/>
      <c r="AK699"/>
    </row>
    <row r="700" ht="25.5" customHeight="1">
      <c r="A700" s="2" t="str">
        <f>=HYPERLINK("https://applink.larksuite.com/client/mini_program/open?appId=cli_9c7cc8a9a9edd105&amp;mode=appCenter&amp;path_pc=pc/pages/requested/index?instanceId=7553259100918906911&amp;source=bitable&amp;path=pages/detail/index?instanceId=7553259100918906911&amp;source=bitable", "202509230137")</f>
        <v>202509230137</v>
      </c>
      <c r="B700" t="inlineStr">
        <is>
          <t>Approved</t>
        </is>
      </c>
      <c r="C700" t="inlineStr">
        <is>
          <t>Procurement Order</t>
        </is>
      </c>
      <c r="D700" s="3">
        <v>45923.849282407406</v>
      </c>
      <c r="E700" s="3">
        <v>45923.89326388889</v>
      </c>
      <c r="F700" t="inlineStr">
        <is>
          <t>Fatima Kathleen M. FLores</t>
        </is>
      </c>
      <c r="G700" t="inlineStr">
        <is>
          <t>Procurement</t>
        </is>
      </c>
      <c r="H700"/>
      <c r="I700"/>
      <c r="J700" t="inlineStr">
        <is>
          <t>Project</t>
        </is>
      </c>
      <c r="K700" t="inlineStr">
        <is>
          <t>PDEI - Game Marketing</t>
        </is>
      </c>
      <c r="L700" t="inlineStr">
        <is>
          <t>WCG 2025 Creator Rumble</t>
        </is>
      </c>
      <c r="M700" t="inlineStr">
        <is>
          <t>2025TEG-P0041</t>
        </is>
      </c>
      <c r="N700" t="inlineStr">
        <is>
          <t>Maura Aurel Atilano Yap</t>
        </is>
      </c>
      <c r="O700" t="inlineStr">
        <is>
          <t>202509080119-Maura Aurel Atilano Yap-费用报销 - 副本 - 副本 - 副本-2025-09-08 10:53:19</t>
        </is>
      </c>
      <c r="P700" t="inlineStr">
        <is>
          <t>YES</t>
        </is>
      </c>
      <c r="Q700"/>
      <c r="R700" t="inlineStr">
        <is>
          <t>NO</t>
        </is>
      </c>
      <c r="S700" t="inlineStr">
        <is>
          <t>Outsourced KOL (Rebyczko)</t>
        </is>
      </c>
      <c r="T700">
        <v>1</v>
      </c>
      <c r="U700">
        <v>20000</v>
      </c>
      <c r="V700" t="inlineStr">
        <is>
          <t>PHP</t>
        </is>
      </c>
      <c r="W700">
        <v>20000</v>
      </c>
      <c r="X700" s="2" t="str">
        <f>=HYPERLINK("https://www.larksuite.com/approval/admin/previewAttachment?key=PMgxCsMwDAXQK_0vy5Z-L9PFwXRJKRScSWcvdMj6RhIjO9sQXDSBFb036yIgpjBElhUjhGBQdZzrefm6Zp6fae89t9d-zXV82RVmiObeEgAft7dwd2k4_o5fAAAA__8", "2 attachment(s)")</f>
        <v>2 attachment(s)</v>
      </c>
      <c r="Y700" t="inlineStr">
        <is>
          <t>Bank Transfer</t>
        </is>
      </c>
      <c r="Z700" t="inlineStr">
        <is>
          <t>Valerie T. Byczko</t>
        </is>
      </c>
      <c r="AA700" t="inlineStr">
        <is>
          <t>006960217228</t>
        </is>
      </c>
      <c r="AB700" t="inlineStr">
        <is>
          <t>BDO</t>
        </is>
      </c>
      <c r="AC700" t="inlineStr">
        <is>
          <t>Morgan Suites Executive Residences, Florence Way, Taguig City</t>
        </is>
      </c>
      <c r="AD700" s="4">
        <v>45908</v>
      </c>
      <c r="AE700" t="inlineStr">
        <is>
          <t>1st Payment - Sept. 26, 2025
Final Payment - Nov. 7, 2025</t>
        </is>
      </c>
      <c r="AF700" s="2"/>
      <c r="AG700" t="inlineStr">
        <is>
          <t>NzQyNTk5MTgyNzQ4MTg3MDM0MToxOERGN0MzRC1EQTNGLTQ3M0UtQUNGRi0yMTExQ0QyNERGRTItMTo5NWIyMDc0ZjY0YTFkNmY5MmNkNjFmZDI0OTJkYmIzMTox</t>
        </is>
      </c>
      <c r="AH700" t="inlineStr">
        <is>
          <t>Valerie T. Byczko</t>
        </is>
      </c>
      <c r="AI700"/>
      <c r="AJ700"/>
      <c r="AK700"/>
    </row>
    <row r="701" ht="25.5" customHeight="1">
      <c r="A701" s="2" t="str">
        <f>=HYPERLINK("https://applink.larksuite.com/client/mini_program/open?appId=cli_9c7cc8a9a9edd105&amp;mode=appCenter&amp;path_pc=pc/pages/requested/index?instanceId=7553258135121674272&amp;source=bitable&amp;path=pages/detail/index?instanceId=7553258135121674272&amp;source=bitable", "202509230135")</f>
        <v>202509230135</v>
      </c>
      <c r="B701" t="inlineStr">
        <is>
          <t>Approved</t>
        </is>
      </c>
      <c r="C701" t="inlineStr">
        <is>
          <t>Procurement Order</t>
        </is>
      </c>
      <c r="D701" s="3">
        <v>45923.84667824074</v>
      </c>
      <c r="E701" s="3">
        <v>45923.89357638889</v>
      </c>
      <c r="F701" t="inlineStr">
        <is>
          <t>Fatima Kathleen M. FLores</t>
        </is>
      </c>
      <c r="G701" t="inlineStr">
        <is>
          <t>Procurement</t>
        </is>
      </c>
      <c r="H701"/>
      <c r="I701"/>
      <c r="J701" t="inlineStr">
        <is>
          <t>Project</t>
        </is>
      </c>
      <c r="K701" t="inlineStr">
        <is>
          <t>PDEI - Game Marketing</t>
        </is>
      </c>
      <c r="L701" t="inlineStr">
        <is>
          <t>WCG 2025 Creator Rumble</t>
        </is>
      </c>
      <c r="M701" t="inlineStr">
        <is>
          <t>2025TEG-P0041</t>
        </is>
      </c>
      <c r="N701" t="inlineStr">
        <is>
          <t>Maura Aurel Atilano Yap</t>
        </is>
      </c>
      <c r="O701" t="inlineStr">
        <is>
          <t>202509080119-Maura Aurel Atilano Yap-费用报销 - 副本 - 副本 - 副本-2025-09-08 10:53:19</t>
        </is>
      </c>
      <c r="P701" t="inlineStr">
        <is>
          <t>YES</t>
        </is>
      </c>
      <c r="Q701"/>
      <c r="R701" t="inlineStr">
        <is>
          <t>NO</t>
        </is>
      </c>
      <c r="S701" t="inlineStr">
        <is>
          <t>Outsourced KOL (TriNhil)</t>
        </is>
      </c>
      <c r="T701">
        <v>1</v>
      </c>
      <c r="U701">
        <v>20000</v>
      </c>
      <c r="V701" t="inlineStr">
        <is>
          <t>PHP</t>
        </is>
      </c>
      <c r="W701">
        <v>20000</v>
      </c>
      <c r="X701" s="2" t="str">
        <f>=HYPERLINK("https://www.larksuite.com/approval/admin/previewAttachment?key=PMg7CgJBEATQK1X1Z2ray5i4DIosCOKKQZ9dMDB9YxJjJn0UomgFtjLdctKTxqEwWVtTKohi9bav84zjttfrjW3dHx_1cb2s7cksmUEe4RMAT393RUTVCPwc3wAAAP__", "2 attachment(s)")</f>
        <v>2 attachment(s)</v>
      </c>
      <c r="Y701" t="inlineStr">
        <is>
          <t>Bank Transfer</t>
        </is>
      </c>
      <c r="Z701" t="inlineStr">
        <is>
          <t>Nhil Angelo D. Diaz</t>
        </is>
      </c>
      <c r="AA701" t="inlineStr">
        <is>
          <t>011150069412</t>
        </is>
      </c>
      <c r="AB701" t="inlineStr">
        <is>
          <t>BDO</t>
        </is>
      </c>
      <c r="AC701" t="inlineStr">
        <is>
          <t>BO4 L27 Richmond Homes Subd. Magliman San Fernando, Pampanga</t>
        </is>
      </c>
      <c r="AD701" s="4">
        <v>45908</v>
      </c>
      <c r="AE701" t="inlineStr">
        <is>
          <t>1st Payment - Sept. 26, 2025
Final Payment - Nov. 7, 2025</t>
        </is>
      </c>
      <c r="AF701" s="2"/>
      <c r="AG701" t="inlineStr">
        <is>
          <t>NzQyNTk5MTgyNzQ4MTg3MDM0MTo4MkVGQkFBMi0yRTc4LTQzOEItOEMyRC00QjZDN0NFQjg4RkEtMTpkYzYyNTM4NTU3ZTg1OWZjZTdmMWU0NmJjNzk1MGZlNjox</t>
        </is>
      </c>
      <c r="AH701" t="inlineStr">
        <is>
          <t>Nhil Angelo D. Diaz</t>
        </is>
      </c>
      <c r="AI701"/>
      <c r="AJ701"/>
      <c r="AK701"/>
    </row>
    <row r="702" ht="25.5" customHeight="1">
      <c r="A702" s="2" t="str">
        <f>=HYPERLINK("https://applink.larksuite.com/client/mini_program/open?appId=cli_9c7cc8a9a9edd105&amp;mode=appCenter&amp;path_pc=pc/pages/requested/index?instanceId=7553257249368457254&amp;source=bitable&amp;path=pages/detail/index?instanceId=7553257249368457254&amp;source=bitable", "202509230134")</f>
        <v>202509230134</v>
      </c>
      <c r="B702" t="inlineStr">
        <is>
          <t>Approved</t>
        </is>
      </c>
      <c r="C702" t="inlineStr">
        <is>
          <t>Procurement Order</t>
        </is>
      </c>
      <c r="D702" s="3">
        <v>45923.844293981485</v>
      </c>
      <c r="E702" s="3">
        <v>45923.89402777778</v>
      </c>
      <c r="F702" t="inlineStr">
        <is>
          <t>Fatima Kathleen M. FLores</t>
        </is>
      </c>
      <c r="G702" t="inlineStr">
        <is>
          <t>Procurement</t>
        </is>
      </c>
      <c r="H702"/>
      <c r="I702"/>
      <c r="J702" t="inlineStr">
        <is>
          <t>Project</t>
        </is>
      </c>
      <c r="K702" t="inlineStr">
        <is>
          <t>PDEI - Game Marketing</t>
        </is>
      </c>
      <c r="L702" t="inlineStr">
        <is>
          <t>WCG 2025 Creator Rumble</t>
        </is>
      </c>
      <c r="M702" t="inlineStr">
        <is>
          <t>2025TEG-P0041</t>
        </is>
      </c>
      <c r="N702" t="inlineStr">
        <is>
          <t>Maura Aurel Atilano Yap</t>
        </is>
      </c>
      <c r="O702" t="inlineStr">
        <is>
          <t>202509080119-Maura Aurel Atilano Yap-费用报销 - 副本 - 副本 - 副本-2025-09-08 10:53:19</t>
        </is>
      </c>
      <c r="P702" t="inlineStr">
        <is>
          <t>YES</t>
        </is>
      </c>
      <c r="Q702"/>
      <c r="R702" t="inlineStr">
        <is>
          <t>NO</t>
        </is>
      </c>
      <c r="S702" t="inlineStr">
        <is>
          <t>Outsourced KOL (Uncle Ju)</t>
        </is>
      </c>
      <c r="T702">
        <v>1</v>
      </c>
      <c r="U702">
        <v>11200</v>
      </c>
      <c r="V702" t="inlineStr">
        <is>
          <t>PHP</t>
        </is>
      </c>
      <c r="W702">
        <v>11200</v>
      </c>
      <c r="X702" s="2" t="str">
        <f>=HYPERLINK("https://www.larksuite.com/approval/admin/previewAttachment?key=PMgxCgJBDAXQK_0kP5N8L2PjsCiyNuKixZxdsLB9ow2j02IIlLlgqzLDs5yK0czy5PJlVUJZmdbct3PzuO348PVWP-Z9HdfLNp-WKndUkNEA7PT3KJLSIH6ObwAAAP__", "2 attachment(s)")</f>
        <v>2 attachment(s)</v>
      </c>
      <c r="Y702" t="inlineStr">
        <is>
          <t>Bank Transfer</t>
        </is>
      </c>
      <c r="Z702" t="inlineStr">
        <is>
          <t>Juan Lorenzo Marco</t>
        </is>
      </c>
      <c r="AA702" t="inlineStr">
        <is>
          <t>010550071733</t>
        </is>
      </c>
      <c r="AB702" t="inlineStr">
        <is>
          <t>BDO</t>
        </is>
      </c>
      <c r="AC702" t="inlineStr">
        <is>
          <t>#909 South Tower, La Verti Residences, Donada Street, Pasay City</t>
        </is>
      </c>
      <c r="AD702" s="4">
        <v>45908</v>
      </c>
      <c r="AE702" t="inlineStr">
        <is>
          <t>1st Payment - Sept. 26, 2025
Final Payment - Nov. 7, 2025</t>
        </is>
      </c>
      <c r="AF702" s="2"/>
      <c r="AG702" t="inlineStr">
        <is>
          <t>NzQyNTk5MTgyNzQ4MTg3MDM0MTpBQjJDMEEyMC0zRDQ5LTQ5REQtQTUwQi0wQjMyQTFDMTBFNzEtMToyNjRmZjVlZjQ3OTU4MzlkMmNiNGE1NjVkNmExOGRiZDox</t>
        </is>
      </c>
      <c r="AH702" t="inlineStr">
        <is>
          <t>Juan Lorenzo Marco</t>
        </is>
      </c>
      <c r="AI702"/>
      <c r="AJ702"/>
      <c r="AK702"/>
    </row>
    <row r="703" ht="25.5" customHeight="1">
      <c r="A703" s="2" t="str">
        <f>=HYPERLINK("https://applink.larksuite.com/client/mini_program/open?appId=cli_9c7cc8a9a9edd105&amp;mode=appCenter&amp;path_pc=pc/pages/requested/index?instanceId=7553256485354995751&amp;source=bitable&amp;path=pages/detail/index?instanceId=7553256485354995751&amp;source=bitable", "202509230133")</f>
        <v>202509230133</v>
      </c>
      <c r="B703" t="inlineStr">
        <is>
          <t>Approved</t>
        </is>
      </c>
      <c r="C703" t="inlineStr">
        <is>
          <t>Procurement Order</t>
        </is>
      </c>
      <c r="D703" s="3">
        <v>45923.8422337963</v>
      </c>
      <c r="E703" s="3">
        <v>45923.894479166665</v>
      </c>
      <c r="F703" t="inlineStr">
        <is>
          <t>Fatima Kathleen M. FLores</t>
        </is>
      </c>
      <c r="G703" t="inlineStr">
        <is>
          <t>Procurement</t>
        </is>
      </c>
      <c r="H703"/>
      <c r="I703"/>
      <c r="J703" t="inlineStr">
        <is>
          <t>Project</t>
        </is>
      </c>
      <c r="K703" t="inlineStr">
        <is>
          <t>PDEI - Game Marketing</t>
        </is>
      </c>
      <c r="L703" t="inlineStr">
        <is>
          <t>WCG 2025 Creator Rumble</t>
        </is>
      </c>
      <c r="M703" t="inlineStr">
        <is>
          <t>2025TEG-P0041</t>
        </is>
      </c>
      <c r="N703" t="inlineStr">
        <is>
          <t>Maura Aurel Atilano Yap</t>
        </is>
      </c>
      <c r="O703" t="inlineStr">
        <is>
          <t>202509080119-Maura Aurel Atilano Yap-费用报销 - 副本 - 副本 - 副本-2025-09-08 10:53:19</t>
        </is>
      </c>
      <c r="P703" t="inlineStr">
        <is>
          <t>YES</t>
        </is>
      </c>
      <c r="Q703"/>
      <c r="R703" t="inlineStr">
        <is>
          <t>NO</t>
        </is>
      </c>
      <c r="S703" t="inlineStr">
        <is>
          <t>Outsourced KOL (Kriphie)</t>
        </is>
      </c>
      <c r="T703">
        <v>1</v>
      </c>
      <c r="U703">
        <v>20000</v>
      </c>
      <c r="V703" t="inlineStr">
        <is>
          <t>PHP</t>
        </is>
      </c>
      <c r="W703">
        <v>20000</v>
      </c>
      <c r="X703" s="2" t="str">
        <f>=HYPERLINK("https://www.larksuite.com/approval/admin/previewAttachment?key=PMg7jsJAEATQK1V_anpqL7OJrREgOUJgJ312JALSN6ZhTFoMIWUuWBcZzpGTwZRYtPa2KqGsTL0f6__MdW44eL2uuz-837dt7U-jyh0VmTEB2N_PozJTGomv4xMAAP__", "2 attachment(s)")</f>
        <v>2 attachment(s)</v>
      </c>
      <c r="Y703" t="inlineStr">
        <is>
          <t>Bank Transfer</t>
        </is>
      </c>
      <c r="Z703" t="inlineStr">
        <is>
          <t>Glenn Hipolito</t>
        </is>
      </c>
      <c r="AA703" t="inlineStr">
        <is>
          <t>0012 8146 4374</t>
        </is>
      </c>
      <c r="AB703" t="inlineStr">
        <is>
          <t>BDO</t>
        </is>
      </c>
      <c r="AC703" t="inlineStr">
        <is>
          <t>Phase 4 Blk 4 Lot 11, Wisteria St., Victoria Ville, P.F. Espiritu 2, Bacoor City, Cavite</t>
        </is>
      </c>
      <c r="AD703" s="4">
        <v>45908</v>
      </c>
      <c r="AE703" t="inlineStr">
        <is>
          <t>1st Payment - Sept. 26, 2025
Final Payment - Nov. 7, 2025</t>
        </is>
      </c>
      <c r="AF703" s="2"/>
      <c r="AG703" t="inlineStr">
        <is>
          <t>NzQyNTk5MTgyNzQ4MTg3MDM0MTowNUM2MDg5MS1BOTg2LTREMjQtOENFQS02MTM4ODNDMkNFQUQtMTo2YTQwNzk4ZmYxOTljMTVlMmM4ZGZkNWI3MGFiNmI0ZTox</t>
        </is>
      </c>
      <c r="AH703" t="inlineStr">
        <is>
          <t>Glenn Hipolito</t>
        </is>
      </c>
      <c r="AI703"/>
      <c r="AJ703"/>
      <c r="AK703"/>
    </row>
    <row r="704" ht="25.5" customHeight="1">
      <c r="A704" s="2" t="str">
        <f>=HYPERLINK("https://applink.larksuite.com/client/mini_program/open?appId=cli_9c7cc8a9a9edd105&amp;mode=appCenter&amp;path_pc=pc/pages/requested/index?instanceId=7553255562562142247&amp;source=bitable&amp;path=pages/detail/index?instanceId=7553255562562142247&amp;source=bitable", "202509230132")</f>
        <v>202509230132</v>
      </c>
      <c r="B704" t="inlineStr">
        <is>
          <t>Approved</t>
        </is>
      </c>
      <c r="C704" t="inlineStr">
        <is>
          <t>Procurement Order</t>
        </is>
      </c>
      <c r="D704" s="3">
        <v>45923.83974537037</v>
      </c>
      <c r="E704" s="3">
        <v>45923.89482638889</v>
      </c>
      <c r="F704" t="inlineStr">
        <is>
          <t>Fatima Kathleen M. FLores</t>
        </is>
      </c>
      <c r="G704" t="inlineStr">
        <is>
          <t>Procurement</t>
        </is>
      </c>
      <c r="H704"/>
      <c r="I704"/>
      <c r="J704" t="inlineStr">
        <is>
          <t>Project</t>
        </is>
      </c>
      <c r="K704" t="inlineStr">
        <is>
          <t>PDEI - Game Marketing</t>
        </is>
      </c>
      <c r="L704" t="inlineStr">
        <is>
          <t>WCG 2025 Creator Rumble</t>
        </is>
      </c>
      <c r="M704" t="inlineStr">
        <is>
          <t>2025TEG-P0041</t>
        </is>
      </c>
      <c r="N704" t="inlineStr">
        <is>
          <t>Maura Aurel Atilano Yap</t>
        </is>
      </c>
      <c r="O704" t="inlineStr">
        <is>
          <t>202509080119-Maura Aurel Atilano Yap-费用报销 - 副本 - 副本 - 副本-2025-09-08 10:53:19</t>
        </is>
      </c>
      <c r="P704" t="inlineStr">
        <is>
          <t>YES</t>
        </is>
      </c>
      <c r="Q704"/>
      <c r="R704" t="inlineStr">
        <is>
          <t>NO</t>
        </is>
      </c>
      <c r="S704" t="inlineStr">
        <is>
          <t>Outsourced KOL (Pica)</t>
        </is>
      </c>
      <c r="T704">
        <v>1</v>
      </c>
      <c r="U704">
        <v>11200</v>
      </c>
      <c r="V704" t="inlineStr">
        <is>
          <t>PHP</t>
        </is>
      </c>
      <c r="W704">
        <v>11200</v>
      </c>
      <c r="X704" s="2" t="str">
        <f>=HYPERLINK("https://www.larksuite.com/approval/admin/previewAttachment?key=PMgxCgJBDAXQK_0kP_kTL2PjMii4IoiCxZxdsNj21TDUSItqsM0btpQZnpnlWW50p5YvkxoyWa9tn-f3d8bj3tATtz24PtfL3F6WLXcoyBgA7HR4iGR3EX_HLwAA__8", "2 attachment(s)")</f>
        <v>2 attachment(s)</v>
      </c>
      <c r="Y704" t="inlineStr">
        <is>
          <t>Bank Transfer</t>
        </is>
      </c>
      <c r="Z704" t="inlineStr">
        <is>
          <t>Dannel Picaccio P. Lozano</t>
        </is>
      </c>
      <c r="AA704" t="inlineStr">
        <is>
          <t>000530406853</t>
        </is>
      </c>
      <c r="AB704" t="inlineStr">
        <is>
          <t>BDO</t>
        </is>
      </c>
      <c r="AC704" t="inlineStr">
        <is>
          <t>80 Sulu Street. Ayala Alabang Village, Muntinlupa City</t>
        </is>
      </c>
      <c r="AD704" s="4">
        <v>45908</v>
      </c>
      <c r="AE704" t="inlineStr">
        <is>
          <t>1st Payment - Sept. 26, 2025
Final Payment - Nov. 7, 2025</t>
        </is>
      </c>
      <c r="AF704" s="2"/>
      <c r="AG704" t="inlineStr">
        <is>
          <t>NzQyNTk5MTgyNzQ4MTg3MDM0MTowRDkxNzdEQS00Nzg3LTRBODMtQkM1Ny03NDc3QTIwNUZENjAtMTpkZGJiYTVjZWIzYzliOWVkZjNiNGIzNDA1MzRlMTBiOTox</t>
        </is>
      </c>
      <c r="AH704" t="inlineStr">
        <is>
          <t>Dannel Picaccio P. Lozano</t>
        </is>
      </c>
      <c r="AI704"/>
      <c r="AJ704"/>
      <c r="AK704"/>
    </row>
    <row r="705" ht="25.5" customHeight="1">
      <c r="A705" s="2" t="str">
        <f>=HYPERLINK("https://applink.larksuite.com/client/mini_program/open?appId=cli_9c7cc8a9a9edd105&amp;mode=appCenter&amp;path_pc=pc/pages/requested/index?instanceId=7553253162547707936&amp;source=bitable&amp;path=pages/detail/index?instanceId=7553253162547707936&amp;source=bitable", "202509230129")</f>
        <v>202509230129</v>
      </c>
      <c r="B705" t="inlineStr">
        <is>
          <t>Approved</t>
        </is>
      </c>
      <c r="C705" t="inlineStr">
        <is>
          <t>Procurement Order</t>
        </is>
      </c>
      <c r="D705" s="3">
        <v>45923.83327546297</v>
      </c>
      <c r="E705" s="3">
        <v>45923.89539351852</v>
      </c>
      <c r="F705" t="inlineStr">
        <is>
          <t>Fatima Kathleen M. FLores</t>
        </is>
      </c>
      <c r="G705" t="inlineStr">
        <is>
          <t>Procurement</t>
        </is>
      </c>
      <c r="H705"/>
      <c r="I705"/>
      <c r="J705" t="inlineStr">
        <is>
          <t>Project</t>
        </is>
      </c>
      <c r="K705" t="inlineStr">
        <is>
          <t>PDEI - Game Marketing</t>
        </is>
      </c>
      <c r="L705" t="inlineStr">
        <is>
          <t>WCG 2025 Creator Rumble</t>
        </is>
      </c>
      <c r="M705" t="inlineStr">
        <is>
          <t>2025TEG-P0041</t>
        </is>
      </c>
      <c r="N705" t="inlineStr">
        <is>
          <t>Maura Aurel Atilano Yap</t>
        </is>
      </c>
      <c r="O705" t="inlineStr">
        <is>
          <t>202509080119-Maura Aurel Atilano Yap-费用报销 - 副本 - 副本 - 副本-2025-09-08 10:53:19</t>
        </is>
      </c>
      <c r="P705" t="inlineStr">
        <is>
          <t>YES</t>
        </is>
      </c>
      <c r="Q705"/>
      <c r="R705" t="inlineStr">
        <is>
          <t>NO</t>
        </is>
      </c>
      <c r="S705" t="inlineStr">
        <is>
          <t>Outsourced KOL (MNL48)</t>
        </is>
      </c>
      <c r="T705">
        <v>1</v>
      </c>
      <c r="U705">
        <v>70000</v>
      </c>
      <c r="V705" t="inlineStr">
        <is>
          <t>PHP</t>
        </is>
      </c>
      <c r="W705">
        <v>70000</v>
      </c>
      <c r="X705" s="2" t="str">
        <f>=HYPERLINK("https://www.larksuite.com/approval/admin/previewAttachment?key=PMg9CsJAEAXgK735fTtexibLopBUkmAzZxcs0n45BDlCLAteogVpRpiGSWo4CZZlawtZoFCq57Geep3vr-17HdzWPPt6bWt-JIqqoLnbACCP243uXpWOv-MXAAD__w", "2 attachment(s)")</f>
        <v>2 attachment(s)</v>
      </c>
      <c r="Y705" t="inlineStr">
        <is>
          <t>Bank Transfer</t>
        </is>
      </c>
      <c r="Z705" t="inlineStr">
        <is>
          <t>LiveBuzz Productions Inc.,</t>
        </is>
      </c>
      <c r="AA705" t="inlineStr">
        <is>
          <t>7591346043</t>
        </is>
      </c>
      <c r="AB705" t="inlineStr">
        <is>
          <t>RCBC</t>
        </is>
      </c>
      <c r="AC705" t="inlineStr">
        <is>
          <t>2N The Symphony Tower 2, Sgt. Esguerra Avenue, corner Timog Ave, Quezon City</t>
        </is>
      </c>
      <c r="AD705" s="4">
        <v>45908</v>
      </c>
      <c r="AE705" t="inlineStr">
        <is>
          <t>1st Payment - Sept. 26, 2025
Final Payment - Nov. 7, 2025</t>
        </is>
      </c>
      <c r="AF705" s="2"/>
      <c r="AG705" t="inlineStr">
        <is>
          <t>NzQyNTk5MTgyNzQ4MTg3MDM0MTo2MEFCRTk4Qi02NjM4LTRFMUEtOTIxNS0wNjc0Nzc4ODZCOTAtMTpiZWM3MmJiZjkxYjJmYzVkNWRlYWRmNDFjMTUwNjlkYjox</t>
        </is>
      </c>
      <c r="AH705" t="inlineStr">
        <is>
          <t>LiveBuzz Productions Inc.,</t>
        </is>
      </c>
      <c r="AI705"/>
      <c r="AJ705"/>
      <c r="AK705"/>
    </row>
    <row r="706" ht="25.5" customHeight="1">
      <c r="A706" s="2" t="str">
        <f>=HYPERLINK("https://applink.larksuite.com/client/mini_program/open?appId=cli_9c7cc8a9a9edd105&amp;mode=appCenter&amp;path_pc=pc/pages/requested/index?instanceId=7553252028286287904&amp;source=bitable&amp;path=pages/detail/index?instanceId=7553252028286287904&amp;source=bitable", "202509230127")</f>
        <v>202509230127</v>
      </c>
      <c r="B706" t="inlineStr">
        <is>
          <t>Approved</t>
        </is>
      </c>
      <c r="C706" t="inlineStr">
        <is>
          <t>Procurement Order</t>
        </is>
      </c>
      <c r="D706" s="3">
        <v>45923.83021990741</v>
      </c>
      <c r="E706" s="3">
        <v>45923.89575231481</v>
      </c>
      <c r="F706" t="inlineStr">
        <is>
          <t>Fatima Kathleen M. FLores</t>
        </is>
      </c>
      <c r="G706" t="inlineStr">
        <is>
          <t>Procurement</t>
        </is>
      </c>
      <c r="H706"/>
      <c r="I706"/>
      <c r="J706" t="inlineStr">
        <is>
          <t>Project</t>
        </is>
      </c>
      <c r="K706" t="inlineStr">
        <is>
          <t>PDEI - Game Marketing</t>
        </is>
      </c>
      <c r="L706" t="inlineStr">
        <is>
          <t>WCG 2025 Creator Rumble</t>
        </is>
      </c>
      <c r="M706" t="inlineStr">
        <is>
          <t>2025TEG-P0041</t>
        </is>
      </c>
      <c r="N706" t="inlineStr">
        <is>
          <t>Maura Aurel Atilano Yap</t>
        </is>
      </c>
      <c r="O706" t="inlineStr">
        <is>
          <t>202509080119-Maura Aurel Atilano Yap-费用报销 - 副本 - 副本 - 副本-2025-09-08 10:53:19</t>
        </is>
      </c>
      <c r="P706" t="inlineStr">
        <is>
          <t>YES</t>
        </is>
      </c>
      <c r="Q706"/>
      <c r="R706" t="inlineStr">
        <is>
          <t>NO</t>
        </is>
      </c>
      <c r="S706" t="inlineStr">
        <is>
          <t>Outsourced KOL (GianSanity)</t>
        </is>
      </c>
      <c r="T706">
        <v>1</v>
      </c>
      <c r="U706">
        <v>20000</v>
      </c>
      <c r="V706" t="inlineStr">
        <is>
          <t>PHP</t>
        </is>
      </c>
      <c r="W706">
        <v>20000</v>
      </c>
      <c r="X706" s="2" t="str">
        <f>=HYPERLINK("https://www.larksuite.com/approval/admin/previewAttachment?key=PMhBqgJBDATQK1Uq6U7qX-ZvZmhEcCX24CJnF1y4fbMMs4b5FEJGwTrHcA6CxZqsFKLZlimkpanPx_q_Yl3He2tv-f3F3rdjnU8bShLpEV4A7O_nnhEhzcDX8QkAAP__", "2 attachment(s)")</f>
        <v>2 attachment(s)</v>
      </c>
      <c r="Y706" t="inlineStr">
        <is>
          <t>Bank Transfer</t>
        </is>
      </c>
      <c r="Z706" t="inlineStr">
        <is>
          <t>Gian Carlo F. Abilla</t>
        </is>
      </c>
      <c r="AA706" t="inlineStr">
        <is>
          <t>1094 2519 9192</t>
        </is>
      </c>
      <c r="AB706" t="inlineStr">
        <is>
          <t>Unionbank</t>
        </is>
      </c>
      <c r="AC706" t="inlineStr">
        <is>
          <t>Blk. 3 9057 Ona Street, Poblacion, Candelaria, Quezon Province</t>
        </is>
      </c>
      <c r="AD706" s="4">
        <v>45908</v>
      </c>
      <c r="AE706" t="inlineStr">
        <is>
          <t>1st Payment - Sept. 26, 2025
Final Payment - Nov. 7, 2025</t>
        </is>
      </c>
      <c r="AF706" s="2"/>
      <c r="AG706" t="inlineStr">
        <is>
          <t>NzQyNTk5MTgyNzQ4MTg3MDM0MTpGMjA4MjFGNS0wQkE1LTQ3NUItQkU5MS03MzlFMzVDQzJERUItMTozY2M4N2MzMmE3ZWY5ZjMxODVmYTRlODA1YWM1YTEzNzox</t>
        </is>
      </c>
      <c r="AH706" t="inlineStr">
        <is>
          <t>Gian Carlo F. Abilla</t>
        </is>
      </c>
      <c r="AI706"/>
      <c r="AJ706"/>
      <c r="AK706"/>
    </row>
    <row r="707" ht="25.5" customHeight="1">
      <c r="A707" s="2" t="str">
        <f>=HYPERLINK("https://applink.larksuite.com/client/mini_program/open?appId=cli_9c7cc8a9a9edd105&amp;mode=appCenter&amp;path_pc=pc/pages/requested/index?instanceId=7553250861347061792&amp;source=bitable&amp;path=pages/detail/index?instanceId=7553250861347061792&amp;source=bitable", "202509230125")</f>
        <v>202509230125</v>
      </c>
      <c r="B707" t="inlineStr">
        <is>
          <t>Approved</t>
        </is>
      </c>
      <c r="C707" t="inlineStr">
        <is>
          <t>Procurement Order</t>
        </is>
      </c>
      <c r="D707" s="3">
        <v>45923.82707175926</v>
      </c>
      <c r="E707" s="3">
        <v>45923.897002314814</v>
      </c>
      <c r="F707" t="inlineStr">
        <is>
          <t>Fatima Kathleen M. FLores</t>
        </is>
      </c>
      <c r="G707" t="inlineStr">
        <is>
          <t>Procurement</t>
        </is>
      </c>
      <c r="H707"/>
      <c r="I707"/>
      <c r="J707" t="inlineStr">
        <is>
          <t>Project</t>
        </is>
      </c>
      <c r="K707" t="inlineStr">
        <is>
          <t>PDEI - Game Marketing</t>
        </is>
      </c>
      <c r="L707" t="inlineStr">
        <is>
          <t>WCG 2025 Creator Rumble</t>
        </is>
      </c>
      <c r="M707" t="inlineStr">
        <is>
          <t>2025TEG-P0041</t>
        </is>
      </c>
      <c r="N707" t="inlineStr">
        <is>
          <t>Maura Aurel Atilano Yap</t>
        </is>
      </c>
      <c r="O707" t="inlineStr">
        <is>
          <t>202509080119-Maura Aurel Atilano Yap-费用报销 - 副本 - 副本 - 副本-2025-09-08 10:53:19</t>
        </is>
      </c>
      <c r="P707" t="inlineStr">
        <is>
          <t>YES</t>
        </is>
      </c>
      <c r="Q707"/>
      <c r="R707" t="inlineStr">
        <is>
          <t>NO</t>
        </is>
      </c>
      <c r="S707" t="inlineStr">
        <is>
          <t>Outsourced KOL (AceDhaniel)</t>
        </is>
      </c>
      <c r="T707">
        <v>1</v>
      </c>
      <c r="U707">
        <v>15000</v>
      </c>
      <c r="V707" t="inlineStr">
        <is>
          <t>PHP</t>
        </is>
      </c>
      <c r="W707">
        <v>15000</v>
      </c>
      <c r="X707" s="2" t="str">
        <f>=HYPERLINK("https://www.larksuite.com/approval/admin/previewAttachment?key=PMhBCkIxDATQK80kadLxMm5aiiAfBMFdzi64cPtyEjkHPYUQTWDXGG4DM-lRSJasrVklFIvqfZ379vk8XEuvy1es_jzW2W8OlRnKI3wC4O3vXhEhZeDn-AYAAP__", "2 attachment(s)")</f>
        <v>2 attachment(s)</v>
      </c>
      <c r="Y707" t="inlineStr">
        <is>
          <t>Bank Transfer</t>
        </is>
      </c>
      <c r="Z707" t="inlineStr">
        <is>
          <t>Ace Dhaniel Sacueza</t>
        </is>
      </c>
      <c r="AA707" t="inlineStr">
        <is>
          <t>4016330539</t>
        </is>
      </c>
      <c r="AB707" t="inlineStr">
        <is>
          <t>BPI</t>
        </is>
      </c>
      <c r="AC707" t="inlineStr">
        <is>
          <t>Blk. 6 Lot 11 Regina Lane Diamond Village, Brgy. Kaligayahan Quezon City</t>
        </is>
      </c>
      <c r="AD707" s="4">
        <v>45908</v>
      </c>
      <c r="AE707" t="inlineStr">
        <is>
          <t>1st Payment - Sept. 26, 2025
Final Payment - Nov. 7, 2025</t>
        </is>
      </c>
      <c r="AF707" s="2"/>
      <c r="AG707" t="inlineStr">
        <is>
          <t>NzQyNTk5MTgyNzQ4MTg3MDM0MTpFRDNGNkFDQi00MUYzLTQ1REItODQ3NC0yRUYyNkYxRDI4RDUtMToyYTNkOGYyNzY0NDY4ZWQwNTAwZDc2MzU2NzkyZGM2Mjox</t>
        </is>
      </c>
      <c r="AH707" t="inlineStr">
        <is>
          <t>Ace Dhaniel Sacueza</t>
        </is>
      </c>
      <c r="AI707"/>
      <c r="AJ707"/>
      <c r="AK707"/>
    </row>
    <row r="708" ht="25.5" customHeight="1">
      <c r="A708" s="2" t="str">
        <f>=HYPERLINK("https://applink.larksuite.com/client/mini_program/open?appId=cli_9c7cc8a9a9edd105&amp;mode=appCenter&amp;path_pc=pc/pages/requested/index?instanceId=7553249771788435487&amp;source=bitable&amp;path=pages/detail/index?instanceId=7553249771788435487&amp;source=bitable", "202509230124")</f>
        <v>202509230124</v>
      </c>
      <c r="B708" t="inlineStr">
        <is>
          <t>Approved</t>
        </is>
      </c>
      <c r="C708" t="inlineStr">
        <is>
          <t>Procurement Order</t>
        </is>
      </c>
      <c r="D708" s="3">
        <v>45923.82414351852</v>
      </c>
      <c r="E708" s="3">
        <v>45923.89734953704</v>
      </c>
      <c r="F708" t="inlineStr">
        <is>
          <t>Fatima Kathleen M. FLores</t>
        </is>
      </c>
      <c r="G708" t="inlineStr">
        <is>
          <t>Procurement</t>
        </is>
      </c>
      <c r="H708"/>
      <c r="I708"/>
      <c r="J708" t="inlineStr">
        <is>
          <t>Project</t>
        </is>
      </c>
      <c r="K708" t="inlineStr">
        <is>
          <t>PDEI - Game Marketing</t>
        </is>
      </c>
      <c r="L708" t="inlineStr">
        <is>
          <t>WCG 2025 Creator Rumble</t>
        </is>
      </c>
      <c r="M708" t="inlineStr">
        <is>
          <t>2025TEG-P0041</t>
        </is>
      </c>
      <c r="N708" t="inlineStr">
        <is>
          <t>Maura Aurel Atilano Yap</t>
        </is>
      </c>
      <c r="O708" t="inlineStr">
        <is>
          <t>202509080119-Maura Aurel Atilano Yap-费用报销 - 副本 - 副本 - 副本-2025-09-08 10:53:19</t>
        </is>
      </c>
      <c r="P708" t="inlineStr">
        <is>
          <t>YES</t>
        </is>
      </c>
      <c r="Q708"/>
      <c r="R708" t="inlineStr">
        <is>
          <t>NO</t>
        </is>
      </c>
      <c r="S708" t="inlineStr">
        <is>
          <t>Outsourced KOL (MCHero)</t>
        </is>
      </c>
      <c r="T708">
        <v>1</v>
      </c>
      <c r="U708">
        <v>20000</v>
      </c>
      <c r="V708" t="inlineStr">
        <is>
          <t>PHP</t>
        </is>
      </c>
      <c r="W708">
        <v>20000</v>
      </c>
      <c r="X708" s="2" t="str">
        <f>=HYPERLINK("https://www.larksuite.com/approval/admin/previewAttachment?key=PMgxDsIwDAXQK_nH3_k2l2FpFFGhdkFly9mRGLq-nrCeAe9lLLQyLEV4Y0lQJj2YWm1BKhOEWuOYz-H5nud-Kc5jv7b1fW1zfBCl1kxOepoZHre7SFZ12t_tFwAA__8", "2 attachment(s)")</f>
        <v>2 attachment(s)</v>
      </c>
      <c r="Y708" t="inlineStr">
        <is>
          <t>Bank Transfer</t>
        </is>
      </c>
      <c r="Z708" t="inlineStr">
        <is>
          <t>Vizxeal Cristobal Degulacion</t>
        </is>
      </c>
      <c r="AA708" t="inlineStr">
        <is>
          <t>012180089593</t>
        </is>
      </c>
      <c r="AB708" t="inlineStr">
        <is>
          <t>BDO</t>
        </is>
      </c>
      <c r="AC708" t="inlineStr">
        <is>
          <t>1042 Jasmin Street Batasan Hills Quezon City</t>
        </is>
      </c>
      <c r="AD708" s="4">
        <v>45908</v>
      </c>
      <c r="AE708" t="inlineStr">
        <is>
          <t>1st Payment - Sept. 26, 2025
Final Payment - Nov. 7, 2025</t>
        </is>
      </c>
      <c r="AF708" s="2"/>
      <c r="AG708" t="inlineStr">
        <is>
          <t>NzQyNTk5MTgyNzQ4MTg3MDM0MTozNzM4OTg4Mi02MDI1LTRFQkItQUNDRC03QUU5OURGMEVFNTgtMToxNjc0NmFiNzg3NjExZTQyNjgyMjQwYjM3MjczMGRlZjox</t>
        </is>
      </c>
      <c r="AH708" t="inlineStr">
        <is>
          <t>Vizxeal Cristobal Degulacion</t>
        </is>
      </c>
      <c r="AI708"/>
      <c r="AJ708"/>
      <c r="AK708"/>
    </row>
    <row r="709" ht="25.5" customHeight="1">
      <c r="A709" s="2" t="str">
        <f>=HYPERLINK("https://applink.larksuite.com/client/mini_program/open?appId=cli_9c7cc8a9a9edd105&amp;mode=appCenter&amp;path_pc=pc/pages/requested/index?instanceId=7553248737322090534&amp;source=bitable&amp;path=pages/detail/index?instanceId=7553248737322090534&amp;source=bitable", "202509230123")</f>
        <v>202509230123</v>
      </c>
      <c r="B709" t="inlineStr">
        <is>
          <t>Approved</t>
        </is>
      </c>
      <c r="C709" t="inlineStr">
        <is>
          <t>Procurement Order</t>
        </is>
      </c>
      <c r="D709" s="3">
        <v>45923.82135416667</v>
      </c>
      <c r="E709" s="3">
        <v>45923.89818287037</v>
      </c>
      <c r="F709" t="inlineStr">
        <is>
          <t>Fatima Kathleen M. FLores</t>
        </is>
      </c>
      <c r="G709" t="inlineStr">
        <is>
          <t>Procurement</t>
        </is>
      </c>
      <c r="H709"/>
      <c r="I709"/>
      <c r="J709" t="inlineStr">
        <is>
          <t>Project</t>
        </is>
      </c>
      <c r="K709" t="inlineStr">
        <is>
          <t>PDEI - Game Marketing</t>
        </is>
      </c>
      <c r="L709" t="inlineStr">
        <is>
          <t>WCG 2025 Creator Rumble</t>
        </is>
      </c>
      <c r="M709" t="inlineStr">
        <is>
          <t>2025TEG-P0041</t>
        </is>
      </c>
      <c r="N709" t="inlineStr">
        <is>
          <t>Maura Aurel Atilano Yap</t>
        </is>
      </c>
      <c r="O709" t="inlineStr">
        <is>
          <t>202509080119-Maura Aurel Atilano Yap-费用报销 - 副本 - 副本 - 副本-2025-09-08 10:53:19</t>
        </is>
      </c>
      <c r="P709" t="inlineStr">
        <is>
          <t>YES</t>
        </is>
      </c>
      <c r="Q709"/>
      <c r="R709" t="inlineStr">
        <is>
          <t>NO</t>
        </is>
      </c>
      <c r="S709" t="inlineStr">
        <is>
          <t>Outsourced KOL (Hikaru Wakano)</t>
        </is>
      </c>
      <c r="T709">
        <v>1</v>
      </c>
      <c r="U709">
        <v>20000</v>
      </c>
      <c r="V709" t="inlineStr">
        <is>
          <t>PHP</t>
        </is>
      </c>
      <c r="W709">
        <v>20000</v>
      </c>
      <c r="X709" s="2" t="str">
        <f>=HYPERLINK("https://www.larksuite.com/approval/admin/previewAttachment?key=PMgxDsIwFAPQK_l_O3E-l2FpVYGgE6Kw5OxIDF1fH4E-WrAXVJGFmG6NqWGamSg0auYMu-Bw1Fz37Tp03Pd3fPkhl-djHrdlW1_RypkwJQ4AcTmdllTVhb_jFwAA__8", "2 attachment(s)")</f>
        <v>2 attachment(s)</v>
      </c>
      <c r="Y709" t="inlineStr">
        <is>
          <t>Bank Transfer</t>
        </is>
      </c>
      <c r="Z709" t="inlineStr">
        <is>
          <t>Princess Diane R. Picardal</t>
        </is>
      </c>
      <c r="AA709" t="inlineStr">
        <is>
          <t>1025 2004 4407</t>
        </is>
      </c>
      <c r="AB709" t="inlineStr">
        <is>
          <t>Unionbank</t>
        </is>
      </c>
      <c r="AC709" t="inlineStr">
        <is>
          <t>B6 L11 Regina Lane, Diamond Village, Quezon City</t>
        </is>
      </c>
      <c r="AD709" s="4">
        <v>45908</v>
      </c>
      <c r="AE709" t="inlineStr">
        <is>
          <t>1st Payment - Sept. 26, 2025
Final Payment - Nov. 7, 2025</t>
        </is>
      </c>
      <c r="AF709" s="2"/>
      <c r="AG709" t="inlineStr">
        <is>
          <t>NzQyNTk5MTgyNzQ4MTg3MDM0MTozQ0E4Qzg3Ni04NzhBLTRGMDYtQTA0Ni0yNkM1RTRGNjI3OEUtMTpmMDVmM2FiNjA3ZTExNDdjYTc3OWE4YzJhOTdmM2ZkZTox</t>
        </is>
      </c>
      <c r="AH709" t="inlineStr">
        <is>
          <t>Princess Diane R. Picardal</t>
        </is>
      </c>
      <c r="AI709"/>
      <c r="AJ709"/>
      <c r="AK709"/>
    </row>
    <row r="710" ht="25.5" customHeight="1">
      <c r="A710" s="2" t="str">
        <f>=HYPERLINK("https://applink.larksuite.com/client/mini_program/open?appId=cli_9c7cc8a9a9edd105&amp;mode=appCenter&amp;path_pc=pc/pages/requested/index?instanceId=7553247560979234847&amp;source=bitable&amp;path=pages/detail/index?instanceId=7553247560979234847&amp;source=bitable", "202509230122")</f>
        <v>202509230122</v>
      </c>
      <c r="B710" t="inlineStr">
        <is>
          <t>Approved</t>
        </is>
      </c>
      <c r="C710" t="inlineStr">
        <is>
          <t>Procurement Order</t>
        </is>
      </c>
      <c r="D710" s="3">
        <v>45923.81818287037</v>
      </c>
      <c r="E710" s="3">
        <v>45923.89854166667</v>
      </c>
      <c r="F710" t="inlineStr">
        <is>
          <t>Fatima Kathleen M. FLores</t>
        </is>
      </c>
      <c r="G710" t="inlineStr">
        <is>
          <t>Procurement</t>
        </is>
      </c>
      <c r="H710"/>
      <c r="I710"/>
      <c r="J710" t="inlineStr">
        <is>
          <t>Project</t>
        </is>
      </c>
      <c r="K710" t="inlineStr">
        <is>
          <t>PDEI - Game Marketing</t>
        </is>
      </c>
      <c r="L710" t="inlineStr">
        <is>
          <t>WCG 2025 Creator Rumble</t>
        </is>
      </c>
      <c r="M710" t="inlineStr">
        <is>
          <t>2025TEG-P0041</t>
        </is>
      </c>
      <c r="N710" t="inlineStr">
        <is>
          <t>Maura Aurel Atilano Yap</t>
        </is>
      </c>
      <c r="O710" t="inlineStr">
        <is>
          <t>202509080119-Maura Aurel Atilano Yap-费用报销 - 副本 - 副本 - 副本-2025-09-08 10:53:19</t>
        </is>
      </c>
      <c r="P710" t="inlineStr">
        <is>
          <t>YES</t>
        </is>
      </c>
      <c r="Q710"/>
      <c r="R710" t="inlineStr">
        <is>
          <t>NO</t>
        </is>
      </c>
      <c r="S710" t="inlineStr">
        <is>
          <t>Outsourced KOL (Honeyglaze)</t>
        </is>
      </c>
      <c r="T710">
        <v>1</v>
      </c>
      <c r="U710">
        <v>14000</v>
      </c>
      <c r="V710" t="inlineStr">
        <is>
          <t>PHP</t>
        </is>
      </c>
      <c r="W710">
        <v>14000</v>
      </c>
      <c r="X710" s="2" t="str">
        <f>=HYPERLINK("https://www.larksuite.com/approval/admin/previewAttachment?key=PMg7CkIxFATQLc39ZTJuxiYhCGoawS5rFyxee1o3tF4WTUiZC3ZYFZ6sBlEe2ZPHj5ECjaYz3-s-oz_X3oN7FF91vo-x5sdKdAcjMzoAu10ezEypJf6OXwAAAP__", "2 attachment(s)")</f>
        <v>2 attachment(s)</v>
      </c>
      <c r="Y710" t="inlineStr">
        <is>
          <t>Bank Transfer</t>
        </is>
      </c>
      <c r="Z710" t="inlineStr">
        <is>
          <t>Maria Angelica Cortez</t>
        </is>
      </c>
      <c r="AA710" t="inlineStr">
        <is>
          <t>109428078791</t>
        </is>
      </c>
      <c r="AB710" t="inlineStr">
        <is>
          <t>Unionbank</t>
        </is>
      </c>
      <c r="AC710" t="inlineStr">
        <is>
          <t>B14, L39 GPL2, Greengate Homes, Imus Cavite</t>
        </is>
      </c>
      <c r="AD710" s="4">
        <v>45908</v>
      </c>
      <c r="AE710" t="inlineStr">
        <is>
          <t>1st Payment - Sept. 26, 2025
Final Payment - Nov. 7, 2025</t>
        </is>
      </c>
      <c r="AF710" s="2"/>
      <c r="AG710" t="inlineStr">
        <is>
          <t>NzQyNTk5MTgyNzQ4MTg3MDM0MToxMjk2MTA1Ny04NEM5LTRGRDUtODI1Qy01OEI1M0FCMjAzOUUtMTo0NmNmZjMxYTFmNjYwMmIxNGUxNjYzOWIxM2I4NjU1Njox</t>
        </is>
      </c>
      <c r="AH710" t="inlineStr">
        <is>
          <t>Maria Angelica Cortez</t>
        </is>
      </c>
      <c r="AI710"/>
      <c r="AJ710"/>
      <c r="AK710"/>
    </row>
    <row r="711" ht="25.5" customHeight="1">
      <c r="A711" s="2" t="str">
        <f>=HYPERLINK("https://applink.larksuite.com/client/mini_program/open?appId=cli_9c7cc8a9a9edd105&amp;mode=appCenter&amp;path_pc=pc/pages/requested/index?instanceId=7553246451866796064&amp;source=bitable&amp;path=pages/detail/index?instanceId=7553246451866796064&amp;source=bitable", "202509230121")</f>
        <v>202509230121</v>
      </c>
      <c r="B711" t="inlineStr">
        <is>
          <t>Approved</t>
        </is>
      </c>
      <c r="C711" t="inlineStr">
        <is>
          <t>Procurement Order</t>
        </is>
      </c>
      <c r="D711" s="3">
        <v>45923.81519675926</v>
      </c>
      <c r="E711" s="3">
        <v>45923.89895833333</v>
      </c>
      <c r="F711" t="inlineStr">
        <is>
          <t>Fatima Kathleen M. FLores</t>
        </is>
      </c>
      <c r="G711" t="inlineStr">
        <is>
          <t>Procurement</t>
        </is>
      </c>
      <c r="H711"/>
      <c r="I711"/>
      <c r="J711" t="inlineStr">
        <is>
          <t>Project</t>
        </is>
      </c>
      <c r="K711" t="inlineStr">
        <is>
          <t>PDEI - Game Marketing</t>
        </is>
      </c>
      <c r="L711" t="inlineStr">
        <is>
          <t>WCG 2025 Creator Rumble</t>
        </is>
      </c>
      <c r="M711" t="inlineStr">
        <is>
          <t>2025TEG-P0041</t>
        </is>
      </c>
      <c r="N711" t="inlineStr">
        <is>
          <t>Maura Aurel Atilano Yap</t>
        </is>
      </c>
      <c r="O711" t="inlineStr">
        <is>
          <t>202509080119-Maura Aurel Atilano Yap-费用报销 - 副本 - 副本 - 副本-2025-09-08 10:53:19</t>
        </is>
      </c>
      <c r="P711" t="inlineStr">
        <is>
          <t>YES</t>
        </is>
      </c>
      <c r="Q711"/>
      <c r="R711" t="inlineStr">
        <is>
          <t>NO</t>
        </is>
      </c>
      <c r="S711" t="inlineStr">
        <is>
          <t>Outsourced KOL (Yasumi)</t>
        </is>
      </c>
      <c r="T711">
        <v>1</v>
      </c>
      <c r="U711">
        <v>10000</v>
      </c>
      <c r="V711" t="inlineStr">
        <is>
          <t>PHP</t>
        </is>
      </c>
      <c r="W711">
        <v>10000</v>
      </c>
      <c r="X711" s="2" t="str">
        <f>=HYPERLINK("https://www.larksuite.com/approval/admin/previewAttachment?key=PMgxqgJBEATQK1XNVHdP_cv8ZJdFgwVBHDWYswsGpi8HkSPY05DZDK6K6E2p4MgsJ1KrLVYZxaLXfh7_Edv1-Zgvv8-h21zzsh37neFqDdWlPgDw7-e9JNkpfB2fAAAA__8", "2 attachment(s)")</f>
        <v>2 attachment(s)</v>
      </c>
      <c r="Y711" t="inlineStr">
        <is>
          <t>Bank Transfer</t>
        </is>
      </c>
      <c r="Z711" t="inlineStr">
        <is>
          <t>Immanuelle Ong Espiritu</t>
        </is>
      </c>
      <c r="AA711" t="inlineStr">
        <is>
          <t>200029383161</t>
        </is>
      </c>
      <c r="AB711" t="inlineStr">
        <is>
          <t>Eastwest Bank</t>
        </is>
      </c>
      <c r="AC711" t="inlineStr">
        <is>
          <t>9057 Ona St. Brgy. Poblacion, Candelaria, Quezon</t>
        </is>
      </c>
      <c r="AD711" s="4">
        <v>45908</v>
      </c>
      <c r="AE711" t="inlineStr">
        <is>
          <t>1st Payment - Sept. 26, 2025
Final Payment - Nov. 7, 2025</t>
        </is>
      </c>
      <c r="AF711" s="2"/>
      <c r="AG711" t="inlineStr">
        <is>
          <t>NzQyNTk5MTgyNzQ4MTg3MDM0MToyRjE5QzZBRi1FQ0UwLTRBMkEtQTBDRS0wNEQ1QzU2NEE3MTQtMTpjMmIxNWQxNzZkM2EwMWIwN2MzMjQ0NjNmOWI2N2UzMDox</t>
        </is>
      </c>
      <c r="AH711" t="inlineStr">
        <is>
          <t>Immanuelle Ong Espiritu</t>
        </is>
      </c>
      <c r="AI711"/>
      <c r="AJ711"/>
      <c r="AK711"/>
    </row>
    <row r="712" ht="25.5" customHeight="1">
      <c r="A712" s="2" t="str">
        <f>=HYPERLINK("https://applink.larksuite.com/client/mini_program/open?appId=cli_9c7cc8a9a9edd105&amp;mode=appCenter&amp;path_pc=pc/pages/requested/index?instanceId=7553244933126144038&amp;source=bitable&amp;path=pages/detail/index?instanceId=7553244933126144038&amp;source=bitable", "202509230120")</f>
        <v>202509230120</v>
      </c>
      <c r="B712" t="inlineStr">
        <is>
          <t>Approved</t>
        </is>
      </c>
      <c r="C712" t="inlineStr">
        <is>
          <t>Procurement Order</t>
        </is>
      </c>
      <c r="D712" s="3">
        <v>45923.81109953704</v>
      </c>
      <c r="E712" s="3">
        <v>45923.89927083333</v>
      </c>
      <c r="F712" t="inlineStr">
        <is>
          <t>Fatima Kathleen M. FLores</t>
        </is>
      </c>
      <c r="G712" t="inlineStr">
        <is>
          <t>Procurement</t>
        </is>
      </c>
      <c r="H712"/>
      <c r="I712"/>
      <c r="J712" t="inlineStr">
        <is>
          <t>Project</t>
        </is>
      </c>
      <c r="K712" t="inlineStr">
        <is>
          <t>PDEI - Game Marketing</t>
        </is>
      </c>
      <c r="L712" t="inlineStr">
        <is>
          <t>WCG 2025 Creator Rumble</t>
        </is>
      </c>
      <c r="M712" t="inlineStr">
        <is>
          <t>2025TEG-P0041</t>
        </is>
      </c>
      <c r="N712" t="inlineStr">
        <is>
          <t>Maura Aurel Atilano Yap</t>
        </is>
      </c>
      <c r="O712" t="inlineStr">
        <is>
          <t>202509080119-Maura Aurel Atilano Yap-费用报销 - 副本 - 副本 - 副本-2025-09-08 10:53:19</t>
        </is>
      </c>
      <c r="P712" t="inlineStr">
        <is>
          <t>YES</t>
        </is>
      </c>
      <c r="Q712"/>
      <c r="R712" t="inlineStr">
        <is>
          <t>NO</t>
        </is>
      </c>
      <c r="S712" t="inlineStr">
        <is>
          <t>Outsourced KOL (Lia Bear)</t>
        </is>
      </c>
      <c r="T712">
        <v>1</v>
      </c>
      <c r="U712">
        <v>10000</v>
      </c>
      <c r="V712" t="inlineStr">
        <is>
          <t>PHP</t>
        </is>
      </c>
      <c r="W712">
        <v>10000</v>
      </c>
      <c r="X712" s="2" t="str">
        <f>=HYPERLINK("https://www.larksuite.com/approval/admin/previewAttachment?key=PMhBCgIxDAXQK_2f_DaNl3FjKTKOMiAoLnJ2wYXb1wfRR6P3hJKWYEVrblK60zol-CgrRiSCwax5X-djW4_PG8fettues17Xy5pPtgwzhEs-APD0dw9JmV34Ob4BAAD__w", "2 attachment(s)")</f>
        <v>2 attachment(s)</v>
      </c>
      <c r="Y712" t="inlineStr">
        <is>
          <t>Bank Transfer</t>
        </is>
      </c>
      <c r="Z712" t="inlineStr">
        <is>
          <t>Emi Gonzales</t>
        </is>
      </c>
      <c r="AA712" t="inlineStr">
        <is>
          <t>0779118681</t>
        </is>
      </c>
      <c r="AB712" t="inlineStr">
        <is>
          <t>BPI</t>
        </is>
      </c>
      <c r="AC712" t="inlineStr">
        <is>
          <t>Brgy. Mayowe Tayabas City, Quezon Province</t>
        </is>
      </c>
      <c r="AD712" s="4">
        <v>45908</v>
      </c>
      <c r="AE712" t="inlineStr">
        <is>
          <t>1st Payment - Sept. 26, 2025
Final Payment - Nov. 7, 2025</t>
        </is>
      </c>
      <c r="AF712" s="2"/>
      <c r="AG712" t="inlineStr">
        <is>
          <t>NzQyNTk5MTgyNzQ4MTg3MDM0MTpFMEQ0MjBEQy04NjIzLTQ4QjAtODhBNy1EQjgwM0MwNTI4MzgtMTo2ZWQxYmI4ZDMzZDdlNjBkZTRmM2YzZTQ1NTgwYzNhMjox</t>
        </is>
      </c>
      <c r="AH712" t="inlineStr">
        <is>
          <t>Emi Gonzales</t>
        </is>
      </c>
      <c r="AI712"/>
      <c r="AJ712"/>
      <c r="AK712"/>
    </row>
    <row r="713" ht="25.5" customHeight="1">
      <c r="A713" s="2" t="str">
        <f>=HYPERLINK("https://applink.larksuite.com/client/mini_program/open?appId=cli_9c7cc8a9a9edd105&amp;mode=appCenter&amp;path_pc=pc/pages/requested/index?instanceId=7553229164589891615&amp;source=bitable&amp;path=pages/detail/index?instanceId=7553229164589891615&amp;source=bitable", "202509230102")</f>
        <v>202509230102</v>
      </c>
      <c r="B713" t="inlineStr">
        <is>
          <t>Approved</t>
        </is>
      </c>
      <c r="C713" t="inlineStr">
        <is>
          <t>Procurement Order</t>
        </is>
      </c>
      <c r="D713" s="3">
        <v>45923.76861111111</v>
      </c>
      <c r="E713" s="3">
        <v>45926.58508101852</v>
      </c>
      <c r="F713" t="inlineStr">
        <is>
          <t>Fatima Kathleen M. FLores</t>
        </is>
      </c>
      <c r="G713" t="inlineStr">
        <is>
          <t>Procurement</t>
        </is>
      </c>
      <c r="H713"/>
      <c r="I713"/>
      <c r="J713" t="inlineStr">
        <is>
          <t>Project</t>
        </is>
      </c>
      <c r="K713" t="inlineStr">
        <is>
          <t>PDEI - Event Service</t>
        </is>
      </c>
      <c r="L713" t="inlineStr">
        <is>
          <t>GTCC 2025: September Arena</t>
        </is>
      </c>
      <c r="M713" t="inlineStr">
        <is>
          <t>2025TEG-P0236</t>
        </is>
      </c>
      <c r="N713" t="inlineStr">
        <is>
          <t>Carla Andrea Calma Crespo</t>
        </is>
      </c>
      <c r="O713" t="inlineStr">
        <is>
          <t>202509140019-Carla Andrea Calma Crespo-费用报销 - 副本 - 副本 - 副本-2025-09-14 15:47:16</t>
        </is>
      </c>
      <c r="P713" t="inlineStr">
        <is>
          <t>YES</t>
        </is>
      </c>
      <c r="Q713"/>
      <c r="R713" t="inlineStr">
        <is>
          <t>YES</t>
        </is>
      </c>
      <c r="S713" t="inlineStr">
        <is>
          <t>Outsourced Referee</t>
        </is>
      </c>
      <c r="T713">
        <v>1</v>
      </c>
      <c r="U713">
        <v>4500</v>
      </c>
      <c r="V713" t="inlineStr">
        <is>
          <t>PHP</t>
        </is>
      </c>
      <c r="W713">
        <v>4500</v>
      </c>
      <c r="X713" s="2" t="str">
        <f>=HYPERLINK("https://www.larksuite.com/approval/admin/previewAttachment?key=PMg9qgJADATgK2WSSbLzLvMal0XxB0EULPbsgoXtVwNWIxElo-Ay7M4Md6GYQ0Mo5PaNblmjoT2v6__5XjFvupx4vtO5X8fDmg-k2t06yBhmhr-fR5OUivZ1-wQAAP__", "2 attachment(s)")</f>
        <v>2 attachment(s)</v>
      </c>
      <c r="Y713" t="inlineStr">
        <is>
          <t>Bank Transfer</t>
        </is>
      </c>
      <c r="Z713" t="inlineStr">
        <is>
          <t>Cromwell Jan Erquiza</t>
        </is>
      </c>
      <c r="AA713" t="inlineStr">
        <is>
          <t>09294212967</t>
        </is>
      </c>
      <c r="AB713" t="inlineStr">
        <is>
          <t>PayMaya</t>
        </is>
      </c>
      <c r="AC713" t="inlineStr">
        <is>
          <t>10 Negros Street Bago Bantay Quezon City</t>
        </is>
      </c>
      <c r="AD713" s="4">
        <v>45919</v>
      </c>
      <c r="AE713" t="inlineStr">
        <is>
          <t>100% Full Payment - Oct. 3, 2025</t>
        </is>
      </c>
      <c r="AF713" s="2"/>
      <c r="AG713" t="inlineStr">
        <is>
          <t>NzQyNTk5MTgyNzQ4MTg3MDM0MToyNEIwRjkxNS0wM0I4LTQwMkMtQUM2MC0zRTE2M0U5MzA0NzQtMTozZWQ2YjI1MDJkNGExN2E1NTc1M2FiMWEwOGQ0YmUwYjox</t>
        </is>
      </c>
      <c r="AH713" t="inlineStr">
        <is>
          <t>Cromwell Jan Erquiza</t>
        </is>
      </c>
      <c r="AI713"/>
      <c r="AJ713"/>
      <c r="AK713"/>
    </row>
    <row r="714" ht="25.5" customHeight="1">
      <c r="A714" s="2" t="str">
        <f>=HYPERLINK("https://applink.larksuite.com/client/mini_program/open?appId=cli_9c7cc8a9a9edd105&amp;mode=appCenter&amp;path_pc=pc/pages/requested/index?instanceId=7553201357495287846&amp;source=bitable&amp;path=pages/detail/index?instanceId=7553201357495287846&amp;source=bitable", "202509230074")</f>
        <v>202509230074</v>
      </c>
      <c r="B714" t="inlineStr">
        <is>
          <t>Approved</t>
        </is>
      </c>
      <c r="C714" t="inlineStr">
        <is>
          <t>Procurement Order</t>
        </is>
      </c>
      <c r="D714" s="3">
        <v>45923.69366898148</v>
      </c>
      <c r="E714" s="3">
        <v>45940.42752314815</v>
      </c>
      <c r="F714" t="inlineStr">
        <is>
          <t>Fatima Kathleen M. FLores</t>
        </is>
      </c>
      <c r="G714" t="inlineStr">
        <is>
          <t>Procurement</t>
        </is>
      </c>
      <c r="H714"/>
      <c r="I714"/>
      <c r="J714" t="inlineStr">
        <is>
          <t>Project</t>
        </is>
      </c>
      <c r="K714" t="inlineStr">
        <is>
          <t>PDEI - Event Service</t>
        </is>
      </c>
      <c r="L714" t="inlineStr">
        <is>
          <t>GTCC 2025: September Arena</t>
        </is>
      </c>
      <c r="M714" t="inlineStr">
        <is>
          <t>2025TEG-P0236</t>
        </is>
      </c>
      <c r="N714" t="inlineStr">
        <is>
          <t>Carla Andrea Calma Crespo</t>
        </is>
      </c>
      <c r="O714" t="inlineStr">
        <is>
          <t>202509140010-Carla Andrea Calma Crespo-费用报销 - 副本 - 副本 - 副本-2025-09-14 13:42:31</t>
        </is>
      </c>
      <c r="P714" t="inlineStr">
        <is>
          <t>YES</t>
        </is>
      </c>
      <c r="Q714"/>
      <c r="R714" t="inlineStr">
        <is>
          <t>YES</t>
        </is>
      </c>
      <c r="S714" t="inlineStr">
        <is>
          <t>Outsourced Host (Queen Semana)</t>
        </is>
      </c>
      <c r="T714">
        <v>1</v>
      </c>
      <c r="U714">
        <v>60000</v>
      </c>
      <c r="V714" t="inlineStr">
        <is>
          <t>PHP</t>
        </is>
      </c>
      <c r="W714">
        <v>60000</v>
      </c>
      <c r="X714" s="2" t="str">
        <f>=HYPERLINK("https://www.larksuite.com/approval/admin/previewAttachment?key=PMg9CgIxFATgK837y2S8jE3CIupWgmDxzi5Y2H5jGsYsiyGkzAVrVoXDopgqn5w52ttIgUZT7_O43s9dnyUVH5vP1e_bOvbLSnQHIzMmALv8PZiZ0kj8HN8AAAD__w", "2 attachment(s)")</f>
        <v>2 attachment(s)</v>
      </c>
      <c r="Y714" t="inlineStr">
        <is>
          <t>Bank Transfer</t>
        </is>
      </c>
      <c r="Z714" t="inlineStr">
        <is>
          <t>Queen Jennica Semana</t>
        </is>
      </c>
      <c r="AA714" t="inlineStr">
        <is>
          <t>2483248079550</t>
        </is>
      </c>
      <c r="AB714" t="inlineStr">
        <is>
          <t>Metrobank</t>
        </is>
      </c>
      <c r="AC714" t="inlineStr">
        <is>
          <t>19B Tower 2 Little Baguio Terraces N. Domingo San Juan City</t>
        </is>
      </c>
      <c r="AD714" s="4">
        <v>45919</v>
      </c>
      <c r="AE714" t="inlineStr">
        <is>
          <t>1st Payment - Oct. 10, 2025
2nd Payment - Oct. 24, 2025
Final Payment - Nov. 7, 2025</t>
        </is>
      </c>
      <c r="AF714" s="2"/>
      <c r="AG714" t="inlineStr">
        <is>
          <t>NzQyNTk5MTgyNzQ4MTg3MDM0MTo2QURDOUU3MS05QzgxLTQ1QjYtOTdGNC02OTAyMTA5MENGRkEtMTowYmI2YTg2Njc5NWRhZGFlY2ZkM2ViNzYzOGQ0ZWMzNDox</t>
        </is>
      </c>
      <c r="AH714" t="inlineStr">
        <is>
          <t>Queen Jennica Semana</t>
        </is>
      </c>
      <c r="AI714"/>
      <c r="AJ714"/>
      <c r="AK714"/>
    </row>
    <row r="715" ht="25.5" customHeight="1">
      <c r="A715" s="2" t="str">
        <f>=HYPERLINK("https://applink.larksuite.com/client/mini_program/open?appId=cli_9c7cc8a9a9edd105&amp;mode=appCenter&amp;path_pc=pc/pages/requested/index?instanceId=7553197528150229030&amp;source=bitable&amp;path=pages/detail/index?instanceId=7553197528150229030&amp;source=bitable", "202509230071")</f>
        <v>202509230071</v>
      </c>
      <c r="B715" t="inlineStr">
        <is>
          <t>Approved</t>
        </is>
      </c>
      <c r="C715" t="inlineStr">
        <is>
          <t>Procurement Order</t>
        </is>
      </c>
      <c r="D715" s="3">
        <v>45923.68335648148</v>
      </c>
      <c r="E715" s="3">
        <v>45939.807546296295</v>
      </c>
      <c r="F715" t="inlineStr">
        <is>
          <t>Fatima Kathleen M. FLores</t>
        </is>
      </c>
      <c r="G715" t="inlineStr">
        <is>
          <t>Procurement</t>
        </is>
      </c>
      <c r="H715"/>
      <c r="I715"/>
      <c r="J715" t="inlineStr">
        <is>
          <t>Project</t>
        </is>
      </c>
      <c r="K715" t="inlineStr">
        <is>
          <t>PDEI - Event Service</t>
        </is>
      </c>
      <c r="L715" t="inlineStr">
        <is>
          <t>GTCC 2025: September Arena</t>
        </is>
      </c>
      <c r="M715" t="inlineStr">
        <is>
          <t>2025TEG-P0236</t>
        </is>
      </c>
      <c r="N715" t="inlineStr">
        <is>
          <t>Carla Andrea Calma Crespo</t>
        </is>
      </c>
      <c r="O715" t="inlineStr">
        <is>
          <t>202509140012-Carla Andrea Calma Crespo-费用报销 - 副本 - 副本 - 副本-2025-09-14 14:04:20</t>
        </is>
      </c>
      <c r="P715" t="inlineStr">
        <is>
          <t>YES</t>
        </is>
      </c>
      <c r="Q715"/>
      <c r="R715" t="inlineStr">
        <is>
          <t>YES</t>
        </is>
      </c>
      <c r="S715" t="inlineStr">
        <is>
          <t>Outsourced Caster / Analyst</t>
        </is>
      </c>
      <c r="T715">
        <v>1</v>
      </c>
      <c r="U715">
        <v>30000</v>
      </c>
      <c r="V715" t="inlineStr">
        <is>
          <t>PHP</t>
        </is>
      </c>
      <c r="W715">
        <v>30000</v>
      </c>
      <c r="X715" s="2" t="str">
        <f>=HYPERLINK("https://www.larksuite.com/approval/admin/previewAttachment?key=PMg9CoIxGAPgKyXvT9N4GRc_ioO6iIJDzy44uD5jEmM2cxhlhsGt7qTVMdmIMBI7NiVDFL2P-zq_PisP-VG3REft9_WyjifbioCyKicAnv6eqip7FH6ObwAAAP__", "2 attachment(s)")</f>
        <v>2 attachment(s)</v>
      </c>
      <c r="Y715" t="inlineStr">
        <is>
          <t>Bank Transfer</t>
        </is>
      </c>
      <c r="Z715" t="inlineStr">
        <is>
          <t>Rolen Susi</t>
        </is>
      </c>
      <c r="AA715" t="inlineStr">
        <is>
          <t>001440135922</t>
        </is>
      </c>
      <c r="AB715" t="inlineStr">
        <is>
          <t>BDO</t>
        </is>
      </c>
      <c r="AC715" t="inlineStr">
        <is>
          <t>312 Ampioco st. Balut Tondo Manila</t>
        </is>
      </c>
      <c r="AD715" s="4">
        <v>45919</v>
      </c>
      <c r="AE715" t="inlineStr">
        <is>
          <t>1st Payment - Oct. 10, 2025
Final Payment - Oct. 24, 2025</t>
        </is>
      </c>
      <c r="AF715" s="2"/>
      <c r="AG715" t="inlineStr">
        <is>
          <t>NzQyNTk5MTgyNzQ4MTg3MDM0MTo1MjgyMDA0Ny05RURFLTRGMzMtODZBMy1DQ0MwOEY4N0Q3N0ItMToyY2QyNzgxNDk5YjQ4YmZlYmI0YjE1NjBiMDMzZjljZTox</t>
        </is>
      </c>
      <c r="AH715" t="inlineStr">
        <is>
          <t>Rolen Susi</t>
        </is>
      </c>
      <c r="AI715"/>
      <c r="AJ715"/>
      <c r="AK715"/>
    </row>
    <row r="716" ht="25.5" customHeight="1">
      <c r="A716" s="2" t="str">
        <f>=HYPERLINK("https://applink.larksuite.com/client/mini_program/open?appId=cli_9c7cc8a9a9edd105&amp;mode=appCenter&amp;path_pc=pc/pages/requested/index?instanceId=7553480920735105055&amp;source=bitable&amp;path=pages/detail/index?instanceId=7553480920735105055&amp;source=bitable", "202509240006")</f>
        <v>202509240006</v>
      </c>
      <c r="B716" t="inlineStr">
        <is>
          <t>Approved</t>
        </is>
      </c>
      <c r="C716" t="inlineStr">
        <is>
          <t>Procurement Order</t>
        </is>
      </c>
      <c r="D716" s="3">
        <v>45924.44703703704</v>
      </c>
      <c r="E716" s="3">
        <v>45925.51986111111</v>
      </c>
      <c r="F716" t="inlineStr">
        <is>
          <t>Fatima Kathleen M. FLores</t>
        </is>
      </c>
      <c r="G716" t="inlineStr">
        <is>
          <t>Procurement</t>
        </is>
      </c>
      <c r="H716"/>
      <c r="I716"/>
      <c r="J716" t="inlineStr">
        <is>
          <t>Project</t>
        </is>
      </c>
      <c r="K716" t="inlineStr">
        <is>
          <t>PDEI - Event Service</t>
        </is>
      </c>
      <c r="L716" t="inlineStr">
        <is>
          <t>MPL PH S16 - Regular Season</t>
        </is>
      </c>
      <c r="M716" t="inlineStr">
        <is>
          <t>2025TEG-P0214</t>
        </is>
      </c>
      <c r="N716" t="inlineStr">
        <is>
          <t>Jessica Jane Lor Felicilda</t>
        </is>
      </c>
      <c r="O716" t="inlineStr">
        <is>
          <t>202508220019-Jessica Jane Lor Felicilda-费用报销 - 副本 - 副本 - 副本-2025-08-22 04:09:16</t>
        </is>
      </c>
      <c r="P716" t="inlineStr">
        <is>
          <t>NO</t>
        </is>
      </c>
      <c r="Q716"/>
      <c r="R716" t="inlineStr">
        <is>
          <t>NO</t>
        </is>
      </c>
      <c r="S716" t="inlineStr">
        <is>
          <t>Reserved Parking (15 - 20 - 15 slots / Week 6 - Sept. 26 to 28, 2025)</t>
        </is>
      </c>
      <c r="T716">
        <v>1</v>
      </c>
      <c r="U716">
        <v>15500</v>
      </c>
      <c r="V716" t="inlineStr">
        <is>
          <t>PHP</t>
        </is>
      </c>
      <c r="W716">
        <v>15500</v>
      </c>
      <c r="X716" s="2" t="str">
        <f>=HYPERLINK("https://www.larksuite.com/approval/admin/previewAttachment?key=PMsxCkIxEATQK81kZ7MZL2Nj-CjyKyFgkbOLFrYPXh9EH8nohsxmcFdmaMANFUkkMnfbrDKKRe95Htdnm-8HV0jD89Re99sxX0xX-z4pBgBe_h4lye7Cz_EJAAD__w", "2 attachment(s)")</f>
        <v>2 attachment(s)</v>
      </c>
      <c r="Y716" t="inlineStr">
        <is>
          <t>Bank Transfer</t>
        </is>
      </c>
      <c r="Z716" t="inlineStr">
        <is>
          <t>Ecotechland, Inc.</t>
        </is>
      </c>
      <c r="AA716" t="inlineStr">
        <is>
          <t>001450007951</t>
        </is>
      </c>
      <c r="AB716" t="inlineStr">
        <is>
          <t>BDO</t>
        </is>
      </c>
      <c r="AC716" t="inlineStr">
        <is>
          <t>Mezzanine Floor, Ecoplaza Building, 2305 Don Chino Roces Ave. Extension, Brgy. Magallanes, Makati City</t>
        </is>
      </c>
      <c r="AD716" s="4">
        <v>45926</v>
      </c>
      <c r="AE716" t="inlineStr">
        <is>
          <t>100% Full Payment</t>
        </is>
      </c>
      <c r="AF716" s="2" t="str">
        <f>=HYPERLINK("https://www.larksuite.com/approval/admin/previewAttachment?key=TMg9igJBFATgK1X1-629zCY2gyITCQMG7-yCkemXTWQHLQUXl8CpCPOGFsqCCETMGlYJxaJmn8f_c-33g5e5t_bpc91vx34x2xKucKcA8O_HSagt7ev4BAAA__8", "1 attachment(s)")</f>
        <v>1 attachment(s)</v>
      </c>
      <c r="AG716" t="inlineStr">
        <is>
          <t>NzQyNTk5MTgyNzQ4MTg3MDM0MTpFQjQ5MzUyQS0wNjYyLTRDNjUtQkYzQy05NkUyM0QxQzY5NDAtMTo0ZDE0YTVjMTA4NmMzNjczODMzODQ5ZjIyN2Y5YjI3ODox</t>
        </is>
      </c>
      <c r="AH716" t="inlineStr">
        <is>
          <t>Ecotechland, Inc.</t>
        </is>
      </c>
      <c r="AI716"/>
      <c r="AJ716"/>
      <c r="AK716"/>
    </row>
    <row r="717" ht="25.5" customHeight="1">
      <c r="A717" s="2" t="str">
        <f>=HYPERLINK("https://applink.larksuite.com/client/mini_program/open?appId=cli_9c7cc8a9a9edd105&amp;mode=appCenter&amp;path_pc=pc/pages/requested/index?instanceId=7553555635562709023&amp;source=bitable&amp;path=pages/detail/index?instanceId=7553555635562709023&amp;source=bitable", "202509240065")</f>
        <v>202509240065</v>
      </c>
      <c r="B717" t="inlineStr">
        <is>
          <t>Approved</t>
        </is>
      </c>
      <c r="C717" t="inlineStr">
        <is>
          <t>Procurement Order</t>
        </is>
      </c>
      <c r="D717" s="3">
        <v>45924.64837962963</v>
      </c>
      <c r="E717" s="3">
        <v>45925.50564814815</v>
      </c>
      <c r="F717" t="inlineStr">
        <is>
          <t>Fatima Kathleen M. FLores</t>
        </is>
      </c>
      <c r="G717" t="inlineStr">
        <is>
          <t>Procurement</t>
        </is>
      </c>
      <c r="H717"/>
      <c r="I717"/>
      <c r="J717" t="inlineStr">
        <is>
          <t>Project</t>
        </is>
      </c>
      <c r="K717" t="inlineStr">
        <is>
          <t>PDEI - Game Marketing</t>
        </is>
      </c>
      <c r="L717" t="inlineStr">
        <is>
          <t>WCG 2025 Creator Rumble</t>
        </is>
      </c>
      <c r="M717" t="inlineStr">
        <is>
          <t>2025TEG-P0041</t>
        </is>
      </c>
      <c r="N717" t="inlineStr">
        <is>
          <t>Maura Aurel Atilano Yap</t>
        </is>
      </c>
      <c r="O717" t="inlineStr">
        <is>
          <t>202509150079-Maura Aurel Atilano Yap-费用报销 - 副本 - 副本 - 副本-2025-09-15 08:14:58</t>
        </is>
      </c>
      <c r="P717" t="inlineStr">
        <is>
          <t>YES</t>
        </is>
      </c>
      <c r="Q717"/>
      <c r="R717" t="inlineStr">
        <is>
          <t>NO</t>
        </is>
      </c>
      <c r="S717" t="inlineStr">
        <is>
          <t>Outsourced Road Manager</t>
        </is>
      </c>
      <c r="T717">
        <v>1</v>
      </c>
      <c r="U717">
        <v>5250</v>
      </c>
      <c r="V717" t="inlineStr">
        <is>
          <t>PHP</t>
        </is>
      </c>
      <c r="W717">
        <v>5250</v>
      </c>
      <c r="X717" s="2" t="str">
        <f>=HYPERLINK("https://www.larksuite.com/approval/admin/previewAttachment?key=PMg9qsJQFATgLc2cv7nnbeY1CUFRgyAm1V27YGH71SBqJL0a0bQGpzI9M8szy4SG-bRJqSGKPdfH9r-8x22_6jif-50853FZtvXFbJlBHuEDAP9-7oqI7gp8HZ8AAAD__w", "2 attachment(s)")</f>
        <v>2 attachment(s)</v>
      </c>
      <c r="Y717" t="inlineStr">
        <is>
          <t>Bank Transfer</t>
        </is>
      </c>
      <c r="Z717" t="inlineStr">
        <is>
          <t>Juan Diego Villarama Legislador</t>
        </is>
      </c>
      <c r="AA717" t="inlineStr">
        <is>
          <t>1096 7009 1261</t>
        </is>
      </c>
      <c r="AB717" t="inlineStr">
        <is>
          <t>Unionbank</t>
        </is>
      </c>
      <c r="AC717" t="inlineStr">
        <is>
          <t>1246 Cardona St. Rizal Village Makati City</t>
        </is>
      </c>
      <c r="AD717" s="4">
        <v>45917</v>
      </c>
      <c r="AE717" t="inlineStr">
        <is>
          <t>1st Payment - Oct. 3, 2025
Final Payment - Nov. 7, 2025</t>
        </is>
      </c>
      <c r="AF717" s="2"/>
      <c r="AG717" t="inlineStr">
        <is>
          <t>NzQyNTk5MTgyNzQ4MTg3MDM0MTpDMzU4NkM3Mi0wNDFCLTQ3NTctOUQzOS0xQzMxOEVBRDY4QkYtMTpjMTY0OTIzZTRjMDE0MjNjMjU0ZTViNjI4MzE2YmRkNDox</t>
        </is>
      </c>
      <c r="AH717" t="inlineStr">
        <is>
          <t>Juan Diego Villarama Legislador</t>
        </is>
      </c>
      <c r="AI717"/>
      <c r="AJ717"/>
      <c r="AK717"/>
    </row>
    <row r="718" ht="25.5" customHeight="1">
      <c r="A718" s="2" t="str">
        <f>=HYPERLINK("https://applink.larksuite.com/client/mini_program/open?appId=cli_9c7cc8a9a9edd105&amp;mode=appCenter&amp;path_pc=pc/pages/requested/index?instanceId=7553553640422768679&amp;source=bitable&amp;path=pages/detail/index?instanceId=7553553640422768679&amp;source=bitable", "202509240063")</f>
        <v>202509240063</v>
      </c>
      <c r="B718" t="inlineStr">
        <is>
          <t>Approved</t>
        </is>
      </c>
      <c r="C718" t="inlineStr">
        <is>
          <t>Procurement Order</t>
        </is>
      </c>
      <c r="D718" s="3">
        <v>45924.643009259256</v>
      </c>
      <c r="E718" s="3">
        <v>45925.506747685184</v>
      </c>
      <c r="F718" t="inlineStr">
        <is>
          <t>Fatima Kathleen M. FLores</t>
        </is>
      </c>
      <c r="G718" t="inlineStr">
        <is>
          <t>Procurement</t>
        </is>
      </c>
      <c r="H718"/>
      <c r="I718"/>
      <c r="J718" t="inlineStr">
        <is>
          <t>Project</t>
        </is>
      </c>
      <c r="K718" t="inlineStr">
        <is>
          <t>PDEI - Game Marketing</t>
        </is>
      </c>
      <c r="L718" t="inlineStr">
        <is>
          <t>Met Park: Rainy Day Tails Pet Party</t>
        </is>
      </c>
      <c r="M718" t="inlineStr">
        <is>
          <t>2025TEG-P0190</t>
        </is>
      </c>
      <c r="N718" t="inlineStr">
        <is>
          <t>Clifford Markus Ortiz Martinez</t>
        </is>
      </c>
      <c r="O718" t="inlineStr">
        <is>
          <t>202509110028-Clifford Markus Ortiz Martinez-费用报销 - 副本 - 副本 - 副本-2025-09-11 04:10:58</t>
        </is>
      </c>
      <c r="P718" t="inlineStr">
        <is>
          <t>YES</t>
        </is>
      </c>
      <c r="Q718"/>
      <c r="R718" t="inlineStr">
        <is>
          <t>NO</t>
        </is>
      </c>
      <c r="S718" t="inlineStr">
        <is>
          <t>Outsourced Host</t>
        </is>
      </c>
      <c r="T718">
        <v>1</v>
      </c>
      <c r="U718">
        <v>10000</v>
      </c>
      <c r="V718" t="inlineStr">
        <is>
          <t>PHP</t>
        </is>
      </c>
      <c r="W718">
        <v>10000</v>
      </c>
      <c r="X718" s="2" t="str">
        <f>=HYPERLINK("https://www.larksuite.com/approval/admin/previewAttachment?key=PMgxCgJBDAXQK_0kP_kTL2PjsKi4NsLCFnN2wcL21TDUSItqsM0btpQZmVEE3VWj1MuXSQ2ZrNfct2vs78dJP19PNY-5jvttmx_LljsUZAwAdvl7iGR3ET_HNwAA__8", "2 attachment(s)")</f>
        <v>2 attachment(s)</v>
      </c>
      <c r="Y718" t="inlineStr">
        <is>
          <t>Bank Transfer</t>
        </is>
      </c>
      <c r="Z718" t="inlineStr">
        <is>
          <t>Charles Matthew Binay</t>
        </is>
      </c>
      <c r="AA718" t="inlineStr">
        <is>
          <t>016174330730</t>
        </is>
      </c>
      <c r="AB718" t="inlineStr">
        <is>
          <t>GoTyme</t>
        </is>
      </c>
      <c r="AC718" t="inlineStr">
        <is>
          <t>Cedar Crest Acacia Estates Taguig City</t>
        </is>
      </c>
      <c r="AD718" s="4">
        <v>45921</v>
      </c>
      <c r="AE718" t="inlineStr">
        <is>
          <t>100% Full Payment - Oct. 17, 2025</t>
        </is>
      </c>
      <c r="AF718" s="2"/>
      <c r="AG718" t="inlineStr">
        <is>
          <t>NzQyNTk5MTgyNzQ4MTg3MDM0MTo1OTkwOTcyNy1CMEJDLTQ3MzAtOTdFRC00REUyMDFEMDBFREItMTplY2MyODg3ZGQ0Yzc5ZmU4YTQwZGMxMzIwMzdkNjVhYjox</t>
        </is>
      </c>
      <c r="AH718" t="inlineStr">
        <is>
          <t>Charles Matthew Binay</t>
        </is>
      </c>
      <c r="AI718"/>
      <c r="AJ718"/>
      <c r="AK718"/>
    </row>
    <row r="719" ht="25.5" customHeight="1">
      <c r="A719" s="2" t="str">
        <f>=HYPERLINK("https://applink.larksuite.com/client/mini_program/open?appId=cli_9c7cc8a9a9edd105&amp;mode=appCenter&amp;path_pc=pc/pages/requested/index?instanceId=7553575970096168992&amp;source=bitable&amp;path=pages/detail/index?instanceId=7553575970096168992&amp;source=bitable", "202509240076")</f>
        <v>202509240076</v>
      </c>
      <c r="B719" t="inlineStr">
        <is>
          <t>Approved</t>
        </is>
      </c>
      <c r="C719" t="inlineStr">
        <is>
          <t>Procurement Order</t>
        </is>
      </c>
      <c r="D719" s="3">
        <v>45924.70318287037</v>
      </c>
      <c r="E719" s="3">
        <v>45925.50424768519</v>
      </c>
      <c r="F719" t="inlineStr">
        <is>
          <t>Fatima Kathleen M. FLores</t>
        </is>
      </c>
      <c r="G719" t="inlineStr">
        <is>
          <t>Procurement</t>
        </is>
      </c>
      <c r="H719"/>
      <c r="I719"/>
      <c r="J719" t="inlineStr">
        <is>
          <t>Project</t>
        </is>
      </c>
      <c r="K719" t="inlineStr">
        <is>
          <t>PDEI - Game Marketing</t>
        </is>
      </c>
      <c r="L719" t="inlineStr">
        <is>
          <t>WCG 2025 Creator Rumble</t>
        </is>
      </c>
      <c r="M719" t="inlineStr">
        <is>
          <t>2025TEG-P0041</t>
        </is>
      </c>
      <c r="N719" t="inlineStr">
        <is>
          <t>Maura Aurel Atilano Yap</t>
        </is>
      </c>
      <c r="O719" t="inlineStr">
        <is>
          <t>202509080119-Maura Aurel Atilano Yap-费用报销 - 副本 - 副本 - 副本-2025-09-08 10:53:19</t>
        </is>
      </c>
      <c r="P719" t="inlineStr">
        <is>
          <t>YES</t>
        </is>
      </c>
      <c r="Q719"/>
      <c r="R719" t="inlineStr">
        <is>
          <t>NO</t>
        </is>
      </c>
      <c r="S719" t="inlineStr">
        <is>
          <t>Outsourced KOL (Vill)</t>
        </is>
      </c>
      <c r="T719">
        <v>1</v>
      </c>
      <c r="U719">
        <v>55600</v>
      </c>
      <c r="V719" t="inlineStr">
        <is>
          <t>PHP</t>
        </is>
      </c>
      <c r="W719">
        <v>55600</v>
      </c>
      <c r="X719" s="2" t="str">
        <f>=HYPERLINK("https://www.larksuite.com/approval/admin/previewAttachment?key=PMg7igJBGATgK9X_rK69zCY2gwO2iSBM0GcXDEy_HoYeZdFCylywzaoolgiorYfk27eRAo2mPdfxH-t5PmqdQ-HXvPb7fjvmy0p0ByMzBgD7-3kwM6VOfB2fAAAA__8", "2 attachment(s)")</f>
        <v>2 attachment(s)</v>
      </c>
      <c r="Y719" t="inlineStr">
        <is>
          <t>Bank Transfer</t>
        </is>
      </c>
      <c r="Z719" t="inlineStr">
        <is>
          <t>Karl Justin Renee C. Villaseran</t>
        </is>
      </c>
      <c r="AA719" t="inlineStr">
        <is>
          <t>0041 4010 5014</t>
        </is>
      </c>
      <c r="AB719" t="inlineStr">
        <is>
          <t>BDO</t>
        </is>
      </c>
      <c r="AC719" t="inlineStr">
        <is>
          <t>118 M.A Roxas St. Calumpang Marikina City</t>
        </is>
      </c>
      <c r="AD719" s="4">
        <v>45914</v>
      </c>
      <c r="AE719" t="inlineStr">
        <is>
          <t>1st Payment - Sept. 26, 2025
Final Payment - Nov. 7, 2025</t>
        </is>
      </c>
      <c r="AF719" s="2"/>
      <c r="AG719" t="inlineStr">
        <is>
          <t>NzQyNTk5MTgyNzQ4MTg3MDM0MTo3N0M4NjQ0Ny05QjdGLTRGMUEtOEE2RC00MDREQ0UwOUQ5OUUtMTpjMTFiNzY4Yjc4ZDg0Yzk2YmVjZTVkZmExZTA2Y2UxYzox</t>
        </is>
      </c>
      <c r="AH719" t="inlineStr">
        <is>
          <t>Karl Justin Renee C. Villaseran</t>
        </is>
      </c>
      <c r="AI719"/>
      <c r="AJ719"/>
      <c r="AK719"/>
    </row>
    <row r="720" ht="25.5" customHeight="1">
      <c r="A720" s="2" t="str">
        <f>=HYPERLINK("https://applink.larksuite.com/client/mini_program/open?appId=cli_9c7cc8a9a9edd105&amp;mode=appCenter&amp;path_pc=pc/pages/requested/index?instanceId=7553565180764962854&amp;source=bitable&amp;path=pages/detail/index?instanceId=7553565180764962854&amp;source=bitable", "202509240070")</f>
        <v>202509240070</v>
      </c>
      <c r="B720" t="inlineStr">
        <is>
          <t>Approved</t>
        </is>
      </c>
      <c r="C720" t="inlineStr">
        <is>
          <t>Procurement Order</t>
        </is>
      </c>
      <c r="D720" s="3">
        <v>45924.674108796295</v>
      </c>
      <c r="E720" s="3">
        <v>45925.50355324074</v>
      </c>
      <c r="F720" t="inlineStr">
        <is>
          <t>Fatima Kathleen M. FLores</t>
        </is>
      </c>
      <c r="G720" t="inlineStr">
        <is>
          <t>Procurement</t>
        </is>
      </c>
      <c r="H720"/>
      <c r="I720"/>
      <c r="J720" t="inlineStr">
        <is>
          <t>Project</t>
        </is>
      </c>
      <c r="K720" t="inlineStr">
        <is>
          <t>PDEI - Game Marketing</t>
        </is>
      </c>
      <c r="L720" t="inlineStr">
        <is>
          <t>WCG 2025 Creator Rumble</t>
        </is>
      </c>
      <c r="M720" t="inlineStr">
        <is>
          <t>2025TEG-P0041</t>
        </is>
      </c>
      <c r="N720" t="inlineStr">
        <is>
          <t>Maura Aurel Atilano Yap</t>
        </is>
      </c>
      <c r="O720" t="inlineStr">
        <is>
          <t>202509190016-Maura Aurel Atilano Yap-费用报销 - 副本 - 副本 - 副本-2025-09-19 03:28:04</t>
        </is>
      </c>
      <c r="P720" t="inlineStr">
        <is>
          <t>YES</t>
        </is>
      </c>
      <c r="Q720"/>
      <c r="R720" t="inlineStr">
        <is>
          <t>NO</t>
        </is>
      </c>
      <c r="S720" t="inlineStr">
        <is>
          <t>Outsourced Social Media Manager</t>
        </is>
      </c>
      <c r="T720">
        <v>1</v>
      </c>
      <c r="U720">
        <v>30000</v>
      </c>
      <c r="V720" t="inlineStr">
        <is>
          <t>PHP</t>
        </is>
      </c>
      <c r="W720">
        <v>30000</v>
      </c>
      <c r="X720" s="2" t="str">
        <f>=HYPERLINK("https://www.larksuite.com/approval/admin/previewAttachment?key=PMgxCgJBDAXQK_0kP8nEy9g4DK4gLAgDFjm7YLHtiyGI4WJRYIkWpNPdPFwGMlihw9nakllISame73X_7nUacb4OPabu3s_Hmh_xSlWkkTYAyO1yS5JVQfwdvwAAAP__", "2 attachment(s)")</f>
        <v>2 attachment(s)</v>
      </c>
      <c r="Y720" t="inlineStr">
        <is>
          <t>Bank Transfer</t>
        </is>
      </c>
      <c r="Z720" t="inlineStr">
        <is>
          <t>Samantha Mae B Santelices</t>
        </is>
      </c>
      <c r="AA720" t="inlineStr">
        <is>
          <t>0064 0009 1083</t>
        </is>
      </c>
      <c r="AB720" t="inlineStr">
        <is>
          <t>BDO</t>
        </is>
      </c>
      <c r="AC720" t="inlineStr">
        <is>
          <t>38 Main Avenue, Merville Park, Paranaque City</t>
        </is>
      </c>
      <c r="AD720" s="4">
        <v>45909</v>
      </c>
      <c r="AE720" t="inlineStr">
        <is>
          <t>1st Payment - Oct. 3, 2025
2nd Payment - Nov. 7, 2025
Final Payment - Nov. 21, 2025</t>
        </is>
      </c>
      <c r="AF720" s="2"/>
      <c r="AG720" t="inlineStr">
        <is>
          <t>NzQyNTk5MTgyNzQ4MTg3MDM0MTpDNTdBM0EwQi03OURBLTREQUUtQkU1OC1BMkI4NjNBQjg1MTQtMTpmZjZlODQ2NmJlMjE1OTdhZjUyNDlhMmQxZTdlM2JlODox</t>
        </is>
      </c>
      <c r="AH720" t="inlineStr">
        <is>
          <t>Samantha Mae B Santelices</t>
        </is>
      </c>
      <c r="AI720"/>
      <c r="AJ720"/>
      <c r="AK720"/>
    </row>
    <row r="721" ht="25.5" customHeight="1">
      <c r="A721" s="2" t="str">
        <f>=HYPERLINK("https://applink.larksuite.com/client/mini_program/open?appId=cli_9c7cc8a9a9edd105&amp;mode=appCenter&amp;path_pc=pc/pages/requested/index?instanceId=7553594607255158815&amp;source=bitable&amp;path=pages/detail/index?instanceId=7553594607255158815&amp;source=bitable", "202509240086")</f>
        <v>202509240086</v>
      </c>
      <c r="B721" t="inlineStr">
        <is>
          <t>Approved</t>
        </is>
      </c>
      <c r="C721" t="inlineStr">
        <is>
          <t>Procurement Order</t>
        </is>
      </c>
      <c r="D721" s="3">
        <v>45924.75340277778</v>
      </c>
      <c r="E721" s="3">
        <v>45925.501921296294</v>
      </c>
      <c r="F721" t="inlineStr">
        <is>
          <t>Fatima Kathleen M. FLores</t>
        </is>
      </c>
      <c r="G721" t="inlineStr">
        <is>
          <t>Procurement</t>
        </is>
      </c>
      <c r="H721"/>
      <c r="I721"/>
      <c r="J721" t="inlineStr">
        <is>
          <t>Project</t>
        </is>
      </c>
      <c r="K721" t="inlineStr">
        <is>
          <t>PDEI - Game Marketing</t>
        </is>
      </c>
      <c r="L721" t="inlineStr">
        <is>
          <t>WCG 2025 Creator Rumble</t>
        </is>
      </c>
      <c r="M721" t="inlineStr">
        <is>
          <t>2025TEG-P0041</t>
        </is>
      </c>
      <c r="N721" t="inlineStr">
        <is>
          <t>Maura Aurel Atilano Yap</t>
        </is>
      </c>
      <c r="O721" t="inlineStr">
        <is>
          <t>202509080119-Maura Aurel Atilano Yap-费用报销 - 副本 - 副本 - 副本-2025-09-08 10:53:19</t>
        </is>
      </c>
      <c r="P721" t="inlineStr">
        <is>
          <t>YES</t>
        </is>
      </c>
      <c r="Q721"/>
      <c r="R721" t="inlineStr">
        <is>
          <t>NO</t>
        </is>
      </c>
      <c r="S721" t="inlineStr">
        <is>
          <t>Outsourced KOL (Erin)</t>
        </is>
      </c>
      <c r="T721">
        <v>1</v>
      </c>
      <c r="U721">
        <v>10000</v>
      </c>
      <c r="V721" t="inlineStr">
        <is>
          <t>PHP</t>
        </is>
      </c>
      <c r="W721">
        <v>10000</v>
      </c>
      <c r="X721" s="2" t="str">
        <f>=HYPERLINK("https://www.larksuite.com/approval/admin/previewAttachment?key=PMhBCsIwEAXQK_2fmZ_JeBk3hiKBQkHUbubsgotuXx9EH6L1hCdbghWSKb0jmkSNQVUrRiSCway5b_e1T60T7-Ow7-mrPs_HNl9URmsIc7cBgLfLLdw9szv-jl8AAAD__w", "2 attachment(s)")</f>
        <v>2 attachment(s)</v>
      </c>
      <c r="Y721" t="inlineStr">
        <is>
          <t>Bank Transfer</t>
        </is>
      </c>
      <c r="Z721" t="inlineStr">
        <is>
          <t>Erin Grace Cordovez</t>
        </is>
      </c>
      <c r="AA721" t="inlineStr">
        <is>
          <t>+63 921 742 1524</t>
        </is>
      </c>
      <c r="AB721" t="inlineStr">
        <is>
          <t>Maya</t>
        </is>
      </c>
      <c r="AC721" t="inlineStr">
        <is>
          <t>Blk. 3 Lot 6 Carissa Homes Camarin, Brgy. Bagumbong, Caloocan City</t>
        </is>
      </c>
      <c r="AD721" s="4">
        <v>45914</v>
      </c>
      <c r="AE721" t="inlineStr">
        <is>
          <t>1st Payment - Sept. 26, 2025
Final Payment - Nov. 7, 2025</t>
        </is>
      </c>
      <c r="AF721" s="2"/>
      <c r="AG721" t="inlineStr">
        <is>
          <t>NzQyNTk5MTgyNzQ4MTg3MDM0MToyMDQ4QzVGQi0wRjhBLTRCQTQtOEM2RS03NjJENUUyQTFBNTktMTpiOGUwOTE3MWQ0YmU3OGNiYjJkN2I3MTUwY2Y0NmE4ODox</t>
        </is>
      </c>
      <c r="AH721" t="inlineStr">
        <is>
          <t>Erin Grace Cordovez</t>
        </is>
      </c>
      <c r="AI721"/>
      <c r="AJ721"/>
      <c r="AK721"/>
    </row>
    <row r="722" ht="25.5" customHeight="1">
      <c r="A722" s="2" t="str">
        <f>=HYPERLINK("https://applink.larksuite.com/client/mini_program/open?appId=cli_9c7cc8a9a9edd105&amp;mode=appCenter&amp;path_pc=pc/pages/requested/index?instanceId=7553567459106717735&amp;source=bitable&amp;path=pages/detail/index?instanceId=7553567459106717735&amp;source=bitable", "202509240073")</f>
        <v>202509240073</v>
      </c>
      <c r="B722" t="inlineStr">
        <is>
          <t>Approved</t>
        </is>
      </c>
      <c r="C722" t="inlineStr">
        <is>
          <t>Procurement Order</t>
        </is>
      </c>
      <c r="D722" s="3">
        <v>45924.680243055554</v>
      </c>
      <c r="E722" s="3">
        <v>45925.66229166667</v>
      </c>
      <c r="F722" t="inlineStr">
        <is>
          <t>Fatima Kathleen M. FLores</t>
        </is>
      </c>
      <c r="G722" t="inlineStr">
        <is>
          <t>Procurement</t>
        </is>
      </c>
      <c r="H722"/>
      <c r="I722"/>
      <c r="J722" t="inlineStr">
        <is>
          <t>Project</t>
        </is>
      </c>
      <c r="K722" t="inlineStr">
        <is>
          <t>GG - Event Service</t>
        </is>
      </c>
      <c r="L722" t="inlineStr">
        <is>
          <t>HOK Philippine Kings League - Fall Season</t>
        </is>
      </c>
      <c r="M722" t="inlineStr">
        <is>
          <t>2025TEG-P0219</t>
        </is>
      </c>
      <c r="N722" t="inlineStr">
        <is>
          <t>Carla Andrea Calma Crespo</t>
        </is>
      </c>
      <c r="O722" t="inlineStr">
        <is>
          <t>202509190051-Carla Andrea Calma Crespo-费用报销 - 副本 - 副本 - 副本-2025-09-19 11:36:50</t>
        </is>
      </c>
      <c r="P722" t="inlineStr">
        <is>
          <t>YES</t>
        </is>
      </c>
      <c r="Q722"/>
      <c r="R722" t="inlineStr">
        <is>
          <t>YES</t>
        </is>
      </c>
      <c r="S722" t="inlineStr">
        <is>
          <t>Outsourced Assistant Project Manager</t>
        </is>
      </c>
      <c r="T722">
        <v>1</v>
      </c>
      <c r="U722">
        <v>28000</v>
      </c>
      <c r="V722" t="inlineStr">
        <is>
          <t>PHP</t>
        </is>
      </c>
      <c r="W722">
        <v>28000</v>
      </c>
      <c r="X722" s="2"/>
      <c r="Y722" t="inlineStr">
        <is>
          <t>Bank Transfer</t>
        </is>
      </c>
      <c r="Z722" t="inlineStr">
        <is>
          <t>Kimiko Gabrielle de Guzman</t>
        </is>
      </c>
      <c r="AA722" t="inlineStr">
        <is>
          <t>003630339683</t>
        </is>
      </c>
      <c r="AB722" t="inlineStr">
        <is>
          <t>BDO</t>
        </is>
      </c>
      <c r="AC722" t="inlineStr">
        <is>
          <t>6 Cavite Street, West Avenue, Barangay Paltok, Quezon City</t>
        </is>
      </c>
      <c r="AD722" s="4">
        <v>45919</v>
      </c>
      <c r="AE722" t="inlineStr">
        <is>
          <t>1st Payment - Oct. 10, 2025
Final Payment - Oct. 31, 2025</t>
        </is>
      </c>
      <c r="AF722" s="2"/>
      <c r="AG722" t="inlineStr">
        <is>
          <t>NzQyNTk5MTgyNzQ4MTg3MDM0MTo0NzY1MURGRC1FQUY2LTQ4QUQtOUQyRS04QzZEQjczRUMwNjQtMTpjZjE5ZDIyMmIxODNhN2RiN2ZjZDQxMDMxMWE5ZDM4ODox</t>
        </is>
      </c>
      <c r="AH722" t="inlineStr">
        <is>
          <t>Kimiko Gabrielle de Guzman</t>
        </is>
      </c>
      <c r="AI722"/>
      <c r="AJ722"/>
      <c r="AK722"/>
    </row>
    <row r="723" ht="25.5" customHeight="1">
      <c r="A723" s="2" t="str">
        <f>=HYPERLINK("https://applink.larksuite.com/client/mini_program/open?appId=cli_9c7cc8a9a9edd105&amp;mode=appCenter&amp;path_pc=pc/pages/requested/index?instanceId=7553912318149574695&amp;source=bitable&amp;path=pages/detail/index?instanceId=7553912318149574695&amp;source=bitable", "202509250056")</f>
        <v>202509250056</v>
      </c>
      <c r="B723" t="inlineStr">
        <is>
          <t>Approved</t>
        </is>
      </c>
      <c r="C723" t="inlineStr">
        <is>
          <t>Procurement Order</t>
        </is>
      </c>
      <c r="D723" s="3">
        <v>45925.60957175926</v>
      </c>
      <c r="E723" s="3">
        <v>45925.6628587963</v>
      </c>
      <c r="F723" t="inlineStr">
        <is>
          <t>Fatima Kathleen M. FLores</t>
        </is>
      </c>
      <c r="G723" t="inlineStr">
        <is>
          <t>Procurement</t>
        </is>
      </c>
      <c r="H723"/>
      <c r="I723"/>
      <c r="J723" t="inlineStr">
        <is>
          <t>Project</t>
        </is>
      </c>
      <c r="K723" t="inlineStr">
        <is>
          <t>GG - Event Service</t>
        </is>
      </c>
      <c r="L723" t="inlineStr">
        <is>
          <t>HOK Philippine Kings League - Fall Season</t>
        </is>
      </c>
      <c r="M723" t="inlineStr">
        <is>
          <t>2025TEG-P0219</t>
        </is>
      </c>
      <c r="N723" t="inlineStr">
        <is>
          <t>Reign Santos Fortea</t>
        </is>
      </c>
      <c r="O723" t="inlineStr">
        <is>
          <t>202509230080-Reign Santos Fortea-费用报销 - 副本 - 副本 - 副本-2025-09-23 09:10:42</t>
        </is>
      </c>
      <c r="P723" t="inlineStr">
        <is>
          <t>NO</t>
        </is>
      </c>
      <c r="Q723"/>
      <c r="R723" t="inlineStr">
        <is>
          <t>YES</t>
        </is>
      </c>
      <c r="S723" t="inlineStr">
        <is>
          <t>3.5mm to male xlr 1m Microphone Cable</t>
        </is>
      </c>
      <c r="T723">
        <v>4</v>
      </c>
      <c r="U723">
        <v>700</v>
      </c>
      <c r="V723" t="inlineStr">
        <is>
          <t>PHP</t>
        </is>
      </c>
      <c r="W723">
        <v>2800</v>
      </c>
      <c r="X723" s="2"/>
      <c r="Y723" t="inlineStr">
        <is>
          <t>Bank Transfer</t>
        </is>
      </c>
      <c r="Z723" t="inlineStr">
        <is>
          <t>Channel International Enterprises</t>
        </is>
      </c>
      <c r="AA723" t="inlineStr">
        <is>
          <t>0279101936</t>
        </is>
      </c>
      <c r="AB723" t="inlineStr">
        <is>
          <t>BPI</t>
        </is>
      </c>
      <c r="AC723" t="inlineStr">
        <is>
          <t>#43 Don A. Roces Ave.Quezon City</t>
        </is>
      </c>
      <c r="AD723" s="4">
        <v>45926</v>
      </c>
      <c r="AE723" t="inlineStr">
        <is>
          <t>100% Full Payment before delivery</t>
        </is>
      </c>
      <c r="AF723" s="2"/>
      <c r="AG723" t="inlineStr">
        <is>
          <t>NzQyNTk5MTgyNzQ4MTg3MDM0MTo5MTFENUJGMi03NDZELTQ1MkUtOUUzQS1COUI4RTVBQzdDNTMtMTplMzc4NDJjNzRkZTgxYmE0ZjBlMGJkYzk4NTQzYzExZDox</t>
        </is>
      </c>
      <c r="AH723" t="inlineStr">
        <is>
          <t>Channel International Enterprises</t>
        </is>
      </c>
      <c r="AI723"/>
      <c r="AJ723"/>
      <c r="AK723"/>
    </row>
    <row r="724" ht="25.5" customHeight="1">
      <c r="A724" s="2" t="str">
        <f>=HYPERLINK("https://applink.larksuite.com/client/mini_program/open?appId=cli_9c7cc8a9a9edd105&amp;mode=appCenter&amp;path_pc=pc/pages/requested/index?instanceId=7553912318149574695&amp;source=bitable&amp;path=pages/detail/index?instanceId=7553912318149574695&amp;source=bitable", "202509250056")</f>
        <v>202509250056</v>
      </c>
      <c r="B724" t="inlineStr">
        <is>
          <t>Approved</t>
        </is>
      </c>
      <c r="C724" t="inlineStr">
        <is>
          <t>Procurement Order</t>
        </is>
      </c>
      <c r="D724" s="3">
        <v>45925.60957175926</v>
      </c>
      <c r="E724" s="3">
        <v>45925.6628587963</v>
      </c>
      <c r="F724" t="inlineStr">
        <is>
          <t>Fatima Kathleen M. FLores</t>
        </is>
      </c>
      <c r="G724" t="inlineStr">
        <is>
          <t>Procurement</t>
        </is>
      </c>
      <c r="H724"/>
      <c r="I724"/>
      <c r="J724" t="inlineStr">
        <is>
          <t>Project</t>
        </is>
      </c>
      <c r="K724" t="inlineStr">
        <is>
          <t>GG - Event Service</t>
        </is>
      </c>
      <c r="L724" t="inlineStr">
        <is>
          <t>HOK Philippine Kings League - Fall Season</t>
        </is>
      </c>
      <c r="M724" t="inlineStr">
        <is>
          <t>2025TEG-P0219</t>
        </is>
      </c>
      <c r="N724" t="inlineStr">
        <is>
          <t>Reign Santos Fortea</t>
        </is>
      </c>
      <c r="O724" t="inlineStr">
        <is>
          <t>202509230080-Reign Santos Fortea-费用报销 - 副本 - 副本 - 副本-2025-09-23 09:10:42</t>
        </is>
      </c>
      <c r="P724" t="inlineStr">
        <is>
          <t>NO</t>
        </is>
      </c>
      <c r="Q724"/>
      <c r="R724" t="inlineStr">
        <is>
          <t>YES</t>
        </is>
      </c>
      <c r="S724" t="inlineStr">
        <is>
          <t>3.5mm to female xlr 1m Microphone cable</t>
        </is>
      </c>
      <c r="T724">
        <v>4</v>
      </c>
      <c r="U724">
        <v>700</v>
      </c>
      <c r="V724" t="inlineStr">
        <is>
          <t>PHP</t>
        </is>
      </c>
      <c r="W724">
        <v>2800</v>
      </c>
      <c r="X724" s="2"/>
      <c r="Y724"/>
      <c r="Z724"/>
      <c r="AA724"/>
      <c r="AB724"/>
      <c r="AC724"/>
      <c r="AD724" s="4"/>
      <c r="AE724"/>
      <c r="AF724" s="2"/>
      <c r="AG724" t="inlineStr">
        <is>
          <t>NzQyNTk5MTgyNzQ4MTg3MDM0MTo5MTFENUJGMi03NDZELTQ1MkUtOUUzQS1COUI4RTVBQzdDNTMtMjowMWNkNWE3Yjk4Mjk0YTQ3ZmZmZDQ5NzVmOWFkMGE3NTox</t>
        </is>
      </c>
      <c r="AH724"/>
      <c r="AI724"/>
      <c r="AJ724"/>
      <c r="AK724"/>
    </row>
    <row r="725" ht="25.5" customHeight="1">
      <c r="A725" s="2" t="str">
        <f>=HYPERLINK("https://applink.larksuite.com/client/mini_program/open?appId=cli_9c7cc8a9a9edd105&amp;mode=appCenter&amp;path_pc=pc/pages/requested/index?instanceId=7553912318149574695&amp;source=bitable&amp;path=pages/detail/index?instanceId=7553912318149574695&amp;source=bitable", "202509250056")</f>
        <v>202509250056</v>
      </c>
      <c r="B725" t="inlineStr">
        <is>
          <t>Approved</t>
        </is>
      </c>
      <c r="C725" t="inlineStr">
        <is>
          <t>Procurement Order</t>
        </is>
      </c>
      <c r="D725" s="3">
        <v>45925.60957175926</v>
      </c>
      <c r="E725" s="3">
        <v>45925.6628587963</v>
      </c>
      <c r="F725" t="inlineStr">
        <is>
          <t>Fatima Kathleen M. FLores</t>
        </is>
      </c>
      <c r="G725" t="inlineStr">
        <is>
          <t>Procurement</t>
        </is>
      </c>
      <c r="H725"/>
      <c r="I725"/>
      <c r="J725" t="inlineStr">
        <is>
          <t>Project</t>
        </is>
      </c>
      <c r="K725" t="inlineStr">
        <is>
          <t>GG - Event Service</t>
        </is>
      </c>
      <c r="L725" t="inlineStr">
        <is>
          <t>HOK Philippine Kings League - Fall Season</t>
        </is>
      </c>
      <c r="M725" t="inlineStr">
        <is>
          <t>2025TEG-P0219</t>
        </is>
      </c>
      <c r="N725" t="inlineStr">
        <is>
          <t>Reign Santos Fortea</t>
        </is>
      </c>
      <c r="O725" t="inlineStr">
        <is>
          <t>202509230080-Reign Santos Fortea-费用报销 - 副本 - 副本 - 副本-2025-09-23 09:10:42</t>
        </is>
      </c>
      <c r="P725" t="inlineStr">
        <is>
          <t>NO</t>
        </is>
      </c>
      <c r="Q725"/>
      <c r="R725" t="inlineStr">
        <is>
          <t>YES</t>
        </is>
      </c>
      <c r="S725" t="inlineStr">
        <is>
          <t>1/4pl to male xlr 5m Microphone Cable</t>
        </is>
      </c>
      <c r="T725">
        <v>5</v>
      </c>
      <c r="U725">
        <v>1000</v>
      </c>
      <c r="V725" t="inlineStr">
        <is>
          <t>PHP</t>
        </is>
      </c>
      <c r="W725">
        <v>5000</v>
      </c>
      <c r="X725" s="2" t="str">
        <f>=HYPERLINK("https://www.larksuite.com/approval/admin/previewAttachment?key=PMg9CsJAEAXgK82bn337vIxNQrAJCOJKijm7YGH7jQkbsxBDloLL0KwKwQMTqWIOVXuDlBGEej-P-7UOnttV6_mZb6xej-3YXyjR3RiZMc0Mt78HM1MaaT_3bwAAAP__", "2 attachment(s)")</f>
        <v>2 attachment(s)</v>
      </c>
      <c r="Y725"/>
      <c r="Z725"/>
      <c r="AA725"/>
      <c r="AB725"/>
      <c r="AC725"/>
      <c r="AD725" s="4"/>
      <c r="AE725"/>
      <c r="AF725" s="2"/>
      <c r="AG725" t="inlineStr">
        <is>
          <t>NzQyNTk5MTgyNzQ4MTg3MDM0MTo5MTFENUJGMi03NDZELTQ1MkUtOUUzQS1COUI4RTVBQzdDNTMtMzo0ZTY1NmZhZWQyMzUxZTMxY2NhMmE2YzRiZWRmY2ViYTox</t>
        </is>
      </c>
      <c r="AH725"/>
      <c r="AI725"/>
      <c r="AJ725"/>
      <c r="AK725"/>
    </row>
    <row r="726" ht="25.5" customHeight="1">
      <c r="A726" s="2" t="str">
        <f>=HYPERLINK("https://applink.larksuite.com/client/mini_program/open?appId=cli_9c7cc8a9a9edd105&amp;mode=appCenter&amp;path_pc=pc/pages/requested/index?instanceId=7553922746284245031&amp;source=bitable&amp;path=pages/detail/index?instanceId=7553922746284245031&amp;source=bitable", "202509250061")</f>
        <v>202509250061</v>
      </c>
      <c r="B726" t="inlineStr">
        <is>
          <t>Recalled</t>
        </is>
      </c>
      <c r="C726" t="inlineStr">
        <is>
          <t>Procurement Order</t>
        </is>
      </c>
      <c r="D726" s="3">
        <v>45925.63767361111</v>
      </c>
      <c r="E726" s="3">
        <v>45925.65561342592</v>
      </c>
      <c r="F726" t="inlineStr">
        <is>
          <t>Fatima Kathleen M. FLores</t>
        </is>
      </c>
      <c r="G726" t="inlineStr">
        <is>
          <t>Procurement</t>
        </is>
      </c>
      <c r="H726"/>
      <c r="I726"/>
      <c r="J726" t="inlineStr">
        <is>
          <t>Project</t>
        </is>
      </c>
      <c r="K726" t="inlineStr">
        <is>
          <t>PDEI - Event Service</t>
        </is>
      </c>
      <c r="L726" t="inlineStr">
        <is>
          <t>202509170073</t>
        </is>
      </c>
      <c r="M726" t="inlineStr">
        <is>
          <t>2025TEG-P0236</t>
        </is>
      </c>
      <c r="N726" t="inlineStr">
        <is>
          <t>Reign Santos Fortea</t>
        </is>
      </c>
      <c r="O726" t="inlineStr">
        <is>
          <t>202509170073-Reign Santos Fortea-费用报销 - 副本 - 副本 - 副本-2025-09-17 08:38:53</t>
        </is>
      </c>
      <c r="P726" t="inlineStr">
        <is>
          <t>NO</t>
        </is>
      </c>
      <c r="Q726"/>
      <c r="R726" t="inlineStr">
        <is>
          <t>NO</t>
        </is>
      </c>
      <c r="S726" t="inlineStr">
        <is>
          <t>Outsourced Safety Team (Sept. 18 to 22, 2025)</t>
        </is>
      </c>
      <c r="T726">
        <v>1</v>
      </c>
      <c r="U726">
        <v>112000</v>
      </c>
      <c r="V726" t="inlineStr">
        <is>
          <t>PHP</t>
        </is>
      </c>
      <c r="W726">
        <v>112000</v>
      </c>
      <c r="X726" s="2" t="str">
        <f>=HYPERLINK("https://www.larksuite.com/approval/admin/previewAttachment?key=PMgxrsJADATQK83Ys_b6X-Y3rCIkQoUS0vjsSBS0LyYRc9CjoKIV2DmGl1kqbMo04GxrZhaSyer13P7tPLjjvevyx7WOPu-3bb04Ks2QLvkEwL-fe0qqCuHr-AQAAP__", "2 attachment(s)")</f>
        <v>2 attachment(s)</v>
      </c>
      <c r="Y726" t="inlineStr">
        <is>
          <t>Bank Transfer</t>
        </is>
      </c>
      <c r="Z726" t="inlineStr">
        <is>
          <t>JEROME T. CAPOQUIAN</t>
        </is>
      </c>
      <c r="AA726" t="inlineStr">
        <is>
          <t>9599094366</t>
        </is>
      </c>
      <c r="AB726" t="inlineStr">
        <is>
          <t>BPI</t>
        </is>
      </c>
      <c r="AC726" t="inlineStr">
        <is>
          <t>BLOCK 5 LOT 7 PHASE 2 SHINEVILL MAMBUGAN ANTIPOLO CITY</t>
        </is>
      </c>
      <c r="AD726" s="4">
        <v>45918</v>
      </c>
      <c r="AE726" t="inlineStr">
        <is>
          <t>50% Down Payment upon confirmation
50% Final Payment upon completion of services</t>
        </is>
      </c>
      <c r="AF726" s="2"/>
      <c r="AG726" t="inlineStr">
        <is>
          <t>NzQyNTk5MTgyNzQ4MTg3MDM0MTpGRjVFNURGMS1BMkVGLTQ4N0UtOENDNC1CNUYzRTc4M0JDRTktMTo2MDdlMDc3ZjU5ZGVjNWIyYmM1NWM5MWVkMTFkOGFiMDox</t>
        </is>
      </c>
      <c r="AH726" t="inlineStr">
        <is>
          <t>JEROME T. CAPOQUIAN</t>
        </is>
      </c>
      <c r="AI726"/>
      <c r="AJ726"/>
      <c r="AK726"/>
    </row>
    <row r="727" ht="25.5" customHeight="1">
      <c r="A727" s="2" t="str">
        <f>=HYPERLINK("https://applink.larksuite.com/client/mini_program/open?appId=cli_9c7cc8a9a9edd105&amp;mode=appCenter&amp;path_pc=pc/pages/requested/index?instanceId=7553927916241829919&amp;source=bitable&amp;path=pages/detail/index?instanceId=7553927916241829919&amp;source=bitable", "202509250065")</f>
        <v>202509250065</v>
      </c>
      <c r="B727" t="inlineStr">
        <is>
          <t>Approved</t>
        </is>
      </c>
      <c r="C727" t="inlineStr">
        <is>
          <t>Procurement Order</t>
        </is>
      </c>
      <c r="D727" s="3">
        <v>45925.65159722222</v>
      </c>
      <c r="E727" s="3">
        <v>45925.88438657407</v>
      </c>
      <c r="F727" t="inlineStr">
        <is>
          <t>Fatima Kathleen M. FLores</t>
        </is>
      </c>
      <c r="G727" t="inlineStr">
        <is>
          <t>Procurement</t>
        </is>
      </c>
      <c r="H727"/>
      <c r="I727"/>
      <c r="J727" t="inlineStr">
        <is>
          <t>Project</t>
        </is>
      </c>
      <c r="K727" t="inlineStr">
        <is>
          <t>GG - Event Service</t>
        </is>
      </c>
      <c r="L727" t="inlineStr">
        <is>
          <t>HOK Philippine Kings League - Fall Season</t>
        </is>
      </c>
      <c r="M727" t="inlineStr">
        <is>
          <t>2025TEG-P0219</t>
        </is>
      </c>
      <c r="N727" t="inlineStr">
        <is>
          <t>Carla Andrea Calma Crespo</t>
        </is>
      </c>
      <c r="O727" t="inlineStr">
        <is>
          <t>202509180055-Carla Andrea Calma Crespo-费用报销 - 副本 - 副本 - 副本-2025-09-18 09:02:49</t>
        </is>
      </c>
      <c r="P727" t="inlineStr">
        <is>
          <t>NO</t>
        </is>
      </c>
      <c r="Q727"/>
      <c r="R727" t="inlineStr">
        <is>
          <t>YES</t>
        </is>
      </c>
      <c r="S727" t="inlineStr">
        <is>
          <t>Team Allowance (Team TNT Tropang Alab)</t>
        </is>
      </c>
      <c r="T727">
        <v>1</v>
      </c>
      <c r="U727">
        <v>19600</v>
      </c>
      <c r="V727" t="inlineStr">
        <is>
          <t>PHP</t>
        </is>
      </c>
      <c r="W727">
        <v>19600</v>
      </c>
      <c r="X727" s="2" t="str">
        <f>=HYPERLINK("https://www.larksuite.com/approval/admin/previewAttachment?key=PMgxCgJBDAXQK_2fySTzvYyNYRCWrQS1ydkFi21fLCLW5AjBRRPYOeeQpRjmXCZRbc1MIZlU17nvh9U8dn1O1Re0fj8fu16cSjPkcB8LAG-Xj3R3KRx_xy8AAP__", "2 attachment(s)")</f>
        <v>2 attachment(s)</v>
      </c>
      <c r="Y727" t="inlineStr">
        <is>
          <t>Bank Transfer</t>
        </is>
      </c>
      <c r="Z727" t="inlineStr">
        <is>
          <t>Jemvic Pingol</t>
        </is>
      </c>
      <c r="AA727" t="inlineStr">
        <is>
          <t>0961-587-5029</t>
        </is>
      </c>
      <c r="AB727" t="inlineStr">
        <is>
          <t>PayMaya</t>
        </is>
      </c>
      <c r="AC727" t="inlineStr">
        <is>
          <t>13 Maj. Santos Dizon St, Marikina</t>
        </is>
      </c>
      <c r="AD727" s="4">
        <v>45898</v>
      </c>
      <c r="AE727" t="inlineStr">
        <is>
          <t>100% Full Payment - Sept. 22, 2025</t>
        </is>
      </c>
      <c r="AF727" s="2"/>
      <c r="AG727" t="inlineStr">
        <is>
          <t>NzQyNTk5MTgyNzQ4MTg3MDM0MTo2Q0Q5NDlENy04NUIyLTQyQTQtQjNGMi1FRDIwMjVGM0JBRjctMTo2MTA2NzUzNDViYjY5NzdmM2YwMWZkZTFmZjRjNzRjNTox</t>
        </is>
      </c>
      <c r="AH727" t="inlineStr">
        <is>
          <t>Jemvic Pingol</t>
        </is>
      </c>
      <c r="AI727"/>
      <c r="AJ727"/>
      <c r="AK727"/>
    </row>
    <row r="728" ht="25.5" customHeight="1">
      <c r="A728" s="2" t="str">
        <f>=HYPERLINK("https://applink.larksuite.com/client/mini_program/open?appId=cli_9c7cc8a9a9edd105&amp;mode=appCenter&amp;path_pc=pc/pages/requested/index?instanceId=7553928854629613600&amp;source=bitable&amp;path=pages/detail/index?instanceId=7553928854629613600&amp;source=bitable", "202509250069")</f>
        <v>202509250069</v>
      </c>
      <c r="B728" t="inlineStr">
        <is>
          <t>Approved</t>
        </is>
      </c>
      <c r="C728" t="inlineStr">
        <is>
          <t>Procurement Order</t>
        </is>
      </c>
      <c r="D728" s="3">
        <v>45925.654131944444</v>
      </c>
      <c r="E728" s="3">
        <v>45925.884050925924</v>
      </c>
      <c r="F728" t="inlineStr">
        <is>
          <t>Fatima Kathleen M. FLores</t>
        </is>
      </c>
      <c r="G728" t="inlineStr">
        <is>
          <t>Procurement</t>
        </is>
      </c>
      <c r="H728"/>
      <c r="I728"/>
      <c r="J728" t="inlineStr">
        <is>
          <t>Project</t>
        </is>
      </c>
      <c r="K728" t="inlineStr">
        <is>
          <t>GG - Event Service</t>
        </is>
      </c>
      <c r="L728" t="inlineStr">
        <is>
          <t>HOK Philippine Kings League - Fall Season</t>
        </is>
      </c>
      <c r="M728" t="inlineStr">
        <is>
          <t>2025TEG-P0219</t>
        </is>
      </c>
      <c r="N728" t="inlineStr">
        <is>
          <t>Carla Andrea Calma Crespo</t>
        </is>
      </c>
      <c r="O728" t="inlineStr">
        <is>
          <t>202509180055-Carla Andrea Calma Crespo-费用报销 - 副本 - 副本 - 副本-2025-09-18 09:02:49</t>
        </is>
      </c>
      <c r="P728" t="inlineStr">
        <is>
          <t>NO</t>
        </is>
      </c>
      <c r="Q728"/>
      <c r="R728" t="inlineStr">
        <is>
          <t>YES</t>
        </is>
      </c>
      <c r="S728" t="inlineStr">
        <is>
          <t>Team Allowance (Team Elevate)</t>
        </is>
      </c>
      <c r="T728">
        <v>1</v>
      </c>
      <c r="U728">
        <v>19600</v>
      </c>
      <c r="V728" t="inlineStr">
        <is>
          <t>PHP</t>
        </is>
      </c>
      <c r="W728">
        <v>19600</v>
      </c>
      <c r="X728" s="2" t="str">
        <f>=HYPERLINK("https://www.larksuite.com/approval/admin/previewAttachment?key=PMg7CsJgEATgK82-d7yMjeFHgoIgJFjs2QUL2y9bkB1iSThFCZmKMGp3eCpTLIHRkSqipISzPdd1sz59PeI8-Nn31xz329reEixVlLlbA5DL363cnUzHz_ENAAD__w", "2 attachment(s)")</f>
        <v>2 attachment(s)</v>
      </c>
      <c r="Y728" t="inlineStr">
        <is>
          <t>Bank Transfer</t>
        </is>
      </c>
      <c r="Z728" t="inlineStr">
        <is>
          <t>Maricar Tambaoan</t>
        </is>
      </c>
      <c r="AA728" t="inlineStr">
        <is>
          <t>12546542733</t>
        </is>
      </c>
      <c r="AB728" t="inlineStr">
        <is>
          <t>SeaBank</t>
        </is>
      </c>
      <c r="AC728" t="inlineStr">
        <is>
          <t>47 Kaolin St Parang Marikina</t>
        </is>
      </c>
      <c r="AD728" s="4">
        <v>45899</v>
      </c>
      <c r="AE728" t="inlineStr">
        <is>
          <t>100% Full Payment - Sept. 22, 2025</t>
        </is>
      </c>
      <c r="AF728" s="2"/>
      <c r="AG728" t="inlineStr">
        <is>
          <t>NzQyNTk5MTgyNzQ4MTg3MDM0MTo4QTVGOUMyOC00NzMxLTRBNkQtOEY1RS1FMUU5MjJDMkZDRDQtMTo4MTFmMGVkMzZmZWE1ZjY2NmUzMDQxYzk3MTJhZTJkZTox</t>
        </is>
      </c>
      <c r="AH728" t="inlineStr">
        <is>
          <t>Maricar Tambaoan</t>
        </is>
      </c>
      <c r="AI728"/>
      <c r="AJ728"/>
      <c r="AK728"/>
    </row>
    <row r="729" ht="25.5" customHeight="1">
      <c r="A729" s="2" t="str">
        <f>=HYPERLINK("https://applink.larksuite.com/client/mini_program/open?appId=cli_9c7cc8a9a9edd105&amp;mode=appCenter&amp;path_pc=pc/pages/requested/index?instanceId=7553929312332677158&amp;source=bitable&amp;path=pages/detail/index?instanceId=7553929312332677158&amp;source=bitable", "202509250070")</f>
        <v>202509250070</v>
      </c>
      <c r="B729" t="inlineStr">
        <is>
          <t>Approved</t>
        </is>
      </c>
      <c r="C729" t="inlineStr">
        <is>
          <t>Procurement Order</t>
        </is>
      </c>
      <c r="D729" s="3">
        <v>45925.65537037037</v>
      </c>
      <c r="E729" s="3">
        <v>45925.88371527778</v>
      </c>
      <c r="F729" t="inlineStr">
        <is>
          <t>Fatima Kathleen M. FLores</t>
        </is>
      </c>
      <c r="G729" t="inlineStr">
        <is>
          <t>Procurement</t>
        </is>
      </c>
      <c r="H729"/>
      <c r="I729"/>
      <c r="J729" t="inlineStr">
        <is>
          <t>Project</t>
        </is>
      </c>
      <c r="K729" t="inlineStr">
        <is>
          <t>GG - Event Service</t>
        </is>
      </c>
      <c r="L729" t="inlineStr">
        <is>
          <t>HOK Philippine Kings League - Fall Season</t>
        </is>
      </c>
      <c r="M729" t="inlineStr">
        <is>
          <t>2025TEG-P0219</t>
        </is>
      </c>
      <c r="N729" t="inlineStr">
        <is>
          <t>Carla Andrea Calma Crespo</t>
        </is>
      </c>
      <c r="O729" t="inlineStr">
        <is>
          <t>202509180055-Carla Andrea Calma Crespo-费用报销 - 副本 - 副本 - 副本-2025-09-18 09:02:49</t>
        </is>
      </c>
      <c r="P729" t="inlineStr">
        <is>
          <t>NO</t>
        </is>
      </c>
      <c r="Q729"/>
      <c r="R729" t="inlineStr">
        <is>
          <t>YES</t>
        </is>
      </c>
      <c r="S729" t="inlineStr">
        <is>
          <t>Team Allowance (Team Flash PH)</t>
        </is>
      </c>
      <c r="T729">
        <v>1</v>
      </c>
      <c r="U729">
        <v>19600</v>
      </c>
      <c r="V729" t="inlineStr">
        <is>
          <t>PHP</t>
        </is>
      </c>
      <c r="W729">
        <v>19600</v>
      </c>
      <c r="X729" s="2" t="str">
        <f>=HYPERLINK("https://www.larksuite.com/approval/admin/previewAttachment?key=PMg7CgJBEATQK1X1Z2ray5g4LH5YEYTN-uyCwaZvTGLMpI9CFK3AVqaXldPcbUjM2daUCqIMvfbt-tyXvXImP48j17uP-21bX2bJDPIInwB4Od0VEVUj8Hf8AgAA__8", "2 attachment(s)")</f>
        <v>2 attachment(s)</v>
      </c>
      <c r="Y729" t="inlineStr">
        <is>
          <t>Bank Transfer</t>
        </is>
      </c>
      <c r="Z729" t="inlineStr">
        <is>
          <t>Marc Ezekiel Mose</t>
        </is>
      </c>
      <c r="AA729" t="inlineStr">
        <is>
          <t>0969531984</t>
        </is>
      </c>
      <c r="AB729" t="inlineStr">
        <is>
          <t>BPI</t>
        </is>
      </c>
      <c r="AC729" t="inlineStr">
        <is>
          <t>BLK 2 Lot 8 Primrose Street Tierra Vista Ayana 1 Dasmariñas Cavite</t>
        </is>
      </c>
      <c r="AD729" s="4">
        <v>45898</v>
      </c>
      <c r="AE729" t="inlineStr">
        <is>
          <t>100% Full Payment - Sept. 22, 2025</t>
        </is>
      </c>
      <c r="AF729" s="2"/>
      <c r="AG729" t="inlineStr">
        <is>
          <t>NzQyNTk5MTgyNzQ4MTg3MDM0MTo5NjZCQkExRC00RTNDLTRDMTQtQTM5RS1BQzA3NTU0RkZBODQtMTo3NzcxN2UxYmU4ODEwMWY5MWRkMGZiMjMzNTllNmI3Zjox</t>
        </is>
      </c>
      <c r="AH729" t="inlineStr">
        <is>
          <t>Marc Ezekiel Mose</t>
        </is>
      </c>
      <c r="AI729"/>
      <c r="AJ729"/>
      <c r="AK729"/>
    </row>
    <row r="730" ht="25.5" customHeight="1">
      <c r="A730" s="2" t="str">
        <f>=HYPERLINK("https://applink.larksuite.com/client/mini_program/open?appId=cli_9c7cc8a9a9edd105&amp;mode=appCenter&amp;path_pc=pc/pages/requested/index?instanceId=7553930545973968935&amp;source=bitable&amp;path=pages/detail/index?instanceId=7553930545973968935&amp;source=bitable", "202509250072")</f>
        <v>202509250072</v>
      </c>
      <c r="B730" t="inlineStr">
        <is>
          <t>Approved</t>
        </is>
      </c>
      <c r="C730" t="inlineStr">
        <is>
          <t>Procurement Order</t>
        </is>
      </c>
      <c r="D730" s="3">
        <v>45925.65869212963</v>
      </c>
      <c r="E730" s="3">
        <v>45925.883125</v>
      </c>
      <c r="F730" t="inlineStr">
        <is>
          <t>Fatima Kathleen M. FLores</t>
        </is>
      </c>
      <c r="G730" t="inlineStr">
        <is>
          <t>Procurement</t>
        </is>
      </c>
      <c r="H730"/>
      <c r="I730"/>
      <c r="J730" t="inlineStr">
        <is>
          <t>Project</t>
        </is>
      </c>
      <c r="K730" t="inlineStr">
        <is>
          <t>GG - Event Service</t>
        </is>
      </c>
      <c r="L730" t="inlineStr">
        <is>
          <t>HOK Philippine Kings League - Fall Season</t>
        </is>
      </c>
      <c r="M730" t="inlineStr">
        <is>
          <t>2025TEG-P0219</t>
        </is>
      </c>
      <c r="N730" t="inlineStr">
        <is>
          <t>Carla Andrea Calma Crespo</t>
        </is>
      </c>
      <c r="O730" t="inlineStr">
        <is>
          <t>202509180055-Carla Andrea Calma Crespo-费用报销 - 副本 - 副本 - 副本-2025-09-18 09:02:49</t>
        </is>
      </c>
      <c r="P730" t="inlineStr">
        <is>
          <t>NO</t>
        </is>
      </c>
      <c r="Q730"/>
      <c r="R730" t="inlineStr">
        <is>
          <t>YES</t>
        </is>
      </c>
      <c r="S730" t="inlineStr">
        <is>
          <t>Team Allowance (Act Esports Club)</t>
        </is>
      </c>
      <c r="T730">
        <v>1</v>
      </c>
      <c r="U730">
        <v>19600</v>
      </c>
      <c r="V730" t="inlineStr">
        <is>
          <t>PHP</t>
        </is>
      </c>
      <c r="W730">
        <v>19600</v>
      </c>
      <c r="X730" s="2" t="str">
        <f>=HYPERLINK("https://www.larksuite.com/approval/admin/previewAttachment?key=PMg9CgIxEAXgK735z_MyNi7BgFYS0WLOLlhs--UQ5AixJJyihHRFGA3hwTLmoEVrSxVRUoo-nvO6v_PzsIm194asft9v83hJsFRR5m4DgFxOt3J3Mh1_xy8AAP__", "2 attachment(s)")</f>
        <v>2 attachment(s)</v>
      </c>
      <c r="Y730" t="inlineStr">
        <is>
          <t>Bank Transfer</t>
        </is>
      </c>
      <c r="Z730" t="inlineStr">
        <is>
          <t>Renzel Ayuban</t>
        </is>
      </c>
      <c r="AA730" t="inlineStr">
        <is>
          <t>09676016274</t>
        </is>
      </c>
      <c r="AB730" t="inlineStr">
        <is>
          <t>BPI</t>
        </is>
      </c>
      <c r="AC730" t="inlineStr">
        <is>
          <t>Unit P1H Kingwoods Condominium, Vito Cruz Extension, La Paz, Makati</t>
        </is>
      </c>
      <c r="AD730" s="4">
        <v>45898</v>
      </c>
      <c r="AE730" t="inlineStr">
        <is>
          <t>100% Full Payment - Sept. 22, 2025</t>
        </is>
      </c>
      <c r="AF730" s="2"/>
      <c r="AG730" t="inlineStr">
        <is>
          <t>NzQyNTk5MTgyNzQ4MTg3MDM0MTo1MTI3RUIyRi0zQ0VELTRDQjAtQTMyQi1CODQzMDU1MjA4QkItMTphYjgwMDUwZWVjOGJhZDRiYTAxZDY5YmM0OTU5MjQ4MTox</t>
        </is>
      </c>
      <c r="AH730" t="inlineStr">
        <is>
          <t>Renzel Ayuban</t>
        </is>
      </c>
      <c r="AI730"/>
      <c r="AJ730"/>
      <c r="AK730"/>
    </row>
    <row r="731" ht="25.5" customHeight="1">
      <c r="A731" s="2" t="str">
        <f>=HYPERLINK("https://applink.larksuite.com/client/mini_program/open?appId=cli_9c7cc8a9a9edd105&amp;mode=appCenter&amp;path_pc=pc/pages/requested/index?instanceId=7553931120212033567&amp;source=bitable&amp;path=pages/detail/index?instanceId=7553931120212033567&amp;source=bitable", "202509250073")</f>
        <v>202509250073</v>
      </c>
      <c r="B731" t="inlineStr">
        <is>
          <t>Approved</t>
        </is>
      </c>
      <c r="C731" t="inlineStr">
        <is>
          <t>Procurement Order</t>
        </is>
      </c>
      <c r="D731" s="3">
        <v>45925.66023148148</v>
      </c>
      <c r="E731" s="3">
        <v>45925.882789351854</v>
      </c>
      <c r="F731" t="inlineStr">
        <is>
          <t>Fatima Kathleen M. FLores</t>
        </is>
      </c>
      <c r="G731" t="inlineStr">
        <is>
          <t>Procurement</t>
        </is>
      </c>
      <c r="H731"/>
      <c r="I731"/>
      <c r="J731" t="inlineStr">
        <is>
          <t>Project</t>
        </is>
      </c>
      <c r="K731" t="inlineStr">
        <is>
          <t>GG - Event Service</t>
        </is>
      </c>
      <c r="L731" t="inlineStr">
        <is>
          <t>HOK Philippine Kings League - Fall Season</t>
        </is>
      </c>
      <c r="M731" t="inlineStr">
        <is>
          <t>2025TEG-P0219</t>
        </is>
      </c>
      <c r="N731" t="inlineStr">
        <is>
          <t>Carla Andrea Calma Crespo</t>
        </is>
      </c>
      <c r="O731" t="inlineStr">
        <is>
          <t>202509180055-Carla Andrea Calma Crespo-费用报销 - 副本 - 副本 - 副本-2025-09-18 09:02:49</t>
        </is>
      </c>
      <c r="P731" t="inlineStr">
        <is>
          <t>NO</t>
        </is>
      </c>
      <c r="Q731"/>
      <c r="R731" t="inlineStr">
        <is>
          <t>YES</t>
        </is>
      </c>
      <c r="S731" t="inlineStr">
        <is>
          <t>Team Allowance (Wetrnd Esports)</t>
        </is>
      </c>
      <c r="T731">
        <v>1</v>
      </c>
      <c r="U731">
        <v>19600</v>
      </c>
      <c r="V731" t="inlineStr">
        <is>
          <t>PHP</t>
        </is>
      </c>
      <c r="W731">
        <v>19600</v>
      </c>
      <c r="X731" s="2" t="str">
        <f>=HYPERLINK("https://www.larksuite.com/approval/admin/previewAttachment?key=PMi7DQJBDATQlmY89vpMMyScVgQHCeKzgWtHIiB9YyPGFtQoeNEK7IxQiTQYDVKMbGtmFpJp6P02z881P4f01n2tOKJf18vcH4xKM6TctQHg6e9Kd68ajp_jGwAA__8", "2 attachment(s)")</f>
        <v>2 attachment(s)</v>
      </c>
      <c r="Y731" t="inlineStr">
        <is>
          <t>Bank Transfer</t>
        </is>
      </c>
      <c r="Z731" t="inlineStr">
        <is>
          <t>Jennilyn Cathriz Suy Ching</t>
        </is>
      </c>
      <c r="AA731" t="inlineStr">
        <is>
          <t>1096 7508 8264</t>
        </is>
      </c>
      <c r="AB731" t="inlineStr">
        <is>
          <t>Unionbank</t>
        </is>
      </c>
      <c r="AC731" t="inlineStr">
        <is>
          <t>28B Wacat St Laloma Quezon City</t>
        </is>
      </c>
      <c r="AD731" s="4">
        <v>45898</v>
      </c>
      <c r="AE731" t="inlineStr">
        <is>
          <t>100% Full Payment - Sept. 22, 2025</t>
        </is>
      </c>
      <c r="AF731" s="2"/>
      <c r="AG731" t="inlineStr">
        <is>
          <t>NzQyNTk5MTgyNzQ4MTg3MDM0MTozNjc3M0ExOS1GRjcyLTQ1RUMtOTg3OS04NEIyMEMzMDQwMDgtMTowMjdjZDVkNjVhY2E4ZTNmMjNjMzRkODhmYjZiNTlmYzox</t>
        </is>
      </c>
      <c r="AH731" t="inlineStr">
        <is>
          <t>Jennilyn Cathriz Suy Ching</t>
        </is>
      </c>
      <c r="AI731"/>
      <c r="AJ731"/>
      <c r="AK731"/>
    </row>
    <row r="732" ht="25.5" customHeight="1">
      <c r="A732" s="2" t="str">
        <f>=HYPERLINK("https://applink.larksuite.com/client/mini_program/open?appId=cli_9c7cc8a9a9edd105&amp;mode=appCenter&amp;path_pc=pc/pages/requested/index?instanceId=7553931646009933855&amp;source=bitable&amp;path=pages/detail/index?instanceId=7553931646009933855&amp;source=bitable", "202509250074")</f>
        <v>202509250074</v>
      </c>
      <c r="B732" t="inlineStr">
        <is>
          <t>Approved</t>
        </is>
      </c>
      <c r="C732" t="inlineStr">
        <is>
          <t>Procurement Order</t>
        </is>
      </c>
      <c r="D732" s="3">
        <v>45925.66165509259</v>
      </c>
      <c r="E732" s="3">
        <v>45925.88238425926</v>
      </c>
      <c r="F732" t="inlineStr">
        <is>
          <t>Fatima Kathleen M. FLores</t>
        </is>
      </c>
      <c r="G732" t="inlineStr">
        <is>
          <t>Procurement</t>
        </is>
      </c>
      <c r="H732"/>
      <c r="I732"/>
      <c r="J732" t="inlineStr">
        <is>
          <t>Project</t>
        </is>
      </c>
      <c r="K732" t="inlineStr">
        <is>
          <t>GG - Event Service</t>
        </is>
      </c>
      <c r="L732" t="inlineStr">
        <is>
          <t>HOK Philippine Kings League - Fall Season</t>
        </is>
      </c>
      <c r="M732" t="inlineStr">
        <is>
          <t>2025TEG-P0219</t>
        </is>
      </c>
      <c r="N732" t="inlineStr">
        <is>
          <t>Carla Andrea Calma Crespo</t>
        </is>
      </c>
      <c r="O732" t="inlineStr">
        <is>
          <t>202509180055-Carla Andrea Calma Crespo-费用报销 - 副本 - 副本 - 副本-2025-09-18 09:02:49</t>
        </is>
      </c>
      <c r="P732" t="inlineStr">
        <is>
          <t>NO</t>
        </is>
      </c>
      <c r="Q732"/>
      <c r="R732" t="inlineStr">
        <is>
          <t>YES</t>
        </is>
      </c>
      <c r="S732" t="inlineStr">
        <is>
          <t>Team Allowance (Blacklist International)</t>
        </is>
      </c>
      <c r="T732">
        <v>1</v>
      </c>
      <c r="U732">
        <v>19600</v>
      </c>
      <c r="V732" t="inlineStr">
        <is>
          <t>PHP</t>
        </is>
      </c>
      <c r="W732">
        <v>19600</v>
      </c>
      <c r="X732" s="2" t="str">
        <f>=HYPERLINK("https://www.larksuite.com/approval/admin/previewAttachment?key=PMg7isNAEATQK1X_u_Yym0gIIzyTGJz12Q0OnL5sQXaIJeEUJWQqwmiSngBp1hGjI1VESSnmXNc_74UDe_u6ez9j3o_jOl8SLFWUuVsDkL-fW7k7mY6v4xMAAP__", "2 attachment(s)")</f>
        <v>2 attachment(s)</v>
      </c>
      <c r="Y732" t="inlineStr">
        <is>
          <t>Bank Transfer</t>
        </is>
      </c>
      <c r="Z732" t="inlineStr">
        <is>
          <t>Monina Cherryl Bunsoy</t>
        </is>
      </c>
      <c r="AA732" t="inlineStr">
        <is>
          <t>0000052280323</t>
        </is>
      </c>
      <c r="AB732" t="inlineStr">
        <is>
          <t>Security Bank</t>
        </is>
      </c>
      <c r="AC732" t="inlineStr">
        <is>
          <t>Block 21 Lot 17 Montevista Heights Taytay Rizal</t>
        </is>
      </c>
      <c r="AD732" s="4">
        <v>45898</v>
      </c>
      <c r="AE732" t="inlineStr">
        <is>
          <t>100% Full Payment - Sept. 22, 2025</t>
        </is>
      </c>
      <c r="AF732" s="2"/>
      <c r="AG732" t="inlineStr">
        <is>
          <t>NzQyNTk5MTgyNzQ4MTg3MDM0MTpFRDYxNjk3OC0yRDFFLTQyOTgtQTI3QS0yQkQyRTFGRjcyRDUtMTozNmEwOTY1M2I0YTFkN2JhY2Y4Y2Y4NzU3N2UyODliMzox</t>
        </is>
      </c>
      <c r="AH732" t="inlineStr">
        <is>
          <t>Monina Cherryl Bunsoy</t>
        </is>
      </c>
      <c r="AI732"/>
      <c r="AJ732"/>
      <c r="AK732"/>
    </row>
    <row r="733" ht="25.5" customHeight="1">
      <c r="A733" s="2" t="str">
        <f>=HYPERLINK("https://applink.larksuite.com/client/mini_program/open?appId=cli_9c7cc8a9a9edd105&amp;mode=appCenter&amp;path_pc=pc/pages/requested/index?instanceId=7553932225914339366&amp;source=bitable&amp;path=pages/detail/index?instanceId=7553932225914339366&amp;source=bitable", "202509250075")</f>
        <v>202509250075</v>
      </c>
      <c r="B733" t="inlineStr">
        <is>
          <t>Approved</t>
        </is>
      </c>
      <c r="C733" t="inlineStr">
        <is>
          <t>Procurement Order</t>
        </is>
      </c>
      <c r="D733" s="3">
        <v>45925.66321759259</v>
      </c>
      <c r="E733" s="3">
        <v>45925.881527777776</v>
      </c>
      <c r="F733" t="inlineStr">
        <is>
          <t>Fatima Kathleen M. FLores</t>
        </is>
      </c>
      <c r="G733" t="inlineStr">
        <is>
          <t>Procurement</t>
        </is>
      </c>
      <c r="H733"/>
      <c r="I733"/>
      <c r="J733" t="inlineStr">
        <is>
          <t>Project</t>
        </is>
      </c>
      <c r="K733" t="inlineStr">
        <is>
          <t>GG - Event Service</t>
        </is>
      </c>
      <c r="L733" t="inlineStr">
        <is>
          <t>HOK Philippine Kings League - Fall Season</t>
        </is>
      </c>
      <c r="M733" t="inlineStr">
        <is>
          <t>2025TEG-P0219</t>
        </is>
      </c>
      <c r="N733" t="inlineStr">
        <is>
          <t>Carla Andrea Calma Crespo</t>
        </is>
      </c>
      <c r="O733" t="inlineStr">
        <is>
          <t>202509180055-Carla Andrea Calma Crespo-费用报销 - 副本 - 副本 - 副本-2025-09-18 09:02:49</t>
        </is>
      </c>
      <c r="P733" t="inlineStr">
        <is>
          <t>NO</t>
        </is>
      </c>
      <c r="Q733"/>
      <c r="R733" t="inlineStr">
        <is>
          <t>YES</t>
        </is>
      </c>
      <c r="S733" t="inlineStr">
        <is>
          <t>Team Allowance (BOOM Esports)</t>
        </is>
      </c>
      <c r="T733">
        <v>1</v>
      </c>
      <c r="U733">
        <v>19600</v>
      </c>
      <c r="V733" t="inlineStr">
        <is>
          <t>PHP</t>
        </is>
      </c>
      <c r="W733">
        <v>19600</v>
      </c>
      <c r="X733" s="2" t="str">
        <f>=HYPERLINK("https://www.larksuite.com/approval/admin/previewAttachment?key=PMgxikMxDATQK42kseTZy2xj8wl8AoGAO509kCLty2nIOSxSoMwF6xojFO4-ZIxQZLa3VQll5ej9vP4nz8LSvl_Bs-8-j3Xttw2VOyrImADs7-dRJKUkvo5PAAAA__8", "2 attachment(s)")</f>
        <v>2 attachment(s)</v>
      </c>
      <c r="Y733" t="inlineStr">
        <is>
          <t>Bank Transfer</t>
        </is>
      </c>
      <c r="Z733" t="inlineStr">
        <is>
          <t>Christian Villegas</t>
        </is>
      </c>
      <c r="AA733" t="inlineStr">
        <is>
          <t>18153012194</t>
        </is>
      </c>
      <c r="AB733" t="inlineStr">
        <is>
          <t>Seabank</t>
        </is>
      </c>
      <c r="AC733" t="inlineStr">
        <is>
          <t>15 Major Dizon, Marikina City</t>
        </is>
      </c>
      <c r="AD733" s="4">
        <v>45898</v>
      </c>
      <c r="AE733" t="inlineStr">
        <is>
          <t>100% Full Payment - Sept. 22, 2025</t>
        </is>
      </c>
      <c r="AF733" s="2"/>
      <c r="AG733" t="inlineStr">
        <is>
          <t>NzQyNTk5MTgyNzQ4MTg3MDM0MTo5NEE4Mjg0OC00Rjk2LTRBMDYtODk5Qi02MEE0RTgxOUNGQjgtMTozOGU0YTRlM2U5MTBjNDZjYzVlYjRkNGI5ZTIzMjNjYzox</t>
        </is>
      </c>
      <c r="AH733" t="inlineStr">
        <is>
          <t>Christian Villegas</t>
        </is>
      </c>
      <c r="AI733"/>
      <c r="AJ733"/>
      <c r="AK733"/>
    </row>
    <row r="734" ht="25.5" customHeight="1">
      <c r="A734" s="2" t="str">
        <f>=HYPERLINK("https://applink.larksuite.com/client/mini_program/open?appId=cli_9c7cc8a9a9edd105&amp;mode=appCenter&amp;path_pc=pc/pages/requested/index?instanceId=7553927123367444511&amp;source=bitable&amp;path=pages/detail/index?instanceId=7553927123367444511&amp;source=bitable", "202509250064")</f>
        <v>202509250064</v>
      </c>
      <c r="B734" t="inlineStr">
        <is>
          <t>Approved</t>
        </is>
      </c>
      <c r="C734" t="inlineStr">
        <is>
          <t>Procurement Order</t>
        </is>
      </c>
      <c r="D734" s="3">
        <v>45925.64946759259</v>
      </c>
      <c r="E734" s="3">
        <v>45925.88019675926</v>
      </c>
      <c r="F734" t="inlineStr">
        <is>
          <t>Fatima Kathleen M. FLores</t>
        </is>
      </c>
      <c r="G734" t="inlineStr">
        <is>
          <t>Procurement</t>
        </is>
      </c>
      <c r="H734"/>
      <c r="I734"/>
      <c r="J734" t="inlineStr">
        <is>
          <t>Project</t>
        </is>
      </c>
      <c r="K734" t="inlineStr">
        <is>
          <t>GG - Event Service</t>
        </is>
      </c>
      <c r="L734" t="inlineStr">
        <is>
          <t>HOK Philippine Kings League - Fall Season</t>
        </is>
      </c>
      <c r="M734" t="inlineStr">
        <is>
          <t>2025TEG-P0219</t>
        </is>
      </c>
      <c r="N734" t="inlineStr">
        <is>
          <t>Carla Andrea Calma Crespo</t>
        </is>
      </c>
      <c r="O734" t="inlineStr">
        <is>
          <t>202509180055-Carla Andrea Calma Crespo-费用报销 - 副本 - 副本 - 副本-2025-09-18 09:02:49</t>
        </is>
      </c>
      <c r="P734" t="inlineStr">
        <is>
          <t>NO</t>
        </is>
      </c>
      <c r="Q734"/>
      <c r="R734" t="inlineStr">
        <is>
          <t>YES</t>
        </is>
      </c>
      <c r="S734" t="inlineStr">
        <is>
          <t>Team Allowance (Team Barcode)</t>
        </is>
      </c>
      <c r="T734">
        <v>1</v>
      </c>
      <c r="U734">
        <v>19600</v>
      </c>
      <c r="V734" t="inlineStr">
        <is>
          <t>PHP</t>
        </is>
      </c>
      <c r="W734">
        <v>19600</v>
      </c>
      <c r="X734" s="2"/>
      <c r="Y734" t="inlineStr">
        <is>
          <t>Bank Transfer</t>
        </is>
      </c>
      <c r="Z734" t="inlineStr">
        <is>
          <t>Giana Joanne Llanes</t>
        </is>
      </c>
      <c r="AA734" t="inlineStr">
        <is>
          <t>4439440398</t>
        </is>
      </c>
      <c r="AB734" t="inlineStr">
        <is>
          <t>BPI</t>
        </is>
      </c>
      <c r="AC734" t="inlineStr">
        <is>
          <t>B20 L44 Ph4C Bermuda St., Casa de Monteverde, GMA, Cavite</t>
        </is>
      </c>
      <c r="AD734" s="4">
        <v>45898</v>
      </c>
      <c r="AE734" t="inlineStr">
        <is>
          <t>100% Full Payment - Sept. 22, 2025</t>
        </is>
      </c>
      <c r="AF734" s="2"/>
      <c r="AG734" t="inlineStr">
        <is>
          <t>NzQyNTk5MTgyNzQ4MTg3MDM0MToxNzI5NUY3My1GRkYwLTRBNjktODQ3Qi00MEEwQ0M1OTJENkMtMTplODYxODYxZmM1N2Y2MzRjM2Y3NzY5Mjc3MzE4YWE2Yjox</t>
        </is>
      </c>
      <c r="AH734" t="inlineStr">
        <is>
          <t>Giana Joanne Llanes</t>
        </is>
      </c>
      <c r="AI734"/>
      <c r="AJ734"/>
      <c r="AK734"/>
    </row>
    <row r="735" ht="25.5" customHeight="1">
      <c r="A735" s="2" t="str">
        <f>=HYPERLINK("https://applink.larksuite.com/client/mini_program/open?appId=cli_9c7cc8a9a9edd105&amp;mode=appCenter&amp;path_pc=pc/pages/requested/index?instanceId=7553936419543154719&amp;source=bitable&amp;path=pages/detail/index?instanceId=7553936419543154719&amp;source=bitable", "202509250077")</f>
        <v>202509250077</v>
      </c>
      <c r="B735" t="inlineStr">
        <is>
          <t>Approved</t>
        </is>
      </c>
      <c r="C735" t="inlineStr">
        <is>
          <t>Procurement Order</t>
        </is>
      </c>
      <c r="D735" s="3">
        <v>45925.67451388889</v>
      </c>
      <c r="E735" s="3">
        <v>45925.87930555556</v>
      </c>
      <c r="F735" t="inlineStr">
        <is>
          <t>Fatima Kathleen M. FLores</t>
        </is>
      </c>
      <c r="G735" t="inlineStr">
        <is>
          <t>Procurement</t>
        </is>
      </c>
      <c r="H735"/>
      <c r="I735"/>
      <c r="J735" t="inlineStr">
        <is>
          <t>Project</t>
        </is>
      </c>
      <c r="K735" t="inlineStr">
        <is>
          <t>GG - Event Service</t>
        </is>
      </c>
      <c r="L735" t="inlineStr">
        <is>
          <t>HOK Philippine Kings League - Fall Season</t>
        </is>
      </c>
      <c r="M735" t="inlineStr">
        <is>
          <t>2025TEG-P0219</t>
        </is>
      </c>
      <c r="N735" t="inlineStr">
        <is>
          <t>Carla Andrea Calma Crespo</t>
        </is>
      </c>
      <c r="O735" t="inlineStr">
        <is>
          <t>202509200018-Carla Andrea Calma Crespo-费用报销 - 副本 - 副本 - 副本-2025-09-20 09:25:46</t>
        </is>
      </c>
      <c r="P735" t="inlineStr">
        <is>
          <t>NO</t>
        </is>
      </c>
      <c r="Q735"/>
      <c r="R735" t="inlineStr">
        <is>
          <t>NO</t>
        </is>
      </c>
      <c r="S735" t="inlineStr">
        <is>
          <t>3" Customized Mold</t>
        </is>
      </c>
      <c r="T735">
        <v>2</v>
      </c>
      <c r="U735">
        <v>6500</v>
      </c>
      <c r="V735" t="inlineStr">
        <is>
          <t>PHP</t>
        </is>
      </c>
      <c r="W735">
        <v>13000</v>
      </c>
      <c r="X735" s="2"/>
      <c r="Y735" t="inlineStr">
        <is>
          <t>Bank Transfer</t>
        </is>
      </c>
      <c r="Z735" t="inlineStr">
        <is>
          <t>Dessiree P. Deceana</t>
        </is>
      </c>
      <c r="AA735" t="inlineStr">
        <is>
          <t>1589509125</t>
        </is>
      </c>
      <c r="AB735" t="inlineStr">
        <is>
          <t>BPI</t>
        </is>
      </c>
      <c r="AC735" t="inlineStr">
        <is>
          <t>1761 CM Recto Sta. Cruz, Manila</t>
        </is>
      </c>
      <c r="AD735" s="4">
        <v>45938</v>
      </c>
      <c r="AE735" t="inlineStr">
        <is>
          <t>50% Down payment upon confirmation
50% Final Payment before delivery</t>
        </is>
      </c>
      <c r="AF735" s="2" t="str">
        <f>=HYPERLINK("https://www.larksuite.com/approval/admin/previewAttachment?key=TMg9CgIxFATgK83k_WW8jM2GoII2woLFO7tgZfvlJHIGLQUXh8CuCJOlU-HG8KJ6NKuEYg30eu7ryW2vxxqf-0Ec7PN27PVmTku4wp0CwMufk9C0tJ_jGwAA__8", "1 attachment(s)")</f>
        <v>1 attachment(s)</v>
      </c>
      <c r="AG735" t="inlineStr">
        <is>
          <t>NzQyNTk5MTgyNzQ4MTg3MDM0MTo4RUZGNjFBNC01QkE0LTQwRjctQTBFOC0yMURBOUFFQzZDMEQtMTplNTc2NDliZmU1YjU2ODYzZjQ4OTMyMzY1ODFkZGNjODox</t>
        </is>
      </c>
      <c r="AH735" t="inlineStr">
        <is>
          <t>BYB Trophies Shop</t>
        </is>
      </c>
      <c r="AI735"/>
      <c r="AJ735"/>
      <c r="AK735"/>
    </row>
    <row r="736" ht="25.5" customHeight="1">
      <c r="A736" s="2" t="str">
        <f>=HYPERLINK("https://applink.larksuite.com/client/mini_program/open?appId=cli_9c7cc8a9a9edd105&amp;mode=appCenter&amp;path_pc=pc/pages/requested/index?instanceId=7553936419543154719&amp;source=bitable&amp;path=pages/detail/index?instanceId=7553936419543154719&amp;source=bitable", "202509250077")</f>
        <v>202509250077</v>
      </c>
      <c r="B736" t="inlineStr">
        <is>
          <t>Approved</t>
        </is>
      </c>
      <c r="C736" t="inlineStr">
        <is>
          <t>Procurement Order</t>
        </is>
      </c>
      <c r="D736" s="3">
        <v>45925.67451388889</v>
      </c>
      <c r="E736" s="3">
        <v>45925.87930555556</v>
      </c>
      <c r="F736" t="inlineStr">
        <is>
          <t>Fatima Kathleen M. FLores</t>
        </is>
      </c>
      <c r="G736" t="inlineStr">
        <is>
          <t>Procurement</t>
        </is>
      </c>
      <c r="H736"/>
      <c r="I736"/>
      <c r="J736" t="inlineStr">
        <is>
          <t>Project</t>
        </is>
      </c>
      <c r="K736" t="inlineStr">
        <is>
          <t>GG - Event Service</t>
        </is>
      </c>
      <c r="L736" t="inlineStr">
        <is>
          <t>HOK Philippine Kings League - Fall Season</t>
        </is>
      </c>
      <c r="M736" t="inlineStr">
        <is>
          <t>2025TEG-P0219</t>
        </is>
      </c>
      <c r="N736" t="inlineStr">
        <is>
          <t>Carla Andrea Calma Crespo</t>
        </is>
      </c>
      <c r="O736" t="inlineStr">
        <is>
          <t>202509200018-Carla Andrea Calma Crespo-费用报销 - 副本 - 副本 - 副本-2025-09-20 09:25:46</t>
        </is>
      </c>
      <c r="P736" t="inlineStr">
        <is>
          <t>NO</t>
        </is>
      </c>
      <c r="Q736"/>
      <c r="R736" t="inlineStr">
        <is>
          <t>NO</t>
        </is>
      </c>
      <c r="S736" t="inlineStr">
        <is>
          <t>3" Medals with Lanyard</t>
        </is>
      </c>
      <c r="T736">
        <v>9</v>
      </c>
      <c r="U736">
        <v>650</v>
      </c>
      <c r="V736" t="inlineStr">
        <is>
          <t>PHP</t>
        </is>
      </c>
      <c r="W736">
        <v>5850</v>
      </c>
      <c r="X736" s="2" t="str">
        <f>=HYPERLINK("https://www.larksuite.com/approval/admin/previewAttachment?key=PMg9CkIxEATgK83sT_aNl7FJCCpoIzyw2LMLFrbfOIhxJH0IIZrArkyXj6AynBlFtTWrhGIZej339eT212PZ5z6JyT5vc683U2WG8gg_APDyd6-IkEbg5_wGAAD__w", "2 attachment(s)")</f>
        <v>2 attachment(s)</v>
      </c>
      <c r="Y736"/>
      <c r="Z736"/>
      <c r="AA736"/>
      <c r="AB736"/>
      <c r="AC736"/>
      <c r="AD736" s="4"/>
      <c r="AE736"/>
      <c r="AF736" s="2"/>
      <c r="AG736" t="inlineStr">
        <is>
          <t>NzQyNTk5MTgyNzQ4MTg3MDM0MTo4RUZGNjFBNC01QkE0LTQwRjctQTBFOC0yMURBOUFFQzZDMEQtMjo3NmI2NzM5NTI4NDQxM2M1YzRjNzkwMWQxYWVmNzNmMTox</t>
        </is>
      </c>
      <c r="AH736"/>
      <c r="AI736"/>
      <c r="AJ736"/>
      <c r="AK736"/>
    </row>
    <row r="737" ht="25.5" customHeight="1">
      <c r="A737" s="2" t="str">
        <f>=HYPERLINK("https://applink.larksuite.com/client/mini_program/open?appId=cli_9c7cc8a9a9edd105&amp;mode=appCenter&amp;path_pc=pc/pages/requested/index?instanceId=7553514764559761446&amp;source=bitable&amp;path=pages/detail/index?instanceId=7553514764559761446&amp;source=bitable", "202509240031")</f>
        <v>202509240031</v>
      </c>
      <c r="B737" t="inlineStr">
        <is>
          <t>Approved</t>
        </is>
      </c>
      <c r="C737" t="inlineStr">
        <is>
          <t>Procurement Order</t>
        </is>
      </c>
      <c r="D737" s="3">
        <v>45924.53824074074</v>
      </c>
      <c r="E737" s="3">
        <v>45930.715787037036</v>
      </c>
      <c r="F737" t="inlineStr">
        <is>
          <t>Fatima Kathleen M. FLores</t>
        </is>
      </c>
      <c r="G737" t="inlineStr">
        <is>
          <t>Procurement</t>
        </is>
      </c>
      <c r="H737"/>
      <c r="I737"/>
      <c r="J737" t="inlineStr">
        <is>
          <t>Project</t>
        </is>
      </c>
      <c r="K737" t="inlineStr">
        <is>
          <t>PDEI - Event Service</t>
        </is>
      </c>
      <c r="L737" t="inlineStr">
        <is>
          <t>MPL PH S16 - Regular Season</t>
        </is>
      </c>
      <c r="M737" t="inlineStr">
        <is>
          <t>2025TEG-P0214</t>
        </is>
      </c>
      <c r="N737" t="inlineStr">
        <is>
          <t>Katherine Denise Lee Sy</t>
        </is>
      </c>
      <c r="O737" t="inlineStr">
        <is>
          <t>202509180078-Katherine Denise Lee Sy-费用报销 - 副本 - 副本 - 副本-2025-09-18 11:36:37</t>
        </is>
      </c>
      <c r="P737" t="inlineStr">
        <is>
          <t>NO</t>
        </is>
      </c>
      <c r="Q737"/>
      <c r="R737" t="inlineStr">
        <is>
          <t>YES</t>
        </is>
      </c>
      <c r="S737" t="inlineStr">
        <is>
          <t>Hotel Accommodation (Week 1 - Aug. 22 to 28, 2025)</t>
        </is>
      </c>
      <c r="T737">
        <v>1</v>
      </c>
      <c r="U737">
        <v>23560</v>
      </c>
      <c r="V737" t="inlineStr">
        <is>
          <t>PHP</t>
        </is>
      </c>
      <c r="W737">
        <v>23560</v>
      </c>
      <c r="X737" s="2"/>
      <c r="Y737" t="inlineStr">
        <is>
          <t>Bank Transfer</t>
        </is>
      </c>
      <c r="Z737" t="inlineStr">
        <is>
          <t>Green Sun Hotel Management Inc.</t>
        </is>
      </c>
      <c r="AA737" t="inlineStr">
        <is>
          <t>634-7-634-02936-9</t>
        </is>
      </c>
      <c r="AB737" t="inlineStr">
        <is>
          <t>Metrobank</t>
        </is>
      </c>
      <c r="AC737" t="inlineStr">
        <is>
          <t>2285 Don Chino Roces Ave. Ext., Magallanes, Makati City</t>
        </is>
      </c>
      <c r="AD737" s="4">
        <v>45933</v>
      </c>
      <c r="AE737" t="inlineStr">
        <is>
          <t>100% Full Payment</t>
        </is>
      </c>
      <c r="AF737" s="2"/>
      <c r="AG737" t="inlineStr">
        <is>
          <t>NzQyNTk5MTgyNzQ4MTg3MDM0MTpBRTBFQjMzOC1DRjAyLTQ5MkUtQkUwQi02RTZCOEU0MjVFN0ItMTo4YTBhMTI3MWJmZGU5MzBiNGRlOTljY2RhMDM3NDBiMTox</t>
        </is>
      </c>
      <c r="AH737" t="inlineStr">
        <is>
          <t>Green Sun Hotel Management Inc.</t>
        </is>
      </c>
      <c r="AI737"/>
      <c r="AJ737"/>
      <c r="AK737"/>
    </row>
    <row r="738" ht="25.5" customHeight="1">
      <c r="A738" s="2" t="str">
        <f>=HYPERLINK("https://applink.larksuite.com/client/mini_program/open?appId=cli_9c7cc8a9a9edd105&amp;mode=appCenter&amp;path_pc=pc/pages/requested/index?instanceId=7553514764559761446&amp;source=bitable&amp;path=pages/detail/index?instanceId=7553514764559761446&amp;source=bitable", "202509240031")</f>
        <v>202509240031</v>
      </c>
      <c r="B738" t="inlineStr">
        <is>
          <t>Approved</t>
        </is>
      </c>
      <c r="C738" t="inlineStr">
        <is>
          <t>Procurement Order</t>
        </is>
      </c>
      <c r="D738" s="3">
        <v>45924.53824074074</v>
      </c>
      <c r="E738" s="3">
        <v>45930.715787037036</v>
      </c>
      <c r="F738" t="inlineStr">
        <is>
          <t>Fatima Kathleen M. FLores</t>
        </is>
      </c>
      <c r="G738" t="inlineStr">
        <is>
          <t>Procurement</t>
        </is>
      </c>
      <c r="H738"/>
      <c r="I738"/>
      <c r="J738" t="inlineStr">
        <is>
          <t>Project</t>
        </is>
      </c>
      <c r="K738" t="inlineStr">
        <is>
          <t>PDEI - Event Service</t>
        </is>
      </c>
      <c r="L738" t="inlineStr">
        <is>
          <t>MPL PH S16 - Regular Season</t>
        </is>
      </c>
      <c r="M738" t="inlineStr">
        <is>
          <t>2025TEG-P0214</t>
        </is>
      </c>
      <c r="N738" t="inlineStr">
        <is>
          <t>Katherine Denise Lee Sy</t>
        </is>
      </c>
      <c r="O738" t="inlineStr">
        <is>
          <t>202509180078-Katherine Denise Lee Sy-费用报销 - 副本 - 副本 - 副本-2025-09-18 11:36:37</t>
        </is>
      </c>
      <c r="P738" t="inlineStr">
        <is>
          <t>NO</t>
        </is>
      </c>
      <c r="Q738"/>
      <c r="R738" t="inlineStr">
        <is>
          <t>YES</t>
        </is>
      </c>
      <c r="S738" t="inlineStr">
        <is>
          <t>Rental of Meeting Room (Aug. 22 to 28, 2025)</t>
        </is>
      </c>
      <c r="T738">
        <v>1</v>
      </c>
      <c r="U738">
        <v>10500</v>
      </c>
      <c r="V738" t="inlineStr">
        <is>
          <t>PHP</t>
        </is>
      </c>
      <c r="W738">
        <v>10500</v>
      </c>
      <c r="X738" s="2"/>
      <c r="Y738"/>
      <c r="Z738"/>
      <c r="AA738"/>
      <c r="AB738"/>
      <c r="AC738"/>
      <c r="AD738" s="4"/>
      <c r="AE738"/>
      <c r="AF738" s="2"/>
      <c r="AG738" t="inlineStr">
        <is>
          <t>NzQyNTk5MTgyNzQ4MTg3MDM0MTpBRTBFQjMzOC1DRjAyLTQ5MkUtQkUwQi02RTZCOEU0MjVFN0ItMjpiYzE1MGUzM2RiMDFmMjZmZmU2YjA1NGIyZmJmMDFmNzox</t>
        </is>
      </c>
      <c r="AH738"/>
      <c r="AI738"/>
      <c r="AJ738"/>
      <c r="AK738"/>
    </row>
    <row r="739" ht="25.5" customHeight="1">
      <c r="A739" s="2" t="str">
        <f>=HYPERLINK("https://applink.larksuite.com/client/mini_program/open?appId=cli_9c7cc8a9a9edd105&amp;mode=appCenter&amp;path_pc=pc/pages/requested/index?instanceId=7553514764559761446&amp;source=bitable&amp;path=pages/detail/index?instanceId=7553514764559761446&amp;source=bitable", "202509240031")</f>
        <v>202509240031</v>
      </c>
      <c r="B739" t="inlineStr">
        <is>
          <t>Approved</t>
        </is>
      </c>
      <c r="C739" t="inlineStr">
        <is>
          <t>Procurement Order</t>
        </is>
      </c>
      <c r="D739" s="3">
        <v>45924.53824074074</v>
      </c>
      <c r="E739" s="3">
        <v>45930.715787037036</v>
      </c>
      <c r="F739" t="inlineStr">
        <is>
          <t>Fatima Kathleen M. FLores</t>
        </is>
      </c>
      <c r="G739" t="inlineStr">
        <is>
          <t>Procurement</t>
        </is>
      </c>
      <c r="H739"/>
      <c r="I739"/>
      <c r="J739" t="inlineStr">
        <is>
          <t>Project</t>
        </is>
      </c>
      <c r="K739" t="inlineStr">
        <is>
          <t>PDEI - Event Service</t>
        </is>
      </c>
      <c r="L739" t="inlineStr">
        <is>
          <t>MPL PH S16 - Regular Season</t>
        </is>
      </c>
      <c r="M739" t="inlineStr">
        <is>
          <t>2025TEG-P0214</t>
        </is>
      </c>
      <c r="N739" t="inlineStr">
        <is>
          <t>Katherine Denise Lee Sy</t>
        </is>
      </c>
      <c r="O739" t="inlineStr">
        <is>
          <t>202509180078-Katherine Denise Lee Sy-费用报销 - 副本 - 副本 - 副本-2025-09-18 11:36:37</t>
        </is>
      </c>
      <c r="P739" t="inlineStr">
        <is>
          <t>NO</t>
        </is>
      </c>
      <c r="Q739"/>
      <c r="R739" t="inlineStr">
        <is>
          <t>YES</t>
        </is>
      </c>
      <c r="S739" t="inlineStr">
        <is>
          <t>Crew Meals (Ingress to Week 1 - Aug. 17 to 24, 2025)</t>
        </is>
      </c>
      <c r="T739">
        <v>1</v>
      </c>
      <c r="U739">
        <v>403350</v>
      </c>
      <c r="V739" t="inlineStr">
        <is>
          <t>PHP</t>
        </is>
      </c>
      <c r="W739">
        <v>403350</v>
      </c>
      <c r="X739" s="2" t="str">
        <f>=HYPERLINK("https://www.larksuite.com/approval/admin/previewAttachment?key=PMgxDsJADATAL-361vaZz9AkOiEFaBBQ-e1IFGknJhHTOaKgohXY6T6cypB7ZVCKtmZmIZmG3h_rur3n8aSvdeBOfvtz29b-oleaIYc0JgBeTh8pqSqEv9svAAD__w", "2 attachment(s)")</f>
        <v>2 attachment(s)</v>
      </c>
      <c r="Y739"/>
      <c r="Z739"/>
      <c r="AA739"/>
      <c r="AB739"/>
      <c r="AC739"/>
      <c r="AD739" s="4"/>
      <c r="AE739"/>
      <c r="AF739" s="2"/>
      <c r="AG739" t="inlineStr">
        <is>
          <t>NzQyNTk5MTgyNzQ4MTg3MDM0MTpBRTBFQjMzOC1DRjAyLTQ5MkUtQkUwQi02RTZCOEU0MjVFN0ItMzplMzIwNTlkZDRhNzBkMDUxZDRiMjY2ZmRmMzdhMDZkOTox</t>
        </is>
      </c>
      <c r="AH739"/>
      <c r="AI739"/>
      <c r="AJ739"/>
      <c r="AK739"/>
    </row>
    <row r="740" ht="25.5" customHeight="1">
      <c r="A740" s="2" t="str">
        <f>=HYPERLINK("https://applink.larksuite.com/client/mini_program/open?appId=cli_9c7cc8a9a9edd105&amp;mode=appCenter&amp;path_pc=pc/pages/requested/index?instanceId=7553551632571580448&amp;source=bitable&amp;path=pages/detail/index?instanceId=7553551632571580448&amp;source=bitable", "202509240062")</f>
        <v>202509240062</v>
      </c>
      <c r="B740" t="inlineStr">
        <is>
          <t>Approved</t>
        </is>
      </c>
      <c r="C740" t="inlineStr">
        <is>
          <t>Procurement Order</t>
        </is>
      </c>
      <c r="D740" s="3">
        <v>45924.63759259259</v>
      </c>
      <c r="E740" s="3">
        <v>45930.75548611111</v>
      </c>
      <c r="F740" t="inlineStr">
        <is>
          <t>Fatima Kathleen M. FLores</t>
        </is>
      </c>
      <c r="G740" t="inlineStr">
        <is>
          <t>Procurement</t>
        </is>
      </c>
      <c r="H740"/>
      <c r="I740"/>
      <c r="J740" t="inlineStr">
        <is>
          <t>Project</t>
        </is>
      </c>
      <c r="K740" t="inlineStr">
        <is>
          <t>PDEI - Game Marketing</t>
        </is>
      </c>
      <c r="L740" t="inlineStr">
        <is>
          <t>Met Park: Rainy Day Tails Pet Party</t>
        </is>
      </c>
      <c r="M740" t="inlineStr">
        <is>
          <t>2025TEG-P0190</t>
        </is>
      </c>
      <c r="N740" t="inlineStr">
        <is>
          <t>Clifford Markus Ortiz Martinez</t>
        </is>
      </c>
      <c r="O740" t="inlineStr">
        <is>
          <t>202509110026-Clifford Markus Ortiz Martinez-费用报销 - 副本 - 副本 - 副本-2025-09-11 04:07:25</t>
        </is>
      </c>
      <c r="P740" t="inlineStr">
        <is>
          <t>YES</t>
        </is>
      </c>
      <c r="Q740"/>
      <c r="R740" t="inlineStr">
        <is>
          <t>YES</t>
        </is>
      </c>
      <c r="S740" t="inlineStr">
        <is>
          <t>Outsourced Road Manager</t>
        </is>
      </c>
      <c r="T740">
        <v>1</v>
      </c>
      <c r="U740">
        <v>1750</v>
      </c>
      <c r="V740" t="inlineStr">
        <is>
          <t>PHP</t>
        </is>
      </c>
      <c r="W740">
        <v>1750</v>
      </c>
      <c r="X740" s="2" t="str">
        <f>=HYPERLINK("https://www.larksuite.com/approval/admin/previewAttachment?key=PMgxCgJRDATQK80kmZ_Ey9i4LIpYyS5Y5OyChe1bRawSfTWiaQ1OSi5xuSmpQkSNDTMbyTTM9tqvdh4P0TdXfep5zHm_7dub6jRDeoQXAF7-7hkR3Svwc3wDAAD__w", "2 attachment(s)")</f>
        <v>2 attachment(s)</v>
      </c>
      <c r="Y740" t="inlineStr">
        <is>
          <t>Bank Transfer</t>
        </is>
      </c>
      <c r="Z740" t="inlineStr">
        <is>
          <t>Juan Diego Villarama Legislador</t>
        </is>
      </c>
      <c r="AA740" t="inlineStr">
        <is>
          <t>1096 7009 1261</t>
        </is>
      </c>
      <c r="AB740" t="inlineStr">
        <is>
          <t>Unionbank</t>
        </is>
      </c>
      <c r="AC740" t="inlineStr">
        <is>
          <t>1246 Cardona St. Rizal Village Makati City</t>
        </is>
      </c>
      <c r="AD740" s="4">
        <v>45921</v>
      </c>
      <c r="AE740" t="inlineStr">
        <is>
          <t>100% Full Payment - Oct. 3, 2025</t>
        </is>
      </c>
      <c r="AF740" s="2"/>
      <c r="AG740" t="inlineStr">
        <is>
          <t>NzQyNTk5MTgyNzQ4MTg3MDM0MTozQzA3OTg3My1BOTczLTQwM0ItQkMxOS0zNzMyREVBNUM0REItMTowOWEzZjkxZTVjYmEzYmJjNTE4ZjVhNTc1ODg0ZjA4MTox</t>
        </is>
      </c>
      <c r="AH740" t="inlineStr">
        <is>
          <t>Juan Diego Villarama Legislador</t>
        </is>
      </c>
      <c r="AI740"/>
      <c r="AJ740"/>
      <c r="AK740"/>
    </row>
    <row r="741" ht="25.5" customHeight="1">
      <c r="A741" s="2" t="str">
        <f>=HYPERLINK("https://applink.larksuite.com/client/mini_program/open?appId=cli_9c7cc8a9a9edd105&amp;mode=appCenter&amp;path_pc=pc/pages/requested/index?instanceId=7553169188429348896&amp;source=bitable&amp;path=pages/detail/index?instanceId=7553169188429348896&amp;source=bitable", "202509230037")</f>
        <v>202509230037</v>
      </c>
      <c r="B741" t="inlineStr">
        <is>
          <t>Approved</t>
        </is>
      </c>
      <c r="C741" t="inlineStr">
        <is>
          <t>Procurement Order</t>
        </is>
      </c>
      <c r="D741" s="3">
        <v>45923.60697916667</v>
      </c>
      <c r="E741" s="3">
        <v>45930.70738425926</v>
      </c>
      <c r="F741" t="inlineStr">
        <is>
          <t>Fatima Kathleen M. FLores</t>
        </is>
      </c>
      <c r="G741" t="inlineStr">
        <is>
          <t>Procurement</t>
        </is>
      </c>
      <c r="H741"/>
      <c r="I741"/>
      <c r="J741" t="inlineStr">
        <is>
          <t>Project</t>
        </is>
      </c>
      <c r="K741" t="inlineStr">
        <is>
          <t>PDEI - Event Service</t>
        </is>
      </c>
      <c r="L741" t="inlineStr">
        <is>
          <t>MPL PH S16 - Regular Season</t>
        </is>
      </c>
      <c r="M741" t="inlineStr">
        <is>
          <t>2025TEG-P0214</t>
        </is>
      </c>
      <c r="N741" t="inlineStr">
        <is>
          <t>Katherine Denise Lee Sy</t>
        </is>
      </c>
      <c r="O741" t="inlineStr">
        <is>
          <t>202509180080-Katherine Denise Lee Sy-费用报销 - 副本 - 副本 - 副本-2025-09-18 12:05:20</t>
        </is>
      </c>
      <c r="P741" t="inlineStr">
        <is>
          <t>YES</t>
        </is>
      </c>
      <c r="Q741"/>
      <c r="R741" t="inlineStr">
        <is>
          <t>YES</t>
        </is>
      </c>
      <c r="S741" t="inlineStr">
        <is>
          <t>Outsourced Video Editor</t>
        </is>
      </c>
      <c r="T741">
        <v>1</v>
      </c>
      <c r="U741">
        <v>72500</v>
      </c>
      <c r="V741" t="inlineStr">
        <is>
          <t>PHP</t>
        </is>
      </c>
      <c r="W741">
        <v>72500</v>
      </c>
      <c r="X741" s="2" t="str">
        <f>=HYPERLINK("https://www.larksuite.com/approval/admin/previewAttachment?key=PMg9CgIxEAXgK735n-dlbDYEg6QS7HJ2wWLbL1uQHWJJOEUJORVhkpRuV5p3M48eqSJKSnHGns-Ia431Lt-Te9n5vq45PhIsVZS5WwOQx-1W7k6m4-_4BQAA__8", "2 attachment(s)")</f>
        <v>2 attachment(s)</v>
      </c>
      <c r="Y741" t="inlineStr">
        <is>
          <t>Bank Transfer</t>
        </is>
      </c>
      <c r="Z741" t="inlineStr">
        <is>
          <t>Mc Kenneth R. Esteban</t>
        </is>
      </c>
      <c r="AA741" t="inlineStr">
        <is>
          <t>9619212212</t>
        </is>
      </c>
      <c r="AB741" t="inlineStr">
        <is>
          <t>BPI</t>
        </is>
      </c>
      <c r="AC741" t="inlineStr">
        <is>
          <t>10 Kasoy St. Pasong Tamo Quezon City</t>
        </is>
      </c>
      <c r="AD741" s="4">
        <v>45891</v>
      </c>
      <c r="AE741" t="inlineStr">
        <is>
          <t>1st Payment - Sept. 26, 2025
2nd Payment - Oct. 17, 2025
3rd Payment - Oct. 31, 2025
Final Payment - Nov. 14, 2025</t>
        </is>
      </c>
      <c r="AF741" s="2"/>
      <c r="AG741" t="inlineStr">
        <is>
          <t>NzQyNTk5MTgyNzQ4MTg3MDM0MToxQjZEMDJBNC1DQzQxLTQwM0YtOEUwNC0xOTQxNEM3MjRGOEYtMTo5ZDI1NTk5NzY5NWEwZDFmNTQ2OGQwZWFlODZmN2JkNjox</t>
        </is>
      </c>
      <c r="AH741" t="inlineStr">
        <is>
          <t>Mc Kenneth R. Esteban</t>
        </is>
      </c>
      <c r="AI741"/>
      <c r="AJ741"/>
      <c r="AK741"/>
    </row>
    <row r="742" ht="25.5" customHeight="1">
      <c r="A742" s="2" t="str">
        <f>=HYPERLINK("https://applink.larksuite.com/client/mini_program/open?appId=cli_9c7cc8a9a9edd105&amp;mode=appCenter&amp;path_pc=pc/pages/requested/index?instanceId=7554220995591110688&amp;source=bitable&amp;path=pages/detail/index?instanceId=7554220995591110688&amp;source=bitable", "202509260007")</f>
        <v>202509260007</v>
      </c>
      <c r="B742" t="inlineStr">
        <is>
          <t>Approved</t>
        </is>
      </c>
      <c r="C742" t="inlineStr">
        <is>
          <t>Procurement Order</t>
        </is>
      </c>
      <c r="D742" s="3">
        <v>45926.44138888889</v>
      </c>
      <c r="E742" s="3">
        <v>45930.749814814815</v>
      </c>
      <c r="F742" t="inlineStr">
        <is>
          <t>Fatima Kathleen M. FLores</t>
        </is>
      </c>
      <c r="G742" t="inlineStr">
        <is>
          <t>Procurement</t>
        </is>
      </c>
      <c r="H742"/>
      <c r="I742"/>
      <c r="J742" t="inlineStr">
        <is>
          <t>Project</t>
        </is>
      </c>
      <c r="K742" t="inlineStr">
        <is>
          <t>GG - Event Service</t>
        </is>
      </c>
      <c r="L742" t="inlineStr">
        <is>
          <t>HOK Philippine Kings League - Fall Season</t>
        </is>
      </c>
      <c r="M742" t="inlineStr">
        <is>
          <t>2025TEG-P0219</t>
        </is>
      </c>
      <c r="N742" t="inlineStr">
        <is>
          <t>Carla Andrea Calma Crespo</t>
        </is>
      </c>
      <c r="O742" t="inlineStr">
        <is>
          <t>202509010103-Carla Andrea Calma Crespo-费用报销 - 副本 - 副本 - 副本-2025-09-01 08:18:52</t>
        </is>
      </c>
      <c r="P742" t="inlineStr">
        <is>
          <t>NO</t>
        </is>
      </c>
      <c r="Q742"/>
      <c r="R742" t="inlineStr">
        <is>
          <t>YES</t>
        </is>
      </c>
      <c r="S742" t="inlineStr">
        <is>
          <t>Outsourced Motion Graphics Designer</t>
        </is>
      </c>
      <c r="T742">
        <v>1</v>
      </c>
      <c r="U742">
        <v>212800</v>
      </c>
      <c r="V742" t="inlineStr">
        <is>
          <t>PHP</t>
        </is>
      </c>
      <c r="W742">
        <v>212800</v>
      </c>
      <c r="X742" s="2" t="str">
        <f>=HYPERLINK("https://www.larksuite.com/approval/admin/previewAttachment?key=PMkxDsJADATAL-367LOXz9AQnVBEKiRS-e0IirQzs4hZwTEFF01gZ4SbQYoQ-ftqa2YKyTT0dqy79gPn6TGy1v6K_jwfa3szlGbI4T4KAG-Xj3R3aTr-jm8AAAD__w", "2 attachment(s)")</f>
        <v>2 attachment(s)</v>
      </c>
      <c r="Y742" t="inlineStr">
        <is>
          <t>Bank Transfer</t>
        </is>
      </c>
      <c r="Z742" t="inlineStr">
        <is>
          <t>Jeric Angelo C. Asinas</t>
        </is>
      </c>
      <c r="AA742" t="inlineStr">
        <is>
          <t>4519301747</t>
        </is>
      </c>
      <c r="AB742" t="inlineStr">
        <is>
          <t>BPI</t>
        </is>
      </c>
      <c r="AC742" t="inlineStr">
        <is>
          <t>#1723 Lirio St. Camarin Brgy. 174 Caloocan City</t>
        </is>
      </c>
      <c r="AD742" s="4">
        <v>45896</v>
      </c>
      <c r="AE742" t="inlineStr">
        <is>
          <t>1st Payment - Sept. 26, 2025
2nd Payment - Oct. 3, 2025
Final Payment - Oct. 10, 2025</t>
        </is>
      </c>
      <c r="AF742" s="2"/>
      <c r="AG742" t="inlineStr">
        <is>
          <t>NzQyNTk5MTgyNzQ4MTg3MDM0MToxNTkwQzREQy03OEI0LTRERTctQjMwMi1FMTVEMkRDQkZDNzItMTowYzMzYjA2ZTBjM2E4NDYwN2FlNWVkODE5Y2YzYzNiMDox</t>
        </is>
      </c>
      <c r="AH742" t="inlineStr">
        <is>
          <t>Jeric Angelo C. Asinas</t>
        </is>
      </c>
      <c r="AI742"/>
      <c r="AJ742"/>
      <c r="AK742"/>
    </row>
    <row r="743" ht="25.5" customHeight="1">
      <c r="A743" s="2" t="str">
        <f>=HYPERLINK("https://applink.larksuite.com/client/mini_program/open?appId=cli_9c7cc8a9a9edd105&amp;mode=appCenter&amp;path_pc=pc/pages/requested/index?instanceId=7554265853617831974&amp;source=bitable&amp;path=pages/detail/index?instanceId=7554265853617831974&amp;source=bitable", "202509260023")</f>
        <v>202509260023</v>
      </c>
      <c r="B743" t="inlineStr">
        <is>
          <t>Approved</t>
        </is>
      </c>
      <c r="C743" t="inlineStr">
        <is>
          <t>Procurement Order</t>
        </is>
      </c>
      <c r="D743" s="3">
        <v>45926.56228009259</v>
      </c>
      <c r="E743" s="3">
        <v>45926.58795138889</v>
      </c>
      <c r="F743" t="inlineStr">
        <is>
          <t>Fatima Kathleen M. FLores</t>
        </is>
      </c>
      <c r="G743" t="inlineStr">
        <is>
          <t>Procurement</t>
        </is>
      </c>
      <c r="H743"/>
      <c r="I743"/>
      <c r="J743" t="inlineStr">
        <is>
          <t>Project</t>
        </is>
      </c>
      <c r="K743" t="inlineStr">
        <is>
          <t>PDEI - Game Marketing</t>
        </is>
      </c>
      <c r="L743" t="inlineStr">
        <is>
          <t>WCG 2025 Creator Rumble</t>
        </is>
      </c>
      <c r="M743" t="inlineStr">
        <is>
          <t>2025TEG-P0041</t>
        </is>
      </c>
      <c r="N743" t="inlineStr">
        <is>
          <t>Maura Aurel Atilano Yap</t>
        </is>
      </c>
      <c r="O743" t="inlineStr">
        <is>
          <t>202509110034-Maura Aurel Atilano Yap-费用报销 - 副本 - 副本 - 副本-2025-09-11 04:55:18</t>
        </is>
      </c>
      <c r="P743" t="inlineStr">
        <is>
          <t>NO</t>
        </is>
      </c>
      <c r="Q743"/>
      <c r="R743" t="inlineStr">
        <is>
          <t>NO</t>
        </is>
      </c>
      <c r="S743" t="inlineStr">
        <is>
          <t>Outsourced Safety Officer (1 day)</t>
        </is>
      </c>
      <c r="T743">
        <v>1</v>
      </c>
      <c r="U743">
        <v>2500</v>
      </c>
      <c r="V743" t="inlineStr">
        <is>
          <t>PHP</t>
        </is>
      </c>
      <c r="W743">
        <v>2500</v>
      </c>
      <c r="X743" s="2"/>
      <c r="Y743" t="inlineStr">
        <is>
          <t>Bank Transfer</t>
        </is>
      </c>
      <c r="Z743" t="inlineStr">
        <is>
          <t>Juanito T. Acedo Jr.</t>
        </is>
      </c>
      <c r="AA743" t="inlineStr">
        <is>
          <t>010670126934</t>
        </is>
      </c>
      <c r="AB743" t="inlineStr">
        <is>
          <t>BDO</t>
        </is>
      </c>
      <c r="AC743" t="inlineStr">
        <is>
          <t>127-68 Bronze St., Tugatog District II, Malabon City</t>
        </is>
      </c>
      <c r="AD743" s="4">
        <v>45917</v>
      </c>
      <c r="AE743" t="inlineStr">
        <is>
          <t>100% Full Payment upon completion of services</t>
        </is>
      </c>
      <c r="AF743" s="2"/>
      <c r="AG743" t="inlineStr">
        <is>
          <t>NzQyNTk5MTgyNzQ4MTg3MDM0MTpGREVDRTY0OS1ENThFLTQ3RTgtQjlGNC1BOUNGNjU0NUUxQTgtMToxNmU4NGFhZjU0M2FlODEzZWNkNDk4Nzc0Yjk2ZTcwYjox</t>
        </is>
      </c>
      <c r="AH743" t="inlineStr">
        <is>
          <t>ACE88 Event Security Management</t>
        </is>
      </c>
      <c r="AI743"/>
      <c r="AJ743"/>
      <c r="AK743"/>
    </row>
    <row r="744" ht="25.5" customHeight="1">
      <c r="A744" s="2" t="str">
        <f>=HYPERLINK("https://applink.larksuite.com/client/mini_program/open?appId=cli_9c7cc8a9a9edd105&amp;mode=appCenter&amp;path_pc=pc/pages/requested/index?instanceId=7554265853617831974&amp;source=bitable&amp;path=pages/detail/index?instanceId=7554265853617831974&amp;source=bitable", "202509260023")</f>
        <v>202509260023</v>
      </c>
      <c r="B744" t="inlineStr">
        <is>
          <t>Approved</t>
        </is>
      </c>
      <c r="C744" t="inlineStr">
        <is>
          <t>Procurement Order</t>
        </is>
      </c>
      <c r="D744" s="3">
        <v>45926.56228009259</v>
      </c>
      <c r="E744" s="3">
        <v>45926.58795138889</v>
      </c>
      <c r="F744" t="inlineStr">
        <is>
          <t>Fatima Kathleen M. FLores</t>
        </is>
      </c>
      <c r="G744" t="inlineStr">
        <is>
          <t>Procurement</t>
        </is>
      </c>
      <c r="H744"/>
      <c r="I744"/>
      <c r="J744" t="inlineStr">
        <is>
          <t>Project</t>
        </is>
      </c>
      <c r="K744" t="inlineStr">
        <is>
          <t>PDEI - Game Marketing</t>
        </is>
      </c>
      <c r="L744" t="inlineStr">
        <is>
          <t>WCG 2025 Creator Rumble</t>
        </is>
      </c>
      <c r="M744" t="inlineStr">
        <is>
          <t>2025TEG-P0041</t>
        </is>
      </c>
      <c r="N744" t="inlineStr">
        <is>
          <t>Maura Aurel Atilano Yap</t>
        </is>
      </c>
      <c r="O744" t="inlineStr">
        <is>
          <t>202509110034-Maura Aurel Atilano Yap-费用报销 - 副本 - 副本 - 副本-2025-09-11 04:55:18</t>
        </is>
      </c>
      <c r="P744" t="inlineStr">
        <is>
          <t>NO</t>
        </is>
      </c>
      <c r="Q744"/>
      <c r="R744" t="inlineStr">
        <is>
          <t>NO</t>
        </is>
      </c>
      <c r="S744" t="inlineStr">
        <is>
          <t>Outsourced Medical Personnel (1 day)</t>
        </is>
      </c>
      <c r="T744">
        <v>1</v>
      </c>
      <c r="U744">
        <v>2000</v>
      </c>
      <c r="V744" t="inlineStr">
        <is>
          <t>PHP</t>
        </is>
      </c>
      <c r="W744">
        <v>2000</v>
      </c>
      <c r="X744" s="2" t="str">
        <f>=HYPERLINK("https://www.larksuite.com/approval/admin/previewAttachment?key=PMg7isNAEATQK1X1r7r3MptIDE4MBoNAwZzd4MDpqyaqk16DGNqAW5lhlZ1eVDtHsW1TGogy7PO5_juuY72IizfWrX09jnW-mSMzyCO8AfDv566ImKnA1_kJAAD__w", "2 attachment(s)")</f>
        <v>2 attachment(s)</v>
      </c>
      <c r="Y744"/>
      <c r="Z744"/>
      <c r="AA744"/>
      <c r="AB744"/>
      <c r="AC744"/>
      <c r="AD744" s="4"/>
      <c r="AE744"/>
      <c r="AF744" s="2"/>
      <c r="AG744" t="inlineStr">
        <is>
          <t>NzQyNTk5MTgyNzQ4MTg3MDM0MTpGREVDRTY0OS1ENThFLTQ3RTgtQjlGNC1BOUNGNjU0NUUxQTgtMjozMWZmMGE0YWEyNDY0ZTI1MzFlY2JjM2VjMDM5MmUxYTox</t>
        </is>
      </c>
      <c r="AH744"/>
      <c r="AI744"/>
      <c r="AJ744"/>
      <c r="AK744"/>
    </row>
    <row r="745" ht="25.5" customHeight="1">
      <c r="A745" s="2" t="str">
        <f>=HYPERLINK("https://applink.larksuite.com/client/mini_program/open?appId=cli_9c7cc8a9a9edd105&amp;mode=appCenter&amp;path_pc=pc/pages/requested/index?instanceId=7554281715116752934&amp;source=bitable&amp;path=pages/detail/index?instanceId=7554281715116752934&amp;source=bitable", "202509260028")</f>
        <v>202509260028</v>
      </c>
      <c r="B745" t="inlineStr">
        <is>
          <t>Approved</t>
        </is>
      </c>
      <c r="C745" t="inlineStr">
        <is>
          <t>Procurement Order</t>
        </is>
      </c>
      <c r="D745" s="3">
        <v>45926.60502314815</v>
      </c>
      <c r="E745" s="3">
        <v>45929.63454861111</v>
      </c>
      <c r="F745" t="inlineStr">
        <is>
          <t>Fatima Kathleen M. FLores</t>
        </is>
      </c>
      <c r="G745" t="inlineStr">
        <is>
          <t>Procurement</t>
        </is>
      </c>
      <c r="H745"/>
      <c r="I745"/>
      <c r="J745" t="inlineStr">
        <is>
          <t>Project</t>
        </is>
      </c>
      <c r="K745" t="inlineStr">
        <is>
          <t>PDEI - Game Marketing</t>
        </is>
      </c>
      <c r="L745" t="inlineStr">
        <is>
          <t>WCG 2025 Creator Rumble</t>
        </is>
      </c>
      <c r="M745" t="inlineStr">
        <is>
          <t>2025TEG-P0041</t>
        </is>
      </c>
      <c r="N745" t="inlineStr">
        <is>
          <t>Maura Aurel Atilano Yap</t>
        </is>
      </c>
      <c r="O745" t="inlineStr">
        <is>
          <t>202509170080-Maura Aurel Atilano Yap-费用报销 - 副本 - 副本 - 副本-2025-09-17 09:03:03</t>
        </is>
      </c>
      <c r="P745" t="inlineStr">
        <is>
          <t>NO</t>
        </is>
      </c>
      <c r="Q745"/>
      <c r="R745" t="inlineStr">
        <is>
          <t>NO</t>
        </is>
      </c>
      <c r="S745" t="inlineStr">
        <is>
          <t>Customized Baseball Jersey (Size: XS to 2XL)</t>
        </is>
      </c>
      <c r="T745">
        <v>33</v>
      </c>
      <c r="U745">
        <v>800</v>
      </c>
      <c r="V745" t="inlineStr">
        <is>
          <t>PHP</t>
        </is>
      </c>
      <c r="W745">
        <v>26400</v>
      </c>
      <c r="X745" s="2"/>
      <c r="Y745" t="inlineStr">
        <is>
          <t>Bank Transfer</t>
        </is>
      </c>
      <c r="Z745" t="inlineStr">
        <is>
          <t>EZ JERSEY OPC</t>
        </is>
      </c>
      <c r="AA745" t="inlineStr">
        <is>
          <t>045330000986</t>
        </is>
      </c>
      <c r="AB745" t="inlineStr">
        <is>
          <t>PS BANK</t>
        </is>
      </c>
      <c r="AC745" t="inlineStr">
        <is>
          <t>Blk 17 Lot 10 PH 1B Sub Urban, San Jose, Montalban, Rizal</t>
        </is>
      </c>
      <c r="AD745" s="4">
        <v>45937</v>
      </c>
      <c r="AE745" t="inlineStr">
        <is>
          <t>50% Down payment upon confirmation
50% Final payment upon completion</t>
        </is>
      </c>
      <c r="AF745" s="2" t="str">
        <f>=HYPERLINK("https://www.larksuite.com/approval/admin/previewAttachment?key=TMg9CgJBDAXgK72Xya-XsTEMsrCVsNrk7IKV7edJeBqXF7QoBU6YqSSDRnqY1NKRYUQhGILpc9-PswXn53rv3dbHXM_H7hc9l0PLVFkAePtzEpXL18_xDQAA__8", "2 attachment(s)")</f>
        <v>2 attachment(s)</v>
      </c>
      <c r="AG745" t="inlineStr">
        <is>
          <t>NzQyNTk5MTgyNzQ4MTg3MDM0MTozMkM2M0MxRC0zODhGLTQyNTMtQjU5Qy1FOUVFMUNENzBFMkUtMToyZmYzZDg2NGQ2NGQ5MDA2NjQxMTE1NWMyMTZiNWQ0Yzox</t>
        </is>
      </c>
      <c r="AH745" t="inlineStr">
        <is>
          <t>EZ JERSEY OPC</t>
        </is>
      </c>
      <c r="AI745"/>
      <c r="AJ745"/>
      <c r="AK745"/>
    </row>
    <row r="746" ht="25.5" customHeight="1">
      <c r="A746" s="2" t="str">
        <f>=HYPERLINK("https://applink.larksuite.com/client/mini_program/open?appId=cli_9c7cc8a9a9edd105&amp;mode=appCenter&amp;path_pc=pc/pages/requested/index?instanceId=7554281715116752934&amp;source=bitable&amp;path=pages/detail/index?instanceId=7554281715116752934&amp;source=bitable", "202509260028")</f>
        <v>202509260028</v>
      </c>
      <c r="B746" t="inlineStr">
        <is>
          <t>Approved</t>
        </is>
      </c>
      <c r="C746" t="inlineStr">
        <is>
          <t>Procurement Order</t>
        </is>
      </c>
      <c r="D746" s="3">
        <v>45926.60502314815</v>
      </c>
      <c r="E746" s="3">
        <v>45929.63454861111</v>
      </c>
      <c r="F746" t="inlineStr">
        <is>
          <t>Fatima Kathleen M. FLores</t>
        </is>
      </c>
      <c r="G746" t="inlineStr">
        <is>
          <t>Procurement</t>
        </is>
      </c>
      <c r="H746"/>
      <c r="I746"/>
      <c r="J746" t="inlineStr">
        <is>
          <t>Project</t>
        </is>
      </c>
      <c r="K746" t="inlineStr">
        <is>
          <t>PDEI - Game Marketing</t>
        </is>
      </c>
      <c r="L746" t="inlineStr">
        <is>
          <t>WCG 2025 Creator Rumble</t>
        </is>
      </c>
      <c r="M746" t="inlineStr">
        <is>
          <t>2025TEG-P0041</t>
        </is>
      </c>
      <c r="N746" t="inlineStr">
        <is>
          <t>Maura Aurel Atilano Yap</t>
        </is>
      </c>
      <c r="O746" t="inlineStr">
        <is>
          <t>202509170080-Maura Aurel Atilano Yap-费用报销 - 副本 - 副本 - 副本-2025-09-17 09:03:03</t>
        </is>
      </c>
      <c r="P746" t="inlineStr">
        <is>
          <t>NO</t>
        </is>
      </c>
      <c r="Q746"/>
      <c r="R746" t="inlineStr">
        <is>
          <t>NO</t>
        </is>
      </c>
      <c r="S746" t="inlineStr">
        <is>
          <t>Customized Baseball Jersey (Size: 5XL)</t>
        </is>
      </c>
      <c r="T746">
        <v>1</v>
      </c>
      <c r="U746">
        <v>1000</v>
      </c>
      <c r="V746" t="inlineStr">
        <is>
          <t>PHP</t>
        </is>
      </c>
      <c r="W746">
        <v>1000</v>
      </c>
      <c r="X746" s="2" t="str">
        <f>=HYPERLINK("https://www.larksuite.com/approval/admin/previewAttachment?key=PMgxCgJBDAXQK_2fSeZPvIyNYZCFrYTVJmcXLGzfXMRcwTETnrQEWxFui2KQU2E5vK0pJUQZus59P84ynJ_rvXdFHX09H7tejJQZNNzHAsDb34fcPXM6fs5vAAAA__8", "2 attachment(s)")</f>
        <v>2 attachment(s)</v>
      </c>
      <c r="Y746"/>
      <c r="Z746"/>
      <c r="AA746"/>
      <c r="AB746"/>
      <c r="AC746"/>
      <c r="AD746" s="4"/>
      <c r="AE746"/>
      <c r="AF746" s="2"/>
      <c r="AG746" t="inlineStr">
        <is>
          <t>NzQyNTk5MTgyNzQ4MTg3MDM0MTozMkM2M0MxRC0zODhGLTQyNTMtQjU5Qy1FOUVFMUNENzBFMkUtMjo0OTczODRhN2FlMzYyYWQwYTVjMTNiYjQ3NzM0MTQ1ZDox</t>
        </is>
      </c>
      <c r="AH746"/>
      <c r="AI746"/>
      <c r="AJ746"/>
      <c r="AK746"/>
    </row>
    <row r="747" ht="25.5" customHeight="1">
      <c r="A747" s="2" t="str">
        <f>=HYPERLINK("https://applink.larksuite.com/client/mini_program/open?appId=cli_9c7cc8a9a9edd105&amp;mode=appCenter&amp;path_pc=pc/pages/requested/index?instanceId=7555404727823974431&amp;source=bitable&amp;path=pages/detail/index?instanceId=7555404727823974431&amp;source=bitable", "202509290076")</f>
        <v>202509290076</v>
      </c>
      <c r="B747" t="inlineStr">
        <is>
          <t>Approved</t>
        </is>
      </c>
      <c r="C747" t="inlineStr">
        <is>
          <t>Procurement Order</t>
        </is>
      </c>
      <c r="D747" s="3">
        <v>45929.63130787037</v>
      </c>
      <c r="E747" s="3">
        <v>45930.756631944445</v>
      </c>
      <c r="F747" t="inlineStr">
        <is>
          <t>Fatima Kathleen M. FLores</t>
        </is>
      </c>
      <c r="G747" t="inlineStr">
        <is>
          <t>Procurement</t>
        </is>
      </c>
      <c r="H747"/>
      <c r="I747"/>
      <c r="J747" t="inlineStr">
        <is>
          <t>Project</t>
        </is>
      </c>
      <c r="K747" t="inlineStr">
        <is>
          <t>PDEI - Game Marketing</t>
        </is>
      </c>
      <c r="L747" t="inlineStr">
        <is>
          <t>Met Park: Rainy Day Tails Pet Party</t>
        </is>
      </c>
      <c r="M747" t="inlineStr">
        <is>
          <t>2025TEG-P0190</t>
        </is>
      </c>
      <c r="N747" t="inlineStr">
        <is>
          <t>Clifford Markus Ortiz Martinez</t>
        </is>
      </c>
      <c r="O747" t="inlineStr">
        <is>
          <t>202509110070-Clifford Markus Ortiz Martinez-费用报销 - 副本 - 副本 - 副本-2025-09-11 07:48:00</t>
        </is>
      </c>
      <c r="P747" t="inlineStr">
        <is>
          <t>YES</t>
        </is>
      </c>
      <c r="Q747"/>
      <c r="R747" t="inlineStr">
        <is>
          <t>NO</t>
        </is>
      </c>
      <c r="S747" t="inlineStr">
        <is>
          <t>Outsourced Logistics Associates / Ushers</t>
        </is>
      </c>
      <c r="T747">
        <v>1</v>
      </c>
      <c r="U747">
        <v>6000</v>
      </c>
      <c r="V747" t="inlineStr">
        <is>
          <t>PHP</t>
        </is>
      </c>
      <c r="W747">
        <v>6000</v>
      </c>
      <c r="X747" s="2" t="str">
        <f>=HYPERLINK("https://www.larksuite.com/approval/admin/previewAttachment?key=PMhBCsJADAXQK_0kf-ZPvIwbS7HaSkEY3OTsggu3rw9DH82iJ5jmCSu11gjKNTxSZFh5mZSQyVHLsV63eW7POD_aH7Yfr5r327q8raXcoSBjALDL30MkMzvxc3wDAAD__w", "2 attachment(s)")</f>
        <v>2 attachment(s)</v>
      </c>
      <c r="Y747" t="inlineStr">
        <is>
          <t>Bank Transfer</t>
        </is>
      </c>
      <c r="Z747" t="inlineStr">
        <is>
          <t>Romelia Avila</t>
        </is>
      </c>
      <c r="AA747" t="inlineStr">
        <is>
          <t>09776253986</t>
        </is>
      </c>
      <c r="AB747" t="inlineStr">
        <is>
          <t>GCash</t>
        </is>
      </c>
      <c r="AC747" t="inlineStr">
        <is>
          <t>185 C Aguinaldo Salitran 1 Dasma Cavite</t>
        </is>
      </c>
      <c r="AD747" s="4">
        <v>45921</v>
      </c>
      <c r="AE747" t="inlineStr">
        <is>
          <t>100% Full Payment - Oct. 3, 2025</t>
        </is>
      </c>
      <c r="AF747" s="2"/>
      <c r="AG747" t="inlineStr">
        <is>
          <t>NzQyNTk5MTgyNzQ4MTg3MDM0MTpFRjY3MkFGNy0yQkQ0LTQ3MTAtOEZBMC1CMzI2MTE2QUYyQTUtMTo0OTNiMDc3YWQzNzQ2NGU2N2ZiMzM5ZmU3MWE4YzFhODox</t>
        </is>
      </c>
      <c r="AH747" t="inlineStr">
        <is>
          <t>Romelia Avila</t>
        </is>
      </c>
      <c r="AI747"/>
      <c r="AJ747"/>
      <c r="AK747"/>
    </row>
    <row r="748" ht="25.5" customHeight="1">
      <c r="A748" s="2" t="str">
        <f>=HYPERLINK("https://applink.larksuite.com/client/mini_program/open?appId=cli_9c7cc8a9a9edd105&amp;mode=appCenter&amp;path_pc=pc/pages/requested/index?instanceId=7555401056776273951&amp;source=bitable&amp;path=pages/detail/index?instanceId=7555401056776273951&amp;source=bitable", "202509290073")</f>
        <v>202509290073</v>
      </c>
      <c r="B748" t="inlineStr">
        <is>
          <t>Approved</t>
        </is>
      </c>
      <c r="C748" t="inlineStr">
        <is>
          <t>Procurement Order</t>
        </is>
      </c>
      <c r="D748" s="3">
        <v>45929.62142361111</v>
      </c>
      <c r="E748" s="3">
        <v>45930.69237268518</v>
      </c>
      <c r="F748" t="inlineStr">
        <is>
          <t>Fatima Kathleen M. FLores</t>
        </is>
      </c>
      <c r="G748" t="inlineStr">
        <is>
          <t>Procurement</t>
        </is>
      </c>
      <c r="H748"/>
      <c r="I748"/>
      <c r="J748" t="inlineStr">
        <is>
          <t>Project</t>
        </is>
      </c>
      <c r="K748" t="inlineStr">
        <is>
          <t>PDEI - Game Marketing</t>
        </is>
      </c>
      <c r="L748" t="inlineStr">
        <is>
          <t>WCG 2025 Creator Rumble</t>
        </is>
      </c>
      <c r="M748" t="inlineStr">
        <is>
          <t>2025TEG-P0041</t>
        </is>
      </c>
      <c r="N748" t="inlineStr">
        <is>
          <t>Maura Aurel Atilano Yap</t>
        </is>
      </c>
      <c r="O748" t="inlineStr">
        <is>
          <t>202509080119-Maura Aurel Atilano Yap-费用报销 - 副本 - 副本 - 副本-2025-09-08 10:53:19</t>
        </is>
      </c>
      <c r="P748" t="inlineStr">
        <is>
          <t>YES</t>
        </is>
      </c>
      <c r="Q748"/>
      <c r="R748" t="inlineStr">
        <is>
          <t>NO</t>
        </is>
      </c>
      <c r="S748" t="inlineStr">
        <is>
          <t>Outsourced KOL (SuzzySaur)</t>
        </is>
      </c>
      <c r="T748">
        <v>1</v>
      </c>
      <c r="U748">
        <v>165000</v>
      </c>
      <c r="V748" t="inlineStr">
        <is>
          <t>PHP</t>
        </is>
      </c>
      <c r="W748">
        <v>165000</v>
      </c>
      <c r="X748" s="2" t="str">
        <f>=HYPERLINK("https://www.larksuite.com/approval/admin/previewAttachment?key=PMgxqgJBEATQK1X1dHdt_cv8ZJfBwAVBFA3m7IKB6euN6K042kgzDC5VVYKoljo0XFyxKBmiAus453_V_ubjdfVt-rTW87LP486yIqCROTYA_Pv5UGbanfg6PgEAAP__", "2 attachment(s)")</f>
        <v>2 attachment(s)</v>
      </c>
      <c r="Y748" t="inlineStr">
        <is>
          <t>Bank Transfer</t>
        </is>
      </c>
      <c r="Z748" t="inlineStr">
        <is>
          <t>Suzzane Gubatan</t>
        </is>
      </c>
      <c r="AA748" t="inlineStr">
        <is>
          <t>109485939999</t>
        </is>
      </c>
      <c r="AB748" t="inlineStr">
        <is>
          <t>UnionBank</t>
        </is>
      </c>
      <c r="AC748" t="inlineStr">
        <is>
          <t>9A Xavierville Ave., Loyola Heights, Quezon City</t>
        </is>
      </c>
      <c r="AD748" s="4">
        <v>45915</v>
      </c>
      <c r="AE748" t="inlineStr">
        <is>
          <t>1st Payment - Sept. 26, 2025
2nd Payment - Oct. 17, 2025
3rd Payment - Nov. 7, 2025
Final Payment - Nov. 28, 2025</t>
        </is>
      </c>
      <c r="AF748" s="2"/>
      <c r="AG748" t="inlineStr">
        <is>
          <t>NzQyNTk5MTgyNzQ4MTg3MDM0MTpCMTlBMjFFQy0xOEI5LTQ5NDYtOUVDMy05NTdDMjJEQUVBMzMtMTpjN2Q0NzZmZjNmZTEzZjgyMjcxZWY2OWNiMDI4NjhkODox</t>
        </is>
      </c>
      <c r="AH748" t="inlineStr">
        <is>
          <t>Suzzane Gubatan</t>
        </is>
      </c>
      <c r="AI748"/>
      <c r="AJ748"/>
      <c r="AK748"/>
    </row>
    <row r="749" ht="25.5" customHeight="1">
      <c r="A749" s="2" t="str">
        <f>=HYPERLINK("https://applink.larksuite.com/client/mini_program/open?appId=cli_9c7cc8a9a9edd105&amp;mode=appCenter&amp;path_pc=pc/pages/requested/index?instanceId=7555399621015732256&amp;source=bitable&amp;path=pages/detail/index?instanceId=7555399621015732256&amp;source=bitable", "202509290067")</f>
        <v>202509290067</v>
      </c>
      <c r="B749" t="inlineStr">
        <is>
          <t>Approved</t>
        </is>
      </c>
      <c r="C749" t="inlineStr">
        <is>
          <t>Procurement Order</t>
        </is>
      </c>
      <c r="D749" s="3">
        <v>45929.61754629629</v>
      </c>
      <c r="E749" s="3">
        <v>45930.69310185185</v>
      </c>
      <c r="F749" t="inlineStr">
        <is>
          <t>Fatima Kathleen M. FLores</t>
        </is>
      </c>
      <c r="G749" t="inlineStr">
        <is>
          <t>Procurement</t>
        </is>
      </c>
      <c r="H749"/>
      <c r="I749"/>
      <c r="J749" t="inlineStr">
        <is>
          <t>Project</t>
        </is>
      </c>
      <c r="K749" t="inlineStr">
        <is>
          <t>PDEI - Game Marketing</t>
        </is>
      </c>
      <c r="L749" t="inlineStr">
        <is>
          <t>WCG 2025 Creator Rumble</t>
        </is>
      </c>
      <c r="M749" t="inlineStr">
        <is>
          <t>2025TEG-P0041</t>
        </is>
      </c>
      <c r="N749" t="inlineStr">
        <is>
          <t>Maura Aurel Atilano Yap</t>
        </is>
      </c>
      <c r="O749" t="inlineStr">
        <is>
          <t>202509080119-Maura Aurel Atilano Yap-费用报销 - 副本 - 副本 - 副本-2025-09-08 10:53:19</t>
        </is>
      </c>
      <c r="P749" t="inlineStr">
        <is>
          <t>YES</t>
        </is>
      </c>
      <c r="Q749"/>
      <c r="R749" t="inlineStr">
        <is>
          <t>NO</t>
        </is>
      </c>
      <c r="S749" t="inlineStr">
        <is>
          <t>Outsourced KOL (Chippu)</t>
        </is>
      </c>
      <c r="T749">
        <v>1</v>
      </c>
      <c r="U749">
        <v>10000</v>
      </c>
      <c r="V749" t="inlineStr">
        <is>
          <t>PHP</t>
        </is>
      </c>
      <c r="W749">
        <v>10000</v>
      </c>
      <c r="X749" s="2" t="str">
        <f>=HYPERLINK("https://www.larksuite.com/approval/admin/previewAttachment?key=PMg7CgIxGATgK83_nIyXsXEJim4lpsvZBQvbr4ehR1m0kDIXbLOqQmo3WDHcq7dvIwUaHfs459XX5wyBj9dzrqq97rd5vK1EdzAyYwCwy9-DmSl14uf4BgAA__8", "2 attachment(s)")</f>
        <v>2 attachment(s)</v>
      </c>
      <c r="Y749" t="inlineStr">
        <is>
          <t>Bank Transfer</t>
        </is>
      </c>
      <c r="Z749" t="inlineStr">
        <is>
          <t>Donna Mae Grace Fallado</t>
        </is>
      </c>
      <c r="AA749" t="inlineStr">
        <is>
          <t>0000064166778</t>
        </is>
      </c>
      <c r="AB749" t="inlineStr">
        <is>
          <t>Security Bank</t>
        </is>
      </c>
      <c r="AC749" t="inlineStr">
        <is>
          <t>Park Terraces, Makati</t>
        </is>
      </c>
      <c r="AD749" s="4">
        <v>45915</v>
      </c>
      <c r="AE749" t="inlineStr">
        <is>
          <t>1st Payment - Sept. 26, 2025
Final Payment - Nov. 7, 2025</t>
        </is>
      </c>
      <c r="AF749" s="2"/>
      <c r="AG749" t="inlineStr">
        <is>
          <t>NzQyNTk5MTgyNzQ4MTg3MDM0MTo2QzVBMDVCQi05NThGLTQxNUYtQTUyNi03RTQ1NEMzNEMwMDItMTo0NjUzMmE0MTNiMTcwOTBhZDZjNWU5YmE4NmNiZWZhMzox</t>
        </is>
      </c>
      <c r="AH749" t="inlineStr">
        <is>
          <t>Donna Mae Grace Fallado</t>
        </is>
      </c>
      <c r="AI749"/>
      <c r="AJ749"/>
      <c r="AK749"/>
    </row>
    <row r="750" ht="25.5" customHeight="1">
      <c r="A750" s="2" t="str">
        <f>=HYPERLINK("https://applink.larksuite.com/client/mini_program/open?appId=cli_9c7cc8a9a9edd105&amp;mode=appCenter&amp;path_pc=pc/pages/requested/index?instanceId=7555398466575335455&amp;source=bitable&amp;path=pages/detail/index?instanceId=7555398466575335455&amp;source=bitable", "202509290060")</f>
        <v>202509290060</v>
      </c>
      <c r="B750" t="inlineStr">
        <is>
          <t>Approved</t>
        </is>
      </c>
      <c r="C750" t="inlineStr">
        <is>
          <t>Procurement Order</t>
        </is>
      </c>
      <c r="D750" s="3">
        <v>45929.61444444444</v>
      </c>
      <c r="E750" s="3">
        <v>45930.69681712963</v>
      </c>
      <c r="F750" t="inlineStr">
        <is>
          <t>Fatima Kathleen M. FLores</t>
        </is>
      </c>
      <c r="G750" t="inlineStr">
        <is>
          <t>Procurement</t>
        </is>
      </c>
      <c r="H750"/>
      <c r="I750"/>
      <c r="J750" t="inlineStr">
        <is>
          <t>Project</t>
        </is>
      </c>
      <c r="K750" t="inlineStr">
        <is>
          <t>PDEI - Game Marketing</t>
        </is>
      </c>
      <c r="L750" t="inlineStr">
        <is>
          <t>WCG 2025 Creator Rumble</t>
        </is>
      </c>
      <c r="M750" t="inlineStr">
        <is>
          <t>2025TEG-P0041</t>
        </is>
      </c>
      <c r="N750" t="inlineStr">
        <is>
          <t>Maura Aurel Atilano Yap</t>
        </is>
      </c>
      <c r="O750" t="inlineStr">
        <is>
          <t>202509080119-Maura Aurel Atilano Yap-费用报销 - 副本 - 副本 - 副本-2025-09-08 10:53:19</t>
        </is>
      </c>
      <c r="P750" t="inlineStr">
        <is>
          <t>YES</t>
        </is>
      </c>
      <c r="Q750"/>
      <c r="R750" t="inlineStr">
        <is>
          <t>NO</t>
        </is>
      </c>
      <c r="S750" t="inlineStr">
        <is>
          <t>Outsourced KOL (Chelsea)</t>
        </is>
      </c>
      <c r="T750">
        <v>1</v>
      </c>
      <c r="U750">
        <v>20000</v>
      </c>
      <c r="V750" t="inlineStr">
        <is>
          <t>PHP</t>
        </is>
      </c>
      <c r="W750">
        <v>20000</v>
      </c>
      <c r="X750" s="2" t="str">
        <f>=HYPERLINK("https://www.larksuite.com/approval/admin/previewAttachment?key=PMg7DsJADATQK40_Y6-5DE1WEaxEhQhpfHYkirQvhiAGxaLgJVqQTpJWwyOYNKOTrS2ZhZRU9Hzt9-0znutbepxrzdP7eGz7fAsrVZHmbgOA3C63dPeqcPwdvwAAAP__", "2 attachment(s)")</f>
        <v>2 attachment(s)</v>
      </c>
      <c r="Y750" t="inlineStr">
        <is>
          <t>Bank Transfer</t>
        </is>
      </c>
      <c r="Z750" t="inlineStr">
        <is>
          <t>Chelsea Angelle G. Reyes</t>
        </is>
      </c>
      <c r="AA750" t="inlineStr">
        <is>
          <t>008870015241</t>
        </is>
      </c>
      <c r="AB750" t="inlineStr">
        <is>
          <t>BDO</t>
        </is>
      </c>
      <c r="AC750" t="inlineStr">
        <is>
          <t>42-A Erma Subdivision, Tangos, Baliuag, Bulacan</t>
        </is>
      </c>
      <c r="AD750" s="4">
        <v>45915</v>
      </c>
      <c r="AE750" t="inlineStr">
        <is>
          <t>1st Payment - Sept. 26, 2025
Final Payment - Nov. 7, 2025</t>
        </is>
      </c>
      <c r="AF750" s="2"/>
      <c r="AG750" t="inlineStr">
        <is>
          <t>NzQyNTk5MTgyNzQ4MTg3MDM0MTpDRUU2MDM5NS02MUU3LTQxMzItQjc5Mi1EMUFCOUU0MDdDQzItMToxZjNkNmMwMzFmN2I3MGM1MDZjN2Q0MTIzNDU4YjViYTox</t>
        </is>
      </c>
      <c r="AH750" t="inlineStr">
        <is>
          <t>Chelsea Angelle G. Reyes</t>
        </is>
      </c>
      <c r="AI750"/>
      <c r="AJ750"/>
      <c r="AK750"/>
    </row>
    <row r="751" ht="25.5" customHeight="1">
      <c r="A751" s="2" t="str">
        <f>=HYPERLINK("https://applink.larksuite.com/client/mini_program/open?appId=cli_9c7cc8a9a9edd105&amp;mode=appCenter&amp;path_pc=pc/pages/requested/index?instanceId=7555397537369227296&amp;source=bitable&amp;path=pages/detail/index?instanceId=7555397537369227296&amp;source=bitable", "202509290054")</f>
        <v>202509290054</v>
      </c>
      <c r="B751" t="inlineStr">
        <is>
          <t>Approved</t>
        </is>
      </c>
      <c r="C751" t="inlineStr">
        <is>
          <t>Procurement Order</t>
        </is>
      </c>
      <c r="D751" s="3">
        <v>45929.61193287037</v>
      </c>
      <c r="E751" s="3">
        <v>45930.6593287037</v>
      </c>
      <c r="F751" t="inlineStr">
        <is>
          <t>Fatima Kathleen M. FLores</t>
        </is>
      </c>
      <c r="G751" t="inlineStr">
        <is>
          <t>Procurement</t>
        </is>
      </c>
      <c r="H751"/>
      <c r="I751"/>
      <c r="J751" t="inlineStr">
        <is>
          <t>Project</t>
        </is>
      </c>
      <c r="K751" t="inlineStr">
        <is>
          <t>PDEI - Game Marketing</t>
        </is>
      </c>
      <c r="L751" t="inlineStr">
        <is>
          <t>WCG 2025 Creator Rumble</t>
        </is>
      </c>
      <c r="M751" t="inlineStr">
        <is>
          <t>2025TEG-P0041</t>
        </is>
      </c>
      <c r="N751" t="inlineStr">
        <is>
          <t>Maura Aurel Atilano Yap</t>
        </is>
      </c>
      <c r="O751" t="inlineStr">
        <is>
          <t>202509080119-Maura Aurel Atilano Yap-费用报销 - 副本 - 副本 - 副本-2025-09-08 10:53:19</t>
        </is>
      </c>
      <c r="P751" t="inlineStr">
        <is>
          <t>YES</t>
        </is>
      </c>
      <c r="Q751"/>
      <c r="R751" t="inlineStr">
        <is>
          <t>NO</t>
        </is>
      </c>
      <c r="S751" t="inlineStr">
        <is>
          <t>Outsourced KOL (Kiyo)</t>
        </is>
      </c>
      <c r="T751">
        <v>1</v>
      </c>
      <c r="U751">
        <v>15000</v>
      </c>
      <c r="V751" t="inlineStr">
        <is>
          <t>PHP</t>
        </is>
      </c>
      <c r="W751">
        <v>15000</v>
      </c>
      <c r="X751" s="2" t="str">
        <f>=HYPERLINK("https://www.larksuite.com/approval/admin/previewAttachment?key=PMg7CsJAGATgK83_nB0vY-MSJD4aIWCxZxcs0n49DD3KooWUuWCLVRViBaPlTlcvX0YKNDrWfG3Xkcce7x3P-sacj3Xcb9v8WInuYGTGAGCX04OZKXXi7_gFAAD__w", "2 attachment(s)")</f>
        <v>2 attachment(s)</v>
      </c>
      <c r="Y751" t="inlineStr">
        <is>
          <t>Bank Transfer</t>
        </is>
      </c>
      <c r="Z751" t="inlineStr">
        <is>
          <t>Yukihiro Rubio</t>
        </is>
      </c>
      <c r="AA751" t="inlineStr">
        <is>
          <t>001260251258</t>
        </is>
      </c>
      <c r="AB751" t="inlineStr">
        <is>
          <t>BDO</t>
        </is>
      </c>
      <c r="AC751" t="inlineStr">
        <is>
          <t>Blk 1 Lot 42 Melguas Street, Villa Rebecca III, Tandang Sora, Quezon City</t>
        </is>
      </c>
      <c r="AD751" s="4">
        <v>45915</v>
      </c>
      <c r="AE751" t="inlineStr">
        <is>
          <t>1st Payment - Sept. 26, 2025
Final Payment - Nov. 7, 2025</t>
        </is>
      </c>
      <c r="AF751" s="2"/>
      <c r="AG751" t="inlineStr">
        <is>
          <t>NzQyNTk5MTgyNzQ4MTg3MDM0MTo0RDVDRjI0Qy1COTE1LTQzMEYtODUxNi0yQjFFQzQ5OTU2QTEtMTowZTk2NGVhNDBiMGZjNjA0NGE4YWE0ODU4NjY1NDhiYTox</t>
        </is>
      </c>
      <c r="AH751" t="inlineStr">
        <is>
          <t>Yukihiro Rubio</t>
        </is>
      </c>
      <c r="AI751"/>
      <c r="AJ751"/>
      <c r="AK751"/>
    </row>
    <row r="752" ht="25.5" customHeight="1">
      <c r="A752" s="2" t="str">
        <f>=HYPERLINK("https://applink.larksuite.com/client/mini_program/open?appId=cli_9c7cc8a9a9edd105&amp;mode=appCenter&amp;path_pc=pc/pages/requested/index?instanceId=7555411503067725863&amp;source=bitable&amp;path=pages/detail/index?instanceId=7555411503067725863&amp;source=bitable", "202509290084")</f>
        <v>202509290084</v>
      </c>
      <c r="B752" t="inlineStr">
        <is>
          <t>Approved</t>
        </is>
      </c>
      <c r="C752" t="inlineStr">
        <is>
          <t>Procurement Order</t>
        </is>
      </c>
      <c r="D752" s="3">
        <v>45929.64957175926</v>
      </c>
      <c r="E752" s="3">
        <v>45932.855104166665</v>
      </c>
      <c r="F752" t="inlineStr">
        <is>
          <t>Fatima Kathleen M. FLores</t>
        </is>
      </c>
      <c r="G752" t="inlineStr">
        <is>
          <t>Procurement</t>
        </is>
      </c>
      <c r="H752"/>
      <c r="I752"/>
      <c r="J752" t="inlineStr">
        <is>
          <t>Project</t>
        </is>
      </c>
      <c r="K752" t="inlineStr">
        <is>
          <t>PDEI - Event Service</t>
        </is>
      </c>
      <c r="L752" t="inlineStr">
        <is>
          <t>GTCC 2025: September Arena</t>
        </is>
      </c>
      <c r="M752" t="inlineStr">
        <is>
          <t>2025TEG-P0236</t>
        </is>
      </c>
      <c r="N752" t="inlineStr">
        <is>
          <t>Carla Andrea Calma Crespo</t>
        </is>
      </c>
      <c r="O752" t="inlineStr">
        <is>
          <t>202509140019-Carla Andrea Calma Crespo-费用报销 - 副本 - 副本 - 副本-2025-09-14 15:47:16</t>
        </is>
      </c>
      <c r="P752" t="inlineStr">
        <is>
          <t>YES</t>
        </is>
      </c>
      <c r="Q752"/>
      <c r="R752" t="inlineStr">
        <is>
          <t>YES</t>
        </is>
      </c>
      <c r="S752" t="inlineStr">
        <is>
          <t>Outsourced Referee</t>
        </is>
      </c>
      <c r="T752">
        <v>1</v>
      </c>
      <c r="U752">
        <v>3000</v>
      </c>
      <c r="V752" t="inlineStr">
        <is>
          <t>PHP</t>
        </is>
      </c>
      <c r="W752">
        <v>3000</v>
      </c>
      <c r="X752" s="2" t="str">
        <f>=HYPERLINK("https://www.larksuite.com/approval/admin/previewAttachment?key=PMg9igJBFATgK1W9v-q3l9lkhsGgBUFaMOizCwamXw2iRtKrEU1rcCszg0w4SrIc5ds2pYYowz7v1_96X2vOeTyiFxX7dTuu88lsmUEe4QMA_37uiojuCnwdnwAAAP__", "2 attachment(s)")</f>
        <v>2 attachment(s)</v>
      </c>
      <c r="Y752" t="inlineStr">
        <is>
          <t>Bank Transfer</t>
        </is>
      </c>
      <c r="Z752" t="inlineStr">
        <is>
          <t>Stephen C. Ramos</t>
        </is>
      </c>
      <c r="AA752" t="inlineStr">
        <is>
          <t>006540276086</t>
        </is>
      </c>
      <c r="AB752" t="inlineStr">
        <is>
          <t>BDO</t>
        </is>
      </c>
      <c r="AC752" t="inlineStr">
        <is>
          <t>Pasong tamo, Quezon City, Philippines</t>
        </is>
      </c>
      <c r="AD752" s="4">
        <v>45919</v>
      </c>
      <c r="AE752" t="inlineStr">
        <is>
          <t>100% Full Payment - Oct. 3, 2025</t>
        </is>
      </c>
      <c r="AF752" s="2"/>
      <c r="AG752" t="inlineStr">
        <is>
          <t>NzQyNTk5MTgyNzQ4MTg3MDM0MTo5RDA1QzAzNy0zM0U0LTRDNjgtOUExRi03RTJFQzE4RTVDMkYtMTpiMjdiODBmNmUwZmVlYWE1YzVkZGJkMzIyNTRjZWZlYTox</t>
        </is>
      </c>
      <c r="AH752" t="inlineStr">
        <is>
          <t>Stephen C. Ramos</t>
        </is>
      </c>
      <c r="AI752"/>
      <c r="AJ752"/>
      <c r="AK752"/>
    </row>
    <row r="753" ht="25.5" customHeight="1">
      <c r="A753" s="2" t="str">
        <f>=HYPERLINK("https://applink.larksuite.com/client/mini_program/open?appId=cli_9c7cc8a9a9edd105&amp;mode=appCenter&amp;path_pc=pc/pages/requested/index?instanceId=7555422349529612320&amp;source=bitable&amp;path=pages/detail/index?instanceId=7555422349529612320&amp;source=bitable", "202509290098")</f>
        <v>202509290098</v>
      </c>
      <c r="B753" t="inlineStr">
        <is>
          <t>Approved</t>
        </is>
      </c>
      <c r="C753" t="inlineStr">
        <is>
          <t>Procurement Order</t>
        </is>
      </c>
      <c r="D753" s="3">
        <v>45929.6787962963</v>
      </c>
      <c r="E753" s="3">
        <v>45931.69974537037</v>
      </c>
      <c r="F753" t="inlineStr">
        <is>
          <t>Fatima Kathleen M. FLores</t>
        </is>
      </c>
      <c r="G753" t="inlineStr">
        <is>
          <t>Procurement</t>
        </is>
      </c>
      <c r="H753"/>
      <c r="I753"/>
      <c r="J753" t="inlineStr">
        <is>
          <t>Project</t>
        </is>
      </c>
      <c r="K753" t="inlineStr">
        <is>
          <t>PDEI - Event Service</t>
        </is>
      </c>
      <c r="L753" t="inlineStr">
        <is>
          <t>GTCC 2025: September Arena</t>
        </is>
      </c>
      <c r="M753" t="inlineStr">
        <is>
          <t>2025TEG-P0236</t>
        </is>
      </c>
      <c r="N753" t="inlineStr">
        <is>
          <t>Reign Santos Fortea</t>
        </is>
      </c>
      <c r="O753" t="inlineStr">
        <is>
          <t>202509170072-Reign Santos Fortea-费用报销 - 副本 - 副本 - 副本-2025-09-17 08:36:17</t>
        </is>
      </c>
      <c r="P753" t="inlineStr">
        <is>
          <t>NO</t>
        </is>
      </c>
      <c r="Q753"/>
      <c r="R753" t="inlineStr">
        <is>
          <t>NO</t>
        </is>
      </c>
      <c r="S753" t="inlineStr">
        <is>
          <t>Rental of Truck - Sept. 18 / 16ft Closed Van</t>
        </is>
      </c>
      <c r="T753">
        <v>1</v>
      </c>
      <c r="U753">
        <v>5640</v>
      </c>
      <c r="V753" t="inlineStr">
        <is>
          <t>PHP</t>
        </is>
      </c>
      <c r="W753">
        <v>5640</v>
      </c>
      <c r="X753" s="2"/>
      <c r="Y753" t="inlineStr">
        <is>
          <t>Bank Transfer</t>
        </is>
      </c>
      <c r="Z753" t="inlineStr">
        <is>
          <t>ONE-MAX TRUCKING SERVICES</t>
        </is>
      </c>
      <c r="AA753" t="inlineStr">
        <is>
          <t>504-3-50448621-5</t>
        </is>
      </c>
      <c r="AB753" t="inlineStr">
        <is>
          <t>Metrobank</t>
        </is>
      </c>
      <c r="AC753" t="inlineStr">
        <is>
          <t>Eastdrive St., Marikina Heights, Marikina City</t>
        </is>
      </c>
      <c r="AD753" s="4">
        <v>45918</v>
      </c>
      <c r="AE753" t="inlineStr">
        <is>
          <t>100% Full Payment</t>
        </is>
      </c>
      <c r="AF753" s="2"/>
      <c r="AG753" t="inlineStr">
        <is>
          <t>NzQyNTk5MTgyNzQ4MTg3MDM0MTo0NDVEQkFGNS04NThFLTQwREMtQkM2NS04MkZEMkYzRDlGOEEtMTpkZjQyOWEyODI2MGZkMDE4ODY0NzIwNWQ4NWFlNDkxZjox</t>
        </is>
      </c>
      <c r="AH753" t="inlineStr">
        <is>
          <t>ONE-MAX TRUCKING SERVICES</t>
        </is>
      </c>
      <c r="AI753"/>
      <c r="AJ753"/>
      <c r="AK753"/>
    </row>
    <row r="754" ht="25.5" customHeight="1">
      <c r="A754" s="2" t="str">
        <f>=HYPERLINK("https://applink.larksuite.com/client/mini_program/open?appId=cli_9c7cc8a9a9edd105&amp;mode=appCenter&amp;path_pc=pc/pages/requested/index?instanceId=7555422349529612320&amp;source=bitable&amp;path=pages/detail/index?instanceId=7555422349529612320&amp;source=bitable", "202509290098")</f>
        <v>202509290098</v>
      </c>
      <c r="B754" t="inlineStr">
        <is>
          <t>Approved</t>
        </is>
      </c>
      <c r="C754" t="inlineStr">
        <is>
          <t>Procurement Order</t>
        </is>
      </c>
      <c r="D754" s="3">
        <v>45929.6787962963</v>
      </c>
      <c r="E754" s="3">
        <v>45931.69974537037</v>
      </c>
      <c r="F754" t="inlineStr">
        <is>
          <t>Fatima Kathleen M. FLores</t>
        </is>
      </c>
      <c r="G754" t="inlineStr">
        <is>
          <t>Procurement</t>
        </is>
      </c>
      <c r="H754"/>
      <c r="I754"/>
      <c r="J754" t="inlineStr">
        <is>
          <t>Project</t>
        </is>
      </c>
      <c r="K754" t="inlineStr">
        <is>
          <t>PDEI - Event Service</t>
        </is>
      </c>
      <c r="L754" t="inlineStr">
        <is>
          <t>GTCC 2025: September Arena</t>
        </is>
      </c>
      <c r="M754" t="inlineStr">
        <is>
          <t>2025TEG-P0236</t>
        </is>
      </c>
      <c r="N754" t="inlineStr">
        <is>
          <t>Reign Santos Fortea</t>
        </is>
      </c>
      <c r="O754" t="inlineStr">
        <is>
          <t>202509170072-Reign Santos Fortea-费用报销 - 副本 - 副本 - 副本-2025-09-17 08:36:17</t>
        </is>
      </c>
      <c r="P754" t="inlineStr">
        <is>
          <t>NO</t>
        </is>
      </c>
      <c r="Q754"/>
      <c r="R754" t="inlineStr">
        <is>
          <t>NO</t>
        </is>
      </c>
      <c r="S754" t="inlineStr">
        <is>
          <t>Rental of Truck - Sept. 21 / 16ft Closed Van</t>
        </is>
      </c>
      <c r="T754">
        <v>1</v>
      </c>
      <c r="U754">
        <v>5976</v>
      </c>
      <c r="V754" t="inlineStr">
        <is>
          <t>PHP</t>
        </is>
      </c>
      <c r="W754">
        <v>5976</v>
      </c>
      <c r="X754" s="2"/>
      <c r="Y754"/>
      <c r="Z754"/>
      <c r="AA754"/>
      <c r="AB754"/>
      <c r="AC754"/>
      <c r="AD754" s="4"/>
      <c r="AE754"/>
      <c r="AF754" s="2"/>
      <c r="AG754" t="inlineStr">
        <is>
          <t>NzQyNTk5MTgyNzQ4MTg3MDM0MTo0NDVEQkFGNS04NThFLTQwREMtQkM2NS04MkZEMkYzRDlGOEEtMjoyMTZmMThhNTM2NjA5NTM3ZDRlZGVmMzBmMjI5MWI1ZDox</t>
        </is>
      </c>
      <c r="AH754"/>
      <c r="AI754"/>
      <c r="AJ754"/>
      <c r="AK754"/>
    </row>
    <row r="755" ht="25.5" customHeight="1">
      <c r="A755" s="2" t="str">
        <f>=HYPERLINK("https://applink.larksuite.com/client/mini_program/open?appId=cli_9c7cc8a9a9edd105&amp;mode=appCenter&amp;path_pc=pc/pages/requested/index?instanceId=7555785754211860519&amp;source=bitable&amp;path=pages/detail/index?instanceId=7555785754211860519&amp;source=bitable", "202509300057")</f>
        <v>202509300057</v>
      </c>
      <c r="B755" t="inlineStr">
        <is>
          <t>Approved</t>
        </is>
      </c>
      <c r="C755" t="inlineStr">
        <is>
          <t>Procurement Order</t>
        </is>
      </c>
      <c r="D755" s="3">
        <v>45930.658101851855</v>
      </c>
      <c r="E755" s="3">
        <v>45930.71653935185</v>
      </c>
      <c r="F755" t="inlineStr">
        <is>
          <t>Fatima Kathleen M. FLores</t>
        </is>
      </c>
      <c r="G755" t="inlineStr">
        <is>
          <t>Procurement</t>
        </is>
      </c>
      <c r="H755"/>
      <c r="I755"/>
      <c r="J755" t="inlineStr">
        <is>
          <t>Project</t>
        </is>
      </c>
      <c r="K755" t="inlineStr">
        <is>
          <t>PDEI - Event Service</t>
        </is>
      </c>
      <c r="L755" t="inlineStr">
        <is>
          <t>MPL PH S16 - Regular Season</t>
        </is>
      </c>
      <c r="M755" t="inlineStr">
        <is>
          <t>2025TEG-P0214</t>
        </is>
      </c>
      <c r="N755" t="inlineStr">
        <is>
          <t>Jessica Jane Lor Felicilda</t>
        </is>
      </c>
      <c r="O755" t="inlineStr">
        <is>
          <t>202508220019-Jessica Jane Lor Felicilda-费用报销 - 副本 - 副本 - 副本-2025-08-22 04:09:16</t>
        </is>
      </c>
      <c r="P755" t="inlineStr">
        <is>
          <t>NO</t>
        </is>
      </c>
      <c r="Q755"/>
      <c r="R755" t="inlineStr">
        <is>
          <t>NO</t>
        </is>
      </c>
      <c r="S755" t="inlineStr">
        <is>
          <t>Reserved Parking (15 - 20 - 15 slots / Week 7 - Oct. 3 to 4, 2025)</t>
        </is>
      </c>
      <c r="T755">
        <v>1</v>
      </c>
      <c r="U755">
        <v>15500</v>
      </c>
      <c r="V755" t="inlineStr">
        <is>
          <t>PHP</t>
        </is>
      </c>
      <c r="W755">
        <v>15500</v>
      </c>
      <c r="X755" s="2" t="str">
        <f>=HYPERLINK("https://www.larksuite.com/approval/admin/previewAttachment?key=PMgxqsMwEATQK82sdjWaf5nf2IhgsAkE4kpnD6RI-_og-ii2bqQZBpeqSqNUGeToKHrFomSICqz9nP8-Ts8nrnvj5ftY78c29xfLioBaZhsA-Pfzpsy0e-Lr-AQAAP__", "2 attachment(s)")</f>
        <v>2 attachment(s)</v>
      </c>
      <c r="Y755" t="inlineStr">
        <is>
          <t>Bank Transfer</t>
        </is>
      </c>
      <c r="Z755" t="inlineStr">
        <is>
          <t>Ecotechland, Inc.</t>
        </is>
      </c>
      <c r="AA755" t="inlineStr">
        <is>
          <t>001450007951</t>
        </is>
      </c>
      <c r="AB755" t="inlineStr">
        <is>
          <t>BDO</t>
        </is>
      </c>
      <c r="AC755" t="inlineStr">
        <is>
          <t>Mezzanine Floor, Ecoplaza Building, 2305 Don Chino Roces Ave. Extension, Brgy. Magallanes, Makati City</t>
        </is>
      </c>
      <c r="AD755" s="4">
        <v>45926</v>
      </c>
      <c r="AE755" t="inlineStr">
        <is>
          <t>100% Full Payment</t>
        </is>
      </c>
      <c r="AF755" s="2" t="str">
        <f>=HYPERLINK("https://www.larksuite.com/approval/admin/previewAttachment?key=TMg7isNAEATQK1XN9K_2MptIDEYgYTBYUZ_d4MjpiyKinDMEE4fATnfP8nQbZAWc6tHMFJI50Pu5_nWcWk9c98ZL99Hvx7b2F6NmwORmFAD-_TgJ1Yz5dXwCAAD__w", "1 attachment(s)")</f>
        <v>1 attachment(s)</v>
      </c>
      <c r="AG755" t="inlineStr">
        <is>
          <t>NzQyNTk5MTgyNzQ4MTg3MDM0MToyQUFDNTE0Qi1EOUQ2LTRCNDAtODBCNi01QjQyOUREMkM2Q0UtMTo2YTQwZjVlZmY4OTVmNWNkN2MzODM5ZjEzMDk5NzVlZjox</t>
        </is>
      </c>
      <c r="AH755" t="inlineStr">
        <is>
          <t>Ecotechland, Inc.</t>
        </is>
      </c>
      <c r="AI755"/>
      <c r="AJ755" t="inlineStr">
        <is>
          <t>LIQUIDITY PLAN (PAR # 202509020093 / 2025TEG-P0214)
REGULAR SEASON CE TAB &gt; LOGISTICS &gt;
Venue Parking
Total Remaining Budget = Php 52,530.00
This request = Php 15,500.00
Balance = Php 37,030.00</t>
        </is>
      </c>
      <c r="AK755"/>
    </row>
    <row r="756" ht="25.5" customHeight="1">
      <c r="A756" s="2" t="str">
        <f>=HYPERLINK("https://applink.larksuite.com/client/mini_program/open?appId=cli_9c7cc8a9a9edd105&amp;mode=appCenter&amp;path_pc=pc/pages/requested/index?instanceId=7555794975804358688&amp;source=bitable&amp;path=pages/detail/index?instanceId=7555794975804358688&amp;source=bitable", "202509300073")</f>
        <v>202509300073</v>
      </c>
      <c r="B756" t="inlineStr">
        <is>
          <t>Approved</t>
        </is>
      </c>
      <c r="C756" t="inlineStr">
        <is>
          <t>Procurement Order</t>
        </is>
      </c>
      <c r="D756" s="3">
        <v>45930.68295138889</v>
      </c>
      <c r="E756" s="3">
        <v>45930.75127314815</v>
      </c>
      <c r="F756" t="inlineStr">
        <is>
          <t>Fatima Kathleen M. FLores</t>
        </is>
      </c>
      <c r="G756" t="inlineStr">
        <is>
          <t>Procurement</t>
        </is>
      </c>
      <c r="H756"/>
      <c r="I756"/>
      <c r="J756" t="inlineStr">
        <is>
          <t>Project</t>
        </is>
      </c>
      <c r="K756" t="inlineStr">
        <is>
          <t>GG - Event Service</t>
        </is>
      </c>
      <c r="L756" t="inlineStr">
        <is>
          <t>HOK Philippine Kings League - Fall Season</t>
        </is>
      </c>
      <c r="M756" t="inlineStr">
        <is>
          <t>2025TEG-P0219</t>
        </is>
      </c>
      <c r="N756" t="inlineStr">
        <is>
          <t>Reign Santos Fortea</t>
        </is>
      </c>
      <c r="O756" t="inlineStr">
        <is>
          <t>202508210070-Reign Santos Fortea-费用报销 - 副本 - 副本 - 副本-2025-08-21 10:43:51</t>
        </is>
      </c>
      <c r="P756" t="inlineStr">
        <is>
          <t>NO</t>
        </is>
      </c>
      <c r="Q756"/>
      <c r="R756" t="inlineStr">
        <is>
          <t>NO</t>
        </is>
      </c>
      <c r="S756" t="inlineStr">
        <is>
          <t>Crew Meals - Week 5 (Sept. 26 - 28, 2025)</t>
        </is>
      </c>
      <c r="T756">
        <v>828</v>
      </c>
      <c r="U756">
        <v>115</v>
      </c>
      <c r="V756" t="inlineStr">
        <is>
          <t>PHP</t>
        </is>
      </c>
      <c r="W756">
        <v>95220</v>
      </c>
      <c r="X756" s="2" t="str">
        <f>=HYPERLINK("https://www.larksuite.com/approval/admin/previewAttachment?key=PMhNikJBDATgK1XSla5kLjMbH41_DwRRdJGzCy7cfjMNM8PGLLDMC9aKCBVLkeCInJntbVJBJkdv-_qnX2O9dXpcbjzvr34eD2u7W5TcoUGOBGB_Px8iWTWJr-MTAAD__w", "2 attachment(s)")</f>
        <v>2 attachment(s)</v>
      </c>
      <c r="Y756" t="inlineStr">
        <is>
          <t>Bank Transfer</t>
        </is>
      </c>
      <c r="Z756" t="inlineStr">
        <is>
          <t>Michelle Francine G. Manuntag</t>
        </is>
      </c>
      <c r="AA756" t="inlineStr">
        <is>
          <t>000170292002</t>
        </is>
      </c>
      <c r="AB756" t="inlineStr">
        <is>
          <t>BDO</t>
        </is>
      </c>
      <c r="AC756" t="inlineStr">
        <is>
          <t>Makati City</t>
        </is>
      </c>
      <c r="AD756" s="4">
        <v>45919</v>
      </c>
      <c r="AE756" t="inlineStr">
        <is>
          <t>100% Full Payment</t>
        </is>
      </c>
      <c r="AF756" s="2"/>
      <c r="AG756" t="inlineStr">
        <is>
          <t>NzQyNTk5MTgyNzQ4MTg3MDM0MTo3RDBGNTlDRi0wQTcwLTQ0NzctQkM3NS1GN0U3RDIxRTNBRUQtMTo3OTE3OGI5NWM4YTczYTY1NTViY2JmOWYzN2U1NTMzNTox</t>
        </is>
      </c>
      <c r="AH756" t="inlineStr">
        <is>
          <t>Michelle Francine G. Manuntag</t>
        </is>
      </c>
      <c r="AI756"/>
      <c r="AJ756" t="inlineStr">
        <is>
          <t>LIQUIDITY PLAN (PAR # 202508190134 / 2025TEG-P0219)
INTERNAL 0820 COST ESTIMATE &gt; REGULAR SEASON &gt;
Hospitality &amp; Logistics &gt; FOOD &amp; BEVERAGE &gt;
Crew Meals (Event Days)
Player Meals
Total Remaining Budget = Php 113,127.00
Actual Cost = Php 95,220.00
Balance = Php 17,907.00</t>
        </is>
      </c>
      <c r="AK756"/>
    </row>
    <row r="757" ht="25.5" customHeight="1">
      <c r="A757" s="2" t="str">
        <f>=HYPERLINK("https://applink.larksuite.com/client/mini_program/open?appId=cli_9c7cc8a9a9edd105&amp;mode=appCenter&amp;path_pc=pc/pages/requested/index?instanceId=7555817964671336487&amp;source=bitable&amp;path=pages/detail/index?instanceId=7555817964671336487&amp;source=bitable", "202509300101")</f>
        <v>202509300101</v>
      </c>
      <c r="B757" t="inlineStr">
        <is>
          <t>Approved</t>
        </is>
      </c>
      <c r="C757" t="inlineStr">
        <is>
          <t>Procurement Order</t>
        </is>
      </c>
      <c r="D757" s="3">
        <v>45930.74490740741</v>
      </c>
      <c r="E757" s="3">
        <v>45931.68337962963</v>
      </c>
      <c r="F757" t="inlineStr">
        <is>
          <t>Fatima Kathleen M. FLores</t>
        </is>
      </c>
      <c r="G757" t="inlineStr">
        <is>
          <t>Procurement</t>
        </is>
      </c>
      <c r="H757"/>
      <c r="I757"/>
      <c r="J757" t="inlineStr">
        <is>
          <t>Project</t>
        </is>
      </c>
      <c r="K757" t="inlineStr">
        <is>
          <t>PDEI - Event Service</t>
        </is>
      </c>
      <c r="L757" t="inlineStr">
        <is>
          <t>MPL PH S16 - Regular Season</t>
        </is>
      </c>
      <c r="M757" t="inlineStr">
        <is>
          <t>2025TEG-P0214</t>
        </is>
      </c>
      <c r="N757" t="inlineStr">
        <is>
          <t>Katherine Denise Lee Sy</t>
        </is>
      </c>
      <c r="O757" t="inlineStr">
        <is>
          <t>202509260038-Katherine Denise Lee Sy-费用报销 - 副本 - 副本 - 副本-2025-09-26 07:37:26</t>
        </is>
      </c>
      <c r="P757" t="inlineStr">
        <is>
          <t>YES</t>
        </is>
      </c>
      <c r="Q757"/>
      <c r="R757" t="inlineStr">
        <is>
          <t>NO</t>
        </is>
      </c>
      <c r="S757" t="inlineStr">
        <is>
          <t>Outsourced Graphic Artist</t>
        </is>
      </c>
      <c r="T757">
        <v>1</v>
      </c>
      <c r="U757">
        <v>40000</v>
      </c>
      <c r="V757" t="inlineStr">
        <is>
          <t>PHP</t>
        </is>
      </c>
      <c r="W757">
        <v>40000</v>
      </c>
      <c r="X757" s="2" t="str">
        <f>=HYPERLINK("https://www.larksuite.com/approval/admin/previewAttachment?key=PMhNCsIwFATgK83k_Uyel3FjCLZQKQh1lbMLLtx-2YnsQcuCF1uBSxHRqUpP0Sy9a7VFqSCqYY1j3s99Huf8bHtsrzGudT0fc7wZpdYgc7cOgLe_m9y9Kh0_xzcAAP__", "2 attachment(s)")</f>
        <v>2 attachment(s)</v>
      </c>
      <c r="Y757" t="inlineStr">
        <is>
          <t>Bank Transfer</t>
        </is>
      </c>
      <c r="Z757" t="inlineStr">
        <is>
          <t>Andrea Atienza</t>
        </is>
      </c>
      <c r="AA757" t="inlineStr">
        <is>
          <t>09499027308</t>
        </is>
      </c>
      <c r="AB757" t="inlineStr">
        <is>
          <t>Gcash</t>
        </is>
      </c>
      <c r="AC757" t="inlineStr">
        <is>
          <t>8879 P. Victor St., Guadalupe Nuevo, Makati City</t>
        </is>
      </c>
      <c r="AD757" s="4">
        <v>45855</v>
      </c>
      <c r="AE757" t="inlineStr">
        <is>
          <t>1st Payment - Oct. 3, 2025
Final Payment - Oct. 31, 2025</t>
        </is>
      </c>
      <c r="AF757" s="2"/>
      <c r="AG757" t="inlineStr">
        <is>
          <t>NzQyNTk5MTgyNzQ4MTg3MDM0MTo2ODNGMkYwRi04NDYzLTRDQjItOTAxNy02Qzk3RjlGRkYyMzktMTplYjZlZGRkZTlmMGJmMmY1NDdlYmJlNjFjYTg5ZWQwNzox</t>
        </is>
      </c>
      <c r="AH757" t="inlineStr">
        <is>
          <t>Andrea Atienza</t>
        </is>
      </c>
      <c r="AI757"/>
      <c r="AJ757" t="inlineStr">
        <is>
          <t>LIQUIDITY PLAN (PAR # 202509020093 / 2025TEG-P0214)
REGULAR SEASON CE TAB &gt; 4.5 Special FX and Design (Creatives) &gt;
CREATIVES (REGULAR SEASON) &gt;
Rows 216 - 227
Total Remaining Budget = Php 106,600.00
Actual Cost = Php 40,000.00
Balance = Php 66,600.00</t>
        </is>
      </c>
      <c r="AK757"/>
    </row>
    <row r="758" ht="25.5" customHeight="1">
      <c r="A758" s="2" t="str">
        <f>=HYPERLINK("https://applink.larksuite.com/client/mini_program/open?appId=cli_9c7cc8a9a9edd105&amp;mode=appCenter&amp;path_pc=pc/pages/requested/index?instanceId=7555821907421954086&amp;source=bitable&amp;path=pages/detail/index?instanceId=7555821907421954086&amp;source=bitable", "202509300103")</f>
        <v>202509300103</v>
      </c>
      <c r="B758" t="inlineStr">
        <is>
          <t>Approved</t>
        </is>
      </c>
      <c r="C758" t="inlineStr">
        <is>
          <t>Procurement Order</t>
        </is>
      </c>
      <c r="D758" s="3">
        <v>45930.755532407406</v>
      </c>
      <c r="E758" s="3">
        <v>45931.684699074074</v>
      </c>
      <c r="F758" t="inlineStr">
        <is>
          <t>Fatima Kathleen M. FLores</t>
        </is>
      </c>
      <c r="G758" t="inlineStr">
        <is>
          <t>Procurement</t>
        </is>
      </c>
      <c r="H758"/>
      <c r="I758"/>
      <c r="J758" t="inlineStr">
        <is>
          <t>Project</t>
        </is>
      </c>
      <c r="K758" t="inlineStr">
        <is>
          <t>PDEI - Event Service</t>
        </is>
      </c>
      <c r="L758" t="inlineStr">
        <is>
          <t>MPL PH S16 - Regular Season</t>
        </is>
      </c>
      <c r="M758" t="inlineStr">
        <is>
          <t>2025TEG-P0214</t>
        </is>
      </c>
      <c r="N758" t="inlineStr">
        <is>
          <t>Katherine Denise Lee Sy</t>
        </is>
      </c>
      <c r="O758" t="inlineStr">
        <is>
          <t>202509180068-Jessica Jane Lor Felicilda-费用报销 - 副本 - 副本 - 副本-2025-09-18 10:27:20</t>
        </is>
      </c>
      <c r="P758" t="inlineStr">
        <is>
          <t>YES</t>
        </is>
      </c>
      <c r="Q758"/>
      <c r="R758" t="inlineStr">
        <is>
          <t>NO</t>
        </is>
      </c>
      <c r="S758" t="inlineStr">
        <is>
          <t>Outsourced Graphic Artist</t>
        </is>
      </c>
      <c r="T758">
        <v>1</v>
      </c>
      <c r="U758">
        <v>4500</v>
      </c>
      <c r="V758" t="inlineStr">
        <is>
          <t>PHP</t>
        </is>
      </c>
      <c r="W758">
        <v>4500</v>
      </c>
      <c r="X758" s="2" t="str">
        <f>=HYPERLINK("https://www.larksuite.com/approval/admin/previewAttachment?key=PMgxCsJAFATQK838_X9nx8vYJCyixEYIWOzZBYu0rw-ij2LrRpphcKmqRtBQBl2J0VcsSoaowNqPea_avvOM59tHe1nrfGxz_7CsCKhltgGAt8ubMtPuib_jFwAA__8", "2 attachment(s)")</f>
        <v>2 attachment(s)</v>
      </c>
      <c r="Y758" t="inlineStr">
        <is>
          <t>Bank Transfer</t>
        </is>
      </c>
      <c r="Z758" t="inlineStr">
        <is>
          <t>Jershela R. Akil</t>
        </is>
      </c>
      <c r="AA758" t="inlineStr">
        <is>
          <t>0134 5000 7291</t>
        </is>
      </c>
      <c r="AB758" t="inlineStr">
        <is>
          <t>BDO</t>
        </is>
      </c>
      <c r="AC758" t="inlineStr">
        <is>
          <t>2641 INT 48 Pasigline St Sta Ana, Manila</t>
        </is>
      </c>
      <c r="AD758" s="4">
        <v>45855</v>
      </c>
      <c r="AE758" t="inlineStr">
        <is>
          <t>100% Full Payment - Oct. 3, 2025</t>
        </is>
      </c>
      <c r="AF758" s="2"/>
      <c r="AG758" t="inlineStr">
        <is>
          <t>NzQyNTk5MTgyNzQ4MTg3MDM0MTpDMzk3ODE4Ni0yRDJFLTQ0QzYtQUY0My0yOTJCMEE5MTFDNkYtMTo1YjY4NzRkNzkyNDlhOTRjMDNlZjRmZDBjMTViZGMxYjox</t>
        </is>
      </c>
      <c r="AH758" t="inlineStr">
        <is>
          <t>Jershela R. Akil</t>
        </is>
      </c>
      <c r="AI758"/>
      <c r="AJ758" t="inlineStr">
        <is>
          <t>LIQUIDITY PLAN (PAR # 202509020093 / 2025TEG-P0214)
REGULAR SEASON CE TAB &gt; 4.5 Special FX and Design (Creatives) &gt;
CREATIVES (REGULAR SEASON) &gt;
Rows 200 - 210
Total Remaining Budget = Php 5,000.00
Actual Cost = Php 4,500.00
Balance = Php 500.00</t>
        </is>
      </c>
      <c r="AK758"/>
    </row>
    <row r="759" ht="25.5" customHeight="1">
      <c r="A759" s="2" t="str">
        <f>=HYPERLINK("https://applink.larksuite.com/client/mini_program/open?appId=cli_9c7cc8a9a9edd105&amp;mode=appCenter&amp;path_pc=pc/pages/requested/index?instanceId=7555820942778171431&amp;source=bitable&amp;path=pages/detail/index?instanceId=7555820942778171431&amp;source=bitable", "202509300102")</f>
        <v>202509300102</v>
      </c>
      <c r="B759" t="inlineStr">
        <is>
          <t>Approved</t>
        </is>
      </c>
      <c r="C759" t="inlineStr">
        <is>
          <t>Procurement Order</t>
        </is>
      </c>
      <c r="D759" s="3">
        <v>45930.75292824074</v>
      </c>
      <c r="E759" s="3">
        <v>45931.68719907408</v>
      </c>
      <c r="F759" t="inlineStr">
        <is>
          <t>Fatima Kathleen M. FLores</t>
        </is>
      </c>
      <c r="G759" t="inlineStr">
        <is>
          <t>Procurement</t>
        </is>
      </c>
      <c r="H759"/>
      <c r="I759"/>
      <c r="J759" t="inlineStr">
        <is>
          <t>Project</t>
        </is>
      </c>
      <c r="K759" t="inlineStr">
        <is>
          <t>PDEI - Event Service</t>
        </is>
      </c>
      <c r="L759" t="inlineStr">
        <is>
          <t>MPL PH S16 - Regular Season</t>
        </is>
      </c>
      <c r="M759" t="inlineStr">
        <is>
          <t>2025TEG-P0214</t>
        </is>
      </c>
      <c r="N759" t="inlineStr">
        <is>
          <t>Katherine Denise Lee Sy</t>
        </is>
      </c>
      <c r="O759" t="inlineStr">
        <is>
          <t>202509180068-Jessica Jane Lor Felicilda-费用报销 - 副本 - 副本 - 副本-2025-09-18 10:27:20</t>
        </is>
      </c>
      <c r="P759" t="inlineStr">
        <is>
          <t>YES</t>
        </is>
      </c>
      <c r="Q759"/>
      <c r="R759" t="inlineStr">
        <is>
          <t>NO</t>
        </is>
      </c>
      <c r="S759" t="inlineStr">
        <is>
          <t>Outsourced Graphic Artist</t>
        </is>
      </c>
      <c r="T759">
        <v>1</v>
      </c>
      <c r="U759">
        <v>5600</v>
      </c>
      <c r="V759" t="inlineStr">
        <is>
          <t>PHP</t>
        </is>
      </c>
      <c r="W759">
        <v>5600</v>
      </c>
      <c r="X759" s="2" t="str">
        <f>=HYPERLINK("https://www.larksuite.com/approval/admin/previewAttachment?key=PMg7CoIxEATgK83sI5P1MjaGHxUFQWK3ZxcsbL8xiTGTPgpRtAJbmTkNFSZNiuFsa0oFUYZez-P8yHU7tu7bttd69ed6OdabWTKDPMInAJ7-7oqIqhH4Ob4BAAD__w", "2 attachment(s)")</f>
        <v>2 attachment(s)</v>
      </c>
      <c r="Y759" t="inlineStr">
        <is>
          <t>Bank Transfer</t>
        </is>
      </c>
      <c r="Z759" t="inlineStr">
        <is>
          <t>Ma. Kathrina Buhay</t>
        </is>
      </c>
      <c r="AA759" t="inlineStr">
        <is>
          <t>0000049934198</t>
        </is>
      </c>
      <c r="AB759" t="inlineStr">
        <is>
          <t>Security Bank</t>
        </is>
      </c>
      <c r="AC759" t="inlineStr">
        <is>
          <t>1332 A.H. Lacson st., Sta Cruz, Manila</t>
        </is>
      </c>
      <c r="AD759" s="4">
        <v>45855</v>
      </c>
      <c r="AE759" t="inlineStr">
        <is>
          <t>100% Full Payment - Oct. 3, 2025</t>
        </is>
      </c>
      <c r="AF759" s="2"/>
      <c r="AG759" t="inlineStr">
        <is>
          <t>NzQyNTk5MTgyNzQ4MTg3MDM0MTo5NjM2MzA2My1FMUMwLTRDNzYtOTQwOS1CRDEzQ0JDODY5RDItMTpkNmVlMGU3ZmRjNzk4NWY4ZmY3OTQ3NjIzM2U2N2U1Yjox</t>
        </is>
      </c>
      <c r="AH759" t="inlineStr">
        <is>
          <t>Ma. Kathrina Buhay</t>
        </is>
      </c>
      <c r="AI759"/>
      <c r="AJ759" t="inlineStr">
        <is>
          <t>LIQUIDITY PLAN (PAR # 202509020093 / 2025TEG-P0214)
REGULAR SEASON CE TAB &gt; 4.5 Special FX and Design (Creatives) &gt;
CREATIVES (REGULAR SEASON) &gt;
Rows 200 - 210
Total Remaining Budget = Php 10,600.00
Actual Cost = Php 5,600.00
Balance = Php 5,000.00</t>
        </is>
      </c>
      <c r="AK759"/>
    </row>
    <row r="760" ht="25.5" customHeight="1">
      <c r="A760" s="2" t="str">
        <f>=HYPERLINK("https://applink.larksuite.com/client/mini_program/open?appId=cli_9c7cc8a9a9edd105&amp;mode=appCenter&amp;path_pc=pc/pages/requested/index?instanceId=7555844867293708326&amp;source=bitable&amp;path=pages/detail/index?instanceId=7555844867293708326&amp;source=bitable", "202509300118")</f>
        <v>202509300118</v>
      </c>
      <c r="B760" t="inlineStr">
        <is>
          <t>Approved</t>
        </is>
      </c>
      <c r="C760" t="inlineStr">
        <is>
          <t>Procurement Order</t>
        </is>
      </c>
      <c r="D760" s="3">
        <v>45930.817395833335</v>
      </c>
      <c r="E760" s="3">
        <v>45938.58621527778</v>
      </c>
      <c r="F760" t="inlineStr">
        <is>
          <t>Fatima Kathleen M. FLores</t>
        </is>
      </c>
      <c r="G760" t="inlineStr">
        <is>
          <t>Procurement</t>
        </is>
      </c>
      <c r="H760"/>
      <c r="I760"/>
      <c r="J760" t="inlineStr">
        <is>
          <t>Project</t>
        </is>
      </c>
      <c r="K760" t="inlineStr">
        <is>
          <t>PDEI - Event Service</t>
        </is>
      </c>
      <c r="L760" t="inlineStr">
        <is>
          <t>GTCC 2025: September Arena</t>
        </is>
      </c>
      <c r="M760" t="inlineStr">
        <is>
          <t>2025TEG-P0236</t>
        </is>
      </c>
      <c r="N760" t="inlineStr">
        <is>
          <t>Carla Andrea Calma Crespo</t>
        </is>
      </c>
      <c r="O760" t="inlineStr">
        <is>
          <t>202509140013-Carla Andrea Calma Crespo-费用报销 - 副本 - 副本 - 副本-2025-09-14 14:28:15</t>
        </is>
      </c>
      <c r="P760" t="inlineStr">
        <is>
          <t>YES</t>
        </is>
      </c>
      <c r="Q760"/>
      <c r="R760" t="inlineStr">
        <is>
          <t>YES</t>
        </is>
      </c>
      <c r="S760" t="inlineStr">
        <is>
          <t>Outsourced Executive Producer</t>
        </is>
      </c>
      <c r="T760">
        <v>1</v>
      </c>
      <c r="U760">
        <v>44000</v>
      </c>
      <c r="V760" t="inlineStr">
        <is>
          <t>PHP</t>
        </is>
      </c>
      <c r="W760">
        <v>44000</v>
      </c>
      <c r="X760" s="2" t="str">
        <f>=HYPERLINK("https://www.larksuite.com/approval/admin/previewAttachment?key=PMgxDgJRCATQKw0wnwEvY7Obja7RxsSOs5tY2L4sQ9ayyAbbvGGjtVaRlfIOocJzfExqyOSY_XlcH77fz976dVZQnM9tO_a3rZY7FGQUALv8PUSyO4mf4xsAAP__", "2 attachment(s)")</f>
        <v>2 attachment(s)</v>
      </c>
      <c r="Y760" t="inlineStr">
        <is>
          <t>Bank Transfer</t>
        </is>
      </c>
      <c r="Z760" t="inlineStr">
        <is>
          <t>Ruben A. Mercado Jr.</t>
        </is>
      </c>
      <c r="AA760" t="inlineStr">
        <is>
          <t>1096 6595 8663</t>
        </is>
      </c>
      <c r="AB760" t="inlineStr">
        <is>
          <t>Unionbank</t>
        </is>
      </c>
      <c r="AC760" t="inlineStr">
        <is>
          <t>L 33 Blk 15 DM8 Subd. San Andress Hagonoy St. Cainta Rizal</t>
        </is>
      </c>
      <c r="AD760" s="4">
        <v>45879</v>
      </c>
      <c r="AE760" t="inlineStr">
        <is>
          <t>1st Payment - Oct. 10, 2025
Final Payment - Oct. 24, 2025</t>
        </is>
      </c>
      <c r="AF760" s="2"/>
      <c r="AG760" t="inlineStr">
        <is>
          <t>NzQyNTk5MTgyNzQ4MTg3MDM0MTo3RDQ4NkFDNC04ODhBLTQzOTEtODY1MC00MzdDNkZCRTVBNDYtMTpjZmNhY2FiMWY4ZmE4NzZjNGE1ZjcyZDM2MTkyYTI5MDox</t>
        </is>
      </c>
      <c r="AH760" t="inlineStr">
        <is>
          <t>Ruben A. Mercado Jr.</t>
        </is>
      </c>
      <c r="AI760"/>
      <c r="AJ760" t="inlineStr">
        <is>
          <t>LIQUIDITY PLAN (PAR # 202508110059 / 2025TEG-P0236)
FINAL 911 - CE INTERNAL &gt; MANPOWER &gt;
Operations &gt; Executive Producer (Ruben)
Total Budget = Php 35,000.00
Actual Cost = Php 44,000.00
Balance = (Php 9,000.00) OVER BUDGET</t>
        </is>
      </c>
      <c r="AK760"/>
    </row>
    <row r="761" ht="25.5" customHeight="1">
      <c r="A761" s="2" t="str">
        <f>=HYPERLINK("https://applink.larksuite.com/client/mini_program/open?appId=cli_9c7cc8a9a9edd105&amp;mode=appCenter&amp;path_pc=pc/pages/requested/index?instanceId=7555849637106581535&amp;source=bitable&amp;path=pages/detail/index?instanceId=7555849637106581535&amp;source=bitable", "202509300127")</f>
        <v>202509300127</v>
      </c>
      <c r="B761" t="inlineStr">
        <is>
          <t>Approved</t>
        </is>
      </c>
      <c r="C761" t="inlineStr">
        <is>
          <t>Procurement Order</t>
        </is>
      </c>
      <c r="D761" s="3">
        <v>45930.83025462963</v>
      </c>
      <c r="E761" s="3">
        <v>45938.56899305555</v>
      </c>
      <c r="F761" t="inlineStr">
        <is>
          <t>Fatima Kathleen M. FLores</t>
        </is>
      </c>
      <c r="G761" t="inlineStr">
        <is>
          <t>Procurement</t>
        </is>
      </c>
      <c r="H761"/>
      <c r="I761"/>
      <c r="J761" t="inlineStr">
        <is>
          <t>Project</t>
        </is>
      </c>
      <c r="K761" t="inlineStr">
        <is>
          <t>PDEI - Event Service</t>
        </is>
      </c>
      <c r="L761" t="inlineStr">
        <is>
          <t>GTCC 2025: September Arena</t>
        </is>
      </c>
      <c r="M761" t="inlineStr">
        <is>
          <t>2025TEG-P0236</t>
        </is>
      </c>
      <c r="N761" t="inlineStr">
        <is>
          <t>Carla Andrea Calma Crespo</t>
        </is>
      </c>
      <c r="O761" t="inlineStr">
        <is>
          <t>202509300004-Carla Andrea Calma Crespo-费用报销 - 副本 - 副本 - 副本-2025-09-30 02:10:36</t>
        </is>
      </c>
      <c r="P761" t="inlineStr">
        <is>
          <t>YES</t>
        </is>
      </c>
      <c r="Q761"/>
      <c r="R761" t="inlineStr">
        <is>
          <t>YES</t>
        </is>
      </c>
      <c r="S761" t="inlineStr">
        <is>
          <t>Outsourced Media Manager</t>
        </is>
      </c>
      <c r="T761">
        <v>1</v>
      </c>
      <c r="U761">
        <v>8000</v>
      </c>
      <c r="V761" t="inlineStr">
        <is>
          <t>PHP</t>
        </is>
      </c>
      <c r="W761">
        <v>8000</v>
      </c>
      <c r="X761" s="2" t="str">
        <f>=HYPERLINK("https://www.larksuite.com/approval/admin/previewAttachment?key=PMg9CsJAFATgK83sm_fnZWwMQUIUQYha7NkFC9sviohyWjTUHA3OdPdShyURXnTzOSYzG8kcmMttPZeObX-8dd9en_3weVwv6_Kkd46BNMkKAE9_t5TUHcLP8Q0AAP__", "2 attachment(s)")</f>
        <v>2 attachment(s)</v>
      </c>
      <c r="Y761" t="inlineStr">
        <is>
          <t>Bank Transfer</t>
        </is>
      </c>
      <c r="Z761" t="inlineStr">
        <is>
          <t>Julia Sandra Dela Peña</t>
        </is>
      </c>
      <c r="AA761" t="inlineStr">
        <is>
          <t>3229335854</t>
        </is>
      </c>
      <c r="AB761" t="inlineStr">
        <is>
          <t>BPI</t>
        </is>
      </c>
      <c r="AC761" t="inlineStr">
        <is>
          <t>2330 Calderon Street Sta Ana Manila</t>
        </is>
      </c>
      <c r="AD761" s="4">
        <v>45918</v>
      </c>
      <c r="AE761" t="inlineStr">
        <is>
          <t>100% Full Payment - Oct. 10, 2025</t>
        </is>
      </c>
      <c r="AF761" s="2"/>
      <c r="AG761" t="inlineStr">
        <is>
          <t>NzQyNTk5MTgyNzQ4MTg3MDM0MTo1NEU1MTI2MC0xOTRDLTQ5NkQtQTVCOS05Mzc1RUU5RUVFN0ItMTpkMWMxMzlkZWViZGFjMTczODFkOTJkMWZhOTVmNDQ3Zjox</t>
        </is>
      </c>
      <c r="AH761" t="inlineStr">
        <is>
          <t>Julia Sandra Dela Peña</t>
        </is>
      </c>
      <c r="AI761"/>
      <c r="AJ761" t="inlineStr">
        <is>
          <t>No cost in internal CE. Supposedly tagged as INTERNAL.</t>
        </is>
      </c>
      <c r="AK761"/>
    </row>
    <row r="762" ht="25.5" customHeight="1">
      <c r="A762" s="2" t="str">
        <f>=HYPERLINK("https://applink.larksuite.com/client/mini_program/open?appId=cli_9c7cc8a9a9edd105&amp;mode=appCenter&amp;path_pc=pc/pages/requested/index?instanceId=7555848682408378399&amp;source=bitable&amp;path=pages/detail/index?instanceId=7555848682408378399&amp;source=bitable", "202509300125")</f>
        <v>202509300125</v>
      </c>
      <c r="B762" t="inlineStr">
        <is>
          <t>Approved</t>
        </is>
      </c>
      <c r="C762" t="inlineStr">
        <is>
          <t>Procurement Order</t>
        </is>
      </c>
      <c r="D762" s="3">
        <v>45930.827685185184</v>
      </c>
      <c r="E762" s="3">
        <v>45938.496469907404</v>
      </c>
      <c r="F762" t="inlineStr">
        <is>
          <t>Fatima Kathleen M. FLores</t>
        </is>
      </c>
      <c r="G762" t="inlineStr">
        <is>
          <t>Procurement</t>
        </is>
      </c>
      <c r="H762"/>
      <c r="I762"/>
      <c r="J762" t="inlineStr">
        <is>
          <t>Project</t>
        </is>
      </c>
      <c r="K762" t="inlineStr">
        <is>
          <t>PDEI - Event Service</t>
        </is>
      </c>
      <c r="L762" t="inlineStr">
        <is>
          <t>GTCC 2025: September Arena</t>
        </is>
      </c>
      <c r="M762" t="inlineStr">
        <is>
          <t>2025TEG-P0236</t>
        </is>
      </c>
      <c r="N762" t="inlineStr">
        <is>
          <t>Carla Andrea Calma Crespo</t>
        </is>
      </c>
      <c r="O762" t="inlineStr">
        <is>
          <t>202509290047-Juvie Anne Asis Castres-费用报销 - 副本 - 副本 - 副本-2025-09-29 06:11:03</t>
        </is>
      </c>
      <c r="P762" t="inlineStr">
        <is>
          <t>YES</t>
        </is>
      </c>
      <c r="Q762"/>
      <c r="R762" t="inlineStr">
        <is>
          <t>YES</t>
        </is>
      </c>
      <c r="S762" t="inlineStr">
        <is>
          <t>Outsourced Assistant Producer</t>
        </is>
      </c>
      <c r="T762">
        <v>1</v>
      </c>
      <c r="U762">
        <v>62500</v>
      </c>
      <c r="V762" t="inlineStr">
        <is>
          <t>PHP</t>
        </is>
      </c>
      <c r="W762">
        <v>62500</v>
      </c>
      <c r="X762" s="2" t="str">
        <f>=HYPERLINK("https://www.larksuite.com/approval/admin/previewAttachment?key=PMg7CsIAEATQK83-d7yMjSFIIBIQohZ7dsHC9mULskMsCacoIVMR0d7Z6mirNnJ0pIooKcUs-3rltvM8PqHv48HXNuf9ti5PCZYqytytAcjl71buTqbj5_gGAAD__w", "2 attachment(s)")</f>
        <v>2 attachment(s)</v>
      </c>
      <c r="Y762" t="inlineStr">
        <is>
          <t>Bank Transfer</t>
        </is>
      </c>
      <c r="Z762" t="inlineStr">
        <is>
          <t>Sheilla Mae Songalia</t>
        </is>
      </c>
      <c r="AA762" t="inlineStr">
        <is>
          <t>09497767800</t>
        </is>
      </c>
      <c r="AB762" t="inlineStr">
        <is>
          <t>Gcash</t>
        </is>
      </c>
      <c r="AC762" t="inlineStr">
        <is>
          <t>25 Basilio St. Acacia Malabon City</t>
        </is>
      </c>
      <c r="AD762" s="4">
        <v>45879</v>
      </c>
      <c r="AE762" t="inlineStr">
        <is>
          <t>1st Payment - Oct. 10, 2025
Final Payment - Oct. 24, 2025</t>
        </is>
      </c>
      <c r="AF762" s="2"/>
      <c r="AG762" t="inlineStr">
        <is>
          <t>NzQyNTk5MTgyNzQ4MTg3MDM0MTpDM0Y1NEM3QS1CMDdELTQ2NzktOEMwOC1EMDI4OUUyRDdFQzAtMTo2MjI4NWYxOWM2NjQ4ZDUxZTdhYTA5ZmQ1Y2ViYThlZjox</t>
        </is>
      </c>
      <c r="AH762" t="inlineStr">
        <is>
          <t>Sheilla Mae Songalia</t>
        </is>
      </c>
      <c r="AI762"/>
      <c r="AJ762" t="inlineStr">
        <is>
          <t>LIQUIDITY PLAN (PAR # 202508110059 / 2025TEG-P0236)
FINAL 911 - CE INTERNAL &gt; MANPOWER &gt;
CREATIVES &amp; CONTENT &gt;
Assistant Content Producer
Assistant Producer
Total Budget = Php 55,000.00
Actual Cost = Php 62,500.00
Balance = (Php 7,500.00) OVER BUDGET</t>
        </is>
      </c>
      <c r="AK762"/>
    </row>
    <row r="763" ht="25.5" customHeight="1">
      <c r="A763" s="2" t="str">
        <f>=HYPERLINK("https://applink.larksuite.com/client/mini_program/open?appId=cli_9c7cc8a9a9edd105&amp;mode=appCenter&amp;path_pc=pc/pages/requested/index?instanceId=7555840828904603680&amp;source=bitable&amp;path=pages/detail/index?instanceId=7555840828904603680&amp;source=bitable", "202509300111")</f>
        <v>202509300111</v>
      </c>
      <c r="B763" t="inlineStr">
        <is>
          <t>Approved</t>
        </is>
      </c>
      <c r="C763" t="inlineStr">
        <is>
          <t>Procurement Order</t>
        </is>
      </c>
      <c r="D763" s="3">
        <v>45930.8065162037</v>
      </c>
      <c r="E763" s="3">
        <v>45931.70457175926</v>
      </c>
      <c r="F763" t="inlineStr">
        <is>
          <t>Fatima Kathleen M. FLores</t>
        </is>
      </c>
      <c r="G763" t="inlineStr">
        <is>
          <t>Procurement</t>
        </is>
      </c>
      <c r="H763"/>
      <c r="I763"/>
      <c r="J763" t="inlineStr">
        <is>
          <t>Project</t>
        </is>
      </c>
      <c r="K763" t="inlineStr">
        <is>
          <t>GG - Event Service</t>
        </is>
      </c>
      <c r="L763" t="inlineStr">
        <is>
          <t>HOK Philippine Kings League - Fall Season</t>
        </is>
      </c>
      <c r="M763" t="inlineStr">
        <is>
          <t>2025TEG-P0219</t>
        </is>
      </c>
      <c r="N763" t="inlineStr">
        <is>
          <t>Carla Andrea Calma Crespo</t>
        </is>
      </c>
      <c r="O763" t="inlineStr">
        <is>
          <t>202509250015-Carla Andrea Calma Crespo-费用报销 - 副本 - 副本 - 副本-2025-09-25 02:36:01</t>
        </is>
      </c>
      <c r="P763" t="inlineStr">
        <is>
          <t>YES</t>
        </is>
      </c>
      <c r="Q763"/>
      <c r="R763" t="inlineStr">
        <is>
          <t>YES</t>
        </is>
      </c>
      <c r="S763" t="inlineStr">
        <is>
          <t>Outsourced Player Liaison Officer (one day)</t>
        </is>
      </c>
      <c r="T763">
        <v>1</v>
      </c>
      <c r="U763">
        <v>1500</v>
      </c>
      <c r="V763" t="inlineStr">
        <is>
          <t>PHP</t>
        </is>
      </c>
      <c r="W763">
        <v>1500</v>
      </c>
      <c r="X763" s="2" t="str">
        <f>=HYPERLINK("https://www.larksuite.com/approval/admin/previewAttachment?key=PMg7CgJBEATQK1V1V_-8jInLojBGgpjM2QUD05dNZAc9BxragLsiooW2Hijh2di2WTUolmEfz_MqW3HSTfVZj8X9vt_O48WYMkO55A2Al797SZpJ4ef4BgAA__8", "2 attachment(s)")</f>
        <v>2 attachment(s)</v>
      </c>
      <c r="Y763" t="inlineStr">
        <is>
          <t>Bank Transfer</t>
        </is>
      </c>
      <c r="Z763" t="inlineStr">
        <is>
          <t>Jason Rivas</t>
        </is>
      </c>
      <c r="AA763" t="inlineStr">
        <is>
          <t>09619885748</t>
        </is>
      </c>
      <c r="AB763" t="inlineStr">
        <is>
          <t>GCash</t>
        </is>
      </c>
      <c r="AC763" t="inlineStr">
        <is>
          <t>14 Santa Ana Brgy San Antonio Quezon City</t>
        </is>
      </c>
      <c r="AD763" s="4">
        <v>45921</v>
      </c>
      <c r="AE763" t="inlineStr">
        <is>
          <t>100% Full Payment - Oct. 3, 2025</t>
        </is>
      </c>
      <c r="AF763" s="2"/>
      <c r="AG763" t="inlineStr">
        <is>
          <t>NzQyNTk5MTgyNzQ4MTg3MDM0MTpCRjdFRDA4OC04Nzc4LTQ5NEYtOUE5Qi00MzdCN0U0RDQ4NzEtMTpmZjZjNjEwMGY1ZWNhNzA1MDJlNWE1YmQ4YTY2ZWVkYjox</t>
        </is>
      </c>
      <c r="AH763" t="inlineStr">
        <is>
          <t>Jason Rivas</t>
        </is>
      </c>
      <c r="AI763"/>
      <c r="AJ763" t="inlineStr">
        <is>
          <t>LIQUIDITY PLAN (PAR # 202508190134 / 2025TEG-P0219)
INTERNAL 0820 COST ESTIMATE &gt; REGULAR SEASON &gt;
Labor Cost &gt; PLAYER CARE &amp; HOSPITALITY &gt;
Player Liaisons
Total Remaining Budget = Php 0.00
Actual Cost = Php 1,500.00
Balance = (Php 1,500.00) OVER BUDGET</t>
        </is>
      </c>
      <c r="AK763"/>
    </row>
    <row r="764" ht="25.5" customHeight="1">
      <c r="A764" s="2" t="str">
        <f>=HYPERLINK("https://applink.larksuite.com/client/mini_program/open?appId=cli_9c7cc8a9a9edd105&amp;mode=appCenter&amp;path_pc=pc/pages/requested/index?instanceId=7555841593920487456&amp;source=bitable&amp;path=pages/detail/index?instanceId=7555841593920487456&amp;source=bitable", "202509300115")</f>
        <v>202509300115</v>
      </c>
      <c r="B764" t="inlineStr">
        <is>
          <t>Approved</t>
        </is>
      </c>
      <c r="C764" t="inlineStr">
        <is>
          <t>Procurement Order</t>
        </is>
      </c>
      <c r="D764" s="3">
        <v>45930.80857638889</v>
      </c>
      <c r="E764" s="3">
        <v>45931.705</v>
      </c>
      <c r="F764" t="inlineStr">
        <is>
          <t>Fatima Kathleen M. FLores</t>
        </is>
      </c>
      <c r="G764" t="inlineStr">
        <is>
          <t>Procurement</t>
        </is>
      </c>
      <c r="H764"/>
      <c r="I764"/>
      <c r="J764" t="inlineStr">
        <is>
          <t>Project</t>
        </is>
      </c>
      <c r="K764" t="inlineStr">
        <is>
          <t>GG - Event Service</t>
        </is>
      </c>
      <c r="L764" t="inlineStr">
        <is>
          <t>HOK Philippine Kings League - Fall Season</t>
        </is>
      </c>
      <c r="M764" t="inlineStr">
        <is>
          <t>2025TEG-P0219</t>
        </is>
      </c>
      <c r="N764" t="inlineStr">
        <is>
          <t>Carla Andrea Calma Crespo</t>
        </is>
      </c>
      <c r="O764" t="inlineStr">
        <is>
          <t>202509250019-Carla Andrea Calma Crespo-费用报销 - 副本 - 副本 - 副本-2025-09-25 02:39:38</t>
        </is>
      </c>
      <c r="P764" t="inlineStr">
        <is>
          <t>YES</t>
        </is>
      </c>
      <c r="Q764"/>
      <c r="R764" t="inlineStr">
        <is>
          <t>YES</t>
        </is>
      </c>
      <c r="S764" t="inlineStr">
        <is>
          <t>Outsourced Player Liaison Officer (one day)</t>
        </is>
      </c>
      <c r="T764">
        <v>1</v>
      </c>
      <c r="U764">
        <v>1500</v>
      </c>
      <c r="V764" t="inlineStr">
        <is>
          <t>PHP</t>
        </is>
      </c>
      <c r="W764">
        <v>1500</v>
      </c>
      <c r="X764" s="2" t="str">
        <f>=HYPERLINK("https://www.larksuite.com/approval/admin/previewAttachment?key=PMgxCgIxFATQK838zM_kexmbDYtbCAFhu5xdsLB9fRB9JFsvqBgFbmfmELNaBTSs7Ds27YLpwJ7v83nd68Lk4Qsr1tz36zjnh1mOgJvUBgA-_t4sqaoLP8c3AAD__w", "2 attachment(s)")</f>
        <v>2 attachment(s)</v>
      </c>
      <c r="Y764" t="inlineStr">
        <is>
          <t>Bank Transfer</t>
        </is>
      </c>
      <c r="Z764" t="inlineStr">
        <is>
          <t>Merry Antoinette Nobleza</t>
        </is>
      </c>
      <c r="AA764" t="inlineStr">
        <is>
          <t>09982563903</t>
        </is>
      </c>
      <c r="AB764" t="inlineStr">
        <is>
          <t>GCash</t>
        </is>
      </c>
      <c r="AC764" t="inlineStr">
        <is>
          <t>133 5th st. Halik Alon, Kaingin 2, Sto. Niño, Parañaque City</t>
        </is>
      </c>
      <c r="AD764" s="4">
        <v>45921</v>
      </c>
      <c r="AE764" t="inlineStr">
        <is>
          <t>100% Full Payment - Oct. 3, 2025</t>
        </is>
      </c>
      <c r="AF764" s="2"/>
      <c r="AG764" t="inlineStr">
        <is>
          <t>NzQyNTk5MTgyNzQ4MTg3MDM0MTowMTFEMkIxRS00NDZELTRDMjYtODM3Mi1BRUZFNUQ2RTQ4RDktMTo1YWU0MjdlY2Q5MDEwNDU5YmFiMzUzMjk4ZTUwZGRhZDox</t>
        </is>
      </c>
      <c r="AH764" t="inlineStr">
        <is>
          <t>Merry Antoinette Nobleza</t>
        </is>
      </c>
      <c r="AI764"/>
      <c r="AJ764" t="inlineStr">
        <is>
          <t>LIQUIDITY PLAN (PAR # 202508190134 / 2025TEG-P0219)
INTERNAL 0820 COST ESTIMATE &gt; REGULAR SEASON &gt;
Labor Cost &gt; PLAYER CARE &amp; HOSPITALITY &gt;
Player Liaisons
Total Remaining Budget = (Php 1,500.00) NEGATIVE
Actual Cost = Php 1,500.00
Balance = (Php 3,000.00) OVER BUDGET</t>
        </is>
      </c>
      <c r="AK764"/>
    </row>
    <row r="765" ht="25.5" customHeight="1">
      <c r="A765" s="2" t="str">
        <f>=HYPERLINK("https://applink.larksuite.com/client/mini_program/open?appId=cli_9c7cc8a9a9edd105&amp;mode=appCenter&amp;path_pc=pc/pages/requested/index?instanceId=7556113467229388831&amp;source=bitable&amp;path=pages/detail/index?instanceId=7556113467229388831&amp;source=bitable", "202510010038")</f>
        <v>202510010038</v>
      </c>
      <c r="B765" t="inlineStr">
        <is>
          <t>Approved</t>
        </is>
      </c>
      <c r="C765" t="inlineStr">
        <is>
          <t>Procurement Order</t>
        </is>
      </c>
      <c r="D765" s="3">
        <v>45931.54122685185</v>
      </c>
      <c r="E765" s="3">
        <v>45931.687997685185</v>
      </c>
      <c r="F765" t="inlineStr">
        <is>
          <t>Fatima Kathleen M. FLores</t>
        </is>
      </c>
      <c r="G765" t="inlineStr">
        <is>
          <t>Procurement</t>
        </is>
      </c>
      <c r="H765"/>
      <c r="I765"/>
      <c r="J765" t="inlineStr">
        <is>
          <t>Project</t>
        </is>
      </c>
      <c r="K765" t="inlineStr">
        <is>
          <t>PDEI - Event Service</t>
        </is>
      </c>
      <c r="L765" t="inlineStr">
        <is>
          <t>MPL PH S16 - Regular Season</t>
        </is>
      </c>
      <c r="M765" t="inlineStr">
        <is>
          <t>2025TEG-P0214</t>
        </is>
      </c>
      <c r="N765" t="inlineStr">
        <is>
          <t>Katherine Denise Lee Sy</t>
        </is>
      </c>
      <c r="O765" t="inlineStr">
        <is>
          <t>202509180078-Katherine Denise Lee Sy-费用报销 - 副本 - 副本 - 副本-2025-09-18 11:36:37</t>
        </is>
      </c>
      <c r="P765" t="inlineStr">
        <is>
          <t>NO</t>
        </is>
      </c>
      <c r="Q765"/>
      <c r="R765" t="inlineStr">
        <is>
          <t>NO</t>
        </is>
      </c>
      <c r="S765" t="inlineStr">
        <is>
          <t>Hotel Accommodation (Week 4 - Sept. 18 to 21, 2025)</t>
        </is>
      </c>
      <c r="T765">
        <v>1</v>
      </c>
      <c r="U765">
        <v>25200</v>
      </c>
      <c r="V765" t="inlineStr">
        <is>
          <t>PHP</t>
        </is>
      </c>
      <c r="W765">
        <v>25200</v>
      </c>
      <c r="X765" s="2" t="str">
        <f>=HYPERLINK("https://www.larksuite.com/approval/admin/previewAttachment?key=PMirDQJBGATglmb-99AMhs2FEygCwWztJAjsV0PUJL2EEE3g7swiParN5DPj3LbZLTTbsNfjuC6fM3XGZ3z0yv2-3471ZKrN0B7hA4CXv3tHhFSBn-MbAAD__w", "2 attachment(s)")</f>
        <v>2 attachment(s)</v>
      </c>
      <c r="Y765" t="inlineStr">
        <is>
          <t>Bank Transfer</t>
        </is>
      </c>
      <c r="Z765" t="inlineStr">
        <is>
          <t>Green Sun Hotel Management Inc.</t>
        </is>
      </c>
      <c r="AA765" t="inlineStr">
        <is>
          <t>634-7-634-02936-9</t>
        </is>
      </c>
      <c r="AB765" t="inlineStr">
        <is>
          <t>Metrobank</t>
        </is>
      </c>
      <c r="AC765" t="inlineStr">
        <is>
          <t>2285 Don Chino Roces Ave. Ext., Magallanes, Makati City</t>
        </is>
      </c>
      <c r="AD765" s="4">
        <v>45918</v>
      </c>
      <c r="AE765" t="inlineStr">
        <is>
          <t>100% Full Payment</t>
        </is>
      </c>
      <c r="AF765" s="2"/>
      <c r="AG765" t="inlineStr">
        <is>
          <t>NzQyNTk5MTgyNzQ4MTg3MDM0MTowNTdDRjEzNC1FRjU1LTRFM0YtQUFGNC05NTRBMTQ0NDIzMzEtMTo1MDEzMzY1MTFiMmIyNmU3MWM4MGQ2MWQ5YThiNGI2ZTox</t>
        </is>
      </c>
      <c r="AH765" t="inlineStr">
        <is>
          <t>Green Sun Hotel Management Inc.</t>
        </is>
      </c>
      <c r="AI765"/>
      <c r="AJ765" t="inlineStr">
        <is>
          <t>LIQUIDITY PLAN (PAR # 202509020093 / 2025TEG-P0214)
REGULAR SEASON CE TAB &gt; 4.1 Staging and Production&gt;
BROADCAST TECHNICALS (TUCK IN HERE) &gt;
HIDE FROM CLIENT
Total Remaining Budget = Php 278,528.55
Actual Cost = Php 25,200.00
Balance = Php 253,328.55</t>
        </is>
      </c>
      <c r="AK765"/>
    </row>
    <row r="766" ht="25.5" customHeight="1">
      <c r="A766" s="2" t="str">
        <f>=HYPERLINK("https://applink.larksuite.com/client/mini_program/open?appId=cli_9c7cc8a9a9edd105&amp;mode=appCenter&amp;path_pc=pc/pages/requested/index?instanceId=7555814633764814886&amp;source=bitable&amp;path=pages/detail/index?instanceId=7555814633764814886&amp;source=bitable", "202509300098")</f>
        <v>202509300098</v>
      </c>
      <c r="B766" t="inlineStr">
        <is>
          <t>Approved</t>
        </is>
      </c>
      <c r="C766" t="inlineStr">
        <is>
          <t>Procurement Order</t>
        </is>
      </c>
      <c r="D766" s="3">
        <v>45930.735925925925</v>
      </c>
      <c r="E766" s="3">
        <v>45932.855787037035</v>
      </c>
      <c r="F766" t="inlineStr">
        <is>
          <t>Fatima Kathleen M. FLores</t>
        </is>
      </c>
      <c r="G766" t="inlineStr">
        <is>
          <t>Procurement</t>
        </is>
      </c>
      <c r="H766"/>
      <c r="I766"/>
      <c r="J766" t="inlineStr">
        <is>
          <t>Project</t>
        </is>
      </c>
      <c r="K766" t="inlineStr">
        <is>
          <t>PDEI - Event Service</t>
        </is>
      </c>
      <c r="L766" t="inlineStr">
        <is>
          <t>MPL PH S16 - Regular Season</t>
        </is>
      </c>
      <c r="M766" t="inlineStr">
        <is>
          <t>2025TEG-P0214</t>
        </is>
      </c>
      <c r="N766" t="inlineStr">
        <is>
          <t>Anteaus Villena</t>
        </is>
      </c>
      <c r="O766" t="inlineStr">
        <is>
          <t>202509180079-Jessica Jane Lor Felicilda-费用报销 - 副本 - 副本 - 副本-2025-09-18 11:55:59</t>
        </is>
      </c>
      <c r="P766" t="inlineStr">
        <is>
          <t>YES</t>
        </is>
      </c>
      <c r="Q766"/>
      <c r="R766" t="inlineStr">
        <is>
          <t>YES</t>
        </is>
      </c>
      <c r="S766" t="inlineStr">
        <is>
          <t>Outsourced Consultant (RS)</t>
        </is>
      </c>
      <c r="T766">
        <v>1</v>
      </c>
      <c r="U766">
        <v>18000</v>
      </c>
      <c r="V766" t="inlineStr">
        <is>
          <t>PHP</t>
        </is>
      </c>
      <c r="W766">
        <v>18000</v>
      </c>
      <c r="X766" s="2" t="str">
        <f>=HYPERLINK("https://www.larksuite.com/approval/admin/previewAttachment?key=PMg7CgJBEATQK1V11_THy5i4DKLsJsJqMmcXDExfFBE16NFQ0xpcOcYoKtwzVFRVLFvMbCTTsLZ9Xn0_bJ7-xHz753Gs836b24uj0wzpkhcAXv7uKak7hJ_jGwAA__8", "2 attachment(s)")</f>
        <v>2 attachment(s)</v>
      </c>
      <c r="Y766" t="inlineStr">
        <is>
          <t>Bank Transfer</t>
        </is>
      </c>
      <c r="Z766" t="inlineStr">
        <is>
          <t>Chrysta Angela Montesa</t>
        </is>
      </c>
      <c r="AA766" t="inlineStr">
        <is>
          <t>0000058174171</t>
        </is>
      </c>
      <c r="AB766" t="inlineStr">
        <is>
          <t>Security Bank</t>
        </is>
      </c>
      <c r="AC766" t="inlineStr">
        <is>
          <t>9E Albany Street, Barangay Silangan, Cubao, Quezon City</t>
        </is>
      </c>
      <c r="AD766" s="4">
        <v>45885</v>
      </c>
      <c r="AE766" t="inlineStr">
        <is>
          <t>100% Full Payment - Oct. 3, 2025</t>
        </is>
      </c>
      <c r="AF766" s="2"/>
      <c r="AG766" t="inlineStr">
        <is>
          <t>NzQyNTk5MTgyNzQ4MTg3MDM0MTo0QTRCMEU5Ny03OEMzLTRGQTgtODk1My1CRkFFNkY0QzY5RkMtMTo1NjUyYzljOWU2ZDAxMWFjY2FjMzFjM2ExZmUyYjRmODox</t>
        </is>
      </c>
      <c r="AH766" t="inlineStr">
        <is>
          <t>Chrysta Angela Montesa</t>
        </is>
      </c>
      <c r="AI766"/>
      <c r="AJ766" t="inlineStr">
        <is>
          <t>No line item in internal CE.</t>
        </is>
      </c>
      <c r="AK766"/>
    </row>
    <row r="767" ht="25.5" customHeight="1">
      <c r="A767" s="2" t="str">
        <f>=HYPERLINK("https://applink.larksuite.com/client/mini_program/open?appId=cli_9c7cc8a9a9edd105&amp;mode=appCenter&amp;path_pc=pc/pages/requested/index?instanceId=7556167233777516576&amp;source=bitable&amp;path=pages/detail/index?instanceId=7556167233777516576&amp;source=bitable", "202510010074")</f>
        <v>202510010074</v>
      </c>
      <c r="B767" t="inlineStr">
        <is>
          <t>Approved</t>
        </is>
      </c>
      <c r="C767" t="inlineStr">
        <is>
          <t>Procurement Order</t>
        </is>
      </c>
      <c r="D767" s="3">
        <v>45931.686111111114</v>
      </c>
      <c r="E767" s="3">
        <v>45932.494618055556</v>
      </c>
      <c r="F767" t="inlineStr">
        <is>
          <t>Fatima Kathleen M. FLores</t>
        </is>
      </c>
      <c r="G767" t="inlineStr">
        <is>
          <t>Procurement</t>
        </is>
      </c>
      <c r="H767"/>
      <c r="I767"/>
      <c r="J767" t="inlineStr">
        <is>
          <t>Project</t>
        </is>
      </c>
      <c r="K767" t="inlineStr">
        <is>
          <t>GG - Event Service</t>
        </is>
      </c>
      <c r="L767" t="inlineStr">
        <is>
          <t>HOK Philippine Kings League - Fall Season</t>
        </is>
      </c>
      <c r="M767" t="inlineStr">
        <is>
          <t>2025TEG-P0219</t>
        </is>
      </c>
      <c r="N767" t="inlineStr">
        <is>
          <t>Carla Andrea Calma Crespo</t>
        </is>
      </c>
      <c r="O767" t="inlineStr">
        <is>
          <t>202509290016-Carla Andrea Calma Crespo-费用报销 - 副本 - 副本 - 副本-2025-09-29 04:18:21</t>
        </is>
      </c>
      <c r="P767" t="inlineStr">
        <is>
          <t>YES</t>
        </is>
      </c>
      <c r="Q767"/>
      <c r="R767" t="inlineStr">
        <is>
          <t>YES</t>
        </is>
      </c>
      <c r="S767" t="inlineStr">
        <is>
          <t>Outsourced API Operator/Xpression Build</t>
        </is>
      </c>
      <c r="T767">
        <v>1</v>
      </c>
      <c r="U767">
        <v>90000</v>
      </c>
      <c r="V767" t="inlineStr">
        <is>
          <t>PHP</t>
        </is>
      </c>
      <c r="W767">
        <v>90000</v>
      </c>
      <c r="X767" s="2" t="str">
        <f>=HYPERLINK("https://www.larksuite.com/approval/admin/previewAttachment?key=PMg9CsJAFATgK828v9nnZWyyBMVoI6TbswsWab8aRI2kVyOa1uBSZrFk7pKSlapli1JDlGHN935_2XzG2A4c_JzZ63xs-_wyW2aQR_gAwNvlrojorsDf8QsAAP__", "2 attachment(s)")</f>
        <v>2 attachment(s)</v>
      </c>
      <c r="Y767" t="inlineStr">
        <is>
          <t>Bank Transfer</t>
        </is>
      </c>
      <c r="Z767" t="inlineStr">
        <is>
          <t>Jay Lawrence Rivera</t>
        </is>
      </c>
      <c r="AA767" t="inlineStr">
        <is>
          <t>0000049934381</t>
        </is>
      </c>
      <c r="AB767" t="inlineStr">
        <is>
          <t>Security Bank</t>
        </is>
      </c>
      <c r="AC767" t="inlineStr">
        <is>
          <t>023 Kasunduan St. Brgy. Commonwealth Quezon City</t>
        </is>
      </c>
      <c r="AD767" s="4">
        <v>45896</v>
      </c>
      <c r="AE767" t="inlineStr">
        <is>
          <t>1st Payment - Oct. 10, 2025
Final Payment - Oct. 31, 2025</t>
        </is>
      </c>
      <c r="AF767" s="2"/>
      <c r="AG767" t="inlineStr">
        <is>
          <t>NzQyNTk5MTgyNzQ4MTg3MDM0MTo5RjBBODcxNC02MDA5LTQ2QUItOTA0Qi03Q0M2ODFFMjVBRkMtMTpiOTc5M2EwMThhNjMzNWE5MmM5MzdiMmMzMjViMzExMjox</t>
        </is>
      </c>
      <c r="AH767" t="inlineStr">
        <is>
          <t>Jay Lawrence Rivera</t>
        </is>
      </c>
      <c r="AI767"/>
      <c r="AJ767" t="inlineStr">
        <is>
          <t>LIQUIDITY PLAN (PAR # 202508190134 / 2025TEG-P0219)
INTERNAL 0820 COST ESTIMATE &gt; REGULAR SEASON &gt;
OVERBUDGET/ ADDENDUM &gt; API Build &amp; Integration
Total Budget = Php 90,000.00
Actual Cost = Php 90,000.00
Tagged as OVER BUDGET since this will be charged to an addendum.</t>
        </is>
      </c>
      <c r="AK767"/>
    </row>
    <row r="768" ht="25.5" customHeight="1">
      <c r="A768" s="2" t="str">
        <f>=HYPERLINK("https://applink.larksuite.com/client/mini_program/open?appId=cli_9c7cc8a9a9edd105&amp;mode=appCenter&amp;path_pc=pc/pages/requested/index?instanceId=7556464069037916191&amp;source=bitable&amp;path=pages/detail/index?instanceId=7556464069037916191&amp;source=bitable", "202510020014")</f>
        <v>202510020014</v>
      </c>
      <c r="B768" t="inlineStr">
        <is>
          <t>Approved</t>
        </is>
      </c>
      <c r="C768" t="inlineStr">
        <is>
          <t>Procurement Order</t>
        </is>
      </c>
      <c r="D768" s="3">
        <v>45932.486030092594</v>
      </c>
      <c r="E768" s="3">
        <v>45933.49539351852</v>
      </c>
      <c r="F768" t="inlineStr">
        <is>
          <t>Fatima Kathleen M. FLores</t>
        </is>
      </c>
      <c r="G768" t="inlineStr">
        <is>
          <t>Procurement</t>
        </is>
      </c>
      <c r="H768"/>
      <c r="I768"/>
      <c r="J768" t="inlineStr">
        <is>
          <t>Project</t>
        </is>
      </c>
      <c r="K768" t="inlineStr">
        <is>
          <t>GG - Event Service</t>
        </is>
      </c>
      <c r="L768" t="inlineStr">
        <is>
          <t>HOK Philippine Kings League - Fall Season</t>
        </is>
      </c>
      <c r="M768" t="inlineStr">
        <is>
          <t>2025TEG-P0219</t>
        </is>
      </c>
      <c r="N768" t="inlineStr">
        <is>
          <t>Carla Andrea Calma Crespo</t>
        </is>
      </c>
      <c r="O768" t="inlineStr">
        <is>
          <t>202509280012-Juvie Anne Asis Castres-费用报销 - 副本 - 副本 - 副本-2025-09-28 08:47:20</t>
        </is>
      </c>
      <c r="P768" t="inlineStr">
        <is>
          <t>NO</t>
        </is>
      </c>
      <c r="Q768"/>
      <c r="R768" t="inlineStr">
        <is>
          <t>YES</t>
        </is>
      </c>
      <c r="S768" t="inlineStr">
        <is>
          <t>Stage and Onground Fabrication</t>
        </is>
      </c>
      <c r="T768">
        <v>1</v>
      </c>
      <c r="U768">
        <v>1200000</v>
      </c>
      <c r="V768" t="inlineStr">
        <is>
          <t>PHP</t>
        </is>
      </c>
      <c r="W768">
        <v>1200000</v>
      </c>
      <c r="X768" s="2" t="str">
        <f>=HYPERLINK("https://www.larksuite.com/approval/admin/previewAttachment?key=PMhBqgIxEATQK1V1Ol2pf5m_mTCIkEEQxE3OLrhw-2oQNTpbGWmGwa3eKytRRpNZNHdsSoao4J7r_Pd9GbH0ntfjyGu_bsc5n-xWBNQy2wDAv583ZaZdia_jEwAA__8", "2 attachment(s)")</f>
        <v>2 attachment(s)</v>
      </c>
      <c r="Y768" t="inlineStr">
        <is>
          <t>Bank Transfer</t>
        </is>
      </c>
      <c r="Z768" t="inlineStr">
        <is>
          <t>STAGE ONE EVENT SERVICES CORP.</t>
        </is>
      </c>
      <c r="AA768" t="inlineStr">
        <is>
          <t>0124 0800 3549</t>
        </is>
      </c>
      <c r="AB768" t="inlineStr">
        <is>
          <t>BDO</t>
        </is>
      </c>
      <c r="AC768" t="inlineStr">
        <is>
          <t>Kamagong St. cor. Ipil St. Hillcrest Village, Brgy. 173 Camarin, Caloocan</t>
        </is>
      </c>
      <c r="AD768" s="4">
        <v>45937</v>
      </c>
      <c r="AE768" t="inlineStr">
        <is>
          <t>60% Down payment upon confirmation
40% Balance - 30 days upon completion of services</t>
        </is>
      </c>
      <c r="AF768" s="2"/>
      <c r="AG768" t="inlineStr">
        <is>
          <t>NzQyNTk5MTgyNzQ4MTg3MDM0MTo0RkFFNDlFRS05NkQ5LTQyQ0QtQUZDRS1GNDg5Mzc3ODgxMDItMTo0MTZlOWQ2MjNmNjcxYzQ3ZDU5YjU0YmM0NjE0MjM3Mjox</t>
        </is>
      </c>
      <c r="AH768" t="inlineStr">
        <is>
          <t>STAGE ONE EVENT SERVICES CORP.</t>
        </is>
      </c>
      <c r="AI768"/>
      <c r="AJ768" t="inlineStr">
        <is>
          <t>LIQUIDITY PLAN (PAR # 202508190134 / 2025TEG-P0219)
INTERNAL 0820 COST ESTIMATE &gt; PLAYOFFS &gt;
Venue &amp; Stage &gt; MAIN STAGE &gt; Php 380,000.00
Staging &amp; Fabrication
Caster Table
Caster Table Riser
Player Tables (5v5)
Camera Risers
Broadcast Board-up
Electrical ploting
OFF-STAGE FABRICATION &gt; Php 139,400.00
Player Holding Areas
Talent Holding Area
VIP Holding Area
Entrance Arch
Trophy Podium
Total Budget = Php 519,400.00
Actual Cost = Php 1,200,000.00
Balance = (Php 680,600.00) OVER BUDGET</t>
        </is>
      </c>
      <c r="AK768"/>
    </row>
    <row r="769" ht="25.5" customHeight="1">
      <c r="A769" s="2" t="str">
        <f>=HYPERLINK("https://applink.larksuite.com/client/mini_program/open?appId=cli_9c7cc8a9a9edd105&amp;mode=appCenter&amp;path_pc=pc/pages/requested/index?instanceId=7556469399377412127&amp;source=bitable&amp;path=pages/detail/index?instanceId=7556469399377412127&amp;source=bitable", "202510020019")</f>
        <v>202510020019</v>
      </c>
      <c r="B769" t="inlineStr">
        <is>
          <t>Approved</t>
        </is>
      </c>
      <c r="C769" t="inlineStr">
        <is>
          <t>Procurement Order</t>
        </is>
      </c>
      <c r="D769" s="3">
        <v>45932.500393518516</v>
      </c>
      <c r="E769" s="3">
        <v>45932.85010416667</v>
      </c>
      <c r="F769" t="inlineStr">
        <is>
          <t>Fatima Kathleen M. FLores</t>
        </is>
      </c>
      <c r="G769" t="inlineStr">
        <is>
          <t>Procurement</t>
        </is>
      </c>
      <c r="H769"/>
      <c r="I769"/>
      <c r="J769" t="inlineStr">
        <is>
          <t>Project</t>
        </is>
      </c>
      <c r="K769" t="inlineStr">
        <is>
          <t>GG - Event Service</t>
        </is>
      </c>
      <c r="L769" t="inlineStr">
        <is>
          <t>HOK Philippiine Kings League - Fall Season Jacket Addendum</t>
        </is>
      </c>
      <c r="M769" t="inlineStr">
        <is>
          <t>2025TEG-P0219</t>
        </is>
      </c>
      <c r="N769" t="inlineStr">
        <is>
          <t>Carla Andrea Calma Crespo</t>
        </is>
      </c>
      <c r="O769" t="inlineStr">
        <is>
          <t>202509290071-Carla Andrea Calma Crespo-费用报销 - 副本 - 副本 - 副本-2025-09-29 06:51:26</t>
        </is>
      </c>
      <c r="P769" t="inlineStr">
        <is>
          <t>NO</t>
        </is>
      </c>
      <c r="Q769"/>
      <c r="R769" t="inlineStr">
        <is>
          <t>YES</t>
        </is>
      </c>
      <c r="S769" t="inlineStr">
        <is>
          <t>Customized Hoodie with 4 Colors Print</t>
        </is>
      </c>
      <c r="T769">
        <v>80</v>
      </c>
      <c r="U769">
        <v>1085</v>
      </c>
      <c r="V769" t="inlineStr">
        <is>
          <t>PHP</t>
        </is>
      </c>
      <c r="W769">
        <v>86800</v>
      </c>
      <c r="X769" s="2" t="str">
        <f>=HYPERLINK("https://www.larksuite.com/approval/admin/previewAttachment?key=PMgxCkJBDATQK2WSbGbHy9i4fBT8lShskbMLFravJqzmQJQsBZehOUZlKaQgEw5ne4OUEXT0Oo_rc6zH3iv9nO9ze3_ut2O9MER3Y2TGNDNc_h7MTKnSfm7fAAAA__8", "2 attachment(s)")</f>
        <v>2 attachment(s)</v>
      </c>
      <c r="Y769" t="inlineStr">
        <is>
          <t>Bank Transfer</t>
        </is>
      </c>
      <c r="Z769" t="inlineStr">
        <is>
          <t>Get-Wrecked Prod Co</t>
        </is>
      </c>
      <c r="AA769" t="inlineStr">
        <is>
          <t>9055058933</t>
        </is>
      </c>
      <c r="AB769" t="inlineStr">
        <is>
          <t>RCBC</t>
        </is>
      </c>
      <c r="AC769" t="inlineStr">
        <is>
          <t>17 North Polytech, Potrero, Malabon city</t>
        </is>
      </c>
      <c r="AD769" s="4">
        <v>45947</v>
      </c>
      <c r="AE769" t="inlineStr">
        <is>
          <t>50% Down Payment
50% Balance upon completion of services</t>
        </is>
      </c>
      <c r="AF769" s="2" t="str">
        <f>=HYPERLINK("https://www.larksuite.com/approval/admin/previewAttachment?key=TMgxCkJBDATQK80k2WTHy9i4fBT8lShskbMLVrYvJ5Fz0FMI0QR2jZGRcsmrgkartmaVUCxjr_O4Psd67L3Czvk-t_XnfjvWizk9ERoRFABe_pyEpqf_HN8AAAD__w", "2 attachment(s)")</f>
        <v>2 attachment(s)</v>
      </c>
      <c r="AG769" t="inlineStr">
        <is>
          <t>NzQyNTk5MTgyNzQ4MTg3MDM0MTo4MjYxNjY2My05RTg0LTQ3OTQtOTE1NS1FQzVERTMxRjI0MjMtMTozMDc4Mjg0ZWJkY2QzZTRlMGM0Y2VmMjRhOTA5Y2I1NDox</t>
        </is>
      </c>
      <c r="AH769" t="inlineStr">
        <is>
          <t>Get-Wrecked Prod Co</t>
        </is>
      </c>
      <c r="AI769"/>
      <c r="AJ769" t="inlineStr">
        <is>
          <t>LIQUIDITY PLAN (PAR # 202509230053 / 2025TEG-P0219)
JACKET ADDENDUM TAB &gt; Jackets &gt;
Hoodie
4 Colours Print
Total Budget = Php 86,800.00
Actual Cost = Php 86,800.00</t>
        </is>
      </c>
      <c r="AK769"/>
    </row>
    <row r="770" ht="25.5" customHeight="1">
      <c r="A770" s="2" t="str">
        <f>=HYPERLINK("https://applink.larksuite.com/client/mini_program/open?appId=cli_9c7cc8a9a9edd105&amp;mode=appCenter&amp;path_pc=pc/pages/requested/index?instanceId=7556455856703815711&amp;source=bitable&amp;path=pages/detail/index?instanceId=7556455856703815711&amp;source=bitable", "202510020006")</f>
        <v>202510020006</v>
      </c>
      <c r="B770" t="inlineStr">
        <is>
          <t>Approved</t>
        </is>
      </c>
      <c r="C770" t="inlineStr">
        <is>
          <t>Procurement Order</t>
        </is>
      </c>
      <c r="D770" s="3">
        <v>45932.46388888889</v>
      </c>
      <c r="E770" s="3">
        <v>45932.853171296294</v>
      </c>
      <c r="F770" t="inlineStr">
        <is>
          <t>Fatima Kathleen M. FLores</t>
        </is>
      </c>
      <c r="G770" t="inlineStr">
        <is>
          <t>Procurement</t>
        </is>
      </c>
      <c r="H770"/>
      <c r="I770"/>
      <c r="J770" t="inlineStr">
        <is>
          <t>Project</t>
        </is>
      </c>
      <c r="K770" t="inlineStr">
        <is>
          <t>GG - Event Service</t>
        </is>
      </c>
      <c r="L770" t="inlineStr">
        <is>
          <t>HOK Philippine Kings League - Fall Season</t>
        </is>
      </c>
      <c r="M770" t="inlineStr">
        <is>
          <t>2025TEG-P0219</t>
        </is>
      </c>
      <c r="N770" t="inlineStr">
        <is>
          <t>Carla Andrea Calma Crespo</t>
        </is>
      </c>
      <c r="O770" t="inlineStr">
        <is>
          <t>202509210001-Carla Andrea Calma Crespo-费用报销 - 副本 - 副本 - 副本-2025-09-21 02:45:17</t>
        </is>
      </c>
      <c r="P770" t="inlineStr">
        <is>
          <t>NO</t>
        </is>
      </c>
      <c r="Q770"/>
      <c r="R770" t="inlineStr">
        <is>
          <t>YES</t>
        </is>
      </c>
      <c r="S770" t="inlineStr">
        <is>
          <t>Customized 3D Printed Trophy</t>
        </is>
      </c>
      <c r="T770">
        <v>1</v>
      </c>
      <c r="U770">
        <v>64750</v>
      </c>
      <c r="V770" t="inlineStr">
        <is>
          <t>PHP</t>
        </is>
      </c>
      <c r="W770">
        <v>64750</v>
      </c>
      <c r="X770" s="2" t="str">
        <f>=HYPERLINK("https://www.larksuite.com/approval/admin/previewAttachment?key=PMg9qsJAFAXgLZ1z_87ct5nXTAgWBgRJxGLWLljYfjWIGkmvRjStwaXMisyRJfhgily2KDVEGdd27P92nQdfb8z5uPuZ67rNfXsyW2aQR_gAwL-fuyKiuwJfxycAAP__", "2 attachment(s)")</f>
        <v>2 attachment(s)</v>
      </c>
      <c r="Y770" t="inlineStr">
        <is>
          <t>Bank Transfer</t>
        </is>
      </c>
      <c r="Z770" t="inlineStr">
        <is>
          <t>Jets Trophy Inc.</t>
        </is>
      </c>
      <c r="AA770" t="inlineStr">
        <is>
          <t>0002-7000-3444</t>
        </is>
      </c>
      <c r="AB770" t="inlineStr">
        <is>
          <t>BDO Savings Account</t>
        </is>
      </c>
      <c r="AC770" t="inlineStr">
        <is>
          <t>65 West Ave., Paltok, QC</t>
        </is>
      </c>
      <c r="AD770" s="4">
        <v>45937</v>
      </c>
      <c r="AE770" t="inlineStr">
        <is>
          <t>50% Down Payment upon confirmation
50% Final Payment before delivery</t>
        </is>
      </c>
      <c r="AF770" s="2" t="str">
        <f>=HYPERLINK("https://www.larksuite.com/approval/admin/previewAttachment?key=TMg9CsJAEAXgK7238-9lbDYECwOCZMVizi5Ypf08CU-jeEGLo8AOM1ezNA9I0oLs0YwoBGOwt2O_j3Ue_Hwx5-spp_V6zH1701McWqbKAsDbxUlUisvf8QsAAP__", "2 attachment(s)")</f>
        <v>2 attachment(s)</v>
      </c>
      <c r="AG770" t="inlineStr">
        <is>
          <t>NzQyNTk5MTgyNzQ4MTg3MDM0MTpCNkFBMkNGNi1CNkQxLTQwNDMtQUI0OC0wODMxNzc2MkNCQTUtMTpkZDdhNzc5ZTA5OGY1OWE1ODg5MGI5Y2I2YzhkZTM5Njox</t>
        </is>
      </c>
      <c r="AH770" t="inlineStr">
        <is>
          <t>Jets Trophy Inc.</t>
        </is>
      </c>
      <c r="AI770"/>
      <c r="AJ770" t="inlineStr">
        <is>
          <t>LIQUIDITY PLAN (PAR # 202508190134 / 2025TEG-P0219)
INTERNAL 0820 COST ESTIMATE &gt; REGULAR SEASON &gt;
Collateral &amp; Venue Skinning &gt; Trophy Fabrication
Total Budget = Php 30,000.00
Actual Cost = Php 64,750.00
Balance = (Php 34,750.00) OVER BUDGET</t>
        </is>
      </c>
      <c r="AK770"/>
    </row>
    <row r="771" ht="25.5" customHeight="1">
      <c r="A771" s="2" t="str">
        <f>=HYPERLINK("https://applink.larksuite.com/client/mini_program/open?appId=cli_9c7cc8a9a9edd105&amp;mode=appCenter&amp;path_pc=pc/pages/requested/index?instanceId=7556576915495092256&amp;source=bitable&amp;path=pages/detail/index?instanceId=7556576915495092256&amp;source=bitable", "202510020099")</f>
        <v>202510020099</v>
      </c>
      <c r="B771" t="inlineStr">
        <is>
          <t>Approved</t>
        </is>
      </c>
      <c r="C771" t="inlineStr">
        <is>
          <t>Procurement Order</t>
        </is>
      </c>
      <c r="D771" s="3">
        <v>45932.790127314816</v>
      </c>
      <c r="E771" s="3">
        <v>45936.61586805555</v>
      </c>
      <c r="F771" t="inlineStr">
        <is>
          <t>Fatima Kathleen M. FLores</t>
        </is>
      </c>
      <c r="G771" t="inlineStr">
        <is>
          <t>Procurement</t>
        </is>
      </c>
      <c r="H771"/>
      <c r="I771"/>
      <c r="J771" t="inlineStr">
        <is>
          <t>Project</t>
        </is>
      </c>
      <c r="K771" t="inlineStr">
        <is>
          <t>PDEI - Game Marketing</t>
        </is>
      </c>
      <c r="L771" t="inlineStr">
        <is>
          <t>MLBB Project NEXT KOL Campaign</t>
        </is>
      </c>
      <c r="M771" t="inlineStr">
        <is>
          <t>2025TEG-P0244</t>
        </is>
      </c>
      <c r="N771" t="inlineStr">
        <is>
          <t>Clifford Markus Ortiz Martinez</t>
        </is>
      </c>
      <c r="O771" t="inlineStr">
        <is>
          <t>202509230063-Clifford Markus Ortiz Martinez-费用报销 - 副本 - 副本 - 副本-2025-09-23 08:11:55</t>
        </is>
      </c>
      <c r="P771" t="inlineStr">
        <is>
          <t>YES</t>
        </is>
      </c>
      <c r="Q771"/>
      <c r="R771" t="inlineStr">
        <is>
          <t>NO</t>
        </is>
      </c>
      <c r="S771" t="inlineStr">
        <is>
          <t>Outsourced KOL (Kriphie)</t>
        </is>
      </c>
      <c r="T771">
        <v>1</v>
      </c>
      <c r="U771">
        <v>55000</v>
      </c>
      <c r="V771" t="inlineStr">
        <is>
          <t>PHP</t>
        </is>
      </c>
      <c r="W771">
        <v>55000</v>
      </c>
      <c r="X771" s="2" t="str">
        <f>=HYPERLINK("https://www.larksuite.com/approval/admin/previewAttachment?key=PMgxCgJBDAXQK_1kkvz5XsbGZbFwZUEcsMjZBQvbV9NQM22UEDIXrJlZyZJlKCH3rPY2UqDRvbdjv_p6HzmfnxNJPc5e99u-vSxFd3BEjAnALn8fjAipAj_HNwAA__8", "2 attachment(s)")</f>
        <v>2 attachment(s)</v>
      </c>
      <c r="Y771" t="inlineStr">
        <is>
          <t>Bank Transfer</t>
        </is>
      </c>
      <c r="Z771" t="inlineStr">
        <is>
          <t>Glenn Hipolito</t>
        </is>
      </c>
      <c r="AA771" t="inlineStr">
        <is>
          <t>0012 8146 4374</t>
        </is>
      </c>
      <c r="AB771" t="inlineStr">
        <is>
          <t>BDO Unibank</t>
        </is>
      </c>
      <c r="AC771" t="inlineStr">
        <is>
          <t>Phase 4 Blk 4 Lot 11, Wisteria St., Victoria Ville, P.F. Espiritu 2, Bacoor City, Cavite</t>
        </is>
      </c>
      <c r="AD771" s="4">
        <v>45912</v>
      </c>
      <c r="AE771" t="inlineStr">
        <is>
          <t>1st Payment - Oct. 17, 2025
Final Payment - Oct. 31, 2025</t>
        </is>
      </c>
      <c r="AF771" s="2"/>
      <c r="AG771" t="inlineStr">
        <is>
          <t>NzQyNTk5MTgyNzQ4MTg3MDM0MTo4RThCQ0JDQS0xNDhELTRBM0UtQTc1RS1GRUYxQjMwQUQ2QUYtMTo3ODZmYzFjYWQ1ODkyN2M3ZjdmNjhhNWY1MTQ3NzM5MDox</t>
        </is>
      </c>
      <c r="AH771" t="inlineStr">
        <is>
          <t>Glenn Hipolito</t>
        </is>
      </c>
      <c r="AI771"/>
      <c r="AJ771" t="inlineStr">
        <is>
          <t>LIQUIDITY PLAN (PAR # 202509230041 / 2025TEG-P0244)
Kriphie Talent Package
Total Budget = Php 55,000.00
Actual Cost = Php 55,000.00</t>
        </is>
      </c>
      <c r="AK771"/>
    </row>
    <row r="772" ht="25.5" customHeight="1">
      <c r="A772" s="2" t="str">
        <f>=HYPERLINK("https://applink.larksuite.com/client/mini_program/open?appId=cli_9c7cc8a9a9edd105&amp;mode=appCenter&amp;path_pc=pc/pages/requested/index?instanceId=7556575691634933792&amp;source=bitable&amp;path=pages/detail/index?instanceId=7556575691634933792&amp;source=bitable", "202510020095")</f>
        <v>202510020095</v>
      </c>
      <c r="B772" t="inlineStr">
        <is>
          <t>Approved</t>
        </is>
      </c>
      <c r="C772" t="inlineStr">
        <is>
          <t>Procurement Order</t>
        </is>
      </c>
      <c r="D772" s="3">
        <v>45932.786828703705</v>
      </c>
      <c r="E772" s="3">
        <v>45936.61633101852</v>
      </c>
      <c r="F772" t="inlineStr">
        <is>
          <t>Fatima Kathleen M. FLores</t>
        </is>
      </c>
      <c r="G772" t="inlineStr">
        <is>
          <t>Procurement</t>
        </is>
      </c>
      <c r="H772"/>
      <c r="I772"/>
      <c r="J772" t="inlineStr">
        <is>
          <t>Project</t>
        </is>
      </c>
      <c r="K772" t="inlineStr">
        <is>
          <t>PDEI - Game Marketing</t>
        </is>
      </c>
      <c r="L772" t="inlineStr">
        <is>
          <t>MLBB Project NEXT KOL Campaign</t>
        </is>
      </c>
      <c r="M772" t="inlineStr">
        <is>
          <t>2025TEG-P0244</t>
        </is>
      </c>
      <c r="N772" t="inlineStr">
        <is>
          <t>Clifford Markus Ortiz Martinez</t>
        </is>
      </c>
      <c r="O772" t="inlineStr">
        <is>
          <t>202509230065-Clifford Markus Ortiz Martinez-费用报销 - 副本 - 副本 - 副本-2025-09-23 08:12:22</t>
        </is>
      </c>
      <c r="P772" t="inlineStr">
        <is>
          <t>YES</t>
        </is>
      </c>
      <c r="Q772"/>
      <c r="R772" t="inlineStr">
        <is>
          <t>NO</t>
        </is>
      </c>
      <c r="S772" t="inlineStr">
        <is>
          <t>Outsourced KOL (KingFB)</t>
        </is>
      </c>
      <c r="T772">
        <v>1</v>
      </c>
      <c r="U772">
        <v>31000</v>
      </c>
      <c r="V772" t="inlineStr">
        <is>
          <t>PHP</t>
        </is>
      </c>
      <c r="W772">
        <v>31000</v>
      </c>
      <c r="X772" s="2" t="str">
        <f>=HYPERLINK("https://www.larksuite.com/approval/admin/previewAttachment?key=PMg7ioJBEATgK1U_a2ovs8k_DCZGomDQZxcMTL9ehl5l0ULKXLBhVRerZR2pCMrHx0iBRvfZ9_Nfdb3TVWc_Yc553a6zH1aiOxiZsQDY38-DmSl14uv4BAAA__8", "2 attachment(s)")</f>
        <v>2 attachment(s)</v>
      </c>
      <c r="Y772" t="inlineStr">
        <is>
          <t>Bank Transfer</t>
        </is>
      </c>
      <c r="Z772" t="inlineStr">
        <is>
          <t>Royce John I. Sy</t>
        </is>
      </c>
      <c r="AA772" t="inlineStr">
        <is>
          <t>012680008681</t>
        </is>
      </c>
      <c r="AB772" t="inlineStr">
        <is>
          <t>BDO Unibank</t>
        </is>
      </c>
      <c r="AC772" t="inlineStr">
        <is>
          <t>B 6 L 11 Regina Lane, Diamond Village Brgy. Kaligayahan Nova. QC</t>
        </is>
      </c>
      <c r="AD772" s="4">
        <v>45912</v>
      </c>
      <c r="AE772" t="inlineStr">
        <is>
          <t>1st Payment - Oct. 17, 2025
Final Payment - Oct. 31, 2025</t>
        </is>
      </c>
      <c r="AF772" s="2"/>
      <c r="AG772" t="inlineStr">
        <is>
          <t>NzQyNTk5MTgyNzQ4MTg3MDM0MTpERkQ3QzJCQS0wMDEyLTRENjAtQjhBOS03RkU0Mjc3RTcyMTMtMToxMjQ1Nzc2Mjc0ZDkwOGRmMzA2YWQwMTA5MzMzYjc1MTox</t>
        </is>
      </c>
      <c r="AH772" t="inlineStr">
        <is>
          <t>Royce John I. Sy</t>
        </is>
      </c>
      <c r="AI772"/>
      <c r="AJ772" t="inlineStr">
        <is>
          <t>LIQUIDITY PLAN (PAR # 202509230041 / 2025TEG-P0244)
KingFB Talent Package
Total Budget = Php 35,000.00
Actual Cost = Php 31,000.00
Balance = Php 4,000.00</t>
        </is>
      </c>
      <c r="AK772"/>
    </row>
    <row r="773" ht="25.5" customHeight="1">
      <c r="A773" s="2" t="str">
        <f>=HYPERLINK("https://applink.larksuite.com/client/mini_program/open?appId=cli_9c7cc8a9a9edd105&amp;mode=appCenter&amp;path_pc=pc/pages/requested/index?instanceId=7556577949919477798&amp;source=bitable&amp;path=pages/detail/index?instanceId=7556577949919477798&amp;source=bitable", "202510020100")</f>
        <v>202510020100</v>
      </c>
      <c r="B773" t="inlineStr">
        <is>
          <t>Approved</t>
        </is>
      </c>
      <c r="C773" t="inlineStr">
        <is>
          <t>Procurement Order</t>
        </is>
      </c>
      <c r="D773" s="3">
        <v>45932.792916666665</v>
      </c>
      <c r="E773" s="3">
        <v>45936.616898148146</v>
      </c>
      <c r="F773" t="inlineStr">
        <is>
          <t>Fatima Kathleen M. FLores</t>
        </is>
      </c>
      <c r="G773" t="inlineStr">
        <is>
          <t>Procurement</t>
        </is>
      </c>
      <c r="H773"/>
      <c r="I773"/>
      <c r="J773" t="inlineStr">
        <is>
          <t>Project</t>
        </is>
      </c>
      <c r="K773" t="inlineStr">
        <is>
          <t>PDEI - Game Marketing</t>
        </is>
      </c>
      <c r="L773" t="inlineStr">
        <is>
          <t>MLBB Project NEXT KOL Campaign</t>
        </is>
      </c>
      <c r="M773" t="inlineStr">
        <is>
          <t>2025TEG-P0244</t>
        </is>
      </c>
      <c r="N773" t="inlineStr">
        <is>
          <t>Clifford Markus Ortiz Martinez</t>
        </is>
      </c>
      <c r="O773" t="inlineStr">
        <is>
          <t>202509230062-Clifford Markus Ortiz Martinez-费用报销 - 副本 - 副本 - 副本-2025-09-23 08:11:02</t>
        </is>
      </c>
      <c r="P773" t="inlineStr">
        <is>
          <t>YES</t>
        </is>
      </c>
      <c r="Q773"/>
      <c r="R773" t="inlineStr">
        <is>
          <t>NO</t>
        </is>
      </c>
      <c r="S773" t="inlineStr">
        <is>
          <t>Outsourced KOL (Obri)</t>
        </is>
      </c>
      <c r="T773">
        <v>1</v>
      </c>
      <c r="U773">
        <v>15000</v>
      </c>
      <c r="V773" t="inlineStr">
        <is>
          <t>PHP</t>
        </is>
      </c>
      <c r="W773">
        <v>15000</v>
      </c>
      <c r="X773" s="2" t="str">
        <f>=HYPERLINK("https://www.larksuite.com/approval/admin/previewAttachment?key=PMgxCsJAFATQK83_O39nx8vYJASbiCCIW-zZBYu0r49AHxWtG3SkEUtVvSTTDlOSx8oVkqFQ5trP497OZ87xJV-V25zr89iO_R1lZUKNbANA3C5vIml34u_4BQAA__8", "2 attachment(s)")</f>
        <v>2 attachment(s)</v>
      </c>
      <c r="Y773" t="inlineStr">
        <is>
          <t>Bank Transfer</t>
        </is>
      </c>
      <c r="Z773" t="inlineStr">
        <is>
          <t>Aubrey Mandigma</t>
        </is>
      </c>
      <c r="AA773" t="inlineStr">
        <is>
          <t>0869447612</t>
        </is>
      </c>
      <c r="AB773" t="inlineStr">
        <is>
          <t>BPI</t>
        </is>
      </c>
      <c r="AC773" t="inlineStr">
        <is>
          <t>Brgy. Mayowe Tayabas City, Quezon Province</t>
        </is>
      </c>
      <c r="AD773" s="4">
        <v>45912</v>
      </c>
      <c r="AE773" t="inlineStr">
        <is>
          <t>100% Full Payment - Oct. 17, 2025</t>
        </is>
      </c>
      <c r="AF773" s="2"/>
      <c r="AG773" t="inlineStr">
        <is>
          <t>NzQyNTk5MTgyNzQ4MTg3MDM0MTo0RDk2NkQ0OC1GRDY5LTQ3RjEtOEU5QS02NjY2ODM2ODhFNkEtMTozZDZiNDc0N2YzMjA1MTI0Mjc3ZmNjNTlmYzRkY2Y2ODox</t>
        </is>
      </c>
      <c r="AH773" t="inlineStr">
        <is>
          <t>Aubrey Mandigma</t>
        </is>
      </c>
      <c r="AI773"/>
      <c r="AJ773" t="inlineStr">
        <is>
          <t>LIQUIDITY PLAN (PAR # 202509230041 / 2025TEG-P0244)
Obri Talent Package
Total Budget = Php 15,000.00
Actual Cost = Php 15,000.00</t>
        </is>
      </c>
      <c r="AK773"/>
    </row>
    <row r="774" ht="25.5" customHeight="1">
      <c r="A774" s="2" t="str">
        <f>=HYPERLINK("https://applink.larksuite.com/client/mini_program/open?appId=cli_9c7cc8a9a9edd105&amp;mode=appCenter&amp;path_pc=pc/pages/requested/index?instanceId=7556580681309028391&amp;source=bitable&amp;path=pages/detail/index?instanceId=7556580681309028391&amp;source=bitable", "202510020103")</f>
        <v>202510020103</v>
      </c>
      <c r="B774" t="inlineStr">
        <is>
          <t>Approved</t>
        </is>
      </c>
      <c r="C774" t="inlineStr">
        <is>
          <t>Procurement Order</t>
        </is>
      </c>
      <c r="D774" s="3">
        <v>45932.8002662037</v>
      </c>
      <c r="E774" s="3">
        <v>45936.6246875</v>
      </c>
      <c r="F774" t="inlineStr">
        <is>
          <t>Fatima Kathleen M. FLores</t>
        </is>
      </c>
      <c r="G774" t="inlineStr">
        <is>
          <t>Procurement</t>
        </is>
      </c>
      <c r="H774"/>
      <c r="I774"/>
      <c r="J774" t="inlineStr">
        <is>
          <t>Project</t>
        </is>
      </c>
      <c r="K774" t="inlineStr">
        <is>
          <t>PDEI - Game Marketing</t>
        </is>
      </c>
      <c r="L774" t="inlineStr">
        <is>
          <t>MLBB Project NEXT KOL Campaign</t>
        </is>
      </c>
      <c r="M774" t="inlineStr">
        <is>
          <t>2025TEG-P0244</t>
        </is>
      </c>
      <c r="N774" t="inlineStr">
        <is>
          <t>Clifford Markus Ortiz Martinez</t>
        </is>
      </c>
      <c r="O774" t="inlineStr">
        <is>
          <t>202509230060-Clifford Markus Ortiz Martinez-费用报销 - 副本 - 副本 - 副本-2025-09-23 08:09:47</t>
        </is>
      </c>
      <c r="P774" t="inlineStr">
        <is>
          <t>YES</t>
        </is>
      </c>
      <c r="Q774"/>
      <c r="R774" t="inlineStr">
        <is>
          <t>NO</t>
        </is>
      </c>
      <c r="S774" t="inlineStr">
        <is>
          <t>Outsourced KOL (JollySly)</t>
        </is>
      </c>
      <c r="T774">
        <v>1</v>
      </c>
      <c r="U774">
        <v>120000</v>
      </c>
      <c r="V774" t="inlineStr">
        <is>
          <t>PHP</t>
        </is>
      </c>
      <c r="W774">
        <v>120000</v>
      </c>
      <c r="X774" s="2" t="str">
        <f>=HYPERLINK("https://www.larksuite.com/approval/admin/previewAttachment?key=PMg9igJBEAXgK71X_7WX2aSbQYWBAUEwqLMLBqZfFBHl1GhYUxqcdA8vRFHRkNLmyDCzkUyR2efx777ets7tj7xfl87rto79pHeKINVMCwD_fq5pZt1h-Do-AQAA__8", "2 attachment(s)")</f>
        <v>2 attachment(s)</v>
      </c>
      <c r="Y774" t="inlineStr">
        <is>
          <t>Bank Transfer</t>
        </is>
      </c>
      <c r="Z774" t="inlineStr">
        <is>
          <t>Hanzel Joshua Santiago</t>
        </is>
      </c>
      <c r="AA774" t="inlineStr">
        <is>
          <t>3603360853277</t>
        </is>
      </c>
      <c r="AB774" t="inlineStr">
        <is>
          <t>Metrobank</t>
        </is>
      </c>
      <c r="AC774" t="inlineStr">
        <is>
          <t>12 Buenviaje St. SAV3 San Antonio Paranaque City</t>
        </is>
      </c>
      <c r="AD774" s="4">
        <v>45912</v>
      </c>
      <c r="AE774" t="inlineStr">
        <is>
          <t>1st Payment - Oct. 17, 2025
Final Payment - Oct. 31, 2025</t>
        </is>
      </c>
      <c r="AF774" s="2"/>
      <c r="AG774" t="inlineStr">
        <is>
          <t>NzQyNTk5MTgyNzQ4MTg3MDM0MTo5RTFEQUJEQy02RkM3LTQ4MTUtQjA1Ni1BN0Q2QTQxMUEyNEEtMTo1YjBmOTBhODFkZjQ0YzYzYmUzYWU4YThhM2Q4MTM4OTox</t>
        </is>
      </c>
      <c r="AH774" t="inlineStr">
        <is>
          <t>Hanzel Joshua Santiago</t>
        </is>
      </c>
      <c r="AI774"/>
      <c r="AJ774" t="inlineStr">
        <is>
          <t>LIQUIDITY PLAN (PAR # 202509230041 / 2025TEG-P0244)
JollySly Talent Package
Total Budget = Php 120,000.00
Actual Cost = Php 120,000.00</t>
        </is>
      </c>
      <c r="AK774"/>
    </row>
    <row r="775" ht="25.5" customHeight="1">
      <c r="A775" s="2" t="str">
        <f>=HYPERLINK("https://applink.larksuite.com/client/mini_program/open?appId=cli_9c7cc8a9a9edd105&amp;mode=appCenter&amp;path_pc=pc/pages/requested/index?instanceId=7556579890166759455&amp;source=bitable&amp;path=pages/detail/index?instanceId=7556579890166759455&amp;source=bitable", "202510020102")</f>
        <v>202510020102</v>
      </c>
      <c r="B775" t="inlineStr">
        <is>
          <t>Approved</t>
        </is>
      </c>
      <c r="C775" t="inlineStr">
        <is>
          <t>Procurement Order</t>
        </is>
      </c>
      <c r="D775" s="3">
        <v>45932.79813657407</v>
      </c>
      <c r="E775" s="3">
        <v>45936.625185185185</v>
      </c>
      <c r="F775" t="inlineStr">
        <is>
          <t>Fatima Kathleen M. FLores</t>
        </is>
      </c>
      <c r="G775" t="inlineStr">
        <is>
          <t>Procurement</t>
        </is>
      </c>
      <c r="H775"/>
      <c r="I775"/>
      <c r="J775" t="inlineStr">
        <is>
          <t>Project</t>
        </is>
      </c>
      <c r="K775" t="inlineStr">
        <is>
          <t>PDEI - Game Marketing</t>
        </is>
      </c>
      <c r="L775" t="inlineStr">
        <is>
          <t>MLBB Project NEXT KOL Campaign</t>
        </is>
      </c>
      <c r="M775" t="inlineStr">
        <is>
          <t>2025TEG-P0244</t>
        </is>
      </c>
      <c r="N775" t="inlineStr">
        <is>
          <t>Clifford Markus Ortiz Martinez</t>
        </is>
      </c>
      <c r="O775" t="inlineStr">
        <is>
          <t>202509230060-Clifford Markus Ortiz Martinez-费用报销 - 副本 - 副本 - 副本-2025-09-23 08:09:47</t>
        </is>
      </c>
      <c r="P775" t="inlineStr">
        <is>
          <t>YES</t>
        </is>
      </c>
      <c r="Q775"/>
      <c r="R775" t="inlineStr">
        <is>
          <t>NO</t>
        </is>
      </c>
      <c r="S775" t="inlineStr">
        <is>
          <t>Outsourced KOL (Archer Perez)</t>
        </is>
      </c>
      <c r="T775">
        <v>1</v>
      </c>
      <c r="U775">
        <v>30000</v>
      </c>
      <c r="V775" t="inlineStr">
        <is>
          <t>PHP</t>
        </is>
      </c>
      <c r="W775">
        <v>30000</v>
      </c>
      <c r="X775" s="2" t="str">
        <f>=HYPERLINK("https://www.larksuite.com/approval/admin/previewAttachment?key=PMgxDsJADATAL619tveWz9BwigiICpFUfjsSBe3UNNRMGyWEzAVrZlZSU7AqpiKzvY0UaHTv9dquT187Fx77qfNzeB_327belqI7OCLGBGCXvw9GhFSBn-MbAAD__w", "2 attachment(s)")</f>
        <v>2 attachment(s)</v>
      </c>
      <c r="Y775" t="inlineStr">
        <is>
          <t>Bank Transfer</t>
        </is>
      </c>
      <c r="Z775" t="inlineStr">
        <is>
          <t>Jomari David Perez</t>
        </is>
      </c>
      <c r="AA775" t="inlineStr">
        <is>
          <t>1094 2852 6040</t>
        </is>
      </c>
      <c r="AB775" t="inlineStr">
        <is>
          <t>Unionbank</t>
        </is>
      </c>
      <c r="AC775" t="inlineStr">
        <is>
          <t>18 Wayfield St. Laguna BelAir 1</t>
        </is>
      </c>
      <c r="AD775" s="4">
        <v>45912</v>
      </c>
      <c r="AE775" t="inlineStr">
        <is>
          <t>1st Payment - Oct. 17, 2025
Final Payment - Oct. 31, 2025</t>
        </is>
      </c>
      <c r="AF775" s="2"/>
      <c r="AG775" t="inlineStr">
        <is>
          <t>NzQyNTk5MTgyNzQ4MTg3MDM0MTo2QzMwQUE3Qy00RDVDLTRBRDEtQkQwOC1ENDlCMDk2NUIzODMtMTo0MTJlMDQzMTM5Yjc5MDE5ZWI0YjY1YmZlOGRmZjk0Zjox</t>
        </is>
      </c>
      <c r="AH775" t="inlineStr">
        <is>
          <t>Jomari David Perez</t>
        </is>
      </c>
      <c r="AI775"/>
      <c r="AJ775" t="inlineStr">
        <is>
          <t>LIQUIDITY PLAN (PAR # 202509230041 / 2025TEG-P0244)
Archer Perez Talent Package
Total Budget = Php 30,000.00
Actual Cost = Php 30,000.00</t>
        </is>
      </c>
      <c r="AK775"/>
    </row>
    <row r="776" ht="25.5" customHeight="1">
      <c r="A776" s="2" t="str">
        <f>=HYPERLINK("https://applink.larksuite.com/client/mini_program/open?appId=cli_9c7cc8a9a9edd105&amp;mode=appCenter&amp;path_pc=pc/pages/requested/index?instanceId=7556578881021476896&amp;source=bitable&amp;path=pages/detail/index?instanceId=7556578881021476896&amp;source=bitable", "202510020101")</f>
        <v>202510020101</v>
      </c>
      <c r="B776" t="inlineStr">
        <is>
          <t>Approved</t>
        </is>
      </c>
      <c r="C776" t="inlineStr">
        <is>
          <t>Procurement Order</t>
        </is>
      </c>
      <c r="D776" s="3">
        <v>45932.79541666667</v>
      </c>
      <c r="E776" s="3">
        <v>45936.62600694445</v>
      </c>
      <c r="F776" t="inlineStr">
        <is>
          <t>Fatima Kathleen M. FLores</t>
        </is>
      </c>
      <c r="G776" t="inlineStr">
        <is>
          <t>Procurement</t>
        </is>
      </c>
      <c r="H776"/>
      <c r="I776"/>
      <c r="J776" t="inlineStr">
        <is>
          <t>Project</t>
        </is>
      </c>
      <c r="K776" t="inlineStr">
        <is>
          <t>PDEI - Game Marketing</t>
        </is>
      </c>
      <c r="L776" t="inlineStr">
        <is>
          <t>MLBB Project NEXT KOL Campaign</t>
        </is>
      </c>
      <c r="M776" t="inlineStr">
        <is>
          <t>2025TEG-P0244</t>
        </is>
      </c>
      <c r="N776" t="inlineStr">
        <is>
          <t>Clifford Markus Ortiz Martinez</t>
        </is>
      </c>
      <c r="O776" t="inlineStr">
        <is>
          <t>202509230061-Clifford Markus Ortiz Martinez-费用报销 - 副本 - 副本 - 副本-2025-09-23 08:10:33</t>
        </is>
      </c>
      <c r="P776" t="inlineStr">
        <is>
          <t>YES</t>
        </is>
      </c>
      <c r="Q776"/>
      <c r="R776" t="inlineStr">
        <is>
          <t>NO</t>
        </is>
      </c>
      <c r="S776" t="inlineStr">
        <is>
          <t>Outsourced KOL (MC Hero)</t>
        </is>
      </c>
      <c r="T776">
        <v>1</v>
      </c>
      <c r="U776">
        <v>13500</v>
      </c>
      <c r="V776" t="inlineStr">
        <is>
          <t>PHP</t>
        </is>
      </c>
      <c r="W776">
        <v>13500</v>
      </c>
      <c r="X776" s="2" t="str">
        <f>=HYPERLINK("https://www.larksuite.com/approval/admin/previewAttachment?key=PMgxjkIxDATQK804jsfey2yT6ItIQINE57MjUdC-SCJyckTBi1Zga86YykzC6IqsaGtKBVFmvR_X_x557vlcB0fLV79v69ovzpIZNNxHAuDfz4fcvSocX8cnAAD__w", "2 attachment(s)")</f>
        <v>2 attachment(s)</v>
      </c>
      <c r="Y776" t="inlineStr">
        <is>
          <t>Bank Transfer</t>
        </is>
      </c>
      <c r="Z776" t="inlineStr">
        <is>
          <t>Vizxeal Cristobal Degulacion</t>
        </is>
      </c>
      <c r="AA776" t="inlineStr">
        <is>
          <t>012180089593</t>
        </is>
      </c>
      <c r="AB776" t="inlineStr">
        <is>
          <t>BDO</t>
        </is>
      </c>
      <c r="AC776" t="inlineStr">
        <is>
          <t>1042 Jasmin Street Batasan Hills Quezon City</t>
        </is>
      </c>
      <c r="AD776" s="4">
        <v>45912</v>
      </c>
      <c r="AE776" t="inlineStr">
        <is>
          <t>100% Full Payment - Oct. 17, 2025</t>
        </is>
      </c>
      <c r="AF776" s="2"/>
      <c r="AG776" t="inlineStr">
        <is>
          <t>NzQyNTk5MTgyNzQ4MTg3MDM0MTo5ODE3NjFEQi04MkQxLTRCQkYtOEQ3Qi05NTVBNkFEOTc3RTAtMTo0ODQyNzYxNzhiY2E2OGQwNzBmODA0YzNlN2I0MWFmZDox</t>
        </is>
      </c>
      <c r="AH776" t="inlineStr">
        <is>
          <t>Vizxeal Cristobal Degulacion</t>
        </is>
      </c>
      <c r="AI776"/>
      <c r="AJ776" t="inlineStr">
        <is>
          <t>LIQUIDITY PLAN (PAR # 202509230041 / 2025TEG-P0244)
MC Hero Talent Package
Total Budget = Php 13,500.00
Actual Cost = Php 13,500.00</t>
        </is>
      </c>
      <c r="AK776"/>
    </row>
    <row r="777" ht="25.5" customHeight="1">
      <c r="A777" s="2" t="str">
        <f>=HYPERLINK("https://applink.larksuite.com/client/mini_program/open?appId=cli_9c7cc8a9a9edd105&amp;mode=appCenter&amp;path_pc=pc/pages/requested/index?instanceId=7556837515244666912&amp;source=bitable&amp;path=pages/detail/index?instanceId=7556837515244666912&amp;source=bitable", "202510030033")</f>
        <v>202510030033</v>
      </c>
      <c r="B777" t="inlineStr">
        <is>
          <t>Approved</t>
        </is>
      </c>
      <c r="C777" t="inlineStr">
        <is>
          <t>Procurement Order</t>
        </is>
      </c>
      <c r="D777" s="3">
        <v>45933.49238425926</v>
      </c>
      <c r="E777" s="3">
        <v>45936.61138888889</v>
      </c>
      <c r="F777" t="inlineStr">
        <is>
          <t>Fatima Kathleen M. FLores</t>
        </is>
      </c>
      <c r="G777" t="inlineStr">
        <is>
          <t>Procurement</t>
        </is>
      </c>
      <c r="H777"/>
      <c r="I777"/>
      <c r="J777" t="inlineStr">
        <is>
          <t>Project</t>
        </is>
      </c>
      <c r="K777" t="inlineStr">
        <is>
          <t>PDEI - Event Service</t>
        </is>
      </c>
      <c r="L777" t="inlineStr">
        <is>
          <t>GTCC 2025: September Arena</t>
        </is>
      </c>
      <c r="M777" t="inlineStr">
        <is>
          <t>2025TEG-P0236</t>
        </is>
      </c>
      <c r="N777" t="inlineStr">
        <is>
          <t>Carla Andrea Calma Crespo</t>
        </is>
      </c>
      <c r="O777" t="inlineStr">
        <is>
          <t>202509300126-Carla Andrea Calma Crespo-费用报销 - 副本 - 副本 - 副本-2025-09-30 11:54:01</t>
        </is>
      </c>
      <c r="P777" t="inlineStr">
        <is>
          <t>YES</t>
        </is>
      </c>
      <c r="Q777"/>
      <c r="R777" t="inlineStr">
        <is>
          <t>NO</t>
        </is>
      </c>
      <c r="S777" t="inlineStr">
        <is>
          <t>Outsourced Broadcast Manager</t>
        </is>
      </c>
      <c r="T777">
        <v>1</v>
      </c>
      <c r="U777">
        <v>35000</v>
      </c>
      <c r="V777" t="inlineStr">
        <is>
          <t>PHP</t>
        </is>
      </c>
      <c r="W777">
        <v>35000</v>
      </c>
      <c r="X777" s="2" t="str">
        <f>=HYPERLINK("https://www.larksuite.com/approval/admin/previewAttachment?key=PMgxDsJADATAL-361vaZz9AQnSiSCiVUfjsSRdqJScR0jiioaAV2uscc6XSTIqJobc3MQjLNejvWU7bz_JLCeaxr7-v9WtuHXmmGHNKYAPi4faSkqhD-jl8AAAD__w", "2 attachment(s)")</f>
        <v>2 attachment(s)</v>
      </c>
      <c r="Y777" t="inlineStr">
        <is>
          <t>Bank Transfer</t>
        </is>
      </c>
      <c r="Z777" t="inlineStr">
        <is>
          <t>James Aldrin Concepcion</t>
        </is>
      </c>
      <c r="AA777" t="inlineStr">
        <is>
          <t>0000049934438</t>
        </is>
      </c>
      <c r="AB777" t="inlineStr">
        <is>
          <t>Security Bank</t>
        </is>
      </c>
      <c r="AC777" t="inlineStr">
        <is>
          <t>1 Bayanihan st. West Triangle, Quezon City</t>
        </is>
      </c>
      <c r="AD777" s="4">
        <v>45866</v>
      </c>
      <c r="AE777" t="inlineStr">
        <is>
          <t>100% Full Payment - Oct. 24, 2025</t>
        </is>
      </c>
      <c r="AF777" s="2"/>
      <c r="AG777" t="inlineStr">
        <is>
          <t>NzQyNTk5MTgyNzQ4MTg3MDM0MTo1QTg2MDhGRC0zRTMwLTQzQzQtQUJDMS1CQzE3MUQzRThCOTMtMTo4YzZiYjJiY2I2MDAzOTYwNjUxM2ZhODkxZjgyMDIyNzox</t>
        </is>
      </c>
      <c r="AH777" t="inlineStr">
        <is>
          <t>James Aldrin Concepcion</t>
        </is>
      </c>
      <c r="AI777"/>
      <c r="AJ777" t="inlineStr">
        <is>
          <t>LIQUIDITY PLAN (PAR # 202508110059 / 2025TEG-P0236)
FINAL 911 - CE INTERNAL &gt; MANPOWER &gt;
BROADCAST &amp; PRODUCTION &gt; Broadcast &amp; Production Manager (James)
Total Budget = Php 35,000.00
Actual Cost = Php 35,000.00</t>
        </is>
      </c>
      <c r="AK777"/>
    </row>
    <row r="778" ht="25.5" customHeight="1">
      <c r="A778" s="2" t="str">
        <f>=HYPERLINK("https://applink.larksuite.com/client/mini_program/open?appId=cli_9c7cc8a9a9edd105&amp;mode=appCenter&amp;path_pc=pc/pages/requested/index?instanceId=7556911377131028512&amp;source=bitable&amp;path=pages/detail/index?instanceId=7556911377131028512&amp;source=bitable", "202510030098")</f>
        <v>202510030098</v>
      </c>
      <c r="B778" t="inlineStr">
        <is>
          <t>Approved</t>
        </is>
      </c>
      <c r="C778" t="inlineStr">
        <is>
          <t>Procurement Order</t>
        </is>
      </c>
      <c r="D778" s="3">
        <v>45933.69143518519</v>
      </c>
      <c r="E778" s="3">
        <v>45933.745416666665</v>
      </c>
      <c r="F778" t="inlineStr">
        <is>
          <t>Fatima Kathleen M. FLores</t>
        </is>
      </c>
      <c r="G778" t="inlineStr">
        <is>
          <t>Procurement</t>
        </is>
      </c>
      <c r="H778"/>
      <c r="I778"/>
      <c r="J778" t="inlineStr">
        <is>
          <t>Project</t>
        </is>
      </c>
      <c r="K778" t="inlineStr">
        <is>
          <t>GG - Event Service</t>
        </is>
      </c>
      <c r="L778" t="inlineStr">
        <is>
          <t>HOK Philippine Kings League - Fall Season</t>
        </is>
      </c>
      <c r="M778" t="inlineStr">
        <is>
          <t>2025TEG-P0219</t>
        </is>
      </c>
      <c r="N778" t="inlineStr">
        <is>
          <t>Frances Angelita Arreglado</t>
        </is>
      </c>
      <c r="O778" t="inlineStr">
        <is>
          <t>202510030036-Carla Andrea Calma Crespo-费用报销 - 副本 - 副本 - 副本-2025-10-03 04:25:07</t>
        </is>
      </c>
      <c r="P778" t="inlineStr">
        <is>
          <t>NO</t>
        </is>
      </c>
      <c r="Q778"/>
      <c r="R778" t="inlineStr">
        <is>
          <t>YES</t>
        </is>
      </c>
      <c r="S778" t="inlineStr">
        <is>
          <t>Venue Rental, AD Spaces and Incidental Fees (Oct. 7 to 12, 2025)</t>
        </is>
      </c>
      <c r="T778">
        <v>1</v>
      </c>
      <c r="U778">
        <v>2056432</v>
      </c>
      <c r="V778" t="inlineStr">
        <is>
          <t>PHP</t>
        </is>
      </c>
      <c r="W778">
        <v>2056432</v>
      </c>
      <c r="X778" s="2" t="str">
        <f>=HYPERLINK("https://www.larksuite.com/approval/admin/previewAttachment?key=PMgxCgJBDAXQK_2fZOZPvIzNDkGFrYTFJmcXLGzfXMRcgz4TkbQEW2PMJF2iE7YGra0pJUSZ9T7rfrFi7Vd4PY9PnX09jtpvjpQZ5BG-APD2d1dEZM7Az_ENAAD__w", "2 attachment(s)")</f>
        <v>2 attachment(s)</v>
      </c>
      <c r="Y778" t="inlineStr">
        <is>
          <t>Bank Transfer</t>
        </is>
      </c>
      <c r="Z778" t="inlineStr">
        <is>
          <t>NORTH TRIANGLE DEPOT COMMERCIAL CORPORATION</t>
        </is>
      </c>
      <c r="AA778" t="inlineStr">
        <is>
          <t>2591-0055-72</t>
        </is>
      </c>
      <c r="AB778" t="inlineStr">
        <is>
          <t>BPI</t>
        </is>
      </c>
      <c r="AC778" t="inlineStr">
        <is>
          <t>TriNoma Office, EDSA Cor. North Avenue, QC</t>
        </is>
      </c>
      <c r="AD778" s="4">
        <v>45937</v>
      </c>
      <c r="AE778" t="inlineStr">
        <is>
          <t>50% Down Payment upon confirmation
50% Final Payment before end of event</t>
        </is>
      </c>
      <c r="AF778" s="2" t="str">
        <f>=HYPERLINK("https://www.larksuite.com/approval/admin/previewAttachment?key=TMg9CgJBDAXgK72XZPLjZWx2CCpsJSw2ObtgZft5Ep6L6gUrSoETa3mRGkElJBdlZBhRCIbI7LPvF9tyv0z7eXz6nOtx9H7TUx1Wy4wFgLc_J1Gprj_HNwAA__8", "1 attachment(s)")</f>
        <v>1 attachment(s)</v>
      </c>
      <c r="AG778" t="inlineStr">
        <is>
          <t>NzQyNTk5MTgyNzQ4MTg3MDM0MTo3MTcyNDEyRi1DREM0LTQ1ODMtOTBBRS01QkZERTQ2OTVGMjQtMTo4OTNmMGFkZjU4NjIxY2FmMjRlYTE1ZGQzMmVhNWJlZTox</t>
        </is>
      </c>
      <c r="AH778" t="inlineStr">
        <is>
          <t>NORTH TRIANGLE DEPOT COMMERCIAL CORPORATION</t>
        </is>
      </c>
      <c r="AI778"/>
      <c r="AJ778" t="inlineStr">
        <is>
          <t>LIQUIDITY PLAN (PAR # 202508190134 / 2025TEG-P0219)
INTERNAL 0820 COST ESTIMATE &gt; PLAYOFFS &gt;
PLAYOFFS VENUE &gt; Venue Rental Playoffs
Total Budget = Php 1,380,000.00
Actual Cost = Php 2,056,432.00
Balance = (Php 676,432.00) OVER BUDGET</t>
        </is>
      </c>
      <c r="AK778"/>
    </row>
    <row r="779" ht="25.5" customHeight="1">
      <c r="A779" s="2" t="str">
        <f>=HYPERLINK("https://applink.larksuite.com/client/mini_program/open?appId=cli_9c7cc8a9a9edd105&amp;mode=appCenter&amp;path_pc=pc/pages/requested/index?instanceId=7556906145575845920&amp;source=bitable&amp;path=pages/detail/index?instanceId=7556906145575845920&amp;source=bitable", "202510030096")</f>
        <v>202510030096</v>
      </c>
      <c r="B779" t="inlineStr">
        <is>
          <t>Approved</t>
        </is>
      </c>
      <c r="C779" t="inlineStr">
        <is>
          <t>Procurement Order</t>
        </is>
      </c>
      <c r="D779" s="3">
        <v>45933.67733796296</v>
      </c>
      <c r="E779" s="3">
        <v>45933.74302083333</v>
      </c>
      <c r="F779" t="inlineStr">
        <is>
          <t>Fatima Kathleen M. FLores</t>
        </is>
      </c>
      <c r="G779" t="inlineStr">
        <is>
          <t>Procurement</t>
        </is>
      </c>
      <c r="H779"/>
      <c r="I779"/>
      <c r="J779" t="inlineStr">
        <is>
          <t>Project</t>
        </is>
      </c>
      <c r="K779" t="inlineStr">
        <is>
          <t>PDEI - Event Service</t>
        </is>
      </c>
      <c r="L779" t="inlineStr">
        <is>
          <t>Bingo Plus Panalo Caravan</t>
        </is>
      </c>
      <c r="M779" t="inlineStr">
        <is>
          <t>2025TEG-P0216</t>
        </is>
      </c>
      <c r="N779" t="inlineStr">
        <is>
          <t>Ronelle Kylene Chaneco Lim</t>
        </is>
      </c>
      <c r="O779" t="inlineStr">
        <is>
          <t>202510020034-Ronelle Kylene Chaneco Lim-费用报销 - 副本 - 副本 - 副本-2025-10-02 07:00:11</t>
        </is>
      </c>
      <c r="P779" t="inlineStr">
        <is>
          <t>NO</t>
        </is>
      </c>
      <c r="Q779"/>
      <c r="R779" t="inlineStr">
        <is>
          <t>NO</t>
        </is>
      </c>
      <c r="S779" t="inlineStr">
        <is>
          <t>Outsourced Project Execution Team</t>
        </is>
      </c>
      <c r="T779">
        <v>1</v>
      </c>
      <c r="U779">
        <v>3387552</v>
      </c>
      <c r="V779" t="inlineStr">
        <is>
          <t>PHP</t>
        </is>
      </c>
      <c r="W779">
        <v>3387552</v>
      </c>
      <c r="X779" s="2" t="str">
        <f>=HYPERLINK("https://www.larksuite.com/approval/admin/previewAttachment?key=PMgxCgJRDATQK03yJ5kfL2NjWLQQBGG7nF2w2PblNuQOW1lgmRdsFJGFNEYoNqMc42NSQSb36fdxf52f3tEQS-ye8_k4-mtRcocWuTYAu12-RLIqib_jFwAA__8", "2 attachment(s)")</f>
        <v>2 attachment(s)</v>
      </c>
      <c r="Y779" t="inlineStr">
        <is>
          <t>Bank Transfer</t>
        </is>
      </c>
      <c r="Z779" t="inlineStr">
        <is>
          <t>RUMBLE ROYALE COLLECTIVE CORPORATION</t>
        </is>
      </c>
      <c r="AA779" t="inlineStr">
        <is>
          <t>1025-2005-4784</t>
        </is>
      </c>
      <c r="AB779" t="inlineStr">
        <is>
          <t>UNIONBANK</t>
        </is>
      </c>
      <c r="AC779" t="inlineStr">
        <is>
          <t>8 Tropical Drive, Maries Village, Pasong Tamo 2, QC</t>
        </is>
      </c>
      <c r="AD779" s="4">
        <v>45942</v>
      </c>
      <c r="AE779" t="inlineStr">
        <is>
          <t>Php 1M First Payment - Oct. 3, 2025
Balance to be paid in tranches</t>
        </is>
      </c>
      <c r="AF779" s="2"/>
      <c r="AG779" t="inlineStr">
        <is>
          <t>NzQyNTk5MTgyNzQ4MTg3MDM0MTo1NkYzNTU2Qi0wNERCLTREMTAtOTE3My1DQzg3NzFDM0YyQTItMTo2ODk4YzE1NTQ1OTIwZDZlYjFjN2ViN2RhOTQ0OTBkNDox</t>
        </is>
      </c>
      <c r="AH779" t="inlineStr">
        <is>
          <t>RUMBLE ROYALE COLLECTIVE CORPORATION</t>
        </is>
      </c>
      <c r="AI779"/>
      <c r="AJ779" t="inlineStr">
        <is>
          <t>LIQUIDITY PLAN (PAR # 202509300084 / 2025TEG-P0216)
PROCUREMENT COST ESTIMATE TAB &gt; RR Project Execution &gt;
Rows 63 to 100
Total Budget = Php 3,401,500.00
Actual Cost = Php 3,387,552.00
Balance = Php 13,948.00
NOTE: ROW 67 IS TAGGED AS INTERNAL (PHP 15,000.00)</t>
        </is>
      </c>
      <c r="AK779"/>
    </row>
    <row r="780" ht="25.5" customHeight="1">
      <c r="A780" s="2" t="str">
        <f>=HYPERLINK("https://applink.larksuite.com/client/mini_program/open?appId=cli_9c7cc8a9a9edd105&amp;mode=appCenter&amp;path_pc=pc/pages/requested/index?instanceId=7556941519085649952&amp;source=bitable&amp;path=pages/detail/index?instanceId=7556941519085649952&amp;source=bitable", "202510030119")</f>
        <v>202510030119</v>
      </c>
      <c r="B780" t="inlineStr">
        <is>
          <t>Approved</t>
        </is>
      </c>
      <c r="C780" t="inlineStr">
        <is>
          <t>Procurement Order</t>
        </is>
      </c>
      <c r="D780" s="3">
        <v>45933.77266203704</v>
      </c>
      <c r="E780" s="3">
        <v>45944.735127314816</v>
      </c>
      <c r="F780" t="inlineStr">
        <is>
          <t>Fatima Kathleen M. FLores</t>
        </is>
      </c>
      <c r="G780" t="inlineStr">
        <is>
          <t>Procurement</t>
        </is>
      </c>
      <c r="H780"/>
      <c r="I780"/>
      <c r="J780" t="inlineStr">
        <is>
          <t>GAE</t>
        </is>
      </c>
      <c r="K780"/>
      <c r="L780"/>
      <c r="M780"/>
      <c r="N780"/>
      <c r="O780" t="inlineStr">
        <is>
          <t>202510020087-Stephen Alexis Capiral Lin-费用报销 - 副本 - 副本 - 副本-2025-10-02 10:07:49</t>
        </is>
      </c>
      <c r="P780"/>
      <c r="Q780" t="inlineStr">
        <is>
          <t>Sales</t>
        </is>
      </c>
      <c r="R780"/>
      <c r="S780" t="inlineStr">
        <is>
          <t>CALLING CARD / Material: C2S200 (300Gsm) / Lamination: Matte / Print: Two Sides</t>
        </is>
      </c>
      <c r="T780">
        <v>5</v>
      </c>
      <c r="U780">
        <v>537.6</v>
      </c>
      <c r="V780" t="inlineStr">
        <is>
          <t>PHP</t>
        </is>
      </c>
      <c r="W780">
        <v>2688</v>
      </c>
      <c r="X780" s="2" t="str">
        <f>=HYPERLINK("https://www.larksuite.com/approval/admin/previewAttachment?key=PMg9CgIxFATgK828vJ-Ml7FxCeoqCLIBi5xdsLD9shPZgy0FF03gqoiUMyj0SJfCli1WCcUyW9tznF_3Mffj-Dz6bLd9W_N6GduboTJDNffWAfD091buLqXj5_gGAAD__w", "2 attachment(s)")</f>
        <v>2 attachment(s)</v>
      </c>
      <c r="Y780" t="inlineStr">
        <is>
          <t>Bank Transfer</t>
        </is>
      </c>
      <c r="Z780" t="inlineStr">
        <is>
          <t>Bescost Digital Marketing Services Inc</t>
        </is>
      </c>
      <c r="AA780" t="inlineStr">
        <is>
          <t>00000-5674-8951</t>
        </is>
      </c>
      <c r="AB780" t="inlineStr">
        <is>
          <t>Security Bank</t>
        </is>
      </c>
      <c r="AC780" t="inlineStr">
        <is>
          <t>5105-A Sulok St., Brgy. Ugong, Valenzuela City</t>
        </is>
      </c>
      <c r="AD780" s="4">
        <v>45938</v>
      </c>
      <c r="AE780" t="inlineStr">
        <is>
          <t>100% Full Payment - 15 days upon complete delivery</t>
        </is>
      </c>
      <c r="AF780" s="2"/>
      <c r="AG780" t="inlineStr">
        <is>
          <t>NzQyNTk5MTgyNzQ4MTg3MDM0MTo0NzRCQzhBQy1FNUY5LTQyNzUtQTU5RC1DRDNFQjVCRDYzQ0UtMTpkYjExMTYyNjMxY2RkOTQwMDE5MDk2MzRiZWViNzA2NTox</t>
        </is>
      </c>
      <c r="AH780" t="inlineStr">
        <is>
          <t>Bescost Digital Marketing Services Inc</t>
        </is>
      </c>
      <c r="AI780"/>
      <c r="AJ780"/>
      <c r="AK780"/>
    </row>
    <row r="781" ht="25.5" customHeight="1">
      <c r="A781" s="2" t="str">
        <f>=HYPERLINK("https://applink.larksuite.com/client/mini_program/open?appId=cli_9c7cc8a9a9edd105&amp;mode=appCenter&amp;path_pc=pc/pages/requested/index?instanceId=7556506878612619296&amp;source=bitable&amp;path=pages/detail/index?instanceId=7556506878612619296&amp;source=bitable", "202510020030")</f>
        <v>202510020030</v>
      </c>
      <c r="B781" t="inlineStr">
        <is>
          <t>Approved</t>
        </is>
      </c>
      <c r="C781" t="inlineStr">
        <is>
          <t>Procurement Order</t>
        </is>
      </c>
      <c r="D781" s="3">
        <v>45932.60138888889</v>
      </c>
      <c r="E781" s="3">
        <v>45940.45427083333</v>
      </c>
      <c r="F781" t="inlineStr">
        <is>
          <t>Fatima Kathleen M. FLores</t>
        </is>
      </c>
      <c r="G781" t="inlineStr">
        <is>
          <t>Procurement</t>
        </is>
      </c>
      <c r="H781"/>
      <c r="I781"/>
      <c r="J781" t="inlineStr">
        <is>
          <t>Project</t>
        </is>
      </c>
      <c r="K781" t="inlineStr">
        <is>
          <t>PDEI - Event Service</t>
        </is>
      </c>
      <c r="L781" t="inlineStr">
        <is>
          <t>MPL PH S16 - Regular Season</t>
        </is>
      </c>
      <c r="M781" t="inlineStr">
        <is>
          <t>2025TEG-P0214</t>
        </is>
      </c>
      <c r="N781" t="inlineStr">
        <is>
          <t>Katherine Denise Lee Sy</t>
        </is>
      </c>
      <c r="O781" t="inlineStr">
        <is>
          <t>202509300051-Katherine Denise Lee Sy-费用报销 - 副本 - 副本 - 副本-2025-09-30 07:15:53</t>
        </is>
      </c>
      <c r="P781" t="inlineStr">
        <is>
          <t>YES</t>
        </is>
      </c>
      <c r="Q781"/>
      <c r="R781" t="inlineStr">
        <is>
          <t>YES</t>
        </is>
      </c>
      <c r="S781" t="inlineStr">
        <is>
          <t>Outsourced Staging and Onground Designer</t>
        </is>
      </c>
      <c r="T781">
        <v>1</v>
      </c>
      <c r="U781">
        <v>30000</v>
      </c>
      <c r="V781" t="inlineStr">
        <is>
          <t>PHP</t>
        </is>
      </c>
      <c r="W781">
        <v>30000</v>
      </c>
      <c r="X781" s="2" t="str">
        <f>=HYPERLINK("https://www.larksuite.com/approval/admin/previewAttachment?key=PMhBqgJBDATQK1Wl00nqX-ZvHAZlHBgQGjc5u-DC7YsioiZHCC6awM45YyIqK2hBmaKtmSkk06y3c__H8OPAY11vret89rrf9u3FqTRDDvdRAPj385HuLoXj6_gEAAD__w", "2 attachment(s)")</f>
        <v>2 attachment(s)</v>
      </c>
      <c r="Y781" t="inlineStr">
        <is>
          <t>Bank Transfer</t>
        </is>
      </c>
      <c r="Z781" t="inlineStr">
        <is>
          <t>Ezzard Slim Eguia</t>
        </is>
      </c>
      <c r="AA781" t="inlineStr">
        <is>
          <t>6196 2357 26</t>
        </is>
      </c>
      <c r="AB781" t="inlineStr">
        <is>
          <t>BPI</t>
        </is>
      </c>
      <c r="AC781" t="inlineStr">
        <is>
          <t>34 Ambuklao St NPC Village, Pasong Tamo, QC</t>
        </is>
      </c>
      <c r="AD781" s="4">
        <v>45850</v>
      </c>
      <c r="AE781" t="inlineStr">
        <is>
          <t>100% Full Payment - Oct. 10, 2025</t>
        </is>
      </c>
      <c r="AF781" s="2"/>
      <c r="AG781" t="inlineStr">
        <is>
          <t>NzQyNTk5MTgyNzQ4MTg3MDM0MTowNDNDODFBQS00NDNGLTQ2ODgtOTBBOC0xMzRBMjQ4REUxNEEtMTpjNjU2ZGYxYjc1MzY4MTI4ZDNjNTBiOGFmNGQwMjQ5Mjox</t>
        </is>
      </c>
      <c r="AH781" t="inlineStr">
        <is>
          <t>Ezzard Slim Eguia</t>
        </is>
      </c>
      <c r="AI781"/>
      <c r="AJ781" t="inlineStr">
        <is>
          <t>LIQUIDITY PLAN (PAR # 202509020093 / 2025TEG-P0214)
REGULAR SEASON CE TAB &gt; 4.5 Special FX and Design (Creatives) &gt;
CREATIVES (REGULAR SEASON) &gt;
Rows 200 to 210
Total Remaining Budget = Php 500.00
Actual Cost = Php 30,000.00
Balance = (Php 29,500.00) OVER BUDGET</t>
        </is>
      </c>
      <c r="AK781"/>
    </row>
    <row r="782" ht="25.5" customHeight="1">
      <c r="A782" s="2" t="str">
        <f>=HYPERLINK("https://applink.larksuite.com/client/mini_program/open?appId=cli_9c7cc8a9a9edd105&amp;mode=appCenter&amp;path_pc=pc/pages/requested/index?instanceId=7557950488465932319&amp;source=bitable&amp;path=pages/detail/index?instanceId=7557950488465932319&amp;source=bitable", "202510060017")</f>
        <v>202510060017</v>
      </c>
      <c r="B782" t="inlineStr">
        <is>
          <t>Approved</t>
        </is>
      </c>
      <c r="C782" t="inlineStr">
        <is>
          <t>Procurement Order</t>
        </is>
      </c>
      <c r="D782" s="3">
        <v>45936.491631944446</v>
      </c>
      <c r="E782" s="3">
        <v>45936.60188657408</v>
      </c>
      <c r="F782" t="inlineStr">
        <is>
          <t>Fatima Kathleen M. FLores</t>
        </is>
      </c>
      <c r="G782" t="inlineStr">
        <is>
          <t>Procurement</t>
        </is>
      </c>
      <c r="H782"/>
      <c r="I782"/>
      <c r="J782" t="inlineStr">
        <is>
          <t>Project</t>
        </is>
      </c>
      <c r="K782" t="inlineStr">
        <is>
          <t>GG - Event Service</t>
        </is>
      </c>
      <c r="L782" t="inlineStr">
        <is>
          <t>HOK Philippine Kings League - Fall Season</t>
        </is>
      </c>
      <c r="M782" t="inlineStr">
        <is>
          <t>2025TEG-P0219</t>
        </is>
      </c>
      <c r="N782" t="inlineStr">
        <is>
          <t>Raffy/Paeng</t>
        </is>
      </c>
      <c r="O782" t="inlineStr">
        <is>
          <t>202510060013-Raffy/Paeng-费用报销 - 副本 - 副本 - 副本-2025-10-06 03:33:46</t>
        </is>
      </c>
      <c r="P782" t="inlineStr">
        <is>
          <t>YES</t>
        </is>
      </c>
      <c r="Q782"/>
      <c r="R782" t="inlineStr">
        <is>
          <t>YES</t>
        </is>
      </c>
      <c r="S782" t="inlineStr">
        <is>
          <t>Outsourced Electrical Engineer</t>
        </is>
      </c>
      <c r="T782">
        <v>1</v>
      </c>
      <c r="U782">
        <v>52000</v>
      </c>
      <c r="V782" t="inlineStr">
        <is>
          <t>PHP</t>
        </is>
      </c>
      <c r="W782">
        <v>52000</v>
      </c>
      <c r="X782" s="2" t="str">
        <f>=HYPERLINK("https://www.larksuite.com/approval/admin/previewAttachment?key=PMgxDsJQDAPQK9mJ8_PNZVhaVSxMCArDPzsSA-sbkxizmMOQGQZXV7ULmlOjnJH0isVuo9kRa78f1-fn4Ps8qc1WaL1u27E_WO4IdEo5AfDy92xJ9hB-jm8AAAD__w", "2 attachment(s)")</f>
        <v>2 attachment(s)</v>
      </c>
      <c r="Y782" t="inlineStr">
        <is>
          <t>Bank Transfer</t>
        </is>
      </c>
      <c r="Z782" t="inlineStr">
        <is>
          <t>John Kennedy Cunanan</t>
        </is>
      </c>
      <c r="AA782" t="inlineStr">
        <is>
          <t>0673908624468</t>
        </is>
      </c>
      <c r="AB782" t="inlineStr">
        <is>
          <t>Metrobank</t>
        </is>
      </c>
      <c r="AC782" t="inlineStr">
        <is>
          <t>1901 M int4 Zamora st. Pandacan Manila</t>
        </is>
      </c>
      <c r="AD782" s="4">
        <v>45934</v>
      </c>
      <c r="AE782" t="inlineStr">
        <is>
          <t>100% Full Payment</t>
        </is>
      </c>
      <c r="AF782" s="2"/>
      <c r="AG782" t="inlineStr">
        <is>
          <t>NzQyNTk5MTgyNzQ4MTg3MDM0MTo1MjA0RDNCOC00OTVCLTRBRDgtQjQ2Mi0wRUI0MUNERjA0NzItMTo3MGQ5ZGFjNDAzYmQ5MWYzMGFkZmY5NGVhOGI1ZWE5Zjox</t>
        </is>
      </c>
      <c r="AH782" t="inlineStr">
        <is>
          <t>John Kennedy Cunanan</t>
        </is>
      </c>
      <c r="AI782"/>
      <c r="AJ782" t="inlineStr">
        <is>
          <t>LIQUIDITY PLAN (PAR # 202508110059 / 2025TEG-P0236)
FINAL 911 - CE INTERNAL &gt; MANPOWER &gt;
LOGISTICS &gt; Electrical Engineer
Total Budget = Php 15,000.00
Actual Cost = Php 52,000.00
Balance = (Php 37,000.00) OVER BUDGET</t>
        </is>
      </c>
      <c r="AK782"/>
    </row>
    <row r="783" ht="25.5" customHeight="1">
      <c r="A783" s="2" t="str">
        <f>=HYPERLINK("https://applink.larksuite.com/client/mini_program/open?appId=cli_9c7cc8a9a9edd105&amp;mode=appCenter&amp;path_pc=pc/pages/requested/index?instanceId=7558001480913928230&amp;source=bitable&amp;path=pages/detail/index?instanceId=7558001480913928230&amp;source=bitable", "202510060064")</f>
        <v>202510060064</v>
      </c>
      <c r="B783" t="inlineStr">
        <is>
          <t>Approved</t>
        </is>
      </c>
      <c r="C783" t="inlineStr">
        <is>
          <t>Procurement Order</t>
        </is>
      </c>
      <c r="D783" s="3">
        <v>45936.62903935185</v>
      </c>
      <c r="E783" s="3">
        <v>45938.58928240741</v>
      </c>
      <c r="F783" t="inlineStr">
        <is>
          <t>Fatima Kathleen M. FLores</t>
        </is>
      </c>
      <c r="G783" t="inlineStr">
        <is>
          <t>Procurement</t>
        </is>
      </c>
      <c r="H783"/>
      <c r="I783"/>
      <c r="J783" t="inlineStr">
        <is>
          <t>Project</t>
        </is>
      </c>
      <c r="K783" t="inlineStr">
        <is>
          <t>GG - Event Service</t>
        </is>
      </c>
      <c r="L783" t="inlineStr">
        <is>
          <t>HOK Philippine Kings League - Fall Season</t>
        </is>
      </c>
      <c r="M783" t="inlineStr">
        <is>
          <t>2025TEG-P0219</t>
        </is>
      </c>
      <c r="N783" t="inlineStr">
        <is>
          <t>Carla Andrea Calma Crespo</t>
        </is>
      </c>
      <c r="O783" t="inlineStr">
        <is>
          <t>202509280008-Reign Santos Fortea-费用报销 - 副本 - 副本 - 副本-2025-09-28 08:19:20</t>
        </is>
      </c>
      <c r="P783" t="inlineStr">
        <is>
          <t>NO</t>
        </is>
      </c>
      <c r="Q783"/>
      <c r="R783" t="inlineStr">
        <is>
          <t>YES</t>
        </is>
      </c>
      <c r="S783" t="inlineStr">
        <is>
          <t>Confetti Blizzard (Confetti - Loose Metallic Gold)</t>
        </is>
      </c>
      <c r="T783">
        <v>1</v>
      </c>
      <c r="U783">
        <v>8000</v>
      </c>
      <c r="V783" t="inlineStr">
        <is>
          <t>PHP</t>
        </is>
      </c>
      <c r="W783">
        <v>8000</v>
      </c>
      <c r="X783" s="2"/>
      <c r="Y783" t="inlineStr">
        <is>
          <t>Bank Transfer</t>
        </is>
      </c>
      <c r="Z783" t="inlineStr">
        <is>
          <t>Confetti Effects, Inc.</t>
        </is>
      </c>
      <c r="AA783" t="inlineStr">
        <is>
          <t>3221-0180-78</t>
        </is>
      </c>
      <c r="AB783" t="inlineStr">
        <is>
          <t>BPI</t>
        </is>
      </c>
      <c r="AC783" t="inlineStr">
        <is>
          <t>2550 New Panaderos St., Brgy. 885 Zone 097, Sta. Ana, Manila</t>
        </is>
      </c>
      <c r="AD783" s="4">
        <v>45942</v>
      </c>
      <c r="AE783" t="inlineStr">
        <is>
          <t>50% Down Payment upon confirmation
50% Balance after completion of services</t>
        </is>
      </c>
      <c r="AF783" s="2"/>
      <c r="AG783" t="inlineStr">
        <is>
          <t>NzQyNTk5MTgyNzQ4MTg3MDM0MTo2RjJCOEYxNy00NzY2LTRGOTMtQjYxMS1GNDEzQkZFMkJFNTUtMTozZTUwY2I4MWUyNDIyYTZjZTgxNDJkNWU0MWM4ZDI4Zjox</t>
        </is>
      </c>
      <c r="AH783" t="inlineStr">
        <is>
          <t>Confetti Effects, Inc.</t>
        </is>
      </c>
      <c r="AI783"/>
      <c r="AJ783" t="inlineStr">
        <is>
          <t>LIQUIDITY PLAN (PAR # 202508190134 / 2025TEG-P0219)
INTERNAL 0820 COST ESTIMATE &gt; PLAYOFFS &gt;
AWARDING &gt;
Cryo
Confetti
Total Budget = Php 27,000.00
Actual Cost = Php 29,780.00
Balance = (Php 2,780.00) OVER BUDGET</t>
        </is>
      </c>
      <c r="AK783"/>
    </row>
    <row r="784" ht="25.5" customHeight="1">
      <c r="A784" s="2" t="str">
        <f>=HYPERLINK("https://applink.larksuite.com/client/mini_program/open?appId=cli_9c7cc8a9a9edd105&amp;mode=appCenter&amp;path_pc=pc/pages/requested/index?instanceId=7558001480913928230&amp;source=bitable&amp;path=pages/detail/index?instanceId=7558001480913928230&amp;source=bitable", "202510060064")</f>
        <v>202510060064</v>
      </c>
      <c r="B784" t="inlineStr">
        <is>
          <t>Approved</t>
        </is>
      </c>
      <c r="C784" t="inlineStr">
        <is>
          <t>Procurement Order</t>
        </is>
      </c>
      <c r="D784" s="3">
        <v>45936.62903935185</v>
      </c>
      <c r="E784" s="3">
        <v>45938.58928240741</v>
      </c>
      <c r="F784" t="inlineStr">
        <is>
          <t>Fatima Kathleen M. FLores</t>
        </is>
      </c>
      <c r="G784" t="inlineStr">
        <is>
          <t>Procurement</t>
        </is>
      </c>
      <c r="H784"/>
      <c r="I784"/>
      <c r="J784" t="inlineStr">
        <is>
          <t>Project</t>
        </is>
      </c>
      <c r="K784" t="inlineStr">
        <is>
          <t>GG - Event Service</t>
        </is>
      </c>
      <c r="L784" t="inlineStr">
        <is>
          <t>HOK Philippine Kings League - Fall Season</t>
        </is>
      </c>
      <c r="M784" t="inlineStr">
        <is>
          <t>2025TEG-P0219</t>
        </is>
      </c>
      <c r="N784" t="inlineStr">
        <is>
          <t>Carla Andrea Calma Crespo</t>
        </is>
      </c>
      <c r="O784" t="inlineStr">
        <is>
          <t>202509280008-Reign Santos Fortea-费用报销 - 副本 - 副本 - 副本-2025-09-28 08:19:20</t>
        </is>
      </c>
      <c r="P784" t="inlineStr">
        <is>
          <t>NO</t>
        </is>
      </c>
      <c r="Q784"/>
      <c r="R784" t="inlineStr">
        <is>
          <t>YES</t>
        </is>
      </c>
      <c r="S784" t="inlineStr">
        <is>
          <t>Cryo Jets Floor Mount (CO2 - 50lbs)</t>
        </is>
      </c>
      <c r="T784">
        <v>4</v>
      </c>
      <c r="U784">
        <v>4800</v>
      </c>
      <c r="V784" t="inlineStr">
        <is>
          <t>PHP</t>
        </is>
      </c>
      <c r="W784">
        <v>19200</v>
      </c>
      <c r="X784" s="2"/>
      <c r="Y784"/>
      <c r="Z784"/>
      <c r="AA784"/>
      <c r="AB784"/>
      <c r="AC784"/>
      <c r="AD784" s="4"/>
      <c r="AE784"/>
      <c r="AF784" s="2"/>
      <c r="AG784" t="inlineStr">
        <is>
          <t>NzQyNTk5MTgyNzQ4MTg3MDM0MTo2RjJCOEYxNy00NzY2LTRGOTMtQjYxMS1GNDEzQkZFMkJFNTUtMjpmNjcwMDliNTI5ZGFlNTA0NDM2NzkyMTdiZWViODczOTox</t>
        </is>
      </c>
      <c r="AH784"/>
      <c r="AI784"/>
      <c r="AJ784" t="inlineStr">
        <is>
          <t>LIQUIDITY PLAN (PAR # 202508190134 / 2025TEG-P0219)
INTERNAL 0820 COST ESTIMATE &gt; PLAYOFFS &gt;
AWARDING &gt;
Cryo
Confetti
Total Budget = Php 27,000.00
Actual Cost = Php 29,780.00
Balance = (Php 2,780.00) OVER BUDGET</t>
        </is>
      </c>
      <c r="AK784"/>
    </row>
    <row r="785" ht="25.5" customHeight="1">
      <c r="A785" s="2" t="str">
        <f>=HYPERLINK("https://applink.larksuite.com/client/mini_program/open?appId=cli_9c7cc8a9a9edd105&amp;mode=appCenter&amp;path_pc=pc/pages/requested/index?instanceId=7558001480913928230&amp;source=bitable&amp;path=pages/detail/index?instanceId=7558001480913928230&amp;source=bitable", "202510060064")</f>
        <v>202510060064</v>
      </c>
      <c r="B785" t="inlineStr">
        <is>
          <t>Approved</t>
        </is>
      </c>
      <c r="C785" t="inlineStr">
        <is>
          <t>Procurement Order</t>
        </is>
      </c>
      <c r="D785" s="3">
        <v>45936.62903935185</v>
      </c>
      <c r="E785" s="3">
        <v>45938.58928240741</v>
      </c>
      <c r="F785" t="inlineStr">
        <is>
          <t>Fatima Kathleen M. FLores</t>
        </is>
      </c>
      <c r="G785" t="inlineStr">
        <is>
          <t>Procurement</t>
        </is>
      </c>
      <c r="H785"/>
      <c r="I785"/>
      <c r="J785" t="inlineStr">
        <is>
          <t>Project</t>
        </is>
      </c>
      <c r="K785" t="inlineStr">
        <is>
          <t>GG - Event Service</t>
        </is>
      </c>
      <c r="L785" t="inlineStr">
        <is>
          <t>HOK Philippine Kings League - Fall Season</t>
        </is>
      </c>
      <c r="M785" t="inlineStr">
        <is>
          <t>2025TEG-P0219</t>
        </is>
      </c>
      <c r="N785" t="inlineStr">
        <is>
          <t>Carla Andrea Calma Crespo</t>
        </is>
      </c>
      <c r="O785" t="inlineStr">
        <is>
          <t>202509280008-Reign Santos Fortea-费用报销 - 副本 - 副本 - 副本-2025-09-28 08:19:20</t>
        </is>
      </c>
      <c r="P785" t="inlineStr">
        <is>
          <t>NO</t>
        </is>
      </c>
      <c r="Q785"/>
      <c r="R785" t="inlineStr">
        <is>
          <t>YES</t>
        </is>
      </c>
      <c r="S785" t="inlineStr">
        <is>
          <t>Delivery and Installation</t>
        </is>
      </c>
      <c r="T785">
        <v>1</v>
      </c>
      <c r="U785">
        <v>2580</v>
      </c>
      <c r="V785" t="inlineStr">
        <is>
          <t>PHP</t>
        </is>
      </c>
      <c r="W785">
        <v>2580</v>
      </c>
      <c r="X785" s="2" t="str">
        <f>=HYPERLINK("https://www.larksuite.com/approval/admin/previewAttachment?key=PMhBqgJBDATQK1Uq6U7qX-ZvHAYZpkUQZ5ezCy7cvlmGWcN8CiGjYJ1jFGBRkLlYdDTbMoW0JHtb-z-v91hHnQs6Huezr_tt3142lCTSI7wA2N_PPSNCmoGv8xMAAP__", "2 attachment(s)")</f>
        <v>2 attachment(s)</v>
      </c>
      <c r="Y785"/>
      <c r="Z785"/>
      <c r="AA785"/>
      <c r="AB785"/>
      <c r="AC785"/>
      <c r="AD785" s="4"/>
      <c r="AE785"/>
      <c r="AF785" s="2"/>
      <c r="AG785" t="inlineStr">
        <is>
          <t>NzQyNTk5MTgyNzQ4MTg3MDM0MTo2RjJCOEYxNy00NzY2LTRGOTMtQjYxMS1GNDEzQkZFMkJFNTUtMzoyMzMxMzU3NTYxMmNlYWU0YjdiNjRmNTdmZDBkY2MwMzox</t>
        </is>
      </c>
      <c r="AH785"/>
      <c r="AI785"/>
      <c r="AJ785" t="inlineStr">
        <is>
          <t>LIQUIDITY PLAN (PAR # 202508190134 / 2025TEG-P0219)
INTERNAL 0820 COST ESTIMATE &gt; PLAYOFFS &gt;
AWARDING &gt;
Cryo
Confetti
Total Budget = Php 27,000.00
Actual Cost = Php 29,780.00
Balance = (Php 2,780.00) OVER BUDGET</t>
        </is>
      </c>
      <c r="AK785"/>
    </row>
    <row r="786" ht="25.5" customHeight="1">
      <c r="A786" s="2" t="str">
        <f>=HYPERLINK("https://applink.larksuite.com/client/mini_program/open?appId=cli_9c7cc8a9a9edd105&amp;mode=appCenter&amp;path_pc=pc/pages/requested/index?instanceId=7558037372638658598&amp;source=bitable&amp;path=pages/detail/index?instanceId=7558037372638658598&amp;source=bitable", "202510060107")</f>
        <v>202510060107</v>
      </c>
      <c r="B786" t="inlineStr">
        <is>
          <t>Approved</t>
        </is>
      </c>
      <c r="C786" t="inlineStr">
        <is>
          <t>Procurement Order</t>
        </is>
      </c>
      <c r="D786" s="3">
        <v>45936.72576388889</v>
      </c>
      <c r="E786" s="3">
        <v>45938.59924768518</v>
      </c>
      <c r="F786" t="inlineStr">
        <is>
          <t>Fatima Kathleen M. FLores</t>
        </is>
      </c>
      <c r="G786" t="inlineStr">
        <is>
          <t>Procurement</t>
        </is>
      </c>
      <c r="H786"/>
      <c r="I786"/>
      <c r="J786" t="inlineStr">
        <is>
          <t>Project</t>
        </is>
      </c>
      <c r="K786" t="inlineStr">
        <is>
          <t>PDEI - Game Marketing</t>
        </is>
      </c>
      <c r="L786" t="inlineStr">
        <is>
          <t>SMDC Heroes Clash Community Arena Tournament Year 3</t>
        </is>
      </c>
      <c r="M786" t="inlineStr">
        <is>
          <t>2025TEG-P0247</t>
        </is>
      </c>
      <c r="N786" t="inlineStr">
        <is>
          <t>Clifford Markus Ortiz Martinez</t>
        </is>
      </c>
      <c r="O786" t="inlineStr">
        <is>
          <t>202509280003-Clifford Markus Ortiz Martinez-费用报销 - 副本 - 副本 - 副本-2025-09-28 00:55:19</t>
        </is>
      </c>
      <c r="P786" t="inlineStr">
        <is>
          <t>YES</t>
        </is>
      </c>
      <c r="Q786"/>
      <c r="R786" t="inlineStr">
        <is>
          <t>NO</t>
        </is>
      </c>
      <c r="S786" t="inlineStr">
        <is>
          <t>Outsourced Logistics Associate</t>
        </is>
      </c>
      <c r="T786">
        <v>1</v>
      </c>
      <c r="U786">
        <v>9000</v>
      </c>
      <c r="V786" t="inlineStr">
        <is>
          <t>PHP</t>
        </is>
      </c>
      <c r="W786">
        <v>9000</v>
      </c>
      <c r="X786" s="2" t="str">
        <f>=HYPERLINK("https://www.larksuite.com/approval/admin/previewAttachment?key=PMg7CsJgEATgK80-Z9fL2Bh-xKiNELDYswsWab8sQVaIZcNbtCHDiILRqGmVUdE1OkI2KFSd7bWu32O9n-uB2q2F-xz329o-Ek1V0NytAMjldKO7d6fj7_gFAAD__w", "2 attachment(s)")</f>
        <v>2 attachment(s)</v>
      </c>
      <c r="Y786" t="inlineStr">
        <is>
          <t>Bank Transfer</t>
        </is>
      </c>
      <c r="Z786" t="inlineStr">
        <is>
          <t>Nordan Burabo</t>
        </is>
      </c>
      <c r="AA786" t="inlineStr">
        <is>
          <t>09636201512</t>
        </is>
      </c>
      <c r="AB786" t="inlineStr">
        <is>
          <t>GCash</t>
        </is>
      </c>
      <c r="AC786" t="inlineStr">
        <is>
          <t>Blk 1 Lot 23 Agoncillo St. Sta Lucia Novaliches, QC</t>
        </is>
      </c>
      <c r="AD786" s="4">
        <v>45934</v>
      </c>
      <c r="AE786" t="inlineStr">
        <is>
          <t>100% Full Payment - Oct. 31, 2025</t>
        </is>
      </c>
      <c r="AF786" s="2"/>
      <c r="AG786" t="inlineStr">
        <is>
          <t>NzQyNTk5MTgyNzQ4MTg3MDM0MTo5NjA4QTNBRC0xMEE4LTRENkQtOUJCNS01NzQ4MjQyRTExM0EtMTozNTE1NDRhOWI5ZWQzNjllOWI4MjExMTE1MDhkMmZkNDox</t>
        </is>
      </c>
      <c r="AH786" t="inlineStr">
        <is>
          <t>Nordan Burabo</t>
        </is>
      </c>
      <c r="AI786"/>
      <c r="AJ786" t="inlineStr">
        <is>
          <t>LIQUIDITY PLAN (PAR # 202509190067 / 2025TEG-P0247)
PROJECT PLANNING &gt; Ingress Manpower
Total Budget = Php 10,800.00
Actual Cost = Php 9,000.00
Balance = Php 1,800.00</t>
        </is>
      </c>
      <c r="AK786"/>
    </row>
    <row r="787" ht="25.5" customHeight="1">
      <c r="A787" s="2" t="str">
        <f>=HYPERLINK("https://applink.larksuite.com/client/mini_program/open?appId=cli_9c7cc8a9a9edd105&amp;mode=appCenter&amp;path_pc=pc/pages/requested/index?instanceId=7558035923259162662&amp;source=bitable&amp;path=pages/detail/index?instanceId=7558035923259162662&amp;source=bitable", "202510060104")</f>
        <v>202510060104</v>
      </c>
      <c r="B787" t="inlineStr">
        <is>
          <t>Approved</t>
        </is>
      </c>
      <c r="C787" t="inlineStr">
        <is>
          <t>Procurement Order</t>
        </is>
      </c>
      <c r="D787" s="3">
        <v>45936.72185185185</v>
      </c>
      <c r="E787" s="3">
        <v>45938.59804398148</v>
      </c>
      <c r="F787" t="inlineStr">
        <is>
          <t>Fatima Kathleen M. FLores</t>
        </is>
      </c>
      <c r="G787" t="inlineStr">
        <is>
          <t>Procurement</t>
        </is>
      </c>
      <c r="H787"/>
      <c r="I787"/>
      <c r="J787" t="inlineStr">
        <is>
          <t>Project</t>
        </is>
      </c>
      <c r="K787" t="inlineStr">
        <is>
          <t>PDEI - Game Marketing</t>
        </is>
      </c>
      <c r="L787" t="inlineStr">
        <is>
          <t>SMDC Heroes Clash Community Arena Tournament Year 3</t>
        </is>
      </c>
      <c r="M787" t="inlineStr">
        <is>
          <t>2025TEG-P0247</t>
        </is>
      </c>
      <c r="N787" t="inlineStr">
        <is>
          <t>Clifford Markus Ortiz Martinez</t>
        </is>
      </c>
      <c r="O787" t="inlineStr">
        <is>
          <t>202509280002-Clifford Markus Ortiz Martinez-费用报销 - 副本 - 副本 - 副本-2025-09-28 00:50:22</t>
        </is>
      </c>
      <c r="P787" t="inlineStr">
        <is>
          <t>YES</t>
        </is>
      </c>
      <c r="Q787"/>
      <c r="R787" t="inlineStr">
        <is>
          <t>NO</t>
        </is>
      </c>
      <c r="S787" t="inlineStr">
        <is>
          <t>Outsourced League Operations Associate</t>
        </is>
      </c>
      <c r="T787">
        <v>1</v>
      </c>
      <c r="U787">
        <v>4500</v>
      </c>
      <c r="V787" t="inlineStr">
        <is>
          <t>PHP</t>
        </is>
      </c>
      <c r="W787">
        <v>4500</v>
      </c>
      <c r="X787" s="2" t="str">
        <f>=HYPERLINK("https://www.larksuite.com/approval/admin/previewAttachment?key=PMg7CgJBEATQK1VX_72MyS6DKIogTNZnFwxMX5QgykWjYS1syKR7Qb2p9JZgBIcjmY2UJOd8rmvZft1rv5cclvqYfTvW-RHvJJFqpgVALn_XNLPuMPwc3wAAAP__", "2 attachment(s)")</f>
        <v>2 attachment(s)</v>
      </c>
      <c r="Y787" t="inlineStr">
        <is>
          <t>Bank Transfer</t>
        </is>
      </c>
      <c r="Z787" t="inlineStr">
        <is>
          <t>John Lester Galimba</t>
        </is>
      </c>
      <c r="AA787" t="inlineStr">
        <is>
          <t>09455705210</t>
        </is>
      </c>
      <c r="AB787" t="inlineStr">
        <is>
          <t>GCash</t>
        </is>
      </c>
      <c r="AC787" t="inlineStr">
        <is>
          <t>2nd Ave. Antipas Comp. Mayondon, Los Baños, Laguna</t>
        </is>
      </c>
      <c r="AD787" s="4">
        <v>45934</v>
      </c>
      <c r="AE787" t="inlineStr">
        <is>
          <t>100% Full Payment - Oct. 31, 2025</t>
        </is>
      </c>
      <c r="AF787" s="2"/>
      <c r="AG787" t="inlineStr">
        <is>
          <t>NzQyNTk5MTgyNzQ4MTg3MDM0MToyNTg4RTAzQS01MDkzLTQ0MzQtOUNGNS02NzdERDk0QzYwRDktMTo5ZjNhZTU5MmM0MDg2MGVkM2Y3MmFlNDE4Mjg0MTQ3MTox</t>
        </is>
      </c>
      <c r="AH787" t="inlineStr">
        <is>
          <t>John Lester Galimba</t>
        </is>
      </c>
      <c r="AI787"/>
      <c r="AJ787" t="inlineStr">
        <is>
          <t>LIQUIDITY PLAN (PAR # 202509190067 / 2025TEG-P0247)
PROJECT PLANNING &gt; LOps Associate
Total Budget = Php 5,400.00
Actual Cost = Php 4,500.00
Balance = Php 900.00</t>
        </is>
      </c>
      <c r="AK787"/>
    </row>
    <row r="788" ht="25.5" customHeight="1">
      <c r="A788" s="2" t="str">
        <f>=HYPERLINK("https://applink.larksuite.com/client/mini_program/open?appId=cli_9c7cc8a9a9edd105&amp;mode=appCenter&amp;path_pc=pc/pages/requested/index?instanceId=7558033523882393638&amp;source=bitable&amp;path=pages/detail/index?instanceId=7558033523882393638&amp;source=bitable", "202510060095")</f>
        <v>202510060095</v>
      </c>
      <c r="B788" t="inlineStr">
        <is>
          <t>Approved</t>
        </is>
      </c>
      <c r="C788" t="inlineStr">
        <is>
          <t>Procurement Order</t>
        </is>
      </c>
      <c r="D788" s="3">
        <v>45936.71539351852</v>
      </c>
      <c r="E788" s="3">
        <v>45938.597604166665</v>
      </c>
      <c r="F788" t="inlineStr">
        <is>
          <t>Fatima Kathleen M. FLores</t>
        </is>
      </c>
      <c r="G788" t="inlineStr">
        <is>
          <t>Procurement</t>
        </is>
      </c>
      <c r="H788"/>
      <c r="I788"/>
      <c r="J788" t="inlineStr">
        <is>
          <t>Project</t>
        </is>
      </c>
      <c r="K788" t="inlineStr">
        <is>
          <t>PDEI - Game Marketing</t>
        </is>
      </c>
      <c r="L788" t="inlineStr">
        <is>
          <t>SMDC Heroes Clash Community Arena Tournament Year 3</t>
        </is>
      </c>
      <c r="M788" t="inlineStr">
        <is>
          <t>2025TEG-P0247</t>
        </is>
      </c>
      <c r="N788" t="inlineStr">
        <is>
          <t>Clifford Markus Ortiz Martinez</t>
        </is>
      </c>
      <c r="O788" t="inlineStr">
        <is>
          <t>202509280001-Clifford Markus Ortiz Martinez-费用报销 - 副本 - 副本 - 副本-2025-09-28 00:48:04</t>
        </is>
      </c>
      <c r="P788" t="inlineStr">
        <is>
          <t>YES</t>
        </is>
      </c>
      <c r="Q788"/>
      <c r="R788" t="inlineStr">
        <is>
          <t>NO</t>
        </is>
      </c>
      <c r="S788" t="inlineStr">
        <is>
          <t>Outsourced Head of LOps</t>
        </is>
      </c>
      <c r="T788">
        <v>1</v>
      </c>
      <c r="U788">
        <v>6000</v>
      </c>
      <c r="V788" t="inlineStr">
        <is>
          <t>PHP</t>
        </is>
      </c>
      <c r="W788">
        <v>6000</v>
      </c>
      <c r="X788" s="2" t="str">
        <f>=HYPERLINK("https://www.larksuite.com/approval/admin/previewAttachment?key=PMgxDsIwDAXQK_3v78Q2l2FpFSEgE6JSh5wdiaHr60n0bFQveNEKXNFaQmqmTFOpK5ctRhSCYbb2Oe4Hhz-_8zzj9Z4b1_HYxv5hqzBDyF0JgLfLFe5e1R1_xy8AAP__", "2 attachment(s)")</f>
        <v>2 attachment(s)</v>
      </c>
      <c r="Y788" t="inlineStr">
        <is>
          <t>Bank Transfer</t>
        </is>
      </c>
      <c r="Z788" t="inlineStr">
        <is>
          <t>Shawn Pierce Canlas</t>
        </is>
      </c>
      <c r="AA788" t="inlineStr">
        <is>
          <t>227 322 788 7541</t>
        </is>
      </c>
      <c r="AB788" t="inlineStr">
        <is>
          <t>Metrobank</t>
        </is>
      </c>
      <c r="AC788" t="inlineStr">
        <is>
          <t>Aston Residences, Dominga St. Pasay City</t>
        </is>
      </c>
      <c r="AD788" s="4">
        <v>45934</v>
      </c>
      <c r="AE788" t="inlineStr">
        <is>
          <t>1st Payment - Oct. 17, 2025
Final Payment - Oct. 31, 2025</t>
        </is>
      </c>
      <c r="AF788" s="2"/>
      <c r="AG788" t="inlineStr">
        <is>
          <t>NzQyNTk5MTgyNzQ4MTg3MDM0MTpERTUwRUY4RC0xRjU4LTQ5RDktOUM1OS1DRDhDNEI1NzM0NzQtMToxOWU4ODY2YWFlYjE3M2RhMWFlYjRlOThiY2JhOTRiYjox</t>
        </is>
      </c>
      <c r="AH788" t="inlineStr">
        <is>
          <t>Shawn Pierce Canlas</t>
        </is>
      </c>
      <c r="AI788"/>
      <c r="AJ788" t="inlineStr">
        <is>
          <t>LIQUIDITY PLAN (PAR # 202509190067 / 2025TEG-P0247)
PROJECT PLANNING &gt; LOps Manager (includes Tournament Set-up and Management)
Total Budget = Php 15,000.00
Actual Cost = Php 6,000.00
Balance = Php 9,000.00</t>
        </is>
      </c>
      <c r="AK788"/>
    </row>
    <row r="789" ht="25.5" customHeight="1">
      <c r="A789" s="2" t="str">
        <f>=HYPERLINK("https://applink.larksuite.com/client/mini_program/open?appId=cli_9c7cc8a9a9edd105&amp;mode=appCenter&amp;path_pc=pc/pages/requested/index?instanceId=7558031303740784679&amp;source=bitable&amp;path=pages/detail/index?instanceId=7558031303740784679&amp;source=bitable", "202510060088")</f>
        <v>202510060088</v>
      </c>
      <c r="B789" t="inlineStr">
        <is>
          <t>Approved</t>
        </is>
      </c>
      <c r="C789" t="inlineStr">
        <is>
          <t>Procurement Order</t>
        </is>
      </c>
      <c r="D789" s="3">
        <v>45936.70940972222</v>
      </c>
      <c r="E789" s="3">
        <v>45938.59701388889</v>
      </c>
      <c r="F789" t="inlineStr">
        <is>
          <t>Fatima Kathleen M. FLores</t>
        </is>
      </c>
      <c r="G789" t="inlineStr">
        <is>
          <t>Procurement</t>
        </is>
      </c>
      <c r="H789"/>
      <c r="I789"/>
      <c r="J789" t="inlineStr">
        <is>
          <t>Project</t>
        </is>
      </c>
      <c r="K789" t="inlineStr">
        <is>
          <t>PDEI - Game Marketing</t>
        </is>
      </c>
      <c r="L789" t="inlineStr">
        <is>
          <t>SMDC Heroes Clash Community Arena Tournament Year 3</t>
        </is>
      </c>
      <c r="M789" t="inlineStr">
        <is>
          <t>2025TEG-P0247</t>
        </is>
      </c>
      <c r="N789" t="inlineStr">
        <is>
          <t>Clifford Markus Ortiz Martinez</t>
        </is>
      </c>
      <c r="O789" t="inlineStr">
        <is>
          <t>202509280039-Clifford Markus Ortiz Martinez-费用报销 - 副本 - 副本 - 副本-2025-09-28 18:42:25</t>
        </is>
      </c>
      <c r="P789" t="inlineStr">
        <is>
          <t>YES</t>
        </is>
      </c>
      <c r="Q789"/>
      <c r="R789" t="inlineStr">
        <is>
          <t>NO</t>
        </is>
      </c>
      <c r="S789" t="inlineStr">
        <is>
          <t>Outsourced Road Manager / Usher</t>
        </is>
      </c>
      <c r="T789">
        <v>1</v>
      </c>
      <c r="U789">
        <v>3500</v>
      </c>
      <c r="V789" t="inlineStr">
        <is>
          <t>PHP</t>
        </is>
      </c>
      <c r="W789">
        <v>3500</v>
      </c>
      <c r="X789" s="2" t="str">
        <f>=HYPERLINK("https://www.larksuite.com/approval/admin/previewAttachment?key=PMgxCsJQEATQK83szv7562VsEoIEUwmCxT-7YGH7xiTGLOZoqBkNLldNJBNpwVPDvWLRbpiOWPt13Ks2fc5-OnTxzPV-bMf-YrUj4JRyAuDt72lJ3UP4Ob4BAAD__w", "2 attachment(s)")</f>
        <v>2 attachment(s)</v>
      </c>
      <c r="Y789" t="inlineStr">
        <is>
          <t>Bank Transfer</t>
        </is>
      </c>
      <c r="Z789" t="inlineStr">
        <is>
          <t>Juan Diego Villarama Legislador</t>
        </is>
      </c>
      <c r="AA789" t="inlineStr">
        <is>
          <t>1096 7009 1261</t>
        </is>
      </c>
      <c r="AB789" t="inlineStr">
        <is>
          <t>Unionbank</t>
        </is>
      </c>
      <c r="AC789" t="inlineStr">
        <is>
          <t>1246 Cardona St. Rizal Village Makati City</t>
        </is>
      </c>
      <c r="AD789" s="4">
        <v>45934</v>
      </c>
      <c r="AE789" t="inlineStr">
        <is>
          <t>100% Full Payment - Oct. 31, 2025</t>
        </is>
      </c>
      <c r="AF789" s="2"/>
      <c r="AG789" t="inlineStr">
        <is>
          <t>NzQyNTk5MTgyNzQ4MTg3MDM0MTpCOEQ3OEQ1Qy0xOTFELTQyRUMtOTlEOC1CMjkyRkY4Q0Y3QjEtMToxNzI2MDMwZDVhYzQwOGVjOTU2NWIwOGYzNGY2MjgwYjox</t>
        </is>
      </c>
      <c r="AH789" t="inlineStr">
        <is>
          <t>Juan Diego Villarama Legislador</t>
        </is>
      </c>
      <c r="AI789"/>
      <c r="AJ789" t="inlineStr">
        <is>
          <t>LIQUIDITY PLAN (PAR # 202509190067 / 2025TEG-P0247)
PROJECT PLANNING &gt; Ushers (Side Activity + 1 Runner)
Total Budget = Php 6,300.00
This Request = Php 3,500.00
Balance = Php 2,800.00</t>
        </is>
      </c>
      <c r="AK789"/>
    </row>
    <row r="790" ht="25.5" customHeight="1">
      <c r="A790" s="2" t="str">
        <f>=HYPERLINK("https://applink.larksuite.com/client/mini_program/open?appId=cli_9c7cc8a9a9edd105&amp;mode=appCenter&amp;path_pc=pc/pages/requested/index?instanceId=7558008435791462439&amp;source=bitable&amp;path=pages/detail/index?instanceId=7558008435791462439&amp;source=bitable", "202510060069")</f>
        <v>202510060069</v>
      </c>
      <c r="B790" t="inlineStr">
        <is>
          <t>Approved</t>
        </is>
      </c>
      <c r="C790" t="inlineStr">
        <is>
          <t>Procurement Order</t>
        </is>
      </c>
      <c r="D790" s="3">
        <v>45936.647777777776</v>
      </c>
      <c r="E790" s="3">
        <v>45939.80887731481</v>
      </c>
      <c r="F790" t="inlineStr">
        <is>
          <t>Fatima Kathleen M. FLores</t>
        </is>
      </c>
      <c r="G790" t="inlineStr">
        <is>
          <t>Procurement</t>
        </is>
      </c>
      <c r="H790"/>
      <c r="I790"/>
      <c r="J790" t="inlineStr">
        <is>
          <t>Project</t>
        </is>
      </c>
      <c r="K790" t="inlineStr">
        <is>
          <t>PDEI - Event Service</t>
        </is>
      </c>
      <c r="L790" t="inlineStr">
        <is>
          <t>GTCC 2025: September Arena</t>
        </is>
      </c>
      <c r="M790" t="inlineStr">
        <is>
          <t>2025TEG-P0236</t>
        </is>
      </c>
      <c r="N790" t="inlineStr">
        <is>
          <t>Juvie Anne Asis Castres</t>
        </is>
      </c>
      <c r="O790" t="inlineStr">
        <is>
          <t>202509290087-Juvie Anne Asis Castres-费用报销 - 副本 - 副本 - 副本-2025-09-29 07:47:45</t>
        </is>
      </c>
      <c r="P790" t="inlineStr">
        <is>
          <t>YES</t>
        </is>
      </c>
      <c r="Q790"/>
      <c r="R790" t="inlineStr">
        <is>
          <t>YES</t>
        </is>
      </c>
      <c r="S790" t="inlineStr">
        <is>
          <t>Outsourced Scriptwriter</t>
        </is>
      </c>
      <c r="T790">
        <v>1</v>
      </c>
      <c r="U790">
        <v>20000</v>
      </c>
      <c r="V790" t="inlineStr">
        <is>
          <t>PHP</t>
        </is>
      </c>
      <c r="W790">
        <v>20000</v>
      </c>
      <c r="X790" s="2"/>
      <c r="Y790" t="inlineStr">
        <is>
          <t>Bank Transfer</t>
        </is>
      </c>
      <c r="Z790" t="inlineStr">
        <is>
          <t>Manuel P. Chavez, Jr.</t>
        </is>
      </c>
      <c r="AA790" t="inlineStr">
        <is>
          <t>006 850 084 037</t>
        </is>
      </c>
      <c r="AB790" t="inlineStr">
        <is>
          <t>BDO</t>
        </is>
      </c>
      <c r="AC790" t="inlineStr">
        <is>
          <t>65 Maginoo Street, Barangay Central, Quezon City</t>
        </is>
      </c>
      <c r="AD790" s="4">
        <v>45912</v>
      </c>
      <c r="AE790" t="inlineStr">
        <is>
          <t>100% Full Payment - Oct. 24, 2025</t>
        </is>
      </c>
      <c r="AF790" s="2"/>
      <c r="AG790" t="inlineStr">
        <is>
          <t>NzQyNTk5MTgyNzQ4MTg3MDM0MTowMTQ5NTI5MS03NTlCLTQxMDEtQTM4Mi1FREYyOUI1Mjg0RUEtMTowMjYxNzUyOTFiMDg2NjYyZjQ5ZDlhZDlhM2M1ZDhjMTox</t>
        </is>
      </c>
      <c r="AH790" t="inlineStr">
        <is>
          <t>Manuel P. Chavez, Jr.</t>
        </is>
      </c>
      <c r="AI790"/>
      <c r="AJ790" t="inlineStr">
        <is>
          <t>LIQUIDITY PLAN (PAR # 202508110059 / 2025TEG-P0236)
FINAL 911 - CE INTERNAL &gt; MANPOWER &gt;
CREATIVES &amp; CONTENT &gt; Scriptwriter
Total Budget = Php 15,000.00
Actual Cost = Php 20,000.00
Balance = (Php 5,000.00) OVER BUDGET</t>
        </is>
      </c>
      <c r="AK790"/>
    </row>
    <row r="791" ht="25.5" customHeight="1">
      <c r="A791" s="2" t="str">
        <f>=HYPERLINK("https://applink.larksuite.com/client/mini_program/open?appId=cli_9c7cc8a9a9edd105&amp;mode=appCenter&amp;path_pc=pc/pages/requested/index?instanceId=7558015948498894880&amp;source=bitable&amp;path=pages/detail/index?instanceId=7558015948498894880&amp;source=bitable", "202510060073")</f>
        <v>202510060073</v>
      </c>
      <c r="B791" t="inlineStr">
        <is>
          <t>Approved</t>
        </is>
      </c>
      <c r="C791" t="inlineStr">
        <is>
          <t>Procurement Order</t>
        </is>
      </c>
      <c r="D791" s="3">
        <v>45936.668032407404</v>
      </c>
      <c r="E791" s="3">
        <v>45938.59633101852</v>
      </c>
      <c r="F791" t="inlineStr">
        <is>
          <t>Fatima Kathleen M. FLores</t>
        </is>
      </c>
      <c r="G791" t="inlineStr">
        <is>
          <t>Procurement</t>
        </is>
      </c>
      <c r="H791"/>
      <c r="I791"/>
      <c r="J791" t="inlineStr">
        <is>
          <t>Project</t>
        </is>
      </c>
      <c r="K791" t="inlineStr">
        <is>
          <t>PDEI - Game Marketing</t>
        </is>
      </c>
      <c r="L791" t="inlineStr">
        <is>
          <t>SMDC Heroes Clash Community Arena Tournament Year 3</t>
        </is>
      </c>
      <c r="M791" t="inlineStr">
        <is>
          <t>2025TEG-P0247</t>
        </is>
      </c>
      <c r="N791" t="inlineStr">
        <is>
          <t>Clifford Markus Ortiz Martinez</t>
        </is>
      </c>
      <c r="O791" t="inlineStr">
        <is>
          <t>202509280038-Clifford Markus Ortiz Martinez-费用报销 - 副本 - 副本 - 副本-2025-09-28 18:40:13</t>
        </is>
      </c>
      <c r="P791" t="inlineStr">
        <is>
          <t>YES</t>
        </is>
      </c>
      <c r="Q791"/>
      <c r="R791" t="inlineStr">
        <is>
          <t>NO</t>
        </is>
      </c>
      <c r="S791" t="inlineStr">
        <is>
          <t>Outsourced Usher</t>
        </is>
      </c>
      <c r="T791">
        <v>1</v>
      </c>
      <c r="U791">
        <v>4500</v>
      </c>
      <c r="V791" t="inlineStr">
        <is>
          <t>PHP</t>
        </is>
      </c>
      <c r="W791">
        <v>4500</v>
      </c>
      <c r="X791" s="2" t="str">
        <f>=HYPERLINK("https://www.larksuite.com/approval/admin/previewAttachment?key=PMgxqgJBEATQK1X3VE91_cv8ZIfFRBDEBYM5u2Bg-mYHZleMadCRRmxVNaLMprvNbuzcIRkKZe51P_-rDr4fr0tapdC-bse5nlFWJjTI0QDi7-dDJO1JfB2fAAAA__8", "2 attachment(s)")</f>
        <v>2 attachment(s)</v>
      </c>
      <c r="Y791" t="inlineStr">
        <is>
          <t>Bank Transfer</t>
        </is>
      </c>
      <c r="Z791" t="inlineStr">
        <is>
          <t>Kimberly Rose Culala</t>
        </is>
      </c>
      <c r="AA791" t="inlineStr">
        <is>
          <t>1010-1024-0818</t>
        </is>
      </c>
      <c r="AB791" t="inlineStr">
        <is>
          <t>PNB</t>
        </is>
      </c>
      <c r="AC791" t="inlineStr">
        <is>
          <t>12 Little Tagaytay Marulas Valenzuela City</t>
        </is>
      </c>
      <c r="AD791" s="4">
        <v>45934</v>
      </c>
      <c r="AE791" t="inlineStr">
        <is>
          <t>100% Full Payment - Oct. 31, 2025</t>
        </is>
      </c>
      <c r="AF791" s="2"/>
      <c r="AG791" t="inlineStr">
        <is>
          <t>NzQyNTk5MTgyNzQ4MTg3MDM0MTpCQzYxRjBFOC0xQUIzLTRDQjctQkJDRC0zNjZEMEJGNjNDRkQtMTo0NDkxODAzZjhkMGFmYjVhZjVhY2FlMjYxNGQzYTg5Zjox</t>
        </is>
      </c>
      <c r="AH791" t="inlineStr">
        <is>
          <t>Kimberly Rose Culala</t>
        </is>
      </c>
      <c r="AI791"/>
      <c r="AJ791" t="inlineStr">
        <is>
          <t>LIQUIDITY PLAN (PAR # 202509190067 / 2025TEG-P0247)
PROJECT PLANNING &gt; Ushers (Side Activity + 1 Runner)
Total Budget = Php 10,800.00
This Request = Php 4,500.00
Balance = Php 6,300.00</t>
        </is>
      </c>
      <c r="AK791"/>
    </row>
    <row r="792" ht="25.5" customHeight="1">
      <c r="A792" s="2" t="str">
        <f>=HYPERLINK("https://applink.larksuite.com/client/mini_program/open?appId=cli_9c7cc8a9a9edd105&amp;mode=appCenter&amp;path_pc=pc/pages/requested/index?instanceId=7558043556825399328&amp;source=bitable&amp;path=pages/detail/index?instanceId=7558043556825399328&amp;source=bitable", "202510060111")</f>
        <v>202510060111</v>
      </c>
      <c r="B792" t="inlineStr">
        <is>
          <t>Recalled</t>
        </is>
      </c>
      <c r="C792" t="inlineStr">
        <is>
          <t>Procurement Order</t>
        </is>
      </c>
      <c r="D792" s="3">
        <v>45936.742430555554</v>
      </c>
      <c r="E792" s="3">
        <v>45943.5996875</v>
      </c>
      <c r="F792" t="inlineStr">
        <is>
          <t>Fatima Kathleen M. FLores</t>
        </is>
      </c>
      <c r="G792" t="inlineStr">
        <is>
          <t>Procurement</t>
        </is>
      </c>
      <c r="H792"/>
      <c r="I792"/>
      <c r="J792" t="inlineStr">
        <is>
          <t>Project</t>
        </is>
      </c>
      <c r="K792" t="inlineStr">
        <is>
          <t>PDEI - Game Marketing</t>
        </is>
      </c>
      <c r="L792" t="inlineStr">
        <is>
          <t>SMDC Heroes Clash Community Arena Tournament Year 3</t>
        </is>
      </c>
      <c r="M792" t="inlineStr">
        <is>
          <t>2025TEG-P0247</t>
        </is>
      </c>
      <c r="N792" t="inlineStr">
        <is>
          <t>Clifford Markus Ortiz Martinez</t>
        </is>
      </c>
      <c r="O792" t="inlineStr">
        <is>
          <t>202510020068-Clifford Markus Ortiz Martinez-费用报销 - 副本 - 副本 - 副本-2025-10-02 08:42:17</t>
        </is>
      </c>
      <c r="P792" t="inlineStr">
        <is>
          <t>YES</t>
        </is>
      </c>
      <c r="Q792"/>
      <c r="R792" t="inlineStr">
        <is>
          <t>YES</t>
        </is>
      </c>
      <c r="S792" t="inlineStr">
        <is>
          <t>Outsourced Game Observer</t>
        </is>
      </c>
      <c r="T792">
        <v>1</v>
      </c>
      <c r="U792">
        <v>6000</v>
      </c>
      <c r="V792" t="inlineStr">
        <is>
          <t>PHP</t>
        </is>
      </c>
      <c r="W792">
        <v>6000</v>
      </c>
      <c r="X792" s="2" t="str">
        <f>=HYPERLINK("https://www.larksuite.com/approval/admin/previewAttachment?key=PMg7CsJgEATgK82-d7yMTUIwoCAIP1rs2QUL2y9bkB1iSThFCZmKaLhFZGsYadqjI1VESanO_jiuu_X9rIVzW-9PP2fdtmN_SbBUUeZuDUAuf7dydzIdP8c3AAD__w", "2 attachment(s)")</f>
        <v>2 attachment(s)</v>
      </c>
      <c r="Y792" t="inlineStr">
        <is>
          <t>Bank Transfer</t>
        </is>
      </c>
      <c r="Z792" t="inlineStr">
        <is>
          <t>Jhan Allen Anunciacion</t>
        </is>
      </c>
      <c r="AA792" t="inlineStr">
        <is>
          <t>09158876334</t>
        </is>
      </c>
      <c r="AB792" t="inlineStr">
        <is>
          <t>GCash</t>
        </is>
      </c>
      <c r="AC792" t="inlineStr">
        <is>
          <t>Blk 36 Lot 5C Jolo Street Dela Costa Homes II, Caloocan City Brgy 179</t>
        </is>
      </c>
      <c r="AD792" s="4">
        <v>45934</v>
      </c>
      <c r="AE792" t="inlineStr">
        <is>
          <t>100% Full Payment - Oct. 31, 2025</t>
        </is>
      </c>
      <c r="AF792" s="2"/>
      <c r="AG792" t="inlineStr">
        <is>
          <t>NzQyNTk5MTgyNzQ4MTg3MDM0MTpCQjBEMjQ3Ny0yRjVCLTQ2MEQtQTVCMy03Njc4NTQyNTA2QUYtMTpiNzZlZDc1NTc2YmE2ZmNjMGFmMDEyYTkxMzI5NmEyNzox</t>
        </is>
      </c>
      <c r="AH792" t="inlineStr">
        <is>
          <t>Jhan Allen Anunciacion</t>
        </is>
      </c>
      <c r="AI792"/>
      <c r="AJ792" t="inlineStr">
        <is>
          <t>LIQUIDITY PLAN (PAR # 202509190067 / 2025TEG-P0247)
MPLACE &gt; Broadcast Package
SUN &gt; Broadcast Package
LIGHT &gt; Broadcast Package
Total Budget = Php 90,000.00
Actual Cost = Php 6,000.00
Balance = Php 84,000.00
Tagged as over budget. Line item in CE is INTERNAL</t>
        </is>
      </c>
      <c r="AK792"/>
    </row>
    <row r="793" ht="25.5" customHeight="1">
      <c r="A793" s="2" t="str">
        <f>=HYPERLINK("https://applink.larksuite.com/client/mini_program/open?appId=cli_9c7cc8a9a9edd105&amp;mode=appCenter&amp;path_pc=pc/pages/requested/index?instanceId=7558386027325407271&amp;source=bitable&amp;path=pages/detail/index?instanceId=7558386027325407271&amp;source=bitable", "202510070056")</f>
        <v>202510070056</v>
      </c>
      <c r="B793" t="inlineStr">
        <is>
          <t>Approved</t>
        </is>
      </c>
      <c r="C793" t="inlineStr">
        <is>
          <t>Procurement Order</t>
        </is>
      </c>
      <c r="D793" s="3">
        <v>45937.6653125</v>
      </c>
      <c r="E793" s="3">
        <v>45938.484131944446</v>
      </c>
      <c r="F793" t="inlineStr">
        <is>
          <t>Arlyn Castillo</t>
        </is>
      </c>
      <c r="G793" t="inlineStr">
        <is>
          <t>Procurement</t>
        </is>
      </c>
      <c r="H793"/>
      <c r="I793"/>
      <c r="J793" t="inlineStr">
        <is>
          <t>Project</t>
        </is>
      </c>
      <c r="K793" t="inlineStr">
        <is>
          <t>PDEI - Event Service</t>
        </is>
      </c>
      <c r="L793" t="inlineStr">
        <is>
          <t>MPL PH S16 - Regular Season</t>
        </is>
      </c>
      <c r="M793" t="inlineStr">
        <is>
          <t>2025TEG-P0214</t>
        </is>
      </c>
      <c r="N793" t="inlineStr">
        <is>
          <t>Jessica Jane Lor Felicilda</t>
        </is>
      </c>
      <c r="O793" t="inlineStr">
        <is>
          <t>202508220019-Jessica Jane Lor Felicilda-费用报销 - 副本 - 副本 - 副本-2025-08-22 04:09:16</t>
        </is>
      </c>
      <c r="P793" t="inlineStr">
        <is>
          <t>NO</t>
        </is>
      </c>
      <c r="Q793"/>
      <c r="R793" t="inlineStr">
        <is>
          <t>NO</t>
        </is>
      </c>
      <c r="S793" t="inlineStr">
        <is>
          <t>Reserved Parking (15 - 20 - 15 slots / Week 8 - Oct. 10 to 12, 2025)</t>
        </is>
      </c>
      <c r="T793">
        <v>1</v>
      </c>
      <c r="U793">
        <v>15480</v>
      </c>
      <c r="V793" t="inlineStr">
        <is>
          <t>PHP</t>
        </is>
      </c>
      <c r="W793">
        <v>15480</v>
      </c>
      <c r="X793" s="2" t="str">
        <f>=HYPERLINK("https://www.larksuite.com/approval/admin/previewAttachment?key=PMhBqgJBDATQK1WSSlfnX-ZvHBoXKoIwzixydsGF2zemYcy0GAWWecFamTPmgCs8CbmsvU0qyOTe2339v7luz_P0x7Efkez9elnby7LkDgUZE4D9_TxEsmoQX8cnAAD__w", "2 attachment(s)")</f>
        <v>2 attachment(s)</v>
      </c>
      <c r="Y793" t="inlineStr">
        <is>
          <t>Bank Transfer</t>
        </is>
      </c>
      <c r="Z793" t="inlineStr">
        <is>
          <t>Ecotechland, Inc.</t>
        </is>
      </c>
      <c r="AA793" t="inlineStr">
        <is>
          <t>001450007951</t>
        </is>
      </c>
      <c r="AB793" t="inlineStr">
        <is>
          <t>BDO</t>
        </is>
      </c>
      <c r="AC793" t="inlineStr">
        <is>
          <t>Mezzanine Floor, Ecoplaza Building, 2305 Don Chino Roces Ave. Extension, Brgy. Magallanes, Makati City</t>
        </is>
      </c>
      <c r="AD793" s="4">
        <v>45939</v>
      </c>
      <c r="AE793" t="inlineStr">
        <is>
          <t>100% Full Payment</t>
        </is>
      </c>
      <c r="AF793" s="2" t="str">
        <f>=HYPERLINK("https://www.larksuite.com/approval/admin/previewAttachment?key=TMg7qsJgEAXgLZ0z77mbuY3hx0JFEGJSzNoFK9sviohyajSsKQ1OupdWQFLFDSnJkWFmI5kis93X_9vW7Xme8jj2Q91mv17W9mKUBqzdjA2Afz9OoktDv45PAAAA__8", "1 attachment(s)")</f>
        <v>1 attachment(s)</v>
      </c>
      <c r="AG793" t="inlineStr">
        <is>
          <t>NzQyNTk5MTgyNzQ4MTg3MDM0MTpCREY0OEUyRS00RkFELTQ5ODEtOUFCMy1EMDVGMTYzRUJEQzYtMTo1NmUyYjhkNzRmYmUzYWVkMTBlYWE4Y2MxYzFlM2I0MDox</t>
        </is>
      </c>
      <c r="AH793" t="inlineStr">
        <is>
          <t>Ecotechland, Inc.</t>
        </is>
      </c>
      <c r="AI793"/>
      <c r="AJ793" t="inlineStr">
        <is>
          <t>LIQUIDITY PLAN (PAR # 202509020093 / 2025TEG-P0214)
REGULAR SEASON CE TAB &gt; LOGISTICS &gt;
Venue Parking
Total Remaining Budget = Php 37,030.00
This request = Php 15,480.00
Balance = Php 21,550.00</t>
        </is>
      </c>
      <c r="AK793"/>
    </row>
    <row r="794" ht="25.5" customHeight="1">
      <c r="A794" s="2" t="str">
        <f>=HYPERLINK("https://applink.larksuite.com/client/mini_program/open?appId=cli_9c7cc8a9a9edd105&amp;mode=appCenter&amp;path_pc=pc/pages/requested/index?instanceId=7558378978403254311&amp;source=bitable&amp;path=pages/detail/index?instanceId=7558378978403254311&amp;source=bitable", "202510070050")</f>
        <v>202510070050</v>
      </c>
      <c r="B794" t="inlineStr">
        <is>
          <t>Approved</t>
        </is>
      </c>
      <c r="C794" t="inlineStr">
        <is>
          <t>Procurement Order</t>
        </is>
      </c>
      <c r="D794" s="3">
        <v>45937.646319444444</v>
      </c>
      <c r="E794" s="3">
        <v>45938.48564814815</v>
      </c>
      <c r="F794" t="inlineStr">
        <is>
          <t>Rushelle A. Capistrano</t>
        </is>
      </c>
      <c r="G794" t="inlineStr">
        <is>
          <t>Procurement</t>
        </is>
      </c>
      <c r="H794"/>
      <c r="I794"/>
      <c r="J794" t="inlineStr">
        <is>
          <t>Project</t>
        </is>
      </c>
      <c r="K794" t="inlineStr">
        <is>
          <t>PDEI - Event Service</t>
        </is>
      </c>
      <c r="L794" t="inlineStr">
        <is>
          <t>GTCC 2025: September Arena</t>
        </is>
      </c>
      <c r="M794" t="inlineStr">
        <is>
          <t>2025TEG-P0236</t>
        </is>
      </c>
      <c r="N794" t="inlineStr">
        <is>
          <t>Frances Angelita Arreglado</t>
        </is>
      </c>
      <c r="O794" t="inlineStr">
        <is>
          <t>202510010075-Carla Andrea Calma Crespo-费用报销 - 副本 - 副本 - 副本-2025-10-01 08:28:16</t>
        </is>
      </c>
      <c r="P794" t="inlineStr">
        <is>
          <t>YES</t>
        </is>
      </c>
      <c r="Q794"/>
      <c r="R794" t="inlineStr">
        <is>
          <t>NO</t>
        </is>
      </c>
      <c r="S794" t="inlineStr">
        <is>
          <t>Outsourced Creative Video Team</t>
        </is>
      </c>
      <c r="T794">
        <v>1</v>
      </c>
      <c r="U794">
        <v>64300</v>
      </c>
      <c r="V794" t="inlineStr">
        <is>
          <t>PHP</t>
        </is>
      </c>
      <c r="W794">
        <v>64300</v>
      </c>
      <c r="X794" s="2" t="str">
        <f>=HYPERLINK("https://www.larksuite.com/approval/admin/previewAttachment?key=PMhLioIxEATgK1X1I9U9l5mNP0EIgiDEVc4uuHD7jSJGJX00omkNHmWWq1oVcMtw8tih1BBldq7H_K_Y67lm7kWvt86-3-b1YrbMII_wAsC_n7sionsEvo5PAAAA__8", "2 attachment(s)")</f>
        <v>2 attachment(s)</v>
      </c>
      <c r="Y794" t="inlineStr">
        <is>
          <t>Bank Transfer</t>
        </is>
      </c>
      <c r="Z794" t="inlineStr">
        <is>
          <t>Harold Lance Pialda</t>
        </is>
      </c>
      <c r="AA794" t="inlineStr">
        <is>
          <t>0000050859073</t>
        </is>
      </c>
      <c r="AB794" t="inlineStr">
        <is>
          <t>Security Bank</t>
        </is>
      </c>
      <c r="AC794" t="inlineStr">
        <is>
          <t>Unit 6 M Gabriel Compound Fairview Quezon City</t>
        </is>
      </c>
      <c r="AD794" s="4">
        <v>45940</v>
      </c>
      <c r="AE794" t="inlineStr">
        <is>
          <t>1st payment Oct. 10, 2025
Final Payment Oct. 24, 2025</t>
        </is>
      </c>
      <c r="AF794" s="2"/>
      <c r="AG794" t="inlineStr">
        <is>
          <t>NzQyNTk5MTgyNzQ4MTg3MDM0MTpBMzlBQjIxNy1BQ0Q4LTRERkQtOEFDMC1BQTUyM0JCOTU0NTItMToxNzQwZWRlZTg5NTk3NGViOGIxZDQyZDIzZGViZDc3ZDox</t>
        </is>
      </c>
      <c r="AH794" t="inlineStr">
        <is>
          <t>Harold Lance Pialda</t>
        </is>
      </c>
      <c r="AI794"/>
      <c r="AJ794" t="inlineStr">
        <is>
          <t>LIQUIDITY PLAN (PAR # 202508110059 / 2025TEG-P0236)
FINAL 911 - CE INTERNAL &gt; CREATIVE SERVICES
Media Day &gt; Equipment Rental
Total Budget = Php 80,000.00
Actual Cost = Php 64,300.00
Balance = Php 15,700.00</t>
        </is>
      </c>
      <c r="AK794"/>
    </row>
    <row r="795" ht="25.5" customHeight="1">
      <c r="A795" s="2" t="str">
        <f>=HYPERLINK("https://applink.larksuite.com/client/mini_program/open?appId=cli_9c7cc8a9a9edd105&amp;mode=appCenter&amp;path_pc=pc/pages/requested/index?instanceId=7558408230125223968&amp;source=bitable&amp;path=pages/detail/index?instanceId=7558408230125223968&amp;source=bitable", "202510070084")</f>
        <v>202510070084</v>
      </c>
      <c r="B795" t="inlineStr">
        <is>
          <t>Approved</t>
        </is>
      </c>
      <c r="C795" t="inlineStr">
        <is>
          <t>Procurement Order</t>
        </is>
      </c>
      <c r="D795" s="3">
        <v>45937.72515046296</v>
      </c>
      <c r="E795" s="3">
        <v>45938.489907407406</v>
      </c>
      <c r="F795" t="inlineStr">
        <is>
          <t>Rushelle A. Capistrano</t>
        </is>
      </c>
      <c r="G795" t="inlineStr">
        <is>
          <t>Procurement</t>
        </is>
      </c>
      <c r="H795"/>
      <c r="I795"/>
      <c r="J795" t="inlineStr">
        <is>
          <t>Project</t>
        </is>
      </c>
      <c r="K795" t="inlineStr">
        <is>
          <t>PDEI - Event Service</t>
        </is>
      </c>
      <c r="L795" t="inlineStr">
        <is>
          <t>GTCC 2025: September Arena</t>
        </is>
      </c>
      <c r="M795" t="inlineStr">
        <is>
          <t>2025TEG-P0236</t>
        </is>
      </c>
      <c r="N795" t="inlineStr">
        <is>
          <t>Frances Angelita Arreglado</t>
        </is>
      </c>
      <c r="O795" t="inlineStr">
        <is>
          <t>202510020011-Juvie Anne Asis Castres-费用报销 - 副本 - 副本 - 副本-2025-10-02 03:37:00</t>
        </is>
      </c>
      <c r="P795" t="inlineStr">
        <is>
          <t>YES</t>
        </is>
      </c>
      <c r="Q795"/>
      <c r="R795" t="inlineStr">
        <is>
          <t>NO</t>
        </is>
      </c>
      <c r="S795" t="inlineStr">
        <is>
          <t>Outsourced Logistics Associate (Ingress, Event Day &amp; Egress)</t>
        </is>
      </c>
      <c r="T795">
        <v>1</v>
      </c>
      <c r="U795">
        <v>54000</v>
      </c>
      <c r="V795" t="inlineStr">
        <is>
          <t>PHP</t>
        </is>
      </c>
      <c r="W795">
        <v>54000</v>
      </c>
      <c r="X795" s="2" t="str">
        <f>=HYPERLINK("https://www.larksuite.com/approval/admin/previewAttachment?key=PMg7CgJBEATQK1VX_72MyS6DihMJGvXZBQPTFyWIctFoWAsbMulehqJC6KR21HAks5GS5Jx7Xfux77rss5770O3zvh3rfIl3kkg10wIgl79rmll3GH6ObwAAAP__", "2 attachment(s)")</f>
        <v>2 attachment(s)</v>
      </c>
      <c r="Y795" t="inlineStr">
        <is>
          <t>Bank Transfer</t>
        </is>
      </c>
      <c r="Z795" t="inlineStr">
        <is>
          <t>Nordan Burabo</t>
        </is>
      </c>
      <c r="AA795" t="inlineStr">
        <is>
          <t>09636201512</t>
        </is>
      </c>
      <c r="AB795" t="inlineStr">
        <is>
          <t>Gcash</t>
        </is>
      </c>
      <c r="AC795" t="inlineStr">
        <is>
          <t>Blk 1 Lot 23 Agoncillo St. Sta Lucia Novaliches, QC</t>
        </is>
      </c>
      <c r="AD795" s="4">
        <v>45947</v>
      </c>
      <c r="AE795" t="inlineStr">
        <is>
          <t>One-Time Payment Oct. 17, 2025</t>
        </is>
      </c>
      <c r="AF795" s="2"/>
      <c r="AG795" t="inlineStr">
        <is>
          <t>NzQyNTk5MTgyNzQ4MTg3MDM0MTowMTZGNDNDRi0yRjNELTQzNUYtQjEyQS1ENTIzQjAwNzkxRTUtMToyNTAzZDQzZjdmMTlmOTBiMTU1MDAwMjA1MjM1ODE1Zjox</t>
        </is>
      </c>
      <c r="AH795" t="inlineStr">
        <is>
          <t>Nordan San Jose Burabo</t>
        </is>
      </c>
      <c r="AI795"/>
      <c r="AJ795" t="inlineStr">
        <is>
          <t>LIQUIDITY PLAN (PAR # 202508110059 / 2025TEG-P0236)
FINAL 911 - CE INTERNAL &gt; MANPOWER &gt;
LOGISTICS 
Event Runners
Ingress &amp; Egress Manpower
Total Remaining Budget = Php 63,000.00
Actual Cost = Php 54,000.00
Balance = (Php 9,000.00)</t>
        </is>
      </c>
      <c r="AK795"/>
    </row>
    <row r="796" ht="25.5" customHeight="1">
      <c r="A796" s="2" t="str">
        <f>=HYPERLINK("https://applink.larksuite.com/client/mini_program/open?appId=cli_9c7cc8a9a9edd105&amp;mode=appCenter&amp;path_pc=pc/pages/requested/index?instanceId=7558408376204525599&amp;source=bitable&amp;path=pages/detail/index?instanceId=7558408376204525599&amp;source=bitable", "202510070087")</f>
        <v>202510070087</v>
      </c>
      <c r="B796" t="inlineStr">
        <is>
          <t>Approved</t>
        </is>
      </c>
      <c r="C796" t="inlineStr">
        <is>
          <t>Procurement Order</t>
        </is>
      </c>
      <c r="D796" s="3">
        <v>45937.72554398148</v>
      </c>
      <c r="E796" s="3">
        <v>45938.48849537037</v>
      </c>
      <c r="F796" t="inlineStr">
        <is>
          <t>Rushelle A. Capistrano</t>
        </is>
      </c>
      <c r="G796" t="inlineStr">
        <is>
          <t>Procurement</t>
        </is>
      </c>
      <c r="H796"/>
      <c r="I796"/>
      <c r="J796" t="inlineStr">
        <is>
          <t>Project</t>
        </is>
      </c>
      <c r="K796" t="inlineStr">
        <is>
          <t>PDEI - Event Service</t>
        </is>
      </c>
      <c r="L796" t="inlineStr">
        <is>
          <t>GTCC 2025: September Arena</t>
        </is>
      </c>
      <c r="M796" t="inlineStr">
        <is>
          <t>2025TEG-P0236</t>
        </is>
      </c>
      <c r="N796" t="inlineStr">
        <is>
          <t>Frances Angelita Arreglado</t>
        </is>
      </c>
      <c r="O796" t="inlineStr">
        <is>
          <t>202510020011-Juvie Anne Asis Castres-费用报销 - 副本 - 副本 - 副本-2025-10-02 03:37:00</t>
        </is>
      </c>
      <c r="P796" t="inlineStr">
        <is>
          <t>YES</t>
        </is>
      </c>
      <c r="Q796"/>
      <c r="R796" t="inlineStr">
        <is>
          <t>NO</t>
        </is>
      </c>
      <c r="S796" t="inlineStr">
        <is>
          <t>Outsourced Logistics Associate (Ingress)</t>
        </is>
      </c>
      <c r="T796">
        <v>1</v>
      </c>
      <c r="U796">
        <v>4500</v>
      </c>
      <c r="V796" t="inlineStr">
        <is>
          <t>PHP</t>
        </is>
      </c>
      <c r="W796">
        <v>4500</v>
      </c>
      <c r="X796" s="2" t="str">
        <f>=HYPERLINK("https://www.larksuite.com/approval/admin/previewAttachment?key=PMhBqgJBDATQK1UllU7nX-ZvHBphHBgQRjc5u-DC7RuTGDPoo6CiFdgZMYXpOQwKi6hqa2YWkmnW27H-X1qP8_CL53sn9r7ut7U9GZVmSJd8AuDfzz0lVQ3h6_gEAAD__w", "2 attachment(s)")</f>
        <v>2 attachment(s)</v>
      </c>
      <c r="Y796" t="inlineStr">
        <is>
          <t>Bank Transfer</t>
        </is>
      </c>
      <c r="Z796" t="inlineStr">
        <is>
          <t>Ric Jaca</t>
        </is>
      </c>
      <c r="AA796" t="inlineStr">
        <is>
          <t>09509516216</t>
        </is>
      </c>
      <c r="AB796" t="inlineStr">
        <is>
          <t>Gcash</t>
        </is>
      </c>
      <c r="AC796" t="inlineStr">
        <is>
          <t>321 Sitio Langhaya Brgy. Dela Paz Antipolo Rizal</t>
        </is>
      </c>
      <c r="AD796" s="4">
        <v>45947</v>
      </c>
      <c r="AE796" t="inlineStr">
        <is>
          <t>One-Time Payment Oct. 17, 2025</t>
        </is>
      </c>
      <c r="AF796" s="2"/>
      <c r="AG796" t="inlineStr">
        <is>
          <t>NzQyNTk5MTgyNzQ4MTg3MDM0MTo5MEE5QzgwQy00NUQ5LTRBODAtODBERi04M0E1RTI3ODZCNDktMToyMjdkMDQxZDA0ZmEwNzE3MmY5M2EyYjIwNzBlZmVkZDox</t>
        </is>
      </c>
      <c r="AH796" t="inlineStr">
        <is>
          <t>Ric V. Jaca</t>
        </is>
      </c>
      <c r="AI796"/>
      <c r="AJ796" t="inlineStr">
        <is>
          <t>LIQUIDITY PLAN (PAR # 202508110059 / 2025TEG-P0236)
FINAL 911 - CE INTERNAL &gt; MANPOWER &gt;
LOGISTICS &gt; Ingress &amp; Egress Manpower
Total Budget = Php 30,000.00
Actual Cost = Php 4,500.00
Balance = (Php 25,500.00)</t>
        </is>
      </c>
      <c r="AK796"/>
    </row>
    <row r="797" ht="25.5" customHeight="1">
      <c r="A797" s="2" t="str">
        <f>=HYPERLINK("https://applink.larksuite.com/client/mini_program/open?appId=cli_9c7cc8a9a9edd105&amp;mode=appCenter&amp;path_pc=pc/pages/requested/index?instanceId=7558415623785594911&amp;source=bitable&amp;path=pages/detail/index?instanceId=7558415623785594911&amp;source=bitable", "202510070092")</f>
        <v>202510070092</v>
      </c>
      <c r="B797" t="inlineStr">
        <is>
          <t>Approved</t>
        </is>
      </c>
      <c r="C797" t="inlineStr">
        <is>
          <t>Procurement Order</t>
        </is>
      </c>
      <c r="D797" s="3">
        <v>45937.74506944444</v>
      </c>
      <c r="E797" s="3">
        <v>45939.81145833333</v>
      </c>
      <c r="F797" t="inlineStr">
        <is>
          <t>Rushelle A. Capistrano</t>
        </is>
      </c>
      <c r="G797" t="inlineStr">
        <is>
          <t>Procurement</t>
        </is>
      </c>
      <c r="H797"/>
      <c r="I797"/>
      <c r="J797" t="inlineStr">
        <is>
          <t>Project</t>
        </is>
      </c>
      <c r="K797" t="inlineStr">
        <is>
          <t>PDEI - Event Service</t>
        </is>
      </c>
      <c r="L797" t="inlineStr">
        <is>
          <t>GTCC 2025: September Arena</t>
        </is>
      </c>
      <c r="M797" t="inlineStr">
        <is>
          <t>2025TEG-P0236</t>
        </is>
      </c>
      <c r="N797" t="inlineStr">
        <is>
          <t>Frances Angelita Arreglado</t>
        </is>
      </c>
      <c r="O797" t="inlineStr">
        <is>
          <t>202509290041-Juvie Anne Asis Castres-费用报销 - 副本 - 副本 - 副本-2025-09-29 05:37:34</t>
        </is>
      </c>
      <c r="P797" t="inlineStr">
        <is>
          <t>YES</t>
        </is>
      </c>
      <c r="Q797"/>
      <c r="R797" t="inlineStr">
        <is>
          <t>YES</t>
        </is>
      </c>
      <c r="S797" t="inlineStr">
        <is>
          <t>Outsourced IT Support</t>
        </is>
      </c>
      <c r="T797">
        <v>1</v>
      </c>
      <c r="U797">
        <v>6800</v>
      </c>
      <c r="V797" t="inlineStr">
        <is>
          <t>PHP</t>
        </is>
      </c>
      <c r="W797">
        <v>6800</v>
      </c>
      <c r="X797" s="2" t="str">
        <f>=HYPERLINK("https://www.larksuite.com/approval/admin/previewAttachment?key=PMgxCgJRDATQK2WSyZ_Ey9i4fEQQBHG7nF2wsH2rYKsSsdrY8DaMMovI5aHKbDYwPpDaBLnP8dzX12OX4hN--ib2nPfbPt7IlrspyCgzw-XvIZLdi_Zz-wYAAP__", "2 attachment(s)")</f>
        <v>2 attachment(s)</v>
      </c>
      <c r="Y797" t="inlineStr">
        <is>
          <t>Bank Transfer</t>
        </is>
      </c>
      <c r="Z797" t="inlineStr">
        <is>
          <t>Joshua Miguel Lopez</t>
        </is>
      </c>
      <c r="AA797" t="inlineStr">
        <is>
          <t>09923378285</t>
        </is>
      </c>
      <c r="AB797" t="inlineStr">
        <is>
          <t>Gcash</t>
        </is>
      </c>
      <c r="AC797" t="inlineStr">
        <is>
          <t>143 C Magnolia ST LRCO Barangka Marikina City</t>
        </is>
      </c>
      <c r="AD797" s="4">
        <v>45947</v>
      </c>
      <c r="AE797" t="inlineStr">
        <is>
          <t>One-Time Payment Oct. 17, 2025</t>
        </is>
      </c>
      <c r="AF797" s="2"/>
      <c r="AG797" t="inlineStr">
        <is>
          <t>NzQyNTk5MTgyNzQ4MTg3MDM0MTpFRTE3NDQ2My1DRDk4LTRBQkMtQTY2RC1FOTg0RDBGMUI3RjItMTo2NDZhNDhjZGQ4ZGY1YjFiY2I5NTIyMDA0YjJhMWY3Yzox</t>
        </is>
      </c>
      <c r="AH797" t="inlineStr">
        <is>
          <t>Joshua Miguel Lopez</t>
        </is>
      </c>
      <c r="AI797"/>
      <c r="AJ797" t="inlineStr">
        <is>
          <t>LIQUIDITY PLAN (PAR # 202508110059 / 2025TEG-P0236)
FINAL 911 - CE INTERNAL &gt; MANPOWER &gt;
IT &gt; IT Supports
Total Remaining Budget = Php 1,200.00
Actual Cost = Php 6,800.00
Balance = (Php 5,600.00) OVER BUDGET</t>
        </is>
      </c>
      <c r="AK797"/>
    </row>
    <row r="798" ht="25.5" customHeight="1">
      <c r="A798" s="2" t="str">
        <f>=HYPERLINK("https://applink.larksuite.com/client/mini_program/open?appId=cli_9c7cc8a9a9edd105&amp;mode=appCenter&amp;path_pc=pc/pages/requested/index?instanceId=7558386172842737696&amp;source=bitable&amp;path=pages/detail/index?instanceId=7558386172842737696&amp;source=bitable", "202510070057")</f>
        <v>202510070057</v>
      </c>
      <c r="B798" t="inlineStr">
        <is>
          <t>Approved</t>
        </is>
      </c>
      <c r="C798" t="inlineStr">
        <is>
          <t>Procurement Order</t>
        </is>
      </c>
      <c r="D798" s="3">
        <v>45937.66570601852</v>
      </c>
      <c r="E798" s="3">
        <v>45939.81234953704</v>
      </c>
      <c r="F798" t="inlineStr">
        <is>
          <t>Rushelle A. Capistrano</t>
        </is>
      </c>
      <c r="G798" t="inlineStr">
        <is>
          <t>Procurement</t>
        </is>
      </c>
      <c r="H798"/>
      <c r="I798"/>
      <c r="J798" t="inlineStr">
        <is>
          <t>Project</t>
        </is>
      </c>
      <c r="K798" t="inlineStr">
        <is>
          <t>PDEI - Event Service</t>
        </is>
      </c>
      <c r="L798" t="inlineStr">
        <is>
          <t>GTCC 2025: September Arena</t>
        </is>
      </c>
      <c r="M798" t="inlineStr">
        <is>
          <t>2025TEG-P0236</t>
        </is>
      </c>
      <c r="N798" t="inlineStr">
        <is>
          <t>Frances Angelita Arreglado</t>
        </is>
      </c>
      <c r="O798" t="inlineStr">
        <is>
          <t>202509260067-Carla Andrea Calma Crespo-费用报销 - 副本 - 副本 - 副本-2025-09-26 12:15:53</t>
        </is>
      </c>
      <c r="P798" t="inlineStr">
        <is>
          <t>YES</t>
        </is>
      </c>
      <c r="Q798"/>
      <c r="R798" t="inlineStr">
        <is>
          <t>YES</t>
        </is>
      </c>
      <c r="S798" t="inlineStr">
        <is>
          <t>Outsourced Director Asst. / CG Operator</t>
        </is>
      </c>
      <c r="T798">
        <v>1</v>
      </c>
      <c r="U798">
        <v>12000</v>
      </c>
      <c r="V798" t="inlineStr">
        <is>
          <t>PHP</t>
        </is>
      </c>
      <c r="W798">
        <v>12000</v>
      </c>
      <c r="X798" s="2" t="str">
        <f>=HYPERLINK("https://www.larksuite.com/approval/admin/previewAttachment?key=PMixjUJBDATQlmZsr8e-Zi75qxUJJEg_c-1IBKQvi8ha9GxE0xocrVVeSVmFyZWdY0OpIcps9vP83zxd6wXtI16c-3Gd_eZqmUEe4QWAfz93RUR3Br6OTwAAAP__", "2 attachment(s)")</f>
        <v>2 attachment(s)</v>
      </c>
      <c r="Y798" t="inlineStr">
        <is>
          <t>Bank Transfer</t>
        </is>
      </c>
      <c r="Z798" t="inlineStr">
        <is>
          <t>John Mark Ramos</t>
        </is>
      </c>
      <c r="AA798" t="inlineStr">
        <is>
          <t>0000007591426151</t>
        </is>
      </c>
      <c r="AB798" t="inlineStr">
        <is>
          <t>RCBC</t>
        </is>
      </c>
      <c r="AC798" t="inlineStr">
        <is>
          <t>Camella St. Patdu Compound South Green Heights, Putatan Muntinlupa City</t>
        </is>
      </c>
      <c r="AD798" s="4">
        <v>45947</v>
      </c>
      <c r="AE798" t="inlineStr">
        <is>
          <t>One-Time Payment Oct. 17, 2025</t>
        </is>
      </c>
      <c r="AF798" s="2"/>
      <c r="AG798" t="inlineStr">
        <is>
          <t>NzQyNTk5MTgyNzQ4MTg3MDM0MTowOUI1MEYwRC1FMTNCLTRCRUItOTczMC1ERUU3MDQ2OEMwOEQtMTo3ZjQxNjliNTZiNGFlM2VjYTIxZjQ1OTg4MDI2MzlkODox</t>
        </is>
      </c>
      <c r="AH798" t="inlineStr">
        <is>
          <t>John Mark Ramos</t>
        </is>
      </c>
      <c r="AI798"/>
      <c r="AJ798" t="inlineStr">
        <is>
          <t>LIQUIDITY PLAN (PAR # 202508110059 / 2025TEG-P0236)
FINAL 911 - CE INTERNAL &gt; MANPOWER &gt;
BROADCAST &amp; PRODUCTION &gt; CG Operator
Total Budget = Php 7,500.00
Actual Cost = Php 12,000.00
Balance = (Php 4,500.00) OVER BUDGET</t>
        </is>
      </c>
      <c r="AK798"/>
    </row>
    <row r="799" ht="25.5" customHeight="1">
      <c r="A799" s="2" t="str">
        <f>=HYPERLINK("https://applink.larksuite.com/client/mini_program/open?appId=cli_9c7cc8a9a9edd105&amp;mode=appCenter&amp;path_pc=pc/pages/requested/index?instanceId=7558395298465185823&amp;source=bitable&amp;path=pages/detail/index?instanceId=7558395298465185823&amp;source=bitable", "202510070067")</f>
        <v>202510070067</v>
      </c>
      <c r="B799" t="inlineStr">
        <is>
          <t>Approved</t>
        </is>
      </c>
      <c r="C799" t="inlineStr">
        <is>
          <t>Procurement Order</t>
        </is>
      </c>
      <c r="D799" s="3">
        <v>45937.690300925926</v>
      </c>
      <c r="E799" s="3">
        <v>45944.73248842593</v>
      </c>
      <c r="F799" t="inlineStr">
        <is>
          <t>Rushelle A. Capistrano</t>
        </is>
      </c>
      <c r="G799" t="inlineStr">
        <is>
          <t>Procurement</t>
        </is>
      </c>
      <c r="H799"/>
      <c r="I799"/>
      <c r="J799" t="inlineStr">
        <is>
          <t>Project</t>
        </is>
      </c>
      <c r="K799" t="inlineStr">
        <is>
          <t>PDEI - Event Service</t>
        </is>
      </c>
      <c r="L799" t="inlineStr">
        <is>
          <t>GTCC 2025: September Arena</t>
        </is>
      </c>
      <c r="M799" t="inlineStr">
        <is>
          <t>2025TEG-P0236</t>
        </is>
      </c>
      <c r="N799" t="inlineStr">
        <is>
          <t>Frances Angelita Arreglado</t>
        </is>
      </c>
      <c r="O799" t="inlineStr">
        <is>
          <t>202509300122-Carla Andrea Calma Crespo-费用报销 - 副本 - 副本 - 副本-2025-09-30 11:46:01</t>
        </is>
      </c>
      <c r="P799" t="inlineStr">
        <is>
          <t>YES</t>
        </is>
      </c>
      <c r="Q799"/>
      <c r="R799" t="inlineStr">
        <is>
          <t>YES</t>
        </is>
      </c>
      <c r="S799" t="inlineStr">
        <is>
          <t>Outsourced Video Editor</t>
        </is>
      </c>
      <c r="T799">
        <v>1</v>
      </c>
      <c r="U799">
        <v>50000</v>
      </c>
      <c r="V799" t="inlineStr">
        <is>
          <t>PHP</t>
        </is>
      </c>
      <c r="W799">
        <v>50000</v>
      </c>
      <c r="X799" s="2" t="str">
        <f>=HYPERLINK("https://www.larksuite.com/approval/admin/previewAttachment?key=PMgxCsJgDAXgK72XvPxJvIyLpdihUBC65eyCg-u3ilgV9NVQ0xqcjCjvsC6tYEWZjw0zG8k0m-3cn8d9sfI6iFPya-73a98-jE4zpEteAPj4u6ek7iX8HN8AAAD__w", "2 attachment(s)")</f>
        <v>2 attachment(s)</v>
      </c>
      <c r="Y799" t="inlineStr">
        <is>
          <t>Bank Transfer</t>
        </is>
      </c>
      <c r="Z799" t="inlineStr">
        <is>
          <t>Ziegfred Perez Domingo</t>
        </is>
      </c>
      <c r="AA799" t="inlineStr">
        <is>
          <t>8034 7580 0832</t>
        </is>
      </c>
      <c r="AB799" t="inlineStr">
        <is>
          <t>Maya Bank, Inc.</t>
        </is>
      </c>
      <c r="AC799" t="inlineStr">
        <is>
          <t>Block 4 Lot 12 San Lucas Street MWSS Compound Delpan Tondo, Manila</t>
        </is>
      </c>
      <c r="AD799" s="4">
        <v>45954</v>
      </c>
      <c r="AE799" t="inlineStr">
        <is>
          <t>1st Payment Oct 24, 2025
Final Payment Oct 31, 2025</t>
        </is>
      </c>
      <c r="AF799" s="2"/>
      <c r="AG799" t="inlineStr">
        <is>
          <t>NzQyNTk5MTgyNzQ4MTg3MDM0MToyMkIzRTZEMi1GQ0EyLTQyQzctQkM1RS04OEVGODg0NDhCMTUtMTphZTNhYmM1ZTc5NmMyN2YxMGQ3MmRjYTI4ZjFhNDdiMzox</t>
        </is>
      </c>
      <c r="AH799" t="inlineStr">
        <is>
          <t>Ziegfred P. Domingo</t>
        </is>
      </c>
      <c r="AI799"/>
      <c r="AJ799" t="inlineStr">
        <is>
          <t>LIQUIDITY PLAN (PAR # 202508110059 / 2025TEG-P0236)
FINAL 911 - CE INTERNAL &gt; CREATIVE SERVICES &gt;
Media Day &gt; Video Editors
Total Budget = Php 40,000.00
Actual Cost = Php 50,000.00
Balance = (Php 10,000.00) OVER BUDGET</t>
        </is>
      </c>
      <c r="AK799"/>
    </row>
    <row r="800" ht="25.5" customHeight="1">
      <c r="A800" s="2" t="str">
        <f>=HYPERLINK("https://applink.larksuite.com/client/mini_program/open?appId=cli_9c7cc8a9a9edd105&amp;mode=appCenter&amp;path_pc=pc/pages/requested/index?instanceId=7558413481683255328&amp;source=bitable&amp;path=pages/detail/index?instanceId=7558413481683255328&amp;source=bitable", "202510070090")</f>
        <v>202510070090</v>
      </c>
      <c r="B800" t="inlineStr">
        <is>
          <t>Approved</t>
        </is>
      </c>
      <c r="C800" t="inlineStr">
        <is>
          <t>Procurement Order</t>
        </is>
      </c>
      <c r="D800" s="3">
        <v>45937.73930555556</v>
      </c>
      <c r="E800" s="3">
        <v>45938.498761574076</v>
      </c>
      <c r="F800" t="inlineStr">
        <is>
          <t>Rushelle A. Capistrano</t>
        </is>
      </c>
      <c r="G800" t="inlineStr">
        <is>
          <t>Procurement</t>
        </is>
      </c>
      <c r="H800"/>
      <c r="I800"/>
      <c r="J800" t="inlineStr">
        <is>
          <t>Project</t>
        </is>
      </c>
      <c r="K800" t="inlineStr">
        <is>
          <t>PDEI - Event Service</t>
        </is>
      </c>
      <c r="L800" t="inlineStr">
        <is>
          <t>GTCC 2025: September Arena</t>
        </is>
      </c>
      <c r="M800" t="inlineStr">
        <is>
          <t>2025TEG-P0236</t>
        </is>
      </c>
      <c r="N800" t="inlineStr">
        <is>
          <t>Frances Angelita Arreglado</t>
        </is>
      </c>
      <c r="O800" t="inlineStr">
        <is>
          <t>202509290041-Juvie Anne Asis Castres-费用报销 - 副本 - 副本 - 副本-2025-09-29 05:37:34</t>
        </is>
      </c>
      <c r="P800" t="inlineStr">
        <is>
          <t>YES</t>
        </is>
      </c>
      <c r="Q800"/>
      <c r="R800" t="inlineStr">
        <is>
          <t>NO</t>
        </is>
      </c>
      <c r="S800" t="inlineStr">
        <is>
          <t>Outsourced IT Support</t>
        </is>
      </c>
      <c r="T800">
        <v>1</v>
      </c>
      <c r="U800">
        <v>6800</v>
      </c>
      <c r="V800" t="inlineStr">
        <is>
          <t>PHP</t>
        </is>
      </c>
      <c r="W800">
        <v>6800</v>
      </c>
      <c r="X800" s="2" t="str">
        <f>=HYPERLINK("https://www.larksuite.com/approval/admin/previewAttachment?key=PMg9CkJBDATgK81Mkk3iZWx8LP49EQSx2bMLFrbfKGJU0EbDm2pwZUQ5zYujTBGmWlrMbCRTWts-j8_rrJTic3_sl9u23ufT3F6MTglp7lYAePi7pbt3D8fP8Q0AAP__", "2 attachment(s)")</f>
        <v>2 attachment(s)</v>
      </c>
      <c r="Y800" t="inlineStr">
        <is>
          <t>Bank Transfer</t>
        </is>
      </c>
      <c r="Z800" t="inlineStr">
        <is>
          <t>Jay Laurence Francisco</t>
        </is>
      </c>
      <c r="AA800" t="inlineStr">
        <is>
          <t>09275444740</t>
        </is>
      </c>
      <c r="AB800" t="inlineStr">
        <is>
          <t>Gcash</t>
        </is>
      </c>
      <c r="AC800" t="inlineStr">
        <is>
          <t>45 Zamora Compound Banaba San Mateo Rizal</t>
        </is>
      </c>
      <c r="AD800" s="4">
        <v>45947</v>
      </c>
      <c r="AE800" t="inlineStr">
        <is>
          <t>One-Time Payment Oct 17, 2025</t>
        </is>
      </c>
      <c r="AF800" s="2"/>
      <c r="AG800" t="inlineStr">
        <is>
          <t>NzQyNTk5MTgyNzQ4MTg3MDM0MTozQjYwMDFFMy1FQjg2LTRDREMtQTZERC1GRkY4RTIzRTM4Q0MtMTpjODYxZWQ5NDNhNzE3Y2M0ZmQzZDFkZGJkMWZhNDk1Yjox</t>
        </is>
      </c>
      <c r="AH800" t="inlineStr">
        <is>
          <t>Jay Laurence Francisco</t>
        </is>
      </c>
      <c r="AI800"/>
      <c r="AJ800" t="inlineStr">
        <is>
          <t>LIQUIDITY PLAN (PAR # 202508110059 / 2025TEG-P0236)
FINAL 911 - CE INTERNAL &gt; MANPOWER &gt;
IT &gt; IT Supports
Total Budget = Php 8,000.00
Actual Cost = Php 6,800.00
Balance = (Php 1,200.00)</t>
        </is>
      </c>
      <c r="AK800"/>
    </row>
    <row r="801" ht="25.5" customHeight="1">
      <c r="A801" s="2" t="str">
        <f>=HYPERLINK("https://applink.larksuite.com/client/mini_program/open?appId=cli_9c7cc8a9a9edd105&amp;mode=appCenter&amp;path_pc=pc/pages/requested/index?instanceId=7558396234763894815&amp;source=bitable&amp;path=pages/detail/index?instanceId=7558396234763894815&amp;source=bitable", "202510070068")</f>
        <v>202510070068</v>
      </c>
      <c r="B801" t="inlineStr">
        <is>
          <t>Recalled</t>
        </is>
      </c>
      <c r="C801" t="inlineStr">
        <is>
          <t>Procurement Order</t>
        </is>
      </c>
      <c r="D801" s="3">
        <v>45937.692824074074</v>
      </c>
      <c r="E801" s="3">
        <v>45938.726064814815</v>
      </c>
      <c r="F801" t="inlineStr">
        <is>
          <t>Rushelle A. Capistrano</t>
        </is>
      </c>
      <c r="G801" t="inlineStr">
        <is>
          <t>Procurement</t>
        </is>
      </c>
      <c r="H801"/>
      <c r="I801"/>
      <c r="J801" t="inlineStr">
        <is>
          <t>Project</t>
        </is>
      </c>
      <c r="K801" t="inlineStr">
        <is>
          <t>PDEI - Event Service</t>
        </is>
      </c>
      <c r="L801" t="inlineStr">
        <is>
          <t>GTCC 2025: September Arena</t>
        </is>
      </c>
      <c r="M801" t="inlineStr">
        <is>
          <t>2025TEG-P0236</t>
        </is>
      </c>
      <c r="N801" t="inlineStr">
        <is>
          <t>Frances Angelita Arreglado</t>
        </is>
      </c>
      <c r="O801" t="inlineStr">
        <is>
          <t>202509300122-Carla Andrea Calma Crespo-费用报销 - 副本 - 副本 - 副本-2025-09-30 11:46:01</t>
        </is>
      </c>
      <c r="P801" t="inlineStr">
        <is>
          <t>YES</t>
        </is>
      </c>
      <c r="Q801"/>
      <c r="R801" t="inlineStr">
        <is>
          <t>YES</t>
        </is>
      </c>
      <c r="S801" t="inlineStr">
        <is>
          <t>Outsourced Video Editor</t>
        </is>
      </c>
      <c r="T801">
        <v>1</v>
      </c>
      <c r="U801">
        <v>50000</v>
      </c>
      <c r="V801" t="inlineStr">
        <is>
          <t>PHP</t>
        </is>
      </c>
      <c r="W801">
        <v>50000</v>
      </c>
      <c r="X801" s="2" t="str">
        <f>=HYPERLINK("https://www.larksuite.com/approval/admin/previewAttachment?key=PMgxCoIxDAXgK70kr0mel3Fp-XERCoLg0LMLDq5ftiF7WKRAmQt2aowOpQcro8W2cfxYlVBW7mc9r_uK3h9t2JzYnOf9mNd62VC5o4KMBmC3v0eRlJL4Ob4BAAD__w", "2 attachment(s)")</f>
        <v>2 attachment(s)</v>
      </c>
      <c r="Y801" t="inlineStr">
        <is>
          <t>Bank Transfer</t>
        </is>
      </c>
      <c r="Z801" t="inlineStr">
        <is>
          <t>Ziegfred Perez Domingo</t>
        </is>
      </c>
      <c r="AA801" t="inlineStr">
        <is>
          <t>8034 7580 0832</t>
        </is>
      </c>
      <c r="AB801" t="inlineStr">
        <is>
          <t>Maya Bank, Inc.</t>
        </is>
      </c>
      <c r="AC801" t="inlineStr">
        <is>
          <t>Block 4 Lot 12 San Lucas Street MWSS Compound Delpan Tondo, Manila</t>
        </is>
      </c>
      <c r="AD801" s="4">
        <v>45954</v>
      </c>
      <c r="AE801" t="inlineStr">
        <is>
          <t>1st Payment Oct 24, 2025
Final Payment oct 31, 2025</t>
        </is>
      </c>
      <c r="AF801" s="2"/>
      <c r="AG801" t="inlineStr">
        <is>
          <t>NzQyNTk5MTgyNzQ4MTg3MDM0MTozQzcyRjY0Qy00OTRCLTQwMTYtODgwRi1BQjI3MkM5RjkyNzItMTpiODBlOTFlNjFkN2ZkYWU1NzExNzYwZDhjZmM3NDQwNjox</t>
        </is>
      </c>
      <c r="AH801" t="inlineStr">
        <is>
          <t>Ziegfred P. Domingo</t>
        </is>
      </c>
      <c r="AI801"/>
      <c r="AJ801" t="inlineStr">
        <is>
          <t>LIQUIDITY PLAN (PAR # 202508110059 / 2025TEG-P0236)
FINAL 911 - CE INTERNAL &gt; CREATIVE SERVICES &gt;
Media Day &gt; Video Editors
Total Budget = Php 40,000.00
Actual Cost = Php 50,000.00
Balance = (Php 10,000.00) OVER BUDGET</t>
        </is>
      </c>
      <c r="AK801"/>
    </row>
    <row r="802" ht="25.5" customHeight="1">
      <c r="A802" s="2" t="str">
        <f>=HYPERLINK("https://applink.larksuite.com/client/mini_program/open?appId=cli_9c7cc8a9a9edd105&amp;mode=appCenter&amp;path_pc=pc/pages/requested/index?instanceId=7558400202638393383&amp;source=bitable&amp;path=pages/detail/index?instanceId=7558400202638393383&amp;source=bitable", "202510070073")</f>
        <v>202510070073</v>
      </c>
      <c r="B802" t="inlineStr">
        <is>
          <t>Approved</t>
        </is>
      </c>
      <c r="C802" t="inlineStr">
        <is>
          <t>Procurement Order</t>
        </is>
      </c>
      <c r="D802" s="3">
        <v>45937.703518518516</v>
      </c>
      <c r="E802" s="3">
        <v>45944.73431712963</v>
      </c>
      <c r="F802" t="inlineStr">
        <is>
          <t>Rushelle A. Capistrano</t>
        </is>
      </c>
      <c r="G802" t="inlineStr">
        <is>
          <t>Procurement</t>
        </is>
      </c>
      <c r="H802"/>
      <c r="I802"/>
      <c r="J802" t="inlineStr">
        <is>
          <t>Project</t>
        </is>
      </c>
      <c r="K802" t="inlineStr">
        <is>
          <t>PDEI - Event Service</t>
        </is>
      </c>
      <c r="L802" t="inlineStr">
        <is>
          <t>GTCC 2025: September Arena</t>
        </is>
      </c>
      <c r="M802" t="inlineStr">
        <is>
          <t>2025TEG-P0236</t>
        </is>
      </c>
      <c r="N802" t="inlineStr">
        <is>
          <t>Frances Angelita Arreglado</t>
        </is>
      </c>
      <c r="O802" t="inlineStr">
        <is>
          <t>202510060052-Carla Andrea Calma Crespo-费用报销 - 副本 - 副本 - 副本-2025-10-06 06:36:36</t>
        </is>
      </c>
      <c r="P802" t="inlineStr">
        <is>
          <t>YES</t>
        </is>
      </c>
      <c r="Q802"/>
      <c r="R802" t="inlineStr">
        <is>
          <t>YES</t>
        </is>
      </c>
      <c r="S802" t="inlineStr">
        <is>
          <t>Outsourced Technical Director</t>
        </is>
      </c>
      <c r="T802">
        <v>1</v>
      </c>
      <c r="U802">
        <v>76000</v>
      </c>
      <c r="V802" t="inlineStr">
        <is>
          <t>PHP</t>
        </is>
      </c>
      <c r="W802">
        <v>76000</v>
      </c>
      <c r="X802" s="2" t="str">
        <f>=HYPERLINK("https://www.larksuite.com/approval/admin/previewAttachment?key=PMg7CoJBDATgK00y2Ty8jE2WHxtBEBYscnbBwvbzFHguoResRAsysVYaoFBnssjk6EhEISRUZz-v-2a-Pn1O9Y62nvPoa79lVagiaMYEILe_M8ysyg0_xzcAAP__", "2 attachment(s)")</f>
        <v>2 attachment(s)</v>
      </c>
      <c r="Y802" t="inlineStr">
        <is>
          <t>Bank Transfer</t>
        </is>
      </c>
      <c r="Z802" t="inlineStr">
        <is>
          <t>Jordan Swing</t>
        </is>
      </c>
      <c r="AA802" t="inlineStr">
        <is>
          <t>001560339452</t>
        </is>
      </c>
      <c r="AB802" t="inlineStr">
        <is>
          <t>BDO</t>
        </is>
      </c>
      <c r="AC802" t="inlineStr">
        <is>
          <t>723 P Gomez St Brgy Hagdan Bato Itaas Mandaluyong City</t>
        </is>
      </c>
      <c r="AD802" s="4">
        <v>45947</v>
      </c>
      <c r="AE802" t="inlineStr">
        <is>
          <t>1st Payment Oct. 17, 2025
Final Payment Oct. 31, 2025</t>
        </is>
      </c>
      <c r="AF802" s="2"/>
      <c r="AG802" t="inlineStr">
        <is>
          <t>NzQyNTk5MTgyNzQ4MTg3MDM0MTpEQUNFMEIxNC0xMzI2LTRFMUMtQjcxNi1GMDE0MjFCRjVEMUItMTo5Y2M3Njc0Nzg0Y2MwYzc0NDdkMGVjNmYyZmQyYjkyYzox</t>
        </is>
      </c>
      <c r="AH802" t="inlineStr">
        <is>
          <t>Jordan Swing</t>
        </is>
      </c>
      <c r="AI802"/>
      <c r="AJ802" t="inlineStr">
        <is>
          <t>LIQUIDITY PLAN (PAR # 202508110059 / 2025TEG-P0236)
FINAL 911 - CE INTERNAL &gt; MANPOWER &gt;
STAGING &amp; TECHNICALS &gt; 
Event Technical Director 
Event Assistant Technical Director
Total Budget = Php 30,000.00
Actual Cost = Php 76,000.00
Balance = (Php 46,000.00) OVER BUDGET</t>
        </is>
      </c>
      <c r="AK802"/>
    </row>
    <row r="803" ht="25.5" customHeight="1">
      <c r="A803" s="2" t="str">
        <f>=HYPERLINK("https://applink.larksuite.com/client/mini_program/open?appId=cli_9c7cc8a9a9edd105&amp;mode=appCenter&amp;path_pc=pc/pages/requested/index?instanceId=7558428840561754144&amp;source=bitable&amp;path=pages/detail/index?instanceId=7558428840561754144&amp;source=bitable", "202510070096")</f>
        <v>202510070096</v>
      </c>
      <c r="B803" t="inlineStr">
        <is>
          <t>Approved</t>
        </is>
      </c>
      <c r="C803" t="inlineStr">
        <is>
          <t>Procurement Order</t>
        </is>
      </c>
      <c r="D803" s="3">
        <v>45937.780694444446</v>
      </c>
      <c r="E803" s="3">
        <v>45937.80416666667</v>
      </c>
      <c r="F803" t="inlineStr">
        <is>
          <t>Arlyn Castillo</t>
        </is>
      </c>
      <c r="G803" t="inlineStr">
        <is>
          <t>Procurement</t>
        </is>
      </c>
      <c r="H803"/>
      <c r="I803"/>
      <c r="J803" t="inlineStr">
        <is>
          <t>CAPEX</t>
        </is>
      </c>
      <c r="K803"/>
      <c r="L803"/>
      <c r="M803"/>
      <c r="N803"/>
      <c r="O803" t="inlineStr">
        <is>
          <t>202510070071-Marvin Lu-费用报销 - 副本 - 副本 - 副本-2025-10-07 08:43:44</t>
        </is>
      </c>
      <c r="P803"/>
      <c r="Q803" t="inlineStr">
        <is>
          <t>Mineski PH</t>
        </is>
      </c>
      <c r="R803"/>
      <c r="S803" t="inlineStr">
        <is>
          <t>Osmo Pocket 3 Creator Combo</t>
        </is>
      </c>
      <c r="T803">
        <v>1</v>
      </c>
      <c r="U803">
        <v>37490</v>
      </c>
      <c r="V803" t="inlineStr">
        <is>
          <t>PHP</t>
        </is>
      </c>
      <c r="W803">
        <v>37490</v>
      </c>
      <c r="X803" s="2" t="str">
        <f>=HYPERLINK("https://www.larksuite.com/approval/admin/previewAttachment?key=PMgxqoJBDATgK81kJ5vkXeY1LosKiiD-YJGzCxa230xipnPMgopWYId7yjIFnwwXpbZmRCEYZr1u-_9x3Rnv12VxrPs--jif9nrSK8wQQxoJgH8_HyGpagpfxycAAP__", "4 attachment(s)")</f>
        <v>4 attachment(s)</v>
      </c>
      <c r="Y803" t="inlineStr">
        <is>
          <t>Bank Transfer</t>
        </is>
      </c>
      <c r="Z803" t="inlineStr">
        <is>
          <t>Henry's Professional Photo Marketing Inc.</t>
        </is>
      </c>
      <c r="AA803" t="inlineStr">
        <is>
          <t>Gcash QR</t>
        </is>
      </c>
      <c r="AB803" t="inlineStr">
        <is>
          <t>Gcash QR</t>
        </is>
      </c>
      <c r="AC803" t="inlineStr">
        <is>
          <t>3rd Flr D-Annex, SM North Edsa Bagong Pag-as, Quezon City</t>
        </is>
      </c>
      <c r="AD803" s="4">
        <v>45937</v>
      </c>
      <c r="AE803" t="inlineStr">
        <is>
          <t>100% Full Payment</t>
        </is>
      </c>
      <c r="AF803" s="2" t="str">
        <f>=HYPERLINK("https://www.larksuite.com/approval/admin/previewAttachment?key=TMg7ioJBEATgK1X1u_cymzgMKiiC-INBn10wMv2iiCinRsOa0uCke5lUGTyYbjQbGWY2kiky67b_H9dd-X5dFnXd9zHH-bTXk1EasHYzNgD-_TiJLg39Oj4BAAD__w", "4 attachment(s)")</f>
        <v>4 attachment(s)</v>
      </c>
      <c r="AG803" t="inlineStr">
        <is>
          <t>NzQyNTk5MTgyNzQ4MTg3MDM0MTo2NjhFMjM0Qi1DNDQzLTRGRTItQjJGMC00MkFENjc3N0RGMDItMTozODFhYzY4NzEwNDUyZWY5MDJjNjc4N2NhZjFjODE4Mjox</t>
        </is>
      </c>
      <c r="AH803" t="inlineStr">
        <is>
          <t>Henry's Professional Photo Marketing Inc.</t>
        </is>
      </c>
      <c r="AI803"/>
      <c r="AJ803"/>
      <c r="AK803"/>
    </row>
    <row r="804" ht="25.5" customHeight="1">
      <c r="A804" s="2" t="str">
        <f>=HYPERLINK("https://applink.larksuite.com/client/mini_program/open?appId=cli_9c7cc8a9a9edd105&amp;mode=appCenter&amp;path_pc=pc/pages/requested/index?instanceId=7558425290859364383&amp;source=bitable&amp;path=pages/detail/index?instanceId=7558425290859364383&amp;source=bitable", "202510070095")</f>
        <v>202510070095</v>
      </c>
      <c r="B804" t="inlineStr">
        <is>
          <t>Approved</t>
        </is>
      </c>
      <c r="C804" t="inlineStr">
        <is>
          <t>Procurement Order</t>
        </is>
      </c>
      <c r="D804" s="3">
        <v>45937.77112268518</v>
      </c>
      <c r="E804" s="3">
        <v>45944.73142361111</v>
      </c>
      <c r="F804" t="inlineStr">
        <is>
          <t>Rushelle A. Capistrano</t>
        </is>
      </c>
      <c r="G804" t="inlineStr">
        <is>
          <t>Procurement</t>
        </is>
      </c>
      <c r="H804"/>
      <c r="I804"/>
      <c r="J804" t="inlineStr">
        <is>
          <t>Project</t>
        </is>
      </c>
      <c r="K804" t="inlineStr">
        <is>
          <t>PDEI - Event Service</t>
        </is>
      </c>
      <c r="L804" t="inlineStr">
        <is>
          <t>GTCC September Arena</t>
        </is>
      </c>
      <c r="M804" t="inlineStr">
        <is>
          <t>2025TEG-P0236</t>
        </is>
      </c>
      <c r="N804" t="inlineStr">
        <is>
          <t>Frances Angelita Arreglado</t>
        </is>
      </c>
      <c r="O804" t="inlineStr">
        <is>
          <t>202510070043-Frances Angelita Arreglado-费用报销 - 副本 - 副本 - 副本-2025-10-07 07:07:36</t>
        </is>
      </c>
      <c r="P804" t="inlineStr">
        <is>
          <t>YES</t>
        </is>
      </c>
      <c r="Q804"/>
      <c r="R804" t="inlineStr">
        <is>
          <t>YES</t>
        </is>
      </c>
      <c r="S804" t="inlineStr">
        <is>
          <t>Outsourced Broadcast Producer &amp; Ass. TD</t>
        </is>
      </c>
      <c r="T804">
        <v>1</v>
      </c>
      <c r="U804">
        <v>35000</v>
      </c>
      <c r="V804" t="inlineStr">
        <is>
          <t>PHP</t>
        </is>
      </c>
      <c r="W804">
        <v>35000</v>
      </c>
      <c r="X804" s="2" t="str">
        <f>=HYPERLINK("https://www.larksuite.com/approval/admin/previewAttachment?key=PMg7CgJADATQK02SySbjZWxcFvHXCKLFnl2wsH2jDaPTYgiUuWC7MpueLnQqBqNj-7Yqoaw89ryvI_0GBa6fXOtxee_X-bTm01LljgoyGoAd_h5FUhrEz_ENAAD__w", "2 attachment(s)")</f>
        <v>2 attachment(s)</v>
      </c>
      <c r="Y804" t="inlineStr">
        <is>
          <t>Bank Transfer</t>
        </is>
      </c>
      <c r="Z804" t="inlineStr">
        <is>
          <t>Khrizen A. Angeles</t>
        </is>
      </c>
      <c r="AA804" t="inlineStr">
        <is>
          <t>109356750810</t>
        </is>
      </c>
      <c r="AB804" t="inlineStr">
        <is>
          <t>Union Bank of the Philippines</t>
        </is>
      </c>
      <c r="AC804" t="inlineStr">
        <is>
          <t>9G, Tower 1, Toyota Avenue, corner Marquinton Drive, Barangay Sto. Niño, Marikina, 1800 Metro Manila, Philippines</t>
        </is>
      </c>
      <c r="AD804" s="4">
        <v>45947</v>
      </c>
      <c r="AE804" t="inlineStr">
        <is>
          <t>One-Time Payment Oct. 17, 2025</t>
        </is>
      </c>
      <c r="AF804" s="2"/>
      <c r="AG804" t="inlineStr">
        <is>
          <t>NzQyNTk5MTgyNzQ4MTg3MDM0MTpENzk1MjZFRi03OTY4LTQ5QkMtQTM3RC1GM0VEMTA0MjI2QjctMTo5ZDZmMzMyNGMwYWZhNmU3ZDY1M2Y2MjM1OTg1ZjI2Mjox</t>
        </is>
      </c>
      <c r="AH804" t="inlineStr">
        <is>
          <t>Khrizen A. Angeles</t>
        </is>
      </c>
      <c r="AI804"/>
      <c r="AJ804" t="inlineStr">
        <is>
          <t>LIQUIDITY PLAN (PAR # 202508110059 / 2025TEG-P0236)
FINAL 911 - CE INTERNAL &gt; MANPOWER &gt;
BROADCAST &amp; PRODUCTION &gt; Broadcast Producer &amp; Ass. Technical Director
Total Budget = Php 25,000.00
Actual Cost = Php 35,000.00
Balance = (Php 10,000.00) OVER BUDGET</t>
        </is>
      </c>
      <c r="AK804"/>
    </row>
    <row r="805" ht="25.5" customHeight="1">
      <c r="A805" s="2" t="str">
        <f>=HYPERLINK("https://applink.larksuite.com/client/mini_program/open?appId=cli_9c7cc8a9a9edd105&amp;mode=appCenter&amp;path_pc=pc/pages/requested/index?instanceId=7558041163945574438&amp;source=bitable&amp;path=pages/detail/index?instanceId=7558041163945574438&amp;source=bitable", "202510060109")</f>
        <v>202510060109</v>
      </c>
      <c r="B805" t="inlineStr">
        <is>
          <t>Approved</t>
        </is>
      </c>
      <c r="C805" t="inlineStr">
        <is>
          <t>Procurement Order</t>
        </is>
      </c>
      <c r="D805" s="3">
        <v>45936.735983796294</v>
      </c>
      <c r="E805" s="3">
        <v>45938.59452546296</v>
      </c>
      <c r="F805" t="inlineStr">
        <is>
          <t>Fatima Kathleen M. FLores</t>
        </is>
      </c>
      <c r="G805" t="inlineStr">
        <is>
          <t>Procurement</t>
        </is>
      </c>
      <c r="H805"/>
      <c r="I805"/>
      <c r="J805" t="inlineStr">
        <is>
          <t>Project</t>
        </is>
      </c>
      <c r="K805" t="inlineStr">
        <is>
          <t>PDEI - Game Marketing</t>
        </is>
      </c>
      <c r="L805" t="inlineStr">
        <is>
          <t>SMDC Heroes Clash Community Arena Tournament Year 3</t>
        </is>
      </c>
      <c r="M805" t="inlineStr">
        <is>
          <t>2025TEG-P0247</t>
        </is>
      </c>
      <c r="N805" t="inlineStr">
        <is>
          <t>Clifford Markus Ortiz Martinez</t>
        </is>
      </c>
      <c r="O805" t="inlineStr">
        <is>
          <t>202510020039-Clifford Markus Ortiz Martinez-费用报销 - 副本 - 副本 - 副本-2025-10-02 07:12:57</t>
        </is>
      </c>
      <c r="P805" t="inlineStr">
        <is>
          <t>YES</t>
        </is>
      </c>
      <c r="Q805"/>
      <c r="R805" t="inlineStr">
        <is>
          <t>YES</t>
        </is>
      </c>
      <c r="S805" t="inlineStr">
        <is>
          <t>Outsourced IT Personnel</t>
        </is>
      </c>
      <c r="T805">
        <v>1</v>
      </c>
      <c r="U805">
        <v>1650</v>
      </c>
      <c r="V805" t="inlineStr">
        <is>
          <t>PHP</t>
        </is>
      </c>
      <c r="W805">
        <v>1650</v>
      </c>
      <c r="X805" s="2" t="str">
        <f>=HYPERLINK("https://www.larksuite.com/approval/admin/previewAttachment?key=PMs7CgJBEATQK1X1Z2ray5i4LAYrCOKIQZ9dNDB98MYkxkz6KETRCmxlTgQ5vCJTET7bmlJBlHlvt_0cdjBfc9X7ruc6el0v-_Zglswg_yYAPP3dFRFVI_BzfAIAAP__", "2 attachment(s)")</f>
        <v>2 attachment(s)</v>
      </c>
      <c r="Y805" t="inlineStr">
        <is>
          <t>Bank Transfer</t>
        </is>
      </c>
      <c r="Z805" t="inlineStr">
        <is>
          <t>Rommel Lopera</t>
        </is>
      </c>
      <c r="AA805" t="inlineStr">
        <is>
          <t>0946-059-5772</t>
        </is>
      </c>
      <c r="AB805" t="inlineStr">
        <is>
          <t>GCash</t>
        </is>
      </c>
      <c r="AC805" t="inlineStr">
        <is>
          <t>#29 EVERLAST COMPOUND MAMBUGAN ANTIPOLO CITY</t>
        </is>
      </c>
      <c r="AD805" s="4">
        <v>45934</v>
      </c>
      <c r="AE805" t="inlineStr">
        <is>
          <t>100% Full Payment - Oct. 17, 2025</t>
        </is>
      </c>
      <c r="AF805" s="2"/>
      <c r="AG805" t="inlineStr">
        <is>
          <t>NzQyNTk5MTgyNzQ4MTg3MDM0MTpCNEY5NjY2My02OUJDLTQzQTAtQUUwQy0xQUJGRTAxMzM2NUEtMTozODQyODJmYzM4MjI2NGJiYTMwOTlhMjkwYzIyYzc0MDox</t>
        </is>
      </c>
      <c r="AH805" t="inlineStr">
        <is>
          <t>Rommel Lopera</t>
        </is>
      </c>
      <c r="AI805"/>
      <c r="AJ805" t="inlineStr">
        <is>
          <t>LIQUIDITY PLAN (PAR # 202509190067 / 2025TEG-P0247)
NETWORK INFRASTRUCTURE &gt; Network Equipment and Infrastructure Package
Total Budget = Php 35,000.00
Actual Cost = Php 1,650.00
Balance = Php 33,350.00</t>
        </is>
      </c>
      <c r="AK805"/>
    </row>
    <row r="806" ht="25.5" customHeight="1">
      <c r="A806" s="2" t="str">
        <f>=HYPERLINK("https://applink.larksuite.com/client/mini_program/open?appId=cli_9c7cc8a9a9edd105&amp;mode=appCenter&amp;path_pc=pc/pages/requested/index?instanceId=7558746079672418335&amp;source=bitable&amp;path=pages/detail/index?instanceId=7558746079672418335&amp;source=bitable", "202510080035")</f>
        <v>202510080035</v>
      </c>
      <c r="B806" t="inlineStr">
        <is>
          <t>Approved</t>
        </is>
      </c>
      <c r="C806" t="inlineStr">
        <is>
          <t>Procurement Order</t>
        </is>
      </c>
      <c r="D806" s="3">
        <v>45938.63559027778</v>
      </c>
      <c r="E806" s="3">
        <v>45940.45481481482</v>
      </c>
      <c r="F806" t="inlineStr">
        <is>
          <t>Arlyn Castillo</t>
        </is>
      </c>
      <c r="G806" t="inlineStr">
        <is>
          <t>Procurement</t>
        </is>
      </c>
      <c r="H806"/>
      <c r="I806"/>
      <c r="J806" t="inlineStr">
        <is>
          <t>Project</t>
        </is>
      </c>
      <c r="K806" t="inlineStr">
        <is>
          <t>PDEI - Event Service</t>
        </is>
      </c>
      <c r="L806" t="inlineStr">
        <is>
          <t>MDL PH S6 Playoffs + Grand Finals Watch Party</t>
        </is>
      </c>
      <c r="M806" t="inlineStr">
        <is>
          <t>2025TEG-P0197</t>
        </is>
      </c>
      <c r="N806" t="inlineStr">
        <is>
          <t>Kervin</t>
        </is>
      </c>
      <c r="O806" t="inlineStr">
        <is>
          <t>202510060077-Kervin-费用报销 - 副本 - 副本 - 副本-2025-10-06 08:35:21</t>
        </is>
      </c>
      <c r="P806" t="inlineStr">
        <is>
          <t>NO</t>
        </is>
      </c>
      <c r="Q806"/>
      <c r="R806" t="inlineStr">
        <is>
          <t>YES</t>
        </is>
      </c>
      <c r="S806" t="inlineStr">
        <is>
          <t>Customized 3" Medals Tanzo with Plates</t>
        </is>
      </c>
      <c r="T806">
        <v>22</v>
      </c>
      <c r="U806">
        <v>950</v>
      </c>
      <c r="V806" t="inlineStr">
        <is>
          <t>PHP</t>
        </is>
      </c>
      <c r="W806">
        <v>20900</v>
      </c>
      <c r="X806" s="2"/>
      <c r="Y806" t="inlineStr">
        <is>
          <t>Bank Transfer</t>
        </is>
      </c>
      <c r="Z806" t="inlineStr">
        <is>
          <t>Dessiree P. Deceana</t>
        </is>
      </c>
      <c r="AA806" t="inlineStr">
        <is>
          <t>1589509125</t>
        </is>
      </c>
      <c r="AB806" t="inlineStr">
        <is>
          <t>BPI</t>
        </is>
      </c>
      <c r="AC806" t="inlineStr">
        <is>
          <t>1761 CM Recto Sta. Cruz, Manila</t>
        </is>
      </c>
      <c r="AD806" s="4">
        <v>45947</v>
      </c>
      <c r="AE806" t="inlineStr">
        <is>
          <t>50% Down payment upon confirmation
50% Final Payment before delivery</t>
        </is>
      </c>
      <c r="AF806" s="2" t="str">
        <f>=HYPERLINK("https://www.larksuite.com/approval/admin/previewAttachment?key=TMg9CsJAEAXgK7238-9lbBIWg8ZGFLaYswtWtp8n4WkUL2hxFNhhlqGOKI-hTBHr0YwoBGNI7-e8vtfU9TwPeYztPo_-3La5v-gpDi1TZQHg5c9JVIrLz_ENAAD__w", "1 attachment(s)")</f>
        <v>1 attachment(s)</v>
      </c>
      <c r="AG806" t="inlineStr">
        <is>
          <t>NzQyNTk5MTgyNzQ4MTg3MDM0MTo1OUJGNTE0Mi1BNjAyLTQyNEUtODczOS1GODY2QjI1REE5MzMtMTo3MGViNmMyNDA1YzRlZmM3NGZkOGNkZTgwMzk3MTJkNjox</t>
        </is>
      </c>
      <c r="AH806" t="inlineStr">
        <is>
          <t>BYB Trophies Shop</t>
        </is>
      </c>
      <c r="AI806"/>
      <c r="AJ806" t="inlineStr">
        <is>
          <t>LIQUIDITY PLAN (PAR # 202510060066 / 2025TEG-P0197)
(ONLINE) COST ESTIMATE &gt; 1. LOGISTICS &amp; LICENSING MANAGEMENT &gt;
1.4 Awards &gt;
Regular Season MVP Trophy
Grand Finals MVP Trophy
Medal (Moulding)
Rookie &amp; Most Improved Medals
Special Role Medals
Champions Medals
This Budget: Php 30,000.00 
Actual Cost: Php 33,0000.00
Balance: (Php 3,000.00) OVERBUDGET</t>
        </is>
      </c>
      <c r="AK806"/>
    </row>
    <row r="807" ht="25.5" customHeight="1">
      <c r="A807" s="2" t="str">
        <f>=HYPERLINK("https://applink.larksuite.com/client/mini_program/open?appId=cli_9c7cc8a9a9edd105&amp;mode=appCenter&amp;path_pc=pc/pages/requested/index?instanceId=7558746079672418335&amp;source=bitable&amp;path=pages/detail/index?instanceId=7558746079672418335&amp;source=bitable", "202510080035")</f>
        <v>202510080035</v>
      </c>
      <c r="B807" t="inlineStr">
        <is>
          <t>Approved</t>
        </is>
      </c>
      <c r="C807" t="inlineStr">
        <is>
          <t>Procurement Order</t>
        </is>
      </c>
      <c r="D807" s="3">
        <v>45938.63559027778</v>
      </c>
      <c r="E807" s="3">
        <v>45940.45481481482</v>
      </c>
      <c r="F807" t="inlineStr">
        <is>
          <t>Arlyn Castillo</t>
        </is>
      </c>
      <c r="G807" t="inlineStr">
        <is>
          <t>Procurement</t>
        </is>
      </c>
      <c r="H807"/>
      <c r="I807"/>
      <c r="J807" t="inlineStr">
        <is>
          <t>Project</t>
        </is>
      </c>
      <c r="K807" t="inlineStr">
        <is>
          <t>PDEI - Event Service</t>
        </is>
      </c>
      <c r="L807" t="inlineStr">
        <is>
          <t>MDL PH S6 Playoffs + Grand Finals Watch Party</t>
        </is>
      </c>
      <c r="M807" t="inlineStr">
        <is>
          <t>2025TEG-P0197</t>
        </is>
      </c>
      <c r="N807" t="inlineStr">
        <is>
          <t>Kervin</t>
        </is>
      </c>
      <c r="O807" t="inlineStr">
        <is>
          <t>202510060077-Kervin-费用报销 - 副本 - 副本 - 副本-2025-10-06 08:35:21</t>
        </is>
      </c>
      <c r="P807" t="inlineStr">
        <is>
          <t>NO</t>
        </is>
      </c>
      <c r="Q807"/>
      <c r="R807" t="inlineStr">
        <is>
          <t>YES</t>
        </is>
      </c>
      <c r="S807" t="inlineStr">
        <is>
          <t>Molder 3"</t>
        </is>
      </c>
      <c r="T807">
        <v>1</v>
      </c>
      <c r="U807">
        <v>6500</v>
      </c>
      <c r="V807" t="inlineStr">
        <is>
          <t>PHP</t>
        </is>
      </c>
      <c r="W807">
        <v>6500</v>
      </c>
      <c r="X807" s="2"/>
      <c r="Y807"/>
      <c r="Z807"/>
      <c r="AA807"/>
      <c r="AB807"/>
      <c r="AC807"/>
      <c r="AD807" s="4"/>
      <c r="AE807"/>
      <c r="AF807" s="2"/>
      <c r="AG807" t="inlineStr">
        <is>
          <t>NzQyNTk5MTgyNzQ4MTg3MDM0MTo1OUJGNTE0Mi1BNjAyLTQyNEUtODczOS1GODY2QjI1REE5MzMtMjo0OGJhMTk4M2Q2ZDYyYjMzMzYzNmRiOWQwMmY3Yjg0Mjox</t>
        </is>
      </c>
      <c r="AH807"/>
      <c r="AI807"/>
      <c r="AJ807" t="inlineStr">
        <is>
          <t>LIQUIDITY PLAN (PAR # 202510060066 / 2025TEG-P0197)
(ONLINE) COST ESTIMATE &gt; 1. LOGISTICS &amp; LICENSING MANAGEMENT &gt;
1.4 Awards &gt;
Regular Season MVP Trophy
Grand Finals MVP Trophy
Medal (Moulding)
Rookie &amp; Most Improved Medals
Special Role Medals
Champions Medals
This Budget: Php 30,000.00 
Actual Cost: Php 33,0000.00
Balance: (Php 3,000.00) OVERBUDGET</t>
        </is>
      </c>
      <c r="AK807"/>
    </row>
    <row r="808" ht="25.5" customHeight="1">
      <c r="A808" s="2" t="str">
        <f>=HYPERLINK("https://applink.larksuite.com/client/mini_program/open?appId=cli_9c7cc8a9a9edd105&amp;mode=appCenter&amp;path_pc=pc/pages/requested/index?instanceId=7558746079672418335&amp;source=bitable&amp;path=pages/detail/index?instanceId=7558746079672418335&amp;source=bitable", "202510080035")</f>
        <v>202510080035</v>
      </c>
      <c r="B808" t="inlineStr">
        <is>
          <t>Approved</t>
        </is>
      </c>
      <c r="C808" t="inlineStr">
        <is>
          <t>Procurement Order</t>
        </is>
      </c>
      <c r="D808" s="3">
        <v>45938.63559027778</v>
      </c>
      <c r="E808" s="3">
        <v>45940.45481481482</v>
      </c>
      <c r="F808" t="inlineStr">
        <is>
          <t>Arlyn Castillo</t>
        </is>
      </c>
      <c r="G808" t="inlineStr">
        <is>
          <t>Procurement</t>
        </is>
      </c>
      <c r="H808"/>
      <c r="I808"/>
      <c r="J808" t="inlineStr">
        <is>
          <t>Project</t>
        </is>
      </c>
      <c r="K808" t="inlineStr">
        <is>
          <t>PDEI - Event Service</t>
        </is>
      </c>
      <c r="L808" t="inlineStr">
        <is>
          <t>MDL PH S6 Playoffs + Grand Finals Watch Party</t>
        </is>
      </c>
      <c r="M808" t="inlineStr">
        <is>
          <t>2025TEG-P0197</t>
        </is>
      </c>
      <c r="N808" t="inlineStr">
        <is>
          <t>Kervin</t>
        </is>
      </c>
      <c r="O808" t="inlineStr">
        <is>
          <t>202510060077-Kervin-费用报销 - 副本 - 副本 - 副本-2025-10-06 08:35:21</t>
        </is>
      </c>
      <c r="P808" t="inlineStr">
        <is>
          <t>NO</t>
        </is>
      </c>
      <c r="Q808"/>
      <c r="R808" t="inlineStr">
        <is>
          <t>YES</t>
        </is>
      </c>
      <c r="S808" t="inlineStr">
        <is>
          <t>Customized Plaques</t>
        </is>
      </c>
      <c r="T808">
        <v>2</v>
      </c>
      <c r="U808">
        <v>2800</v>
      </c>
      <c r="V808" t="inlineStr">
        <is>
          <t>PHP</t>
        </is>
      </c>
      <c r="W808">
        <v>5600</v>
      </c>
      <c r="X808" s="2" t="str">
        <f>=HYPERLINK("https://www.larksuite.com/approval/admin/previewAttachment?key=PMgxDsIwDAXQK33bP_4xl2FpFVFBWRBIGXJ2JAbWl92QvVlkgWVesKXWuphQpZzWI9ryZVJBJo-1n-P6noPzeR7x8O0-jvW5bWN_WSu5Q0FGB2CXv4dIViXxc_8GAAD__w", "1 attachment(s)")</f>
        <v>1 attachment(s)</v>
      </c>
      <c r="Y808"/>
      <c r="Z808"/>
      <c r="AA808"/>
      <c r="AB808"/>
      <c r="AC808"/>
      <c r="AD808" s="4"/>
      <c r="AE808"/>
      <c r="AF808" s="2"/>
      <c r="AG808" t="inlineStr">
        <is>
          <t>NzQyNTk5MTgyNzQ4MTg3MDM0MTo1OUJGNTE0Mi1BNjAyLTQyNEUtODczOS1GODY2QjI1REE5MzMtMzowM2U2ZjU2YzcwMzJlOGQ0Y2UwZjJmZWZjOGMzMTBhNTox</t>
        </is>
      </c>
      <c r="AH808"/>
      <c r="AI808"/>
      <c r="AJ808" t="inlineStr">
        <is>
          <t>LIQUIDITY PLAN (PAR # 202510060066 / 2025TEG-P0197)
(ONLINE) COST ESTIMATE &gt; 1. LOGISTICS &amp; LICENSING MANAGEMENT &gt;
1.4 Awards &gt;
Regular Season MVP Trophy
Grand Finals MVP Trophy
Medal (Moulding)
Rookie &amp; Most Improved Medals
Special Role Medals
Champions Medals
This Budget: Php 30,000.00 
Actual Cost: Php 33,0000.00
Balance: (Php 3,000.00) OVERBUDGET</t>
        </is>
      </c>
      <c r="AK808"/>
    </row>
    <row r="809" ht="25.5" customHeight="1">
      <c r="A809" s="2" t="str">
        <f>=HYPERLINK("https://applink.larksuite.com/client/mini_program/open?appId=cli_9c7cc8a9a9edd105&amp;mode=appCenter&amp;path_pc=pc/pages/requested/index?instanceId=7558810791693058086&amp;source=bitable&amp;path=pages/detail/index?instanceId=7558810791693058086&amp;source=bitable", "202510080075")</f>
        <v>202510080075</v>
      </c>
      <c r="B809" t="inlineStr">
        <is>
          <t>Approved</t>
        </is>
      </c>
      <c r="C809" t="inlineStr">
        <is>
          <t>Procurement Order</t>
        </is>
      </c>
      <c r="D809" s="3">
        <v>45938.80997685185</v>
      </c>
      <c r="E809" s="3">
        <v>45939.50402777778</v>
      </c>
      <c r="F809" t="inlineStr">
        <is>
          <t>Rushelle A. Capistrano</t>
        </is>
      </c>
      <c r="G809" t="inlineStr">
        <is>
          <t>Procurement</t>
        </is>
      </c>
      <c r="H809"/>
      <c r="I809"/>
      <c r="J809" t="inlineStr">
        <is>
          <t>Project</t>
        </is>
      </c>
      <c r="K809" t="inlineStr">
        <is>
          <t>PDEI - Event Service</t>
        </is>
      </c>
      <c r="L809" t="inlineStr">
        <is>
          <t>Bingo Plus Panalo Caravan</t>
        </is>
      </c>
      <c r="M809" t="inlineStr">
        <is>
          <t>2025TEG-P0216</t>
        </is>
      </c>
      <c r="N809" t="inlineStr">
        <is>
          <t>Ronelle Kylene Chaneco Lim</t>
        </is>
      </c>
      <c r="O809" t="inlineStr">
        <is>
          <t>202510070052-Ronelle Kylene Chaneco Lim-费用报销 - 副本 - 副本 - 副本-2025-10-07 07:36:00</t>
        </is>
      </c>
      <c r="P809" t="inlineStr">
        <is>
          <t>YES</t>
        </is>
      </c>
      <c r="Q809"/>
      <c r="R809" t="inlineStr">
        <is>
          <t>NO</t>
        </is>
      </c>
      <c r="S809" t="inlineStr">
        <is>
          <t>Outsourced Host (Cebu)</t>
        </is>
      </c>
      <c r="T809">
        <v>1</v>
      </c>
      <c r="U809">
        <v>30000</v>
      </c>
      <c r="V809" t="inlineStr">
        <is>
          <t>PHP</t>
        </is>
      </c>
      <c r="W809">
        <v>30000</v>
      </c>
      <c r="X809" s="2" t="str">
        <f>=HYPERLINK("https://www.larksuite.com/approval/admin/previewAttachment?key=PMg7CgJBEATQK1VPf6rLy5jssgiLk4iKwZxdMDB91YbqNC8hZEOwxcxuA2UlRza61lhGCjQOX_v9uGZufr4__ZznhLhet-3YH5biGKBHeAOwy9-dESFV4Of4BgAA__8", "2 attachment(s)")</f>
        <v>2 attachment(s)</v>
      </c>
      <c r="Y809" t="inlineStr">
        <is>
          <t>Bank Transfer</t>
        </is>
      </c>
      <c r="Z809" t="inlineStr">
        <is>
          <t>Benedict Rey U Salise</t>
        </is>
      </c>
      <c r="AA809" t="inlineStr">
        <is>
          <t>2176502796</t>
        </is>
      </c>
      <c r="AB809" t="inlineStr">
        <is>
          <t>BPI</t>
        </is>
      </c>
      <c r="AC809" t="inlineStr">
        <is>
          <t>Urban Deca Homes Hernan Cortes, Cebu</t>
        </is>
      </c>
      <c r="AD809" s="4">
        <v>45947</v>
      </c>
      <c r="AE809" t="inlineStr">
        <is>
          <t>1st Payment Oct. 17, 2025
Final Payment Oct. 31, 2025</t>
        </is>
      </c>
      <c r="AF809" s="2"/>
      <c r="AG809" t="inlineStr">
        <is>
          <t>NzQyNTk5MTgyNzQ4MTg3MDM0MTo3RDFEODQ0QS0xRUM3LTQ4MUItOTQzMC03OEQ3NjJDRTI2MTEtMTo3MTkzNjFlNTBhYjczYTNkMzBhZWJiOGQ1OTZmZDFkMTox</t>
        </is>
      </c>
      <c r="AH809" t="inlineStr">
        <is>
          <t>Benedict Rey U Salise</t>
        </is>
      </c>
      <c r="AI809"/>
      <c r="AJ809" t="inlineStr">
        <is>
          <t>LIQUIDITY PLAN (PAR # 202509300084 / 2025TEG-P0216)
PROCUREMENT COST ESTIMATE TAB &gt; MARKETING / TALENT &gt;
Host
Total Remaining Budget = Php 105,000.00
This Request  = Php 30,000.00
Balance = Php 75,000.00</t>
        </is>
      </c>
      <c r="AK809"/>
    </row>
    <row r="810" ht="25.5" customHeight="1">
      <c r="A810" s="2" t="str">
        <f>=HYPERLINK("https://applink.larksuite.com/client/mini_program/open?appId=cli_9c7cc8a9a9edd105&amp;mode=appCenter&amp;path_pc=pc/pages/requested/index?instanceId=7558808995436183584&amp;source=bitable&amp;path=pages/detail/index?instanceId=7558808995436183584&amp;source=bitable", "202510080074")</f>
        <v>202510080074</v>
      </c>
      <c r="B810" t="inlineStr">
        <is>
          <t>Approved</t>
        </is>
      </c>
      <c r="C810" t="inlineStr">
        <is>
          <t>Procurement Order</t>
        </is>
      </c>
      <c r="D810" s="3">
        <v>45938.805127314816</v>
      </c>
      <c r="E810" s="3">
        <v>45939.50440972222</v>
      </c>
      <c r="F810" t="inlineStr">
        <is>
          <t>Rushelle A. Capistrano</t>
        </is>
      </c>
      <c r="G810" t="inlineStr">
        <is>
          <t>Procurement</t>
        </is>
      </c>
      <c r="H810"/>
      <c r="I810"/>
      <c r="J810" t="inlineStr">
        <is>
          <t>Project</t>
        </is>
      </c>
      <c r="K810" t="inlineStr">
        <is>
          <t>PDEI - Event Service</t>
        </is>
      </c>
      <c r="L810" t="inlineStr">
        <is>
          <t>Bingo Plus Panalo Caravan</t>
        </is>
      </c>
      <c r="M810" t="inlineStr">
        <is>
          <t>2025TEG-P0216</t>
        </is>
      </c>
      <c r="N810" t="inlineStr">
        <is>
          <t>Ronelle Kylene Chaneco Lim</t>
        </is>
      </c>
      <c r="O810" t="inlineStr">
        <is>
          <t>202510070052-Ronelle Kylene Chaneco Lim-费用报销 - 副本 - 副本 - 副本-2025-10-07 07:36:00</t>
        </is>
      </c>
      <c r="P810" t="inlineStr">
        <is>
          <t>YES</t>
        </is>
      </c>
      <c r="Q810"/>
      <c r="R810" t="inlineStr">
        <is>
          <t>NO</t>
        </is>
      </c>
      <c r="S810" t="inlineStr">
        <is>
          <t>Outsourced Host</t>
        </is>
      </c>
      <c r="T810">
        <v>1</v>
      </c>
      <c r="U810">
        <v>15000</v>
      </c>
      <c r="V810" t="inlineStr">
        <is>
          <t>PHP</t>
        </is>
      </c>
      <c r="W810">
        <v>15000</v>
      </c>
      <c r="X810" s="2" t="str">
        <f>=HYPERLINK("https://www.larksuite.com/approval/admin/previewAttachment?key=PMhBCgIxDAXQK_00SX--l3EzpcgwBUF017MLLty-XoZead6FkDXBNjOrUFKGdyvPit22kQKNzfdY836ucV6TvNZb63nsz-OY42UptgZ6hBcAu_3dGRFSD_wc3wAAAP__", "2 attachment(s)")</f>
        <v>2 attachment(s)</v>
      </c>
      <c r="Y810" t="inlineStr">
        <is>
          <t>Bank Transfer</t>
        </is>
      </c>
      <c r="Z810" t="inlineStr">
        <is>
          <t>ALEXANDER REI R. BAO</t>
        </is>
      </c>
      <c r="AA810" t="inlineStr">
        <is>
          <t>8593921520337</t>
        </is>
      </c>
      <c r="AB810" t="inlineStr">
        <is>
          <t>METROBANK</t>
        </is>
      </c>
      <c r="AC810" t="inlineStr">
        <is>
          <t>227-B CAMACHILI ST., JUNA SUBD., BRGY. MATINA CROSSING, DAVAO CITY</t>
        </is>
      </c>
      <c r="AD810" s="4">
        <v>45947</v>
      </c>
      <c r="AE810" t="inlineStr">
        <is>
          <t>1st Payment Oct. 17, 2025
Final payment Oct 31, 2025</t>
        </is>
      </c>
      <c r="AF810" s="2"/>
      <c r="AG810" t="inlineStr">
        <is>
          <t>NzQyNTk5MTgyNzQ4MTg3MDM0MTpBREFFQjdGQi1BRjg1LTQ3MjYtOEJFQi0yNEIxQjYzREFBQTUtMTo5ODFkZGY4Y2Q1OTE3ZDI4NGM5YzMzYjNhNDg0NWRjMjox</t>
        </is>
      </c>
      <c r="AH810" t="inlineStr">
        <is>
          <t>ALEXANDER REI R. BAO</t>
        </is>
      </c>
      <c r="AI810"/>
      <c r="AJ810" t="inlineStr">
        <is>
          <t>LIQUIDITY PLAN (PAR # 202509300084 / 2025TEG-P0216)
PROCUREMENT COST ESTIMATE TAB &gt; MARKETING / TALENT &gt;
Host
Total Remaining Budget = Php 120,000.00
This Request  = Php 15,000.00
Balance = Php 105,000.00</t>
        </is>
      </c>
      <c r="AK810"/>
    </row>
    <row r="811" ht="25.5" customHeight="1">
      <c r="A811" s="2" t="str">
        <f>=HYPERLINK("https://applink.larksuite.com/client/mini_program/open?appId=cli_9c7cc8a9a9edd105&amp;mode=appCenter&amp;path_pc=pc/pages/requested/index?instanceId=7558815479826006054&amp;source=bitable&amp;path=pages/detail/index?instanceId=7558815479826006054&amp;source=bitable", "202510080077")</f>
        <v>202510080077</v>
      </c>
      <c r="B811" t="inlineStr">
        <is>
          <t>Approved</t>
        </is>
      </c>
      <c r="C811" t="inlineStr">
        <is>
          <t>Procurement Order</t>
        </is>
      </c>
      <c r="D811" s="3">
        <v>45938.822604166664</v>
      </c>
      <c r="E811" s="3">
        <v>45939.504849537036</v>
      </c>
      <c r="F811" t="inlineStr">
        <is>
          <t>Rushelle A. Capistrano</t>
        </is>
      </c>
      <c r="G811" t="inlineStr">
        <is>
          <t>Procurement</t>
        </is>
      </c>
      <c r="H811"/>
      <c r="I811"/>
      <c r="J811" t="inlineStr">
        <is>
          <t>Project</t>
        </is>
      </c>
      <c r="K811" t="inlineStr">
        <is>
          <t>PDEI - Event Service</t>
        </is>
      </c>
      <c r="L811" t="inlineStr">
        <is>
          <t>PDEI - Event Service</t>
        </is>
      </c>
      <c r="M811" t="inlineStr">
        <is>
          <t>2025TEG-P0216</t>
        </is>
      </c>
      <c r="N811" t="inlineStr">
        <is>
          <t>Ronelle Kylene Chaneco Lim</t>
        </is>
      </c>
      <c r="O811" t="inlineStr">
        <is>
          <t>202510080049-Ronelle Kylene Chaneco Lim-费用报销 - 副本 - 副本 - 副本-2025-10-08 08:36:57</t>
        </is>
      </c>
      <c r="P811" t="inlineStr">
        <is>
          <t>YES</t>
        </is>
      </c>
      <c r="Q811"/>
      <c r="R811" t="inlineStr">
        <is>
          <t>NO</t>
        </is>
      </c>
      <c r="S811" t="inlineStr">
        <is>
          <t>Outsourced Host (Bulacan and Pampanga)</t>
        </is>
      </c>
      <c r="T811">
        <v>1</v>
      </c>
      <c r="U811">
        <v>33400</v>
      </c>
      <c r="V811" t="inlineStr">
        <is>
          <t>PHP</t>
        </is>
      </c>
      <c r="W811">
        <v>33400</v>
      </c>
      <c r="X811" s="2" t="str">
        <f>=HYPERLINK("https://www.larksuite.com/approval/admin/previewAttachment?key=PMg7CgJhDATgK02SycvL2Lgs8q9W4mKTswsWtl-UIMrFosEWbcike5U4s0sDCDhHRzIbKak223O_Uh84lvV7nTjWZ877bd9e4p2qSCOtAMjl75Yku4P4Ob4BAAD__w", "2 attachment(s)")</f>
        <v>2 attachment(s)</v>
      </c>
      <c r="Y811" t="inlineStr">
        <is>
          <t>Bank Transfer</t>
        </is>
      </c>
      <c r="Z811" t="inlineStr">
        <is>
          <t>ALEXANDER REI R. BAO</t>
        </is>
      </c>
      <c r="AA811" t="inlineStr">
        <is>
          <t>8593921520337</t>
        </is>
      </c>
      <c r="AB811" t="inlineStr">
        <is>
          <t>METROBANK</t>
        </is>
      </c>
      <c r="AC811" t="inlineStr">
        <is>
          <t>227-B CAMACHILI ST., JUNA SUBD., BRGY. MATINA CROSSING, DAVAO CITY</t>
        </is>
      </c>
      <c r="AD811" s="4">
        <v>45947</v>
      </c>
      <c r="AE811" t="inlineStr">
        <is>
          <t>1st Payment Oct. 17, 2025
Final Payment Oct. 31, 2025</t>
        </is>
      </c>
      <c r="AF811" s="2"/>
      <c r="AG811" t="inlineStr">
        <is>
          <t>NzQyNTk5MTgyNzQ4MTg3MDM0MTpDQzlENDZCNy1DM0FGLTQyRTctQkQ2My1FQzRGRkYyNzYwMUYtMTo3MjQ3YmU0MmI1NTA5Y2MwZjk3MWE5ZGI3NTAxOTgwNTox</t>
        </is>
      </c>
      <c r="AH811" t="inlineStr">
        <is>
          <t>ALEXANDER REI R. BAO</t>
        </is>
      </c>
      <c r="AI811"/>
      <c r="AJ811" t="inlineStr">
        <is>
          <t>LIQUIDITY PLAN (PAR # 202509300084 / 2025TEG-P0216)
PROCUREMENT COST ESTIMATE TAB &gt; MARKETING / TALENT &gt;
Host
Total Remaining Budget = Php 75,000.00
This Request  = Php 33,400.00
Balance = Php 41,600.00</t>
        </is>
      </c>
      <c r="AK811"/>
    </row>
    <row r="812" ht="25.5" customHeight="1">
      <c r="A812" s="2" t="str">
        <f>=HYPERLINK("https://applink.larksuite.com/client/mini_program/open?appId=cli_9c7cc8a9a9edd105&amp;mode=appCenter&amp;path_pc=pc/pages/requested/index?instanceId=7559133336426545184&amp;source=bitable&amp;path=pages/detail/index?instanceId=7559133336426545184&amp;source=bitable", "202510090081")</f>
        <v>202510090081</v>
      </c>
      <c r="B812" t="inlineStr">
        <is>
          <t>Approved</t>
        </is>
      </c>
      <c r="C812" t="inlineStr">
        <is>
          <t>Procurement Order</t>
        </is>
      </c>
      <c r="D812" s="3">
        <v>45939.67916666667</v>
      </c>
      <c r="E812" s="3">
        <v>45939.80409722222</v>
      </c>
      <c r="F812" t="inlineStr">
        <is>
          <t>Arlyn Castillo</t>
        </is>
      </c>
      <c r="G812" t="inlineStr">
        <is>
          <t>Procurement</t>
        </is>
      </c>
      <c r="H812"/>
      <c r="I812"/>
      <c r="J812" t="inlineStr">
        <is>
          <t>Project</t>
        </is>
      </c>
      <c r="K812" t="inlineStr">
        <is>
          <t>PDEI - Event Service</t>
        </is>
      </c>
      <c r="L812" t="inlineStr">
        <is>
          <t>Bingo Plus Panalo Caravan</t>
        </is>
      </c>
      <c r="M812" t="inlineStr">
        <is>
          <t>2025TEG-P0216</t>
        </is>
      </c>
      <c r="N812" t="inlineStr">
        <is>
          <t>Ronelle Kylene Chaneco Lim</t>
        </is>
      </c>
      <c r="O812" t="inlineStr">
        <is>
          <t>202510090062-Ronelle Kylene Chaneco Lim-费用报销 - 副本 - 副本 - 副本-2025-10-09 06:09:00</t>
        </is>
      </c>
      <c r="P812" t="inlineStr">
        <is>
          <t>NO</t>
        </is>
      </c>
      <c r="Q812"/>
      <c r="R812" t="inlineStr">
        <is>
          <t>NO</t>
        </is>
      </c>
      <c r="S812" t="inlineStr">
        <is>
          <t>Service Rental (Sedan - 2days 1night)</t>
        </is>
      </c>
      <c r="T812">
        <v>1</v>
      </c>
      <c r="U812">
        <v>10500</v>
      </c>
      <c r="V812" t="inlineStr">
        <is>
          <t>PHP</t>
        </is>
      </c>
      <c r="W812">
        <v>10500</v>
      </c>
      <c r="X812" s="2" t="str">
        <f>=HYPERLINK("https://www.larksuite.com/approval/admin/previewAttachment?key=PMg9CgJBDAXgK-UlL39exsZlkIUBQVAscnbBwvaLgkQ5LFrY0BZMujfMzIIaTkdxdJDZkki1Ofa6Ps5Vq-vD094ba1732zqe8E5VSSOtRASXv1uS7A7Kz-UbAAD__w", "2 attachment(s)")</f>
        <v>2 attachment(s)</v>
      </c>
      <c r="Y812" t="inlineStr">
        <is>
          <t>Bank Transfer</t>
        </is>
      </c>
      <c r="Z812" t="inlineStr">
        <is>
          <t>M2K CAR RENTAL SERVICES</t>
        </is>
      </c>
      <c r="AA812" t="inlineStr">
        <is>
          <t>2000-638-26013</t>
        </is>
      </c>
      <c r="AB812" t="inlineStr">
        <is>
          <t>EASTWEST</t>
        </is>
      </c>
      <c r="AC812" t="inlineStr">
        <is>
          <t>19 Bagong Kanluran, Paso de Blas, Valenzuela City</t>
        </is>
      </c>
      <c r="AD812" s="4">
        <v>45941</v>
      </c>
      <c r="AE812" t="inlineStr">
        <is>
          <t>100% Full Payment after service</t>
        </is>
      </c>
      <c r="AF812" s="2" t="str">
        <f>=HYPERLINK("https://www.larksuite.com/approval/admin/previewAttachment?key=TMgxCkJBDATQK83sJNnEy9j4WeTDgiAoFjm7YGX7IolIp6JgxVFgT_eiJIWNcHOm9WjOWZicQ33sdX2cK1flx069N1e_7rd1PBmpgJWbsQDw8uckKhX6Ob4BAAD__w", "4 attachment(s)")</f>
        <v>4 attachment(s)</v>
      </c>
      <c r="AG812" t="inlineStr">
        <is>
          <t>NzQyNTk5MTgyNzQ4MTg3MDM0MTpFODE2NTQ3OS0zNDE0LTRFNzEtOTQyNS1CQzdFQ0YzMUNGRTAtMTplMWViMzU4NzNiNjczODA1OGU2MjBmMjdiMjIyZjI1NDox</t>
        </is>
      </c>
      <c r="AH812" t="inlineStr">
        <is>
          <t>M2K CAR RENTAL SERVICES</t>
        </is>
      </c>
      <c r="AI812"/>
      <c r="AJ812" t="inlineStr">
        <is>
          <t>LIQUIDITY PLAN (PAR # 202509300084 / 2025TEG-P0216)
PROCUREMENT COST ESTIMATE TAB &gt; MOBILITY &gt;
Logistics and Transportation
Total Remaining Budget = Php 93,100.00 
This Request  = Php 10,500.00
Balance = Php 82,600.00</t>
        </is>
      </c>
      <c r="AK812"/>
    </row>
    <row r="813" ht="25.5" customHeight="1">
      <c r="A813" s="2" t="str">
        <f>=HYPERLINK("https://applink.larksuite.com/client/mini_program/open?appId=cli_9c7cc8a9a9edd105&amp;mode=appCenter&amp;path_pc=pc/pages/requested/index?instanceId=7559517783763976224&amp;source=bitable&amp;path=pages/detail/index?instanceId=7559517783763976224&amp;source=bitable", "202510100046")</f>
        <v>202510100046</v>
      </c>
      <c r="B813" t="inlineStr">
        <is>
          <t>Approved</t>
        </is>
      </c>
      <c r="C813" t="inlineStr">
        <is>
          <t>Procurement Order</t>
        </is>
      </c>
      <c r="D813" s="3">
        <v>45940.71517361111</v>
      </c>
      <c r="E813" s="3">
        <v>45940.78215277778</v>
      </c>
      <c r="F813" t="inlineStr">
        <is>
          <t>Rushelle A. Capistrano</t>
        </is>
      </c>
      <c r="G813" t="inlineStr">
        <is>
          <t>Procurement</t>
        </is>
      </c>
      <c r="H813"/>
      <c r="I813"/>
      <c r="J813" t="inlineStr">
        <is>
          <t>Project</t>
        </is>
      </c>
      <c r="K813" t="inlineStr">
        <is>
          <t>PDEI - Event Service</t>
        </is>
      </c>
      <c r="L813" t="inlineStr">
        <is>
          <t>Bingo Plus Panalo Caravan</t>
        </is>
      </c>
      <c r="M813" t="inlineStr">
        <is>
          <t>2025TEG-P0216</t>
        </is>
      </c>
      <c r="N813" t="inlineStr">
        <is>
          <t>Ronelle Kylene Chaneco Lim</t>
        </is>
      </c>
      <c r="O813" t="inlineStr">
        <is>
          <t>202510080049-Ronelle Kylene Chaneco Lim-费用报销 - 副本 - 副本 - 副本-2025-10-08 08:36:57</t>
        </is>
      </c>
      <c r="P813" t="inlineStr">
        <is>
          <t>YES</t>
        </is>
      </c>
      <c r="Q813"/>
      <c r="R813" t="inlineStr">
        <is>
          <t>NO</t>
        </is>
      </c>
      <c r="S813" t="inlineStr">
        <is>
          <t>Outsourced Host (Bulacan and Pampanga)</t>
        </is>
      </c>
      <c r="T813">
        <v>1</v>
      </c>
      <c r="U813">
        <v>33400</v>
      </c>
      <c r="V813" t="inlineStr">
        <is>
          <t>PHP</t>
        </is>
      </c>
      <c r="W813">
        <v>33400</v>
      </c>
      <c r="X813" s="2" t="str">
        <f>=HYPERLINK("https://www.larksuite.com/approval/admin/previewAttachment?key=PMg5CgJhDAXgK72sL_EyNg6D_igIgkuRswsWtl-WICvEsuEt2pBhRIeQZUxrpqqPjpANCtVmu-3Hzer-ur5t4fJZK-Z5Pu3bQ6KpCpq7FQA5_N3o7t3p-Dm-AQAA__8", "2 attachment(s)")</f>
        <v>2 attachment(s)</v>
      </c>
      <c r="Y813" t="inlineStr">
        <is>
          <t>Bank Transfer</t>
        </is>
      </c>
      <c r="Z813" t="inlineStr">
        <is>
          <t>LEIGHZA MIR J. ESTELLA</t>
        </is>
      </c>
      <c r="AA813" t="inlineStr">
        <is>
          <t>266 9400 155</t>
        </is>
      </c>
      <c r="AB813" t="inlineStr">
        <is>
          <t>BPI</t>
        </is>
      </c>
      <c r="AC813" t="inlineStr">
        <is>
          <t>Floor 22-28, Ayala Triangle Gardens, Tower 2, Paseo de Roxas corner Makati Avenue, Makati City, Metro Manila, Philippines</t>
        </is>
      </c>
      <c r="AD813" s="4">
        <v>45947</v>
      </c>
      <c r="AE813" t="inlineStr">
        <is>
          <t>1st Payment Oct. 17, 2025
Final Payment Oct. 31, 2025</t>
        </is>
      </c>
      <c r="AF813" s="2"/>
      <c r="AG813" t="inlineStr">
        <is>
          <t>NzQyNTk5MTgyNzQ4MTg3MDM0MTo0RDU3QUEyMy1BMDQ1LTQ1NEItQjU5QS03MTM5QTE1N0Y2NjItMTo1NjVmYmQwYjBjOTA3MjJiYWZkNjQ4N2UzYmQ3Y2QxZTox</t>
        </is>
      </c>
      <c r="AH813" t="inlineStr">
        <is>
          <t>LEIGHZA MIR J. ESTELLA</t>
        </is>
      </c>
      <c r="AI813"/>
      <c r="AJ813" t="inlineStr">
        <is>
          <t>LIQUIDITY PLAN (PAR # 202509300084 / 2025TEG-P0216)
PROCUREMENT COST ESTIMATE TAB &gt; MARKETING / TALENT &gt;
Host
Total Remaining Budget = Php 75,000.00
This Request  = Php 33,400.00
Balance = Php 41,600.00</t>
        </is>
      </c>
      <c r="AK813"/>
    </row>
    <row r="814" ht="25.5" customHeight="1">
      <c r="A814" s="2" t="str">
        <f>=HYPERLINK("https://applink.larksuite.com/client/mini_program/open?appId=cli_9c7cc8a9a9edd105&amp;mode=appCenter&amp;path_pc=pc/pages/requested/index?instanceId=7560620936412528679&amp;source=bitable&amp;path=pages/detail/index?instanceId=7560620936412528679&amp;source=bitable", "202510130120")</f>
        <v>202510130120</v>
      </c>
      <c r="B814" t="inlineStr">
        <is>
          <t>Approved</t>
        </is>
      </c>
      <c r="C814" t="inlineStr">
        <is>
          <t>Procurement Order</t>
        </is>
      </c>
      <c r="D814" s="3">
        <v>45943.687951388885</v>
      </c>
      <c r="E814" s="3">
        <v>45945.43734953704</v>
      </c>
      <c r="F814" t="inlineStr">
        <is>
          <t>Fatima Kathleen M. FLores</t>
        </is>
      </c>
      <c r="G814" t="inlineStr">
        <is>
          <t>Procurement</t>
        </is>
      </c>
      <c r="H814"/>
      <c r="I814"/>
      <c r="J814" t="inlineStr">
        <is>
          <t>Project</t>
        </is>
      </c>
      <c r="K814" t="inlineStr">
        <is>
          <t>GG - Event Service</t>
        </is>
      </c>
      <c r="L814" t="inlineStr">
        <is>
          <t>HOK Philippine Kings League - Fall Season</t>
        </is>
      </c>
      <c r="M814" t="inlineStr">
        <is>
          <t>2025TEG-P0219</t>
        </is>
      </c>
      <c r="N814" t="inlineStr">
        <is>
          <t>Carla Andrea Calma Crespo</t>
        </is>
      </c>
      <c r="O814" t="inlineStr">
        <is>
          <t>202510020128-Carla Andrea Calma Crespo-费用报销 - 副本 - 副本 - 副本-2025-10-02 14:57:37</t>
        </is>
      </c>
      <c r="P814" t="inlineStr">
        <is>
          <t>YES</t>
        </is>
      </c>
      <c r="Q814"/>
      <c r="R814" t="inlineStr">
        <is>
          <t>NO</t>
        </is>
      </c>
      <c r="S814" t="inlineStr">
        <is>
          <t>Outsourced Talent (Manjean)</t>
        </is>
      </c>
      <c r="T814">
        <v>1</v>
      </c>
      <c r="U814">
        <v>62500</v>
      </c>
      <c r="V814" t="inlineStr">
        <is>
          <t>PHP</t>
        </is>
      </c>
      <c r="W814">
        <v>62500</v>
      </c>
      <c r="X814" s="2" t="str">
        <f>=HYPERLINK("https://www.larksuite.com/approval/admin/previewAttachment?key=PMgxCkJBDATQK02SSbLjZWxcFgUFQfja7NkFC9tXw1AjLUqgzAXbnYVyKIrm6aNa27d1C23tsedjnQfzc_AZ63afeuc-rpc1X5Zqd3SQMQDY6e_RJKUifo5vAAAA__8", "2 attachment(s)")</f>
        <v>2 attachment(s)</v>
      </c>
      <c r="Y814" t="inlineStr">
        <is>
          <t>Bank Transfer</t>
        </is>
      </c>
      <c r="Z814" t="inlineStr">
        <is>
          <t>Manjean F. Faldas</t>
        </is>
      </c>
      <c r="AA814" t="inlineStr">
        <is>
          <t>6086272286</t>
        </is>
      </c>
      <c r="AB814" t="inlineStr">
        <is>
          <t>BPI</t>
        </is>
      </c>
      <c r="AC814" t="inlineStr">
        <is>
          <t>257 - 259 Galvez Building Unit 317 A. Arnaiz St. Pasay City</t>
        </is>
      </c>
      <c r="AD814" s="4">
        <v>45942</v>
      </c>
      <c r="AE814" t="inlineStr">
        <is>
          <t>1st Payment - Oct. 24, 2025
Final Payment - Nov. 7, 2025</t>
        </is>
      </c>
      <c r="AF814" s="2"/>
      <c r="AG814" t="inlineStr">
        <is>
          <t>NzQyNTk5MTgyNzQ4MTg3MDM0MTo4NEFFODlGOC0wQUQ4LTQwRkItQjE4MS02MThEMTREQ0RBQTctMTpmOTU1MmQ5YTRiOTZmNzA3ZjUzMmUxNWEyYmZkY2NiNTox</t>
        </is>
      </c>
      <c r="AH814" t="inlineStr">
        <is>
          <t>Manjean F. Faldas</t>
        </is>
      </c>
      <c r="AI814"/>
      <c r="AJ814" t="inlineStr">
        <is>
          <t>LIQUIDITY PLAN (PAR # 202508190134 / 2025TEG-P0219)
INTERNAL 0820 COST ESTIMATE &gt; PLAYOFFS &gt;
Labor Cost &gt; TALENTS &gt; Casters (Playoffs)
Total Remaining Budget = Php 63,250.00
This Request = Php 62,500.00
Balance = Php 750.00</t>
        </is>
      </c>
      <c r="AK814"/>
    </row>
    <row r="815" ht="25.5" customHeight="1">
      <c r="A815" s="2" t="str">
        <f>=HYPERLINK("https://applink.larksuite.com/client/mini_program/open?appId=cli_9c7cc8a9a9edd105&amp;mode=appCenter&amp;path_pc=pc/pages/requested/index?instanceId=7560618768301391903&amp;source=bitable&amp;path=pages/detail/index?instanceId=7560618768301391903&amp;source=bitable", "202510130116")</f>
        <v>202510130116</v>
      </c>
      <c r="B815" t="inlineStr">
        <is>
          <t>Approved</t>
        </is>
      </c>
      <c r="C815" t="inlineStr">
        <is>
          <t>Procurement Order</t>
        </is>
      </c>
      <c r="D815" s="3">
        <v>45943.68210648148</v>
      </c>
      <c r="E815" s="3">
        <v>45945.43655092592</v>
      </c>
      <c r="F815" t="inlineStr">
        <is>
          <t>Fatima Kathleen M. FLores</t>
        </is>
      </c>
      <c r="G815" t="inlineStr">
        <is>
          <t>Procurement</t>
        </is>
      </c>
      <c r="H815"/>
      <c r="I815"/>
      <c r="J815" t="inlineStr">
        <is>
          <t>Project</t>
        </is>
      </c>
      <c r="K815" t="inlineStr">
        <is>
          <t>GG - Event Service</t>
        </is>
      </c>
      <c r="L815" t="inlineStr">
        <is>
          <t>HOK Philippine Kings League - Fall Season</t>
        </is>
      </c>
      <c r="M815" t="inlineStr">
        <is>
          <t>2025TEG-P0219</t>
        </is>
      </c>
      <c r="N815" t="inlineStr">
        <is>
          <t>Carla Andrea Calma Crespo</t>
        </is>
      </c>
      <c r="O815" t="inlineStr">
        <is>
          <t>202510020128-Carla Andrea Calma Crespo-费用报销 - 副本 - 副本 - 副本-2025-10-02 14:57:37</t>
        </is>
      </c>
      <c r="P815" t="inlineStr">
        <is>
          <t>YES</t>
        </is>
      </c>
      <c r="Q815"/>
      <c r="R815" t="inlineStr">
        <is>
          <t>NO</t>
        </is>
      </c>
      <c r="S815" t="inlineStr">
        <is>
          <t>Outsourced Talent (Butters)</t>
        </is>
      </c>
      <c r="T815">
        <v>1</v>
      </c>
      <c r="U815">
        <v>41750</v>
      </c>
      <c r="V815" t="inlineStr">
        <is>
          <t>PHP</t>
        </is>
      </c>
      <c r="W815">
        <v>41750</v>
      </c>
      <c r="X815" s="2" t="str">
        <f>=HYPERLINK("https://www.larksuite.com/approval/admin/previewAttachment?key=PMixDUIxDATQle5ix2ezDA1fEQVUSIFfeHYkCtoXSUROWhS8OApszUAwFWmgFQvWoykVRA3r47mu6fOzdawz3-djz9732zpenKUxIHO3BMDL303uXhWOn-MbAAD__w", "2 attachment(s)")</f>
        <v>2 attachment(s)</v>
      </c>
      <c r="Y815" t="inlineStr">
        <is>
          <t>Bank Transfer</t>
        </is>
      </c>
      <c r="Z815" t="inlineStr">
        <is>
          <t>Mark Adrian Jison</t>
        </is>
      </c>
      <c r="AA815" t="inlineStr">
        <is>
          <t>112302110673</t>
        </is>
      </c>
      <c r="AB815" t="inlineStr">
        <is>
          <t>Chinabank</t>
        </is>
      </c>
      <c r="AC815" t="inlineStr">
        <is>
          <t>2019 San Pascual St Malate Manila</t>
        </is>
      </c>
      <c r="AD815" s="4">
        <v>45941</v>
      </c>
      <c r="AE815" t="inlineStr">
        <is>
          <t>1st Payment - Oct. 24, 2025
Final Payment - Nov. 7, 2025</t>
        </is>
      </c>
      <c r="AF815" s="2"/>
      <c r="AG815" t="inlineStr">
        <is>
          <t>NzQyNTk5MTgyNzQ4MTg3MDM0MTpFM0YyNUUwOS0zNDMzLTRFODQtQTM3Ny04NkQxODQyM0VDMkUtMTphODhiZWVhOGNlNGM5YmZmNzBmYWExNjVhZWU2MWZjYjox</t>
        </is>
      </c>
      <c r="AH815" t="inlineStr">
        <is>
          <t>Mark Adrian Jison</t>
        </is>
      </c>
      <c r="AI815"/>
      <c r="AJ815" t="inlineStr">
        <is>
          <t>LIQUIDITY PLAN (PAR # 202508190134 / 2025TEG-P0219)
INTERNAL 0820 COST ESTIMATE &gt; PLAYOFFS &gt;
Labor Cost &gt; TALENTS &gt; Casters (Playoffs)
Total Budget = Php 105,000.00
This Request = Php 41,750.00
Balance = Php 63,250.00</t>
        </is>
      </c>
      <c r="AK815"/>
    </row>
    <row r="816" ht="25.5" customHeight="1">
      <c r="A816" s="2" t="str">
        <f>=HYPERLINK("https://applink.larksuite.com/client/mini_program/open?appId=cli_9c7cc8a9a9edd105&amp;mode=appCenter&amp;path_pc=pc/pages/requested/index?instanceId=7560612939812667423&amp;source=bitable&amp;path=pages/detail/index?instanceId=7560612939812667423&amp;source=bitable", "202510130099")</f>
        <v>202510130099</v>
      </c>
      <c r="B816" t="inlineStr">
        <is>
          <t>Approved</t>
        </is>
      </c>
      <c r="C816" t="inlineStr">
        <is>
          <t>Procurement Order</t>
        </is>
      </c>
      <c r="D816" s="3">
        <v>45943.666400462964</v>
      </c>
      <c r="E816" s="3">
        <v>45944.77101851852</v>
      </c>
      <c r="F816" t="inlineStr">
        <is>
          <t>Fatima Kathleen M. FLores</t>
        </is>
      </c>
      <c r="G816" t="inlineStr">
        <is>
          <t>Procurement</t>
        </is>
      </c>
      <c r="H816"/>
      <c r="I816"/>
      <c r="J816" t="inlineStr">
        <is>
          <t>Project</t>
        </is>
      </c>
      <c r="K816" t="inlineStr">
        <is>
          <t>PDEI - Game Marketing</t>
        </is>
      </c>
      <c r="L816" t="inlineStr">
        <is>
          <t>WCG 2025 Creator Rumble</t>
        </is>
      </c>
      <c r="M816" t="inlineStr">
        <is>
          <t>2025TEG-P0041</t>
        </is>
      </c>
      <c r="N816" t="inlineStr">
        <is>
          <t>Maura Aurel Atilano Yap</t>
        </is>
      </c>
      <c r="O816" t="inlineStr">
        <is>
          <t>202509250087-Maura Aurel Atilano Yap-费用报销 - 副本 - 副本 - 副本-2025-09-25 09:07:56</t>
        </is>
      </c>
      <c r="P816" t="inlineStr">
        <is>
          <t>YES</t>
        </is>
      </c>
      <c r="Q816"/>
      <c r="R816" t="inlineStr">
        <is>
          <t>NO</t>
        </is>
      </c>
      <c r="S816" t="inlineStr">
        <is>
          <t>Outsourced Asst. Project Manager</t>
        </is>
      </c>
      <c r="T816">
        <v>1</v>
      </c>
      <c r="U816">
        <v>18000</v>
      </c>
      <c r="V816" t="inlineStr">
        <is>
          <t>PHP</t>
        </is>
      </c>
      <c r="W816">
        <v>18000</v>
      </c>
      <c r="X816" s="2" t="str">
        <f>=HYPERLINK("https://www.larksuite.com/approval/admin/previewAttachment?key=PMhNCgIxDAXgK72XpEnjZdxMKTpDQRB_Njm74GK2n3fCe6N6wpKSYEVzOCU1O8U9TLSkGJEIhmiNNa-P_f6Zhu_ajv11jHrftjmebBkiCDXTDoCX0zXMLNMNf8cvAAD__w", "2 attachment(s)")</f>
        <v>2 attachment(s)</v>
      </c>
      <c r="Y816" t="inlineStr">
        <is>
          <t>Bank Transfer</t>
        </is>
      </c>
      <c r="Z816" t="inlineStr">
        <is>
          <t>Glean F. Roque</t>
        </is>
      </c>
      <c r="AA816" t="inlineStr">
        <is>
          <t>0707201681</t>
        </is>
      </c>
      <c r="AB816" t="inlineStr">
        <is>
          <t>Landbank</t>
        </is>
      </c>
      <c r="AC816" t="inlineStr">
        <is>
          <t>30 Interior 5 Salvador Street, Krus na Ligas, Quezon City</t>
        </is>
      </c>
      <c r="AD816" s="4">
        <v>45931</v>
      </c>
      <c r="AE816" t="inlineStr">
        <is>
          <t>100% Full Payment - Nov. 14, 2025</t>
        </is>
      </c>
      <c r="AF816" s="2"/>
      <c r="AG816" t="inlineStr">
        <is>
          <t>NzQyNTk5MTgyNzQ4MTg3MDM0MToyN0ExNUI0Ni05MkNELTQ5RTgtODI4My01N0I5QUM5RDE0NUYtMTo1MzcxNGQxNzZkOWFmZDhkOTdlYjFkMjdjYzQ3MDkxYTox</t>
        </is>
      </c>
      <c r="AH816" t="inlineStr">
        <is>
          <t>Glean F. Roque</t>
        </is>
      </c>
      <c r="AI816"/>
      <c r="AJ816" t="inlineStr">
        <is>
          <t>LIQUIDITY PLAN (PAR # 202505160019 / 2025TEG-P0041)
VENDORS &gt; Booth Coordinator
Total Budget = Php 30,000.00
This Request = Php 18,000.00
Balance = Php 12,000.00</t>
        </is>
      </c>
      <c r="AK816"/>
    </row>
    <row r="817" ht="25.5" customHeight="1">
      <c r="A817" s="2" t="str">
        <f>=HYPERLINK("https://applink.larksuite.com/client/mini_program/open?appId=cli_9c7cc8a9a9edd105&amp;mode=appCenter&amp;path_pc=pc/pages/requested/index?instanceId=7560595491356950560&amp;source=bitable&amp;path=pages/detail/index?instanceId=7560595491356950560&amp;source=bitable", "202510130063")</f>
        <v>202510130063</v>
      </c>
      <c r="B817" t="inlineStr">
        <is>
          <t>Approved</t>
        </is>
      </c>
      <c r="C817" t="inlineStr">
        <is>
          <t>Procurement Order</t>
        </is>
      </c>
      <c r="D817" s="3">
        <v>45943.619375</v>
      </c>
      <c r="E817" s="3">
        <v>45944.78019675926</v>
      </c>
      <c r="F817" t="inlineStr">
        <is>
          <t>Fatima Kathleen M. FLores</t>
        </is>
      </c>
      <c r="G817" t="inlineStr">
        <is>
          <t>Procurement</t>
        </is>
      </c>
      <c r="H817"/>
      <c r="I817"/>
      <c r="J817" t="inlineStr">
        <is>
          <t>Project</t>
        </is>
      </c>
      <c r="K817" t="inlineStr">
        <is>
          <t>GG - Event Service</t>
        </is>
      </c>
      <c r="L817" t="inlineStr">
        <is>
          <t>PKL Season 2 - Social Media Management</t>
        </is>
      </c>
      <c r="M817" t="inlineStr">
        <is>
          <t>2025TEG-P0239</t>
        </is>
      </c>
      <c r="N817" t="inlineStr">
        <is>
          <t>Maura Aurel Atilano Yap</t>
        </is>
      </c>
      <c r="O817" t="inlineStr">
        <is>
          <t>202510010004-Maura Aurel Atilano Yap-费用报销 - 副本 - 副本 - 副本-2025-10-01 02:07:49</t>
        </is>
      </c>
      <c r="P817" t="inlineStr">
        <is>
          <t>NO</t>
        </is>
      </c>
      <c r="Q817"/>
      <c r="R817" t="inlineStr">
        <is>
          <t>YES</t>
        </is>
      </c>
      <c r="S817" t="inlineStr">
        <is>
          <t>Outsourced Post Production Team</t>
        </is>
      </c>
      <c r="T817">
        <v>1</v>
      </c>
      <c r="U817">
        <v>149000</v>
      </c>
      <c r="V817" t="inlineStr">
        <is>
          <t>PHP</t>
        </is>
      </c>
      <c r="W817">
        <v>149000</v>
      </c>
      <c r="X817" s="2" t="str">
        <f>=HYPERLINK("https://www.larksuite.com/approval/admin/previewAttachment?key=PMg7CsJgEATgK80-ZvcfL2OTEES0EmO1ZxcsbL9ahlq0KCFlLtg0CxRTFiwRLIyPdQtt7TH787iS53vlEdvj_oF6ztt27C-j2h0dmbEA2OXv0ZkpVeLn-AYAAP__", "2 attachment(s)")</f>
        <v>2 attachment(s)</v>
      </c>
      <c r="Y817" t="inlineStr">
        <is>
          <t>Bank Transfer</t>
        </is>
      </c>
      <c r="Z817" t="inlineStr">
        <is>
          <t>Leo Angelo Zeta Capeding</t>
        </is>
      </c>
      <c r="AA817" t="inlineStr">
        <is>
          <t>0000023005038</t>
        </is>
      </c>
      <c r="AB817" t="inlineStr">
        <is>
          <t>Security Bank</t>
        </is>
      </c>
      <c r="AC817" t="inlineStr">
        <is>
          <t>Unit 5 Purok 6 Paco Manila</t>
        </is>
      </c>
      <c r="AD817" s="4">
        <v>45932</v>
      </c>
      <c r="AE817" t="inlineStr">
        <is>
          <t>50% Down Payment upon confirmation
50% Final payment upon completion of services</t>
        </is>
      </c>
      <c r="AF817" s="2" t="str">
        <f>=HYPERLINK("https://www.larksuite.com/approval/admin/previewAttachment?key=TMgxDsJQDAPQK9lNnHxzGZZWXwjBhCjTPzsSE-urQdQQo4w0N4OrVZCVZqgsqLC2xW6j2Vus4zmv0vkeOWN_3D9wr_O2z-PFGlFIK5MGwMufk_CIip_jGwAA__8", "2 attachment(s)")</f>
        <v>2 attachment(s)</v>
      </c>
      <c r="AG817" t="inlineStr">
        <is>
          <t>NzQyNTk5MTgyNzQ4MTg3MDM0MTo2MzM0OUI2Ri04OUJBLTQ3OEQtQUM2RC1GQkM1NDJDOTk3MEItMTo5ZmY3NTExZjM2MDc3NDA0YzEyYTdlNTEzNGNiY2UyNTox</t>
        </is>
      </c>
      <c r="AH817" t="inlineStr">
        <is>
          <t>TIRADORES MEDIA PRODUCTIONS</t>
        </is>
      </c>
      <c r="AI817"/>
      <c r="AJ817" t="inlineStr">
        <is>
          <t>LIQUIDITY PLAN (PAR # 202508200095 / 2025TEG-P0239)
SOCIAL MEDIA CONTENT TEAM &gt; 
Additional: 2 explainers, 2 trailers
Scriptwriter
Total Budget = Php 95,000.00
Actual Cost = Php 149,000.00
Balance = (Php 54,000.00) OVER BUDGET</t>
        </is>
      </c>
      <c r="AK817"/>
    </row>
    <row r="818" ht="25.5" customHeight="1">
      <c r="A818" s="2" t="str">
        <f>=HYPERLINK("https://applink.larksuite.com/client/mini_program/open?appId=cli_9c7cc8a9a9edd105&amp;mode=appCenter&amp;path_pc=pc/pages/requested/index?instanceId=7560646349041991719&amp;source=bitable&amp;path=pages/detail/index?instanceId=7560646349041991719&amp;source=bitable", "202510130143")</f>
        <v>202510130143</v>
      </c>
      <c r="B818" t="inlineStr">
        <is>
          <t>Approved</t>
        </is>
      </c>
      <c r="C818" t="inlineStr">
        <is>
          <t>Procurement Order</t>
        </is>
      </c>
      <c r="D818" s="3">
        <v>45943.75643518518</v>
      </c>
      <c r="E818" s="3">
        <v>45944.772835648146</v>
      </c>
      <c r="F818" t="inlineStr">
        <is>
          <t>Fatima Kathleen M. FLores</t>
        </is>
      </c>
      <c r="G818" t="inlineStr">
        <is>
          <t>Procurement</t>
        </is>
      </c>
      <c r="H818"/>
      <c r="I818"/>
      <c r="J818" t="inlineStr">
        <is>
          <t>Project</t>
        </is>
      </c>
      <c r="K818" t="inlineStr">
        <is>
          <t>PDEI - Game Marketing</t>
        </is>
      </c>
      <c r="L818" t="inlineStr">
        <is>
          <t>GG Truck x Megabet</t>
        </is>
      </c>
      <c r="M818" t="inlineStr">
        <is>
          <t>2025TEG-P0124</t>
        </is>
      </c>
      <c r="N818" t="inlineStr">
        <is>
          <t>Anteaus Villena</t>
        </is>
      </c>
      <c r="O818" t="inlineStr">
        <is>
          <t>202506260024-Anteaus Villena-费用报销 - 副本 - 副本 - 副本-2025-06-26 03:12:33</t>
        </is>
      </c>
      <c r="P818" t="inlineStr">
        <is>
          <t>NO</t>
        </is>
      </c>
      <c r="Q818"/>
      <c r="R818" t="inlineStr">
        <is>
          <t>NO</t>
        </is>
      </c>
      <c r="S818" t="inlineStr">
        <is>
          <t>Truck Sticker Removal Services</t>
        </is>
      </c>
      <c r="T818">
        <v>1</v>
      </c>
      <c r="U818">
        <v>3000</v>
      </c>
      <c r="V818" t="inlineStr">
        <is>
          <t>PHP</t>
        </is>
      </c>
      <c r="W818">
        <v>3000</v>
      </c>
      <c r="X818" s="2" t="str">
        <f>=HYPERLINK("https://www.larksuite.com/approval/admin/previewAttachment?key=PMhBCsJADAXQK_0_ySTzvYybDkUtFUEQu8jZBRfdvhhEjE4LwcUmsLIHwsNccEpMqloxU0hms5r7en3sT5vHYXnfXtt3qc9tWeebXdka0txtAODldEt3l8Lxd_wCAAD__w", "2 attachment(s)")</f>
        <v>2 attachment(s)</v>
      </c>
      <c r="Y818" t="inlineStr">
        <is>
          <t>Bank Transfer</t>
        </is>
      </c>
      <c r="Z818" t="inlineStr">
        <is>
          <t>MaxPrecision Corporation</t>
        </is>
      </c>
      <c r="AA818" t="inlineStr">
        <is>
          <t>4440117166</t>
        </is>
      </c>
      <c r="AB818" t="inlineStr">
        <is>
          <t>BDO</t>
        </is>
      </c>
      <c r="AC818" t="inlineStr">
        <is>
          <t>No. 5 Lt. Artiaga Street, Brgy Corazon De Jesus San Juan</t>
        </is>
      </c>
      <c r="AD818" s="4">
        <v>45940</v>
      </c>
      <c r="AE818" t="inlineStr">
        <is>
          <t>100% Full Payment - 30 days upon completion of services</t>
        </is>
      </c>
      <c r="AF818" s="2"/>
      <c r="AG818" t="inlineStr">
        <is>
          <t>NzQyNTk5MTgyNzQ4MTg3MDM0MTo1RkY4NEM3Ni1BM0MxLTQxNkYtQTJFRC1ERUYzOUMxNDMxOEItMTo5MDJhMTBkMzM0NGQ2NjY0ZGU0MmM3ZTllYWI2YjlmNjox</t>
        </is>
      </c>
      <c r="AH818" t="inlineStr">
        <is>
          <t>MaxPrecision Corporation</t>
        </is>
      </c>
      <c r="AI818"/>
      <c r="AJ818" t="inlineStr">
        <is>
          <t>LIQUIDITY PLAN (PAR # 202506230011)
TONDO PACKAGE &gt; Truck Skinning
Total Remaining Budget = Php 44,000.00
Actual Cost = Php 3,000.00
Balance = Php 41,000.00</t>
        </is>
      </c>
      <c r="AK818"/>
    </row>
    <row r="819" ht="25.5" customHeight="1">
      <c r="A819" s="2" t="str">
        <f>=HYPERLINK("https://applink.larksuite.com/client/mini_program/open?appId=cli_9c7cc8a9a9edd105&amp;mode=appCenter&amp;path_pc=pc/pages/requested/index?instanceId=7560606672947839014&amp;source=bitable&amp;path=pages/detail/index?instanceId=7560606672947839014&amp;source=bitable", "202510130083")</f>
        <v>202510130083</v>
      </c>
      <c r="B819" t="inlineStr">
        <is>
          <t>Approved</t>
        </is>
      </c>
      <c r="C819" t="inlineStr">
        <is>
          <t>Procurement Order</t>
        </is>
      </c>
      <c r="D819" s="3">
        <v>45943.649513888886</v>
      </c>
      <c r="E819" s="3">
        <v>45945.45086805556</v>
      </c>
      <c r="F819" t="inlineStr">
        <is>
          <t>Fatima Kathleen M. FLores</t>
        </is>
      </c>
      <c r="G819" t="inlineStr">
        <is>
          <t>Procurement</t>
        </is>
      </c>
      <c r="H819"/>
      <c r="I819"/>
      <c r="J819" t="inlineStr">
        <is>
          <t>Project</t>
        </is>
      </c>
      <c r="K819" t="inlineStr">
        <is>
          <t>PDEI - Game Marketing</t>
        </is>
      </c>
      <c r="L819" t="inlineStr">
        <is>
          <t>SMDC Heroes Clash Community Arena Tournament Year 3</t>
        </is>
      </c>
      <c r="M819" t="inlineStr">
        <is>
          <t>2025TEG-P0247</t>
        </is>
      </c>
      <c r="N819" t="inlineStr">
        <is>
          <t>Clifford Markus Ortiz Martinez</t>
        </is>
      </c>
      <c r="O819" t="inlineStr">
        <is>
          <t>202510020043-Clifford Markus Ortiz Martinez-费用报销 - 副本 - 副本 - 副本-2025-10-02 07:19:13</t>
        </is>
      </c>
      <c r="P819" t="inlineStr">
        <is>
          <t>YES</t>
        </is>
      </c>
      <c r="Q819"/>
      <c r="R819" t="inlineStr">
        <is>
          <t>YES</t>
        </is>
      </c>
      <c r="S819" t="inlineStr">
        <is>
          <t>Outsourced Referee</t>
        </is>
      </c>
      <c r="T819">
        <v>1</v>
      </c>
      <c r="U819">
        <v>4500</v>
      </c>
      <c r="V819" t="inlineStr">
        <is>
          <t>PHP</t>
        </is>
      </c>
      <c r="W819">
        <v>4500</v>
      </c>
      <c r="X819" s="2" t="str">
        <f>=HYPERLINK("https://www.larksuite.com/approval/admin/previewAttachment?key=PMixDcJQDATQlc72xffNMjT5ihBKaBCExrMjUdC-HIYci0UWWOYFay2JRKa8qBEFY3ubVJDJo-exXennur9iHPs5H_dPv2_rNp-2lNyhIGMAsMvfQySrkvg5vgEAAP__", "2 attachment(s)")</f>
        <v>2 attachment(s)</v>
      </c>
      <c r="Y819" t="inlineStr">
        <is>
          <t>Bank Transfer</t>
        </is>
      </c>
      <c r="Z819" t="inlineStr">
        <is>
          <t>Deanne Abigail Cunanan</t>
        </is>
      </c>
      <c r="AA819" t="inlineStr">
        <is>
          <t>09223222272</t>
        </is>
      </c>
      <c r="AB819" t="inlineStr">
        <is>
          <t>GCash</t>
        </is>
      </c>
      <c r="AC819" t="inlineStr">
        <is>
          <t>Blk 8 Lt 14 Kabisig Floodway, Brgy. San Andres, Cainta, Rizal</t>
        </is>
      </c>
      <c r="AD819" s="4">
        <v>45941</v>
      </c>
      <c r="AE819" t="inlineStr">
        <is>
          <t>100% Full Payment - Oct. 31, 2025</t>
        </is>
      </c>
      <c r="AF819" s="2"/>
      <c r="AG819" t="inlineStr">
        <is>
          <t>NzQyNTk5MTgyNzQ4MTg3MDM0MTo1REM3QTNENy1DQ0U2LTREQjktQkVCNC0xNUYzODY3MzdGRDAtMTo1MzUyZjk1Y2NhYWI1NGY4ODlhOTlhY2M3NmJjZjc4NTox</t>
        </is>
      </c>
      <c r="AH819" t="inlineStr">
        <is>
          <t>Deanne Abigail Cunanan</t>
        </is>
      </c>
      <c r="AI819"/>
      <c r="AJ819" t="inlineStr">
        <is>
          <t>LIQUIDITY PLAN (PAR # 202509190067 / 2025TEG-P0247)
MPLACE &gt; Broadcast Package (INTERNAL)
SUN &gt; Broadcast Package (INTERNAL)
LIGHT &gt; Broadcast Package (INTERNAL)
Total Remaining Budget = Php 77,700.00
Actual Cost = Php 4,500.00
Balance = Php 73,200.00
Budget in internal CE is tagged as INTERNAL, hence the over budget.</t>
        </is>
      </c>
      <c r="AK819"/>
    </row>
    <row r="820" ht="25.5" customHeight="1">
      <c r="A820" s="2" t="str">
        <f>=HYPERLINK("https://applink.larksuite.com/client/mini_program/open?appId=cli_9c7cc8a9a9edd105&amp;mode=appCenter&amp;path_pc=pc/pages/requested/index?instanceId=7560605617212325926&amp;source=bitable&amp;path=pages/detail/index?instanceId=7560605617212325926&amp;source=bitable", "202510130077")</f>
        <v>202510130077</v>
      </c>
      <c r="B820" t="inlineStr">
        <is>
          <t>Approved</t>
        </is>
      </c>
      <c r="C820" t="inlineStr">
        <is>
          <t>Procurement Order</t>
        </is>
      </c>
      <c r="D820" s="3">
        <v>45943.64666666667</v>
      </c>
      <c r="E820" s="3">
        <v>45945.44982638889</v>
      </c>
      <c r="F820" t="inlineStr">
        <is>
          <t>Fatima Kathleen M. FLores</t>
        </is>
      </c>
      <c r="G820" t="inlineStr">
        <is>
          <t>Procurement</t>
        </is>
      </c>
      <c r="H820"/>
      <c r="I820"/>
      <c r="J820" t="inlineStr">
        <is>
          <t>Project</t>
        </is>
      </c>
      <c r="K820" t="inlineStr">
        <is>
          <t>PDEI - Game Marketing</t>
        </is>
      </c>
      <c r="L820" t="inlineStr">
        <is>
          <t>SMDC Heroes Clash Community Arena Tournament Year 3</t>
        </is>
      </c>
      <c r="M820" t="inlineStr">
        <is>
          <t>2025TEG-P0247</t>
        </is>
      </c>
      <c r="N820" t="inlineStr">
        <is>
          <t>Clifford Markus Ortiz Martinez</t>
        </is>
      </c>
      <c r="O820" t="inlineStr">
        <is>
          <t>202510020043-Clifford Markus Ortiz Martinez-费用报销 - 副本 - 副本 - 副本-2025-10-02 07:19:13</t>
        </is>
      </c>
      <c r="P820" t="inlineStr">
        <is>
          <t>YES</t>
        </is>
      </c>
      <c r="Q820"/>
      <c r="R820" t="inlineStr">
        <is>
          <t>YES</t>
        </is>
      </c>
      <c r="S820" t="inlineStr">
        <is>
          <t>Outsourced Referee</t>
        </is>
      </c>
      <c r="T820">
        <v>1</v>
      </c>
      <c r="U820">
        <v>4800</v>
      </c>
      <c r="V820" t="inlineStr">
        <is>
          <t>PHP</t>
        </is>
      </c>
      <c r="W820">
        <v>4800</v>
      </c>
      <c r="X820" s="2" t="str">
        <f>=HYPERLINK("https://www.larksuite.com/approval/admin/previewAttachment?key=PMgxrsJADATQK82Mvfb6X-Y3G0U0QUgoQRQ-OxIF7YtJxBy0KHhRBXaOQGAEU5RplKLVzCwkU9bbsf-vU-_54Ou8jnst9XVb-_bkqJSQ5m4TAP9-bunuVeH4Oj4BAAD__w", "2 attachment(s)")</f>
        <v>2 attachment(s)</v>
      </c>
      <c r="Y820" t="inlineStr">
        <is>
          <t>Bank Transfer</t>
        </is>
      </c>
      <c r="Z820" t="inlineStr">
        <is>
          <t>Jean Francois Dominique Galvez</t>
        </is>
      </c>
      <c r="AA820" t="inlineStr">
        <is>
          <t>09157822237</t>
        </is>
      </c>
      <c r="AB820" t="inlineStr">
        <is>
          <t>GCash</t>
        </is>
      </c>
      <c r="AC820" t="inlineStr">
        <is>
          <t>3b Grace St. Camella Homes, Pilar Village, Las Piñas City</t>
        </is>
      </c>
      <c r="AD820" s="4">
        <v>45941</v>
      </c>
      <c r="AE820" t="inlineStr">
        <is>
          <t>100% Full Payment - Oct. 31, 2025</t>
        </is>
      </c>
      <c r="AF820" s="2"/>
      <c r="AG820" t="inlineStr">
        <is>
          <t>NzQyNTk5MTgyNzQ4MTg3MDM0MTo4N0FENzRCNy0wREVDLTRBQzItODNDNi1DNjNGNkY1MzVCRUQtMTo3MzQ0ZDU1ZjYxMzg3NDlkNWMzOGRmYzhlZDU1ZWYzMDox</t>
        </is>
      </c>
      <c r="AH820" t="inlineStr">
        <is>
          <t>Jean Francois Dominique Galvez</t>
        </is>
      </c>
      <c r="AI820"/>
      <c r="AJ820" t="inlineStr">
        <is>
          <t>LIQUIDITY PLAN (PAR # 202509190067 / 2025TEG-P0247)
MPLACE &gt; Broadcast Package (INTERNAL)
SUN &gt; Broadcast Package (INTERNAL)
LIGHT &gt; Broadcast Package (INTERNAL)
Total Remaining Budget = Php 82,500.00
Actual Cost = Php 4,600.00
Balance = Php 77,700.00
Budget in internal CE is tagged as INTERNAL, hence the over budget.</t>
        </is>
      </c>
      <c r="AK820"/>
    </row>
    <row r="821" ht="25.5" customHeight="1">
      <c r="A821" s="2" t="str">
        <f>=HYPERLINK("https://applink.larksuite.com/client/mini_program/open?appId=cli_9c7cc8a9a9edd105&amp;mode=appCenter&amp;path_pc=pc/pages/requested/index?instanceId=7560603607171678239&amp;source=bitable&amp;path=pages/detail/index?instanceId=7560603607171678239&amp;source=bitable", "202510130074")</f>
        <v>202510130074</v>
      </c>
      <c r="B821" t="inlineStr">
        <is>
          <t>Approved</t>
        </is>
      </c>
      <c r="C821" t="inlineStr">
        <is>
          <t>Procurement Order</t>
        </is>
      </c>
      <c r="D821" s="3">
        <v>45943.64125</v>
      </c>
      <c r="E821" s="3">
        <v>45945.45583333333</v>
      </c>
      <c r="F821" t="inlineStr">
        <is>
          <t>Fatima Kathleen M. FLores</t>
        </is>
      </c>
      <c r="G821" t="inlineStr">
        <is>
          <t>Procurement</t>
        </is>
      </c>
      <c r="H821"/>
      <c r="I821"/>
      <c r="J821" t="inlineStr">
        <is>
          <t>Project</t>
        </is>
      </c>
      <c r="K821" t="inlineStr">
        <is>
          <t>PDEI - Game Marketing</t>
        </is>
      </c>
      <c r="L821" t="inlineStr">
        <is>
          <t>SMDC Heroes Clash Community Arena Tournament Year 3</t>
        </is>
      </c>
      <c r="M821" t="inlineStr">
        <is>
          <t>2025TEG-P0247</t>
        </is>
      </c>
      <c r="N821" t="inlineStr">
        <is>
          <t>Clifford Markus Ortiz Martinez</t>
        </is>
      </c>
      <c r="O821" t="inlineStr">
        <is>
          <t>202510020043-Clifford Markus Ortiz Martinez-费用报销 - 副本 - 副本 - 副本-2025-10-02 07:19:13</t>
        </is>
      </c>
      <c r="P821" t="inlineStr">
        <is>
          <t>YES</t>
        </is>
      </c>
      <c r="Q821"/>
      <c r="R821" t="inlineStr">
        <is>
          <t>YES</t>
        </is>
      </c>
      <c r="S821" t="inlineStr">
        <is>
          <t>Outsourced Referee</t>
        </is>
      </c>
      <c r="T821">
        <v>1</v>
      </c>
      <c r="U821">
        <v>1500</v>
      </c>
      <c r="V821" t="inlineStr">
        <is>
          <t>PHP</t>
        </is>
      </c>
      <c r="W821">
        <v>1500</v>
      </c>
      <c r="X821" s="2" t="str">
        <f>=HYPERLINK("https://www.larksuite.com/approval/admin/previewAttachment?key=PMg9CsJAEAXgK735fTtexiYhCDE2kgWLObtokfbLIcgRYlnwEi1IMxIJS1AoyaFWrS1k_USt12O7R8xzgR6v535-9tnzsWzrW6KoCpq7DQByu9zo7lXp-Du-AQAA__8", "2 attachment(s)")</f>
        <v>2 attachment(s)</v>
      </c>
      <c r="Y821" t="inlineStr">
        <is>
          <t>Bank Transfer</t>
        </is>
      </c>
      <c r="Z821" t="inlineStr">
        <is>
          <t>Luis Pablo Raphael M. Juliano</t>
        </is>
      </c>
      <c r="AA821" t="inlineStr">
        <is>
          <t>09561406860</t>
        </is>
      </c>
      <c r="AB821" t="inlineStr">
        <is>
          <t>GCash</t>
        </is>
      </c>
      <c r="AC821" t="inlineStr">
        <is>
          <t>Lot D-1A Secured Compound Banlat Road, Tandang Sora, Quezon City</t>
        </is>
      </c>
      <c r="AD821" s="4">
        <v>45941</v>
      </c>
      <c r="AE821" t="inlineStr">
        <is>
          <t>100% Full Payment - Oct. 24, 2025</t>
        </is>
      </c>
      <c r="AF821" s="2"/>
      <c r="AG821" t="inlineStr">
        <is>
          <t>NzQyNTk5MTgyNzQ4MTg3MDM0MTowOUZCOTI2Qi1FNzg2LTRGM0EtQTlGOS02RDczODczRUI0MzEtMTo5ZWQxMjljZTg1NzllMDU4MTA0MGYwNmE1NWQ1ZWM5NTox</t>
        </is>
      </c>
      <c r="AH821" t="inlineStr">
        <is>
          <t>Luis Pablo Raphael M. Juliano</t>
        </is>
      </c>
      <c r="AI821"/>
      <c r="AJ821" t="inlineStr">
        <is>
          <t>LIQUIDITY PLAN (PAR # 202509190067 / 2025TEG-P0247)
SUN &gt; Broadcast Package (INTERNAL)
Total Remaining Budget = Php 28,000.00
Actual Cost = Php 1,500.00
Balance = Php 26,500.00
Budget in internal CE is tagged as INTERNAL, hence the over budget.</t>
        </is>
      </c>
      <c r="AK821"/>
    </row>
    <row r="822" ht="25.5" customHeight="1">
      <c r="A822" s="2" t="str">
        <f>=HYPERLINK("https://applink.larksuite.com/client/mini_program/open?appId=cli_9c7cc8a9a9edd105&amp;mode=appCenter&amp;path_pc=pc/pages/requested/index?instanceId=7560933316199776288&amp;source=bitable&amp;path=pages/detail/index?instanceId=7560933316199776288&amp;source=bitable", "202510140030")</f>
        <v>202510140030</v>
      </c>
      <c r="B822" t="inlineStr">
        <is>
          <t>Approved</t>
        </is>
      </c>
      <c r="C822" t="inlineStr">
        <is>
          <t>Procurement Order</t>
        </is>
      </c>
      <c r="D822" s="3">
        <v>45944.52974537037</v>
      </c>
      <c r="E822" s="3">
        <v>45944.765</v>
      </c>
      <c r="F822" t="inlineStr">
        <is>
          <t>Fatima Kathleen M. FLores</t>
        </is>
      </c>
      <c r="G822" t="inlineStr">
        <is>
          <t>Procurement</t>
        </is>
      </c>
      <c r="H822"/>
      <c r="I822"/>
      <c r="J822" t="inlineStr">
        <is>
          <t>Project</t>
        </is>
      </c>
      <c r="K822" t="inlineStr">
        <is>
          <t>PDEI - Game Marketing</t>
        </is>
      </c>
      <c r="L822" t="inlineStr">
        <is>
          <t>SMDC Heroes Clash Community Arena Tournament Year 3</t>
        </is>
      </c>
      <c r="M822" t="inlineStr">
        <is>
          <t>2025TEG-P0247</t>
        </is>
      </c>
      <c r="N822" t="inlineStr">
        <is>
          <t>Clifford Markus Ortiz Martinez</t>
        </is>
      </c>
      <c r="O822" t="inlineStr">
        <is>
          <t>202509280039-Clifford Markus Ortiz Martinez-费用报销 - 副本 - 副本 - 副本-2025-09-28 18:42:25</t>
        </is>
      </c>
      <c r="P822" t="inlineStr">
        <is>
          <t>YES</t>
        </is>
      </c>
      <c r="Q822"/>
      <c r="R822" t="inlineStr">
        <is>
          <t>NO</t>
        </is>
      </c>
      <c r="S822" t="inlineStr">
        <is>
          <t>Outsourced Road Manager / Usher</t>
        </is>
      </c>
      <c r="T822">
        <v>1</v>
      </c>
      <c r="U822">
        <v>5250</v>
      </c>
      <c r="V822" t="inlineStr">
        <is>
          <t>PHP</t>
        </is>
      </c>
      <c r="W822">
        <v>5250</v>
      </c>
      <c r="X822" s="2" t="str">
        <f>=HYPERLINK("https://www.larksuite.com/approval/admin/previewAttachment?key=PMgxCgJBDAXQK_2fZJP5XsZmlkVYrGSULXJ2wcL25SBybPQUQjSBXVtC7s6kVJU2RluzSiiWee_P4z6XXSfXNWPZPD_9fsxjf3FTmaE8wgcA3v7uFRFSBn6ObwAAAP__", "2 attachment(s)")</f>
        <v>2 attachment(s)</v>
      </c>
      <c r="Y822" t="inlineStr">
        <is>
          <t>Bank Transfer</t>
        </is>
      </c>
      <c r="Z822" t="inlineStr">
        <is>
          <t>Juan Diego Villarama Legislador</t>
        </is>
      </c>
      <c r="AA822" t="inlineStr">
        <is>
          <t>1096 7009 1261</t>
        </is>
      </c>
      <c r="AB822" t="inlineStr">
        <is>
          <t>Unionbank</t>
        </is>
      </c>
      <c r="AC822" t="inlineStr">
        <is>
          <t>1246 Cardona St. Rizal Village Makati City</t>
        </is>
      </c>
      <c r="AD822" s="4">
        <v>45934</v>
      </c>
      <c r="AE822" t="inlineStr">
        <is>
          <t>100% Full Payment - Oct. 31, 2025</t>
        </is>
      </c>
      <c r="AF822" s="2"/>
      <c r="AG822" t="inlineStr">
        <is>
          <t>NzQyNTk5MTgyNzQ4MTg3MDM0MTpBQzkyMDhBRS1CMkNCLTRBQzgtOEUyNC03QTVDOTRGOEE3QTktMTo5YWM1ZTk3MDNiZWQ1ZWVlMDQ4MmFhYzY5ZWIxNDc5YTox</t>
        </is>
      </c>
      <c r="AH822" t="inlineStr">
        <is>
          <t>Juan Diego Villarama Legislador</t>
        </is>
      </c>
      <c r="AI822"/>
      <c r="AJ822" t="inlineStr">
        <is>
          <t>LIQUIDITY PLAN (PAR # 202509190067 / 2025TEG-P0247)
PROJECT PLANNING &gt; Ushers (Side Activity + 1 Runner)
Total Remaining Budget = Php 6,300.00
This Request = Php 5,250.00
Balance = Php 1,050.00</t>
        </is>
      </c>
      <c r="AK822"/>
    </row>
    <row r="823" ht="25.5" customHeight="1">
      <c r="A823" s="2" t="str">
        <f>=HYPERLINK("https://applink.larksuite.com/client/mini_program/open?appId=cli_9c7cc8a9a9edd105&amp;mode=appCenter&amp;path_pc=pc/pages/requested/index?instanceId=7560621969612292135&amp;source=bitable&amp;path=pages/detail/index?instanceId=7560621969612292135&amp;source=bitable", "202510130123")</f>
        <v>202510130123</v>
      </c>
      <c r="B823" t="inlineStr">
        <is>
          <t>Approved</t>
        </is>
      </c>
      <c r="C823" t="inlineStr">
        <is>
          <t>Procurement Order</t>
        </is>
      </c>
      <c r="D823" s="3">
        <v>45943.690729166665</v>
      </c>
      <c r="E823" s="3">
        <v>45944.783229166664</v>
      </c>
      <c r="F823" t="inlineStr">
        <is>
          <t>Fatima Kathleen M. FLores</t>
        </is>
      </c>
      <c r="G823" t="inlineStr">
        <is>
          <t>Procurement</t>
        </is>
      </c>
      <c r="H823"/>
      <c r="I823"/>
      <c r="J823" t="inlineStr">
        <is>
          <t>Project</t>
        </is>
      </c>
      <c r="K823" t="inlineStr">
        <is>
          <t>GG - Event Service</t>
        </is>
      </c>
      <c r="L823" t="inlineStr">
        <is>
          <t>HOK Philippine Kings League - Fall Season</t>
        </is>
      </c>
      <c r="M823" t="inlineStr">
        <is>
          <t>2025TEG-P0219</t>
        </is>
      </c>
      <c r="N823" t="inlineStr">
        <is>
          <t>Carla Andrea Calma Crespo</t>
        </is>
      </c>
      <c r="O823" t="inlineStr">
        <is>
          <t>202510020130-Carla Andrea Calma Crespo-费用报销 - 副本 - 副本 - 副本-2025-10-02 15:03:59</t>
        </is>
      </c>
      <c r="P823" t="inlineStr">
        <is>
          <t>YES</t>
        </is>
      </c>
      <c r="Q823"/>
      <c r="R823" t="inlineStr">
        <is>
          <t>YES</t>
        </is>
      </c>
      <c r="S823" t="inlineStr">
        <is>
          <t>Outsourced Talent (Yasumeow)</t>
        </is>
      </c>
      <c r="T823">
        <v>1</v>
      </c>
      <c r="U823">
        <v>22500</v>
      </c>
      <c r="V823" t="inlineStr">
        <is>
          <t>PHP</t>
        </is>
      </c>
      <c r="W823">
        <v>22500</v>
      </c>
      <c r="X823" s="2" t="str">
        <f>=HYPERLINK("https://www.larksuite.com/approval/admin/previewAttachment?key=PMgxCgJBDAXQK_3_k0kmXsZmlkVBK1lZi5xdsLB9MYmYgxYFL6rAzhEIsaKCUok2Ws3MQjJlvT336zr0mcfjzFN5X97v29q3F0elhDR3mwB4-bulu1eF4-f4BgAA__8", "2 attachment(s)")</f>
        <v>2 attachment(s)</v>
      </c>
      <c r="Y823" t="inlineStr">
        <is>
          <t>Bank Transfer</t>
        </is>
      </c>
      <c r="Z823" t="inlineStr">
        <is>
          <t>Lhea Lei Sulit</t>
        </is>
      </c>
      <c r="AA823" t="inlineStr">
        <is>
          <t>005560206211</t>
        </is>
      </c>
      <c r="AB823" t="inlineStr">
        <is>
          <t>BDO</t>
        </is>
      </c>
      <c r="AC823" t="inlineStr">
        <is>
          <t>249 Purok 3, Pulong Tamo, San Ildefonso, Bulacan</t>
        </is>
      </c>
      <c r="AD823" s="4">
        <v>45942</v>
      </c>
      <c r="AE823" t="inlineStr">
        <is>
          <t>1st Payment - Oct. 24, 2025
Final Payment - Nov. 7, 2025</t>
        </is>
      </c>
      <c r="AF823" s="2"/>
      <c r="AG823" t="inlineStr">
        <is>
          <t>NzQyNTk5MTgyNzQ4MTg3MDM0MTo4NDRCMzU2Qi00NjlELTRBNDktQkI2MC05QThEMzI1OUNDQ0ItMTo2NTQwYzU5ZTkxN2IyNWRiZWNkMGFiNmJiNTBhNmNkODox</t>
        </is>
      </c>
      <c r="AH823" t="inlineStr">
        <is>
          <t>Lhea Lei Sulit</t>
        </is>
      </c>
      <c r="AI823"/>
      <c r="AJ823" t="inlineStr">
        <is>
          <t>LIQUIDITY PLAN (PAR # 202508190134 / 2025TEG-P0219)
INTERNAL 0820 COST ESTIMATE &gt; PLAYOFFS &gt;
Labor Cost &gt; TALENTS &gt; Casters (Playoffs)
Total Remaining Budget = Php 750.00
This Request = Php 22,500.00
Balance = (Php 21,750.00) OVER BUDGET</t>
        </is>
      </c>
      <c r="AK823"/>
    </row>
    <row r="824" ht="25.5" customHeight="1">
      <c r="A824" s="2" t="str">
        <f>=HYPERLINK("https://applink.larksuite.com/client/mini_program/open?appId=cli_9c7cc8a9a9edd105&amp;mode=appCenter&amp;path_pc=pc/pages/requested/index?instanceId=7560623352193269799&amp;source=bitable&amp;path=pages/detail/index?instanceId=7560623352193269799&amp;source=bitable", "202510130127")</f>
        <v>202510130127</v>
      </c>
      <c r="B824" t="inlineStr">
        <is>
          <t>Approved</t>
        </is>
      </c>
      <c r="C824" t="inlineStr">
        <is>
          <t>Procurement Order</t>
        </is>
      </c>
      <c r="D824" s="3">
        <v>45943.69445601852</v>
      </c>
      <c r="E824" s="3">
        <v>45945.438726851855</v>
      </c>
      <c r="F824" t="inlineStr">
        <is>
          <t>Fatima Kathleen M. FLores</t>
        </is>
      </c>
      <c r="G824" t="inlineStr">
        <is>
          <t>Procurement</t>
        </is>
      </c>
      <c r="H824"/>
      <c r="I824"/>
      <c r="J824" t="inlineStr">
        <is>
          <t>Project</t>
        </is>
      </c>
      <c r="K824" t="inlineStr">
        <is>
          <t>GG - Event Service</t>
        </is>
      </c>
      <c r="L824" t="inlineStr">
        <is>
          <t>HOK Philippine Kings League - Fall Season</t>
        </is>
      </c>
      <c r="M824" t="inlineStr">
        <is>
          <t>2025TEG-P0219</t>
        </is>
      </c>
      <c r="N824" t="inlineStr">
        <is>
          <t>Carla Andrea Calma Crespo</t>
        </is>
      </c>
      <c r="O824" t="inlineStr">
        <is>
          <t>202510020131-Carla Andrea Calma Crespo-费用报销 - 副本 - 副本 - 副本-2025-10-02 15:06:22</t>
        </is>
      </c>
      <c r="P824" t="inlineStr">
        <is>
          <t>YES</t>
        </is>
      </c>
      <c r="Q824"/>
      <c r="R824" t="inlineStr">
        <is>
          <t>YES</t>
        </is>
      </c>
      <c r="S824" t="inlineStr">
        <is>
          <t>Outsourced Talent (SHINBOO)</t>
        </is>
      </c>
      <c r="T824">
        <v>1</v>
      </c>
      <c r="U824">
        <v>55750</v>
      </c>
      <c r="V824" t="inlineStr">
        <is>
          <t>PHP</t>
        </is>
      </c>
      <c r="W824">
        <v>55750</v>
      </c>
      <c r="X824" s="2" t="str">
        <f>=HYPERLINK("https://www.larksuite.com/approval/admin/previewAttachment?key=PMg7CsJAGATgK83_nB0vY2MIFgqCuKbZswsWab8ehh5l0ULKXLDFarRHlJvCW5SWLyMFGj3W9tyvI-uY3-MVxs9j1pr32769rUR3MDJjALDL6cHMlDrxd_wCAAD__w", "2 attachment(s)")</f>
        <v>2 attachment(s)</v>
      </c>
      <c r="Y824" t="inlineStr">
        <is>
          <t>Bank Transfer</t>
        </is>
      </c>
      <c r="Z824" t="inlineStr">
        <is>
          <t>SHIN BOO C PONFERRADA</t>
        </is>
      </c>
      <c r="AA824" t="inlineStr">
        <is>
          <t>4359 4142 05</t>
        </is>
      </c>
      <c r="AB824" t="inlineStr">
        <is>
          <t>BPI</t>
        </is>
      </c>
      <c r="AC824" t="inlineStr">
        <is>
          <t>44H 20th Avenue, Brgy. San Roque, Quezon City</t>
        </is>
      </c>
      <c r="AD824" s="4">
        <v>45942</v>
      </c>
      <c r="AE824" t="inlineStr">
        <is>
          <t>1st Payment - Oct. 24, 2025
Final Payment - Nov. 7, 2025</t>
        </is>
      </c>
      <c r="AF824" s="2"/>
      <c r="AG824" t="inlineStr">
        <is>
          <t>NzQyNTk5MTgyNzQ4MTg3MDM0MTozNEQyQzA3OC05RUM1LTQ4MEUtODJDQy0zREY2Mjc2RjBGNTUtMTowOWFiZGNmMTMzNmQzNDhmMGIzZmE1YTk0ZDUwOTg5NTox</t>
        </is>
      </c>
      <c r="AH824" t="inlineStr">
        <is>
          <t>SHIN BOO C PONFERRADA</t>
        </is>
      </c>
      <c r="AI824"/>
      <c r="AJ824" t="inlineStr">
        <is>
          <t>LIQUIDITY PLAN (PAR # 202508190134 / 2025TEG-P0219)
INTERNAL 0820 COST ESTIMATE &gt; PLAYOFFS &gt;
Labor Cost &gt; TALENTS &gt; Casters (Playoffs)
Total Remaining Budget = (Php 21,750.00) NEGATIVE
This Request = Php 55,750.00
Balance = (Php 77,500.00) OVER BUDGET</t>
        </is>
      </c>
      <c r="AK824"/>
    </row>
    <row r="825" ht="25.5" customHeight="1">
      <c r="A825" s="2" t="str">
        <f>=HYPERLINK("https://applink.larksuite.com/client/mini_program/open?appId=cli_9c7cc8a9a9edd105&amp;mode=appCenter&amp;path_pc=pc/pages/requested/index?instanceId=7560624597784150054&amp;source=bitable&amp;path=pages/detail/index?instanceId=7560624597784150054&amp;source=bitable", "202510130129")</f>
        <v>202510130129</v>
      </c>
      <c r="B825" t="inlineStr">
        <is>
          <t>Approved</t>
        </is>
      </c>
      <c r="C825" t="inlineStr">
        <is>
          <t>Procurement Order</t>
        </is>
      </c>
      <c r="D825" s="3">
        <v>45943.6978125</v>
      </c>
      <c r="E825" s="3">
        <v>45945.44028935185</v>
      </c>
      <c r="F825" t="inlineStr">
        <is>
          <t>Fatima Kathleen M. FLores</t>
        </is>
      </c>
      <c r="G825" t="inlineStr">
        <is>
          <t>Procurement</t>
        </is>
      </c>
      <c r="H825"/>
      <c r="I825"/>
      <c r="J825" t="inlineStr">
        <is>
          <t>Project</t>
        </is>
      </c>
      <c r="K825" t="inlineStr">
        <is>
          <t>GG - Event Service</t>
        </is>
      </c>
      <c r="L825" t="inlineStr">
        <is>
          <t>HOK Philippine Kings League - Fall Season</t>
        </is>
      </c>
      <c r="M825" t="inlineStr">
        <is>
          <t>2025TEG-P0219</t>
        </is>
      </c>
      <c r="N825" t="inlineStr">
        <is>
          <t>Carla Andrea Calma Crespo</t>
        </is>
      </c>
      <c r="O825" t="inlineStr">
        <is>
          <t>202510020132-Carla Andrea Calma Crespo-费用报销 - 副本 - 副本 - 副本-2025-10-02 15:09:09</t>
        </is>
      </c>
      <c r="P825" t="inlineStr">
        <is>
          <t>YES</t>
        </is>
      </c>
      <c r="Q825"/>
      <c r="R825" t="inlineStr">
        <is>
          <t>YES</t>
        </is>
      </c>
      <c r="S825" t="inlineStr">
        <is>
          <t>Outsourced Talent (BEEBIMBAPP)</t>
        </is>
      </c>
      <c r="T825">
        <v>1</v>
      </c>
      <c r="U825">
        <v>22500</v>
      </c>
      <c r="V825" t="inlineStr">
        <is>
          <t>PHP</t>
        </is>
      </c>
      <c r="W825">
        <v>22500</v>
      </c>
      <c r="X825" s="2" t="str">
        <f>=HYPERLINK("https://www.larksuite.com/approval/admin/previewAttachment?key=PMg9CkIxEATgK81uZn_Gy9gYHiIGBNEuZxcsXvtlG7LDRgqUuWC7IpHOUFXTAghu31YllJWPPddxfcan59Ki-jH9tb_32zHfFip31CBHA7DL6aNISkn8Hb8AAAD__w", "2 attachment(s)")</f>
        <v>2 attachment(s)</v>
      </c>
      <c r="Y825" t="inlineStr">
        <is>
          <t>Bank Transfer</t>
        </is>
      </c>
      <c r="Z825" t="inlineStr">
        <is>
          <t>Laurise Martinez</t>
        </is>
      </c>
      <c r="AA825" t="inlineStr">
        <is>
          <t>006980522247</t>
        </is>
      </c>
      <c r="AB825" t="inlineStr">
        <is>
          <t>BDO</t>
        </is>
      </c>
      <c r="AC825" t="inlineStr">
        <is>
          <t>203 Monte Carlo Residences Sucat Parañaque</t>
        </is>
      </c>
      <c r="AD825" s="4">
        <v>45942</v>
      </c>
      <c r="AE825" t="inlineStr">
        <is>
          <t>1st Payment - Oct. 24, 2025
Final Payment - Nov. 7, 2025</t>
        </is>
      </c>
      <c r="AF825" s="2"/>
      <c r="AG825" t="inlineStr">
        <is>
          <t>NzQyNTk5MTgyNzQ4MTg3MDM0MTpGM0YxOTQzMi1ENEEwLTRDRjctQURBRi1DRjNDOEQxNkZFNDAtMTpiMWQxM2M4ZTBlODFlM2I0Y2RiZDYzYWRkNTlmMzkyMDox</t>
        </is>
      </c>
      <c r="AH825" t="inlineStr">
        <is>
          <t>Laurise Martinez</t>
        </is>
      </c>
      <c r="AI825"/>
      <c r="AJ825" t="inlineStr">
        <is>
          <t>LIQUIDITY PLAN (PAR # 202508190134 / 2025TEG-P0219)
INTERNAL 0820 COST ESTIMATE &gt; PLAYOFFS &gt;
Labor Cost &gt; TALENTS &gt; Casters (Playoffs)
Total Remaining Budget = (Php 77,500.00) NEGATIVE
This Request = Php 22,500.00
Balance = (Php 100,000.00) OVER BUDGET</t>
        </is>
      </c>
      <c r="AK825"/>
    </row>
    <row r="826" ht="25.5" customHeight="1">
      <c r="A826" s="2" t="str">
        <f>=HYPERLINK("https://applink.larksuite.com/client/mini_program/open?appId=cli_9c7cc8a9a9edd105&amp;mode=appCenter&amp;path_pc=pc/pages/requested/index?instanceId=7560625602965848096&amp;source=bitable&amp;path=pages/detail/index?instanceId=7560625602965848096&amp;source=bitable", "202510130130")</f>
        <v>202510130130</v>
      </c>
      <c r="B826" t="inlineStr">
        <is>
          <t>Approved</t>
        </is>
      </c>
      <c r="C826" t="inlineStr">
        <is>
          <t>Procurement Order</t>
        </is>
      </c>
      <c r="D826" s="3">
        <v>45943.700520833336</v>
      </c>
      <c r="E826" s="3">
        <v>45945.442141203705</v>
      </c>
      <c r="F826" t="inlineStr">
        <is>
          <t>Fatima Kathleen M. FLores</t>
        </is>
      </c>
      <c r="G826" t="inlineStr">
        <is>
          <t>Procurement</t>
        </is>
      </c>
      <c r="H826"/>
      <c r="I826"/>
      <c r="J826" t="inlineStr">
        <is>
          <t>Project</t>
        </is>
      </c>
      <c r="K826" t="inlineStr">
        <is>
          <t>GG - Event Service</t>
        </is>
      </c>
      <c r="L826" t="inlineStr">
        <is>
          <t>HOK Philippine Kings League - Fall Season</t>
        </is>
      </c>
      <c r="M826" t="inlineStr">
        <is>
          <t>2025TEG-P0219</t>
        </is>
      </c>
      <c r="N826" t="inlineStr">
        <is>
          <t>Carla Andrea Calma Crespo</t>
        </is>
      </c>
      <c r="O826" t="inlineStr">
        <is>
          <t>202510020134-Carla Andrea Calma Crespo-费用报销 - 副本 - 副本 - 副本-2025-10-02 15:11:10</t>
        </is>
      </c>
      <c r="P826" t="inlineStr">
        <is>
          <t>YES</t>
        </is>
      </c>
      <c r="Q826"/>
      <c r="R826" t="inlineStr">
        <is>
          <t>YES</t>
        </is>
      </c>
      <c r="S826" t="inlineStr">
        <is>
          <t>Outsourced Talent (OSX)</t>
        </is>
      </c>
      <c r="T826">
        <v>1</v>
      </c>
      <c r="U826">
        <v>55750</v>
      </c>
      <c r="V826" t="inlineStr">
        <is>
          <t>PHP</t>
        </is>
      </c>
      <c r="W826">
        <v>55750</v>
      </c>
      <c r="X826" s="2" t="str">
        <f>=HYPERLINK("https://www.larksuite.com/approval/admin/previewAttachment?key=PMg9igJBEAXgK71X_7WX2WSGRlEjodGgzi4YmH5RRJRTo2FNaXDSAyEekA4vK3SMDDMbyRSd87H-3_t6W8zjzmUv2bMvxzqf9E4RpJppAeDfzzXNrDsMX8cnAAD__w", "2 attachment(s)")</f>
        <v>2 attachment(s)</v>
      </c>
      <c r="Y826" t="inlineStr">
        <is>
          <t>Bank Transfer</t>
        </is>
      </c>
      <c r="Z826" t="inlineStr">
        <is>
          <t>Francis Joses Cantero</t>
        </is>
      </c>
      <c r="AA826" t="inlineStr">
        <is>
          <t>109327122609</t>
        </is>
      </c>
      <c r="AB826" t="inlineStr">
        <is>
          <t>Unionbank</t>
        </is>
      </c>
      <c r="AC826" t="inlineStr">
        <is>
          <t>4L T3, Tres Palmas, Levi Mariano Drive, Taguig City</t>
        </is>
      </c>
      <c r="AD826" s="4">
        <v>45941</v>
      </c>
      <c r="AE826" t="inlineStr">
        <is>
          <t>1st Payment - Oct. 24, 2025
Final Payment - Nov. 7, 2025</t>
        </is>
      </c>
      <c r="AF826" s="2"/>
      <c r="AG826" t="inlineStr">
        <is>
          <t>NzQyNTk5MTgyNzQ4MTg3MDM0MTo5NTI2NTlBMi0yNEI0LTQxQzUtQjA2Mi05NkU2QTc2NEZERTQtMTpmNzFhOTc5OWUyN2YzZjgxNmQ0NmJmYmFhY2JlMmRkYTox</t>
        </is>
      </c>
      <c r="AH826" t="inlineStr">
        <is>
          <t>Francis Joses Cantero</t>
        </is>
      </c>
      <c r="AI826"/>
      <c r="AJ826" t="inlineStr">
        <is>
          <t>LIQUIDITY PLAN (PAR # 202508190134 / 2025TEG-P0219)
INTERNAL 0820 COST ESTIMATE &gt; PLAYOFFS &gt;
Labor Cost &gt; TALENTS &gt; Casters (Playoffs)
Total Remaining Budget = (Php 100,000.00) NEGATIVE
This Request = Php 55,750.00
Balance = (Php 155,750.00) OVER BUDGET</t>
        </is>
      </c>
      <c r="AK826"/>
    </row>
    <row r="827" ht="25.5" customHeight="1">
      <c r="A827" s="2" t="str">
        <f>=HYPERLINK("https://applink.larksuite.com/client/mini_program/open?appId=cli_9c7cc8a9a9edd105&amp;mode=appCenter&amp;path_pc=pc/pages/requested/index?instanceId=7555813981420617759&amp;source=bitable&amp;path=pages/detail/index?instanceId=7555813981420617759&amp;source=bitable", "202509300097")</f>
        <v>202509300097</v>
      </c>
      <c r="B827" t="inlineStr">
        <is>
          <t>Approved</t>
        </is>
      </c>
      <c r="C827" t="inlineStr">
        <is>
          <t>Procurement Order</t>
        </is>
      </c>
      <c r="D827" s="3">
        <v>45930.73416666667</v>
      </c>
      <c r="E827" s="3">
        <v>45946.78920138889</v>
      </c>
      <c r="F827" t="inlineStr">
        <is>
          <t>Fatima Kathleen M. FLores</t>
        </is>
      </c>
      <c r="G827" t="inlineStr">
        <is>
          <t>Procurement</t>
        </is>
      </c>
      <c r="H827"/>
      <c r="I827"/>
      <c r="J827" t="inlineStr">
        <is>
          <t>Project</t>
        </is>
      </c>
      <c r="K827" t="inlineStr">
        <is>
          <t>PDEI - Event Service</t>
        </is>
      </c>
      <c r="L827" t="inlineStr">
        <is>
          <t>MPL PH S16 - Regular Season</t>
        </is>
      </c>
      <c r="M827" t="inlineStr">
        <is>
          <t>2025TEG-P0214</t>
        </is>
      </c>
      <c r="N827" t="inlineStr">
        <is>
          <t>Anteaus Villena</t>
        </is>
      </c>
      <c r="O827" t="inlineStr">
        <is>
          <t>202509180079-Jessica Jane Lor Felicilda-费用报销 - 副本 - 副本 - 副本-2025-09-18 11:55:59</t>
        </is>
      </c>
      <c r="P827" t="inlineStr">
        <is>
          <t>YES</t>
        </is>
      </c>
      <c r="Q827"/>
      <c r="R827" t="inlineStr">
        <is>
          <t>YES</t>
        </is>
      </c>
      <c r="S827" t="inlineStr">
        <is>
          <t>Outsourced Consultant (RS)</t>
        </is>
      </c>
      <c r="T827">
        <v>1</v>
      </c>
      <c r="U827">
        <v>14000</v>
      </c>
      <c r="V827" t="inlineStr">
        <is>
          <t>PHP</t>
        </is>
      </c>
      <c r="W827">
        <v>14000</v>
      </c>
      <c r="X827" s="2" t="str">
        <f>=HYPERLINK("https://www.larksuite.com/approval/admin/previewAttachment?key=PMg7DsIwEATQK83sx-PlMjRYEUGEBmGl8dmRKGhf60TrSW-FKFqBS5nZ6dUZhkYpa9miVBBlvsaxXR_H2HGesOf-mfO15v22jTezZAZ5hHcAvPzdFRFVLfBzfAMAAP__", "2 attachment(s)")</f>
        <v>2 attachment(s)</v>
      </c>
      <c r="Y827" t="inlineStr">
        <is>
          <t>Bank Transfer</t>
        </is>
      </c>
      <c r="Z827" t="inlineStr">
        <is>
          <t>Ralph Matthew Uy</t>
        </is>
      </c>
      <c r="AA827" t="inlineStr">
        <is>
          <t>2703913042515</t>
        </is>
      </c>
      <c r="AB827" t="inlineStr">
        <is>
          <t>Metrobank</t>
        </is>
      </c>
      <c r="AC827" t="inlineStr">
        <is>
          <t>Unit 1503 Avida Towers Intima Zulueta St. Paco, Manila</t>
        </is>
      </c>
      <c r="AD827" s="4">
        <v>45885</v>
      </c>
      <c r="AE827" t="inlineStr">
        <is>
          <t>100% Full Payment - Oct. 3, 2025</t>
        </is>
      </c>
      <c r="AF827" s="2"/>
      <c r="AG827" t="inlineStr">
        <is>
          <t>NzQyNTk5MTgyNzQ4MTg3MDM0MTpCQzc0Nzc0OC02QzRELTQ2NTctQjg4Ny1GMDg2NkNBNTkwOEUtMTplNjQwMmU2OWZiYzZlZTk5YzI4OTQ4YTI2ZGIxZjM3ZTox</t>
        </is>
      </c>
      <c r="AH827" t="inlineStr">
        <is>
          <t>Ralph Matthew Uy</t>
        </is>
      </c>
      <c r="AI827"/>
      <c r="AJ827" t="inlineStr">
        <is>
          <t>No line item in internal CE.</t>
        </is>
      </c>
      <c r="AK827"/>
    </row>
    <row r="828" ht="25.5" customHeight="1">
      <c r="A828" s="2" t="str">
        <f>=HYPERLINK("https://applink.larksuite.com/client/mini_program/open?appId=cli_9c7cc8a9a9edd105&amp;mode=appCenter&amp;path_pc=pc/pages/requested/index?instanceId=7560948614193774631&amp;source=bitable&amp;path=pages/detail/index?instanceId=7560948614193774631&amp;source=bitable", "202510140038")</f>
        <v>202510140038</v>
      </c>
      <c r="B828" t="inlineStr">
        <is>
          <t>Approved</t>
        </is>
      </c>
      <c r="C828" t="inlineStr">
        <is>
          <t>Procurement Order</t>
        </is>
      </c>
      <c r="D828" s="3">
        <v>45944.570972222224</v>
      </c>
      <c r="E828" s="3">
        <v>45945.45414351852</v>
      </c>
      <c r="F828" t="inlineStr">
        <is>
          <t>Fatima Kathleen M. FLores</t>
        </is>
      </c>
      <c r="G828" t="inlineStr">
        <is>
          <t>Procurement</t>
        </is>
      </c>
      <c r="H828"/>
      <c r="I828"/>
      <c r="J828" t="inlineStr">
        <is>
          <t>Project</t>
        </is>
      </c>
      <c r="K828" t="inlineStr">
        <is>
          <t>PDEI - Game Marketing</t>
        </is>
      </c>
      <c r="L828" t="inlineStr">
        <is>
          <t>SMDC Heroes Clash Community Arena Tournament Year 3</t>
        </is>
      </c>
      <c r="M828" t="inlineStr">
        <is>
          <t>2025TEG-P0247</t>
        </is>
      </c>
      <c r="N828" t="inlineStr">
        <is>
          <t>Clifford Markus Ortiz Martinez</t>
        </is>
      </c>
      <c r="O828" t="inlineStr">
        <is>
          <t>202510020039-Clifford Markus Ortiz Martinez-费用报销 - 副本 - 副本 - 副本-2025-10-02 07:12:57</t>
        </is>
      </c>
      <c r="P828" t="inlineStr">
        <is>
          <t>YES</t>
        </is>
      </c>
      <c r="Q828"/>
      <c r="R828" t="inlineStr">
        <is>
          <t>YES</t>
        </is>
      </c>
      <c r="S828" t="inlineStr">
        <is>
          <t>Outsourced IT Personnel</t>
        </is>
      </c>
      <c r="T828">
        <v>1</v>
      </c>
      <c r="U828">
        <v>4950</v>
      </c>
      <c r="V828" t="inlineStr">
        <is>
          <t>PHP</t>
        </is>
      </c>
      <c r="W828">
        <v>4950</v>
      </c>
      <c r="X828" s="2" t="str">
        <f>=HYPERLINK("https://www.larksuite.com/approval/admin/previewAttachment?key=PMgxCgJBDAXQK_2f_EkmXsZml0URQRBlmpxdsNj2xSRiDnoUVLQCO0egNINieabC2dbMLCTTvPfncZ0a687XY1u21mf097Yd-5uj0gzpkk8AvJzuKakqhL_jFwAA__8", "2 attachment(s)")</f>
        <v>2 attachment(s)</v>
      </c>
      <c r="Y828" t="inlineStr">
        <is>
          <t>Bank Transfer</t>
        </is>
      </c>
      <c r="Z828" t="inlineStr">
        <is>
          <t>Rommel Lopera</t>
        </is>
      </c>
      <c r="AA828" t="inlineStr">
        <is>
          <t>0946-059-5772</t>
        </is>
      </c>
      <c r="AB828" t="inlineStr">
        <is>
          <t>GCash</t>
        </is>
      </c>
      <c r="AC828" t="inlineStr">
        <is>
          <t>#29 EVERLAST COMPOUND MAMBUGAN ANTIPOLO CITY</t>
        </is>
      </c>
      <c r="AD828" s="4">
        <v>45934</v>
      </c>
      <c r="AE828" t="inlineStr">
        <is>
          <t>100% Full Payment - Oct. 17, 2025</t>
        </is>
      </c>
      <c r="AF828" s="2"/>
      <c r="AG828" t="inlineStr">
        <is>
          <t>NzQyNTk5MTgyNzQ4MTg3MDM0MTo4RUNCRDE0OC1DQUI1LTQyOTctQTlGMS0xMzlFQkNENDQyNTktMTphYzQxMWNkZDczMzgzZWFlYmU1ODc2NTdhYTM1ODE5Mjox</t>
        </is>
      </c>
      <c r="AH828" t="inlineStr">
        <is>
          <t>Rommel Lopera</t>
        </is>
      </c>
      <c r="AI828"/>
      <c r="AJ828" t="inlineStr">
        <is>
          <t>LIQUIDITY PLAN (PAR # 202509190067 / 2025TEG-P0247)
NETWORK INFRASTRUCTURE &gt; Network Equipment and Infrastructure Package
Total Budget = Php 35,000.00
Actual Cost = Php 4,950.00
Balance = Php 30,050.00</t>
        </is>
      </c>
      <c r="AK828"/>
    </row>
    <row r="829" ht="25.5" customHeight="1">
      <c r="A829" s="2" t="str">
        <f>=HYPERLINK("https://applink.larksuite.com/client/mini_program/open?appId=cli_9c7cc8a9a9edd105&amp;mode=appCenter&amp;path_pc=pc/pages/requested/index?instanceId=7561006433160921127&amp;source=bitable&amp;path=pages/detail/index?instanceId=7561006433160921127&amp;source=bitable", "202510140069")</f>
        <v>202510140069</v>
      </c>
      <c r="B829" t="inlineStr">
        <is>
          <t>Approved</t>
        </is>
      </c>
      <c r="C829" t="inlineStr">
        <is>
          <t>Procurement Order</t>
        </is>
      </c>
      <c r="D829" s="3">
        <v>45944.72678240741</v>
      </c>
      <c r="E829" s="3">
        <v>45946.78592592593</v>
      </c>
      <c r="F829" t="inlineStr">
        <is>
          <t>Fatima Kathleen M. FLores</t>
        </is>
      </c>
      <c r="G829" t="inlineStr">
        <is>
          <t>Procurement</t>
        </is>
      </c>
      <c r="H829"/>
      <c r="I829"/>
      <c r="J829" t="inlineStr">
        <is>
          <t>Project</t>
        </is>
      </c>
      <c r="K829" t="inlineStr">
        <is>
          <t>PDEI - Event Service</t>
        </is>
      </c>
      <c r="L829" t="inlineStr">
        <is>
          <t>MPL PH S16 - Playoffs</t>
        </is>
      </c>
      <c r="M829" t="inlineStr">
        <is>
          <t>2025TEG-P0215</t>
        </is>
      </c>
      <c r="N829" t="inlineStr">
        <is>
          <t>Katherine Denise Lee Sy</t>
        </is>
      </c>
      <c r="O829" t="inlineStr">
        <is>
          <t>202510070048-Katherine Denise Lee Sy-费用报销 - 副本 - 副本 - 副本-2025-10-07 07:22:29</t>
        </is>
      </c>
      <c r="P829" t="inlineStr">
        <is>
          <t>NO</t>
        </is>
      </c>
      <c r="Q829"/>
      <c r="R829" t="inlineStr">
        <is>
          <t>YES</t>
        </is>
      </c>
      <c r="S829" t="inlineStr">
        <is>
          <t>Outsourced Safety and Security Team  (with Ambulance &amp; K9 units) - Playoffs</t>
        </is>
      </c>
      <c r="T829">
        <v>1</v>
      </c>
      <c r="U829">
        <v>420500</v>
      </c>
      <c r="V829" t="inlineStr">
        <is>
          <t>PHP</t>
        </is>
      </c>
      <c r="W829">
        <v>420500</v>
      </c>
      <c r="X829" s="2" t="str">
        <f>=HYPERLINK("https://www.larksuite.com/approval/admin/previewAttachment?key=PMgxCgJBDAXQK_2fZPMnXsZmh8FGEMSBLXJ2wcL25SByHPQsRNEKbB1JIMOdiTLS1NaUCqLMez7X_fzYNXEx9msvt96Pc803j5IZ5BE-APD2d1dEVGXg5_gGAAD__w", "2 attachment(s)")</f>
        <v>2 attachment(s)</v>
      </c>
      <c r="Y829" t="inlineStr">
        <is>
          <t>Bank Transfer</t>
        </is>
      </c>
      <c r="Z829" t="inlineStr">
        <is>
          <t>JEROME T. CAPOQUIAN</t>
        </is>
      </c>
      <c r="AA829" t="inlineStr">
        <is>
          <t>9599094366</t>
        </is>
      </c>
      <c r="AB829" t="inlineStr">
        <is>
          <t>BPI</t>
        </is>
      </c>
      <c r="AC829" t="inlineStr">
        <is>
          <t>BLOCK 5 LOT 7 PHASE 2 SHINEVILL MAMBUGAN ANTIPOLO CITY</t>
        </is>
      </c>
      <c r="AD829" s="4">
        <v>45946</v>
      </c>
      <c r="AE829" t="inlineStr">
        <is>
          <t>50% Down Payment upon confirmation
50% Final Payment  upon completion of services</t>
        </is>
      </c>
      <c r="AF829" s="2"/>
      <c r="AG829" t="inlineStr">
        <is>
          <t>NzQyNTk5MTgyNzQ4MTg3MDM0MTpGREY1NjNEQy0zOTZBLTRCODAtOUNCMy02Q0I2N0RFMEIxN0UtMTpmZDMxYTY0NzhiOGZkZWI1OTY2MTA5MjQ3ZDgwZmM5MDox</t>
        </is>
      </c>
      <c r="AH829" t="inlineStr">
        <is>
          <t>JEROME T. CAPOQUIAN</t>
        </is>
      </c>
      <c r="AI829"/>
      <c r="AJ829" t="inlineStr">
        <is>
          <t>LIQUIDITY PLAN (PAR # 202509020094 / 2025TEG-P0215)
7.1 Safety &gt; SAFETY &gt;
"Safety Officer (Starting Ingress and Final Egress, 1 SO only)
Ingress - 3 days
Rehearsal - 2 days
Playoffs - 5 days"
Event Marshal (Regular Season)
Event Medical Personnel (Event Days)
Total Budget = Php 197,000.00
Actual Cost = Php 420,500.00
Balance = (Php 223,500.00) OVER BUDGET
^ budget in internal CE does not include Ambulance and K9 units that were required by the venue. Over budget to be charged to an addendum</t>
        </is>
      </c>
      <c r="AK829"/>
    </row>
    <row r="830" ht="25.5" customHeight="1">
      <c r="A830" s="2" t="str">
        <f>=HYPERLINK("https://applink.larksuite.com/client/mini_program/open?appId=cli_9c7cc8a9a9edd105&amp;mode=appCenter&amp;path_pc=pc/pages/requested/index?instanceId=7561011317239201824&amp;source=bitable&amp;path=pages/detail/index?instanceId=7561011317239201824&amp;source=bitable", "202510140082")</f>
        <v>202510140082</v>
      </c>
      <c r="B830" t="inlineStr">
        <is>
          <t>Approved</t>
        </is>
      </c>
      <c r="C830" t="inlineStr">
        <is>
          <t>Procurement Order</t>
        </is>
      </c>
      <c r="D830" s="3">
        <v>45944.73994212963</v>
      </c>
      <c r="E830" s="3">
        <v>45945.44337962963</v>
      </c>
      <c r="F830" t="inlineStr">
        <is>
          <t>Fatima Kathleen M. FLores</t>
        </is>
      </c>
      <c r="G830" t="inlineStr">
        <is>
          <t>Procurement</t>
        </is>
      </c>
      <c r="H830"/>
      <c r="I830"/>
      <c r="J830" t="inlineStr">
        <is>
          <t>Project</t>
        </is>
      </c>
      <c r="K830" t="inlineStr">
        <is>
          <t>GG - Event Service</t>
        </is>
      </c>
      <c r="L830" t="inlineStr">
        <is>
          <t>HOK Philippine Kings League - Fall Season</t>
        </is>
      </c>
      <c r="M830" t="inlineStr">
        <is>
          <t>2025TEG-P0219</t>
        </is>
      </c>
      <c r="N830" t="inlineStr">
        <is>
          <t>Carla Andrea Calma Crespo</t>
        </is>
      </c>
      <c r="O830" t="inlineStr">
        <is>
          <t>202510100064-Carla Andrea Calma Crespo-费用报销 - 副本 - 副本 - 副本-2025-10-10 13:01:57</t>
        </is>
      </c>
      <c r="P830" t="inlineStr">
        <is>
          <t>NO</t>
        </is>
      </c>
      <c r="Q830"/>
      <c r="R830" t="inlineStr">
        <is>
          <t>YES</t>
        </is>
      </c>
      <c r="S830" t="inlineStr">
        <is>
          <t>Replacement Brass Plate for Existing Trophy</t>
        </is>
      </c>
      <c r="T830">
        <v>1</v>
      </c>
      <c r="U830">
        <v>6500</v>
      </c>
      <c r="V830" t="inlineStr">
        <is>
          <t>PHP</t>
        </is>
      </c>
      <c r="W830">
        <v>6500</v>
      </c>
      <c r="X830" s="2" t="str">
        <f>=HYPERLINK("https://www.larksuite.com/approval/admin/previewAttachment?key=PMi7DQJBDATQlmZsrz80Q8JpxYGIEGgJXDuC4NLnSXgOqhesKAV2DCdIZYiWgCnW0owoxM96e8zz67Nj3dcutwyd1u_rZW5PjgoRhJppAuDpcA0zq3LD3_ENAAD__w", "2 attachment(s)")</f>
        <v>2 attachment(s)</v>
      </c>
      <c r="Y830" t="inlineStr">
        <is>
          <t>Bank Transfer</t>
        </is>
      </c>
      <c r="Z830" t="inlineStr">
        <is>
          <t>Jets Trophy Inc.</t>
        </is>
      </c>
      <c r="AA830" t="inlineStr">
        <is>
          <t>0002-7000-3444</t>
        </is>
      </c>
      <c r="AB830" t="inlineStr">
        <is>
          <t>BDO Savings Account</t>
        </is>
      </c>
      <c r="AC830" t="inlineStr">
        <is>
          <t>65 West Ave., Paltok, QC</t>
        </is>
      </c>
      <c r="AD830" s="4">
        <v>45954</v>
      </c>
      <c r="AE830" t="inlineStr">
        <is>
          <t>50% Down Payment upon confirmation
50% Final Payment before delivery</t>
        </is>
      </c>
      <c r="AF830" s="2" t="str">
        <f>=HYPERLINK("https://www.larksuite.com/approval/admin/previewAttachment?key=TMi7DQJBDATQlmZsrz80Q8JpxYGIEGgJXDuC6NLnSXgOqhesKAV2DCdIZYiWgCnW0owoxM96e8zz67Nj3dcutwyd1u_rZW5PeqrDapixAPB0cBKV6vp3fAMAAP__", "2 attachment(s)")</f>
        <v>2 attachment(s)</v>
      </c>
      <c r="AG830" t="inlineStr">
        <is>
          <t>NzQyNTk5MTgyNzQ4MTg3MDM0MTpGMTY1MjgyMy0wN0NBLTRDREQtQTFBNi1BOTIwNjA0ODM4NkItMTpjNmZjMjc3OTlkNWVlNzE0YjAwODlhMDhlMTgwYjViODox</t>
        </is>
      </c>
      <c r="AH830" t="inlineStr">
        <is>
          <t>Jets Trophy Inc.</t>
        </is>
      </c>
      <c r="AI830"/>
      <c r="AJ830" t="inlineStr">
        <is>
          <t>LIQUIDITY PLAN (PAR # 202508190134 / 2025TEG-P0219)
INTERNAL 0820 COST ESTIMATE &gt; REGULAR SEASON &gt;
Collateral &amp; Venue Skinning &gt; Trophy Fabrication
Total Remaining Budget = (Php 34,750.00) NEGATIVE
Actual Cost = Php 6,500.00
Balance = (Php 41,250.00) OVER BUDGET
^ The trophy design that was forwarded by the team was wrong. It was for Spring instead of FALL.</t>
        </is>
      </c>
      <c r="AK830"/>
    </row>
    <row r="831" ht="25.5" customHeight="1">
      <c r="A831" s="2" t="str">
        <f>=HYPERLINK("https://applink.larksuite.com/client/mini_program/open?appId=cli_9c7cc8a9a9edd105&amp;mode=appCenter&amp;path_pc=pc/pages/requested/index?instanceId=7561027231414239271&amp;source=bitable&amp;path=pages/detail/index?instanceId=7561027231414239271&amp;source=bitable", "202510140099")</f>
        <v>202510140099</v>
      </c>
      <c r="B831" t="inlineStr">
        <is>
          <t>Approved</t>
        </is>
      </c>
      <c r="C831" t="inlineStr">
        <is>
          <t>Procurement Order</t>
        </is>
      </c>
      <c r="D831" s="3">
        <v>45944.78283564815</v>
      </c>
      <c r="E831" s="3">
        <v>45945.426412037035</v>
      </c>
      <c r="F831" t="inlineStr">
        <is>
          <t>Fatima Kathleen M. FLores</t>
        </is>
      </c>
      <c r="G831" t="inlineStr">
        <is>
          <t>Procurement</t>
        </is>
      </c>
      <c r="H831"/>
      <c r="I831"/>
      <c r="J831" t="inlineStr">
        <is>
          <t>Project</t>
        </is>
      </c>
      <c r="K831" t="inlineStr">
        <is>
          <t>PDEI - Event Service</t>
        </is>
      </c>
      <c r="L831" t="inlineStr">
        <is>
          <t>MPL PH S16 - Playoffs</t>
        </is>
      </c>
      <c r="M831" t="inlineStr">
        <is>
          <t>2025TEG-P0215</t>
        </is>
      </c>
      <c r="N831" t="inlineStr">
        <is>
          <t>Katherine Denise Lee Sy</t>
        </is>
      </c>
      <c r="O831" t="inlineStr">
        <is>
          <t>202510130157-Katherine Denise Lee Sy-费用报销 - 副本 - 副本 - 副本-2025-10-13 14:24:12</t>
        </is>
      </c>
      <c r="P831" t="inlineStr">
        <is>
          <t>NO</t>
        </is>
      </c>
      <c r="Q831"/>
      <c r="R831" t="inlineStr">
        <is>
          <t>NO</t>
        </is>
      </c>
      <c r="S831" t="inlineStr">
        <is>
          <t>Crew Accommodation - 6 pax Bedbunk Room (Oct 19 to 26)</t>
        </is>
      </c>
      <c r="T831">
        <v>1</v>
      </c>
      <c r="U831">
        <v>16800</v>
      </c>
      <c r="V831" t="inlineStr">
        <is>
          <t>PHP</t>
        </is>
      </c>
      <c r="W831">
        <v>16800</v>
      </c>
      <c r="X831" s="2"/>
      <c r="Y831" t="inlineStr">
        <is>
          <t>Bank Transfer</t>
        </is>
      </c>
      <c r="Z831" t="inlineStr">
        <is>
          <t>REA FLORES</t>
        </is>
      </c>
      <c r="AA831" t="inlineStr">
        <is>
          <t>23-2929-6358</t>
        </is>
      </c>
      <c r="AB831" t="inlineStr">
        <is>
          <t>BPI</t>
        </is>
      </c>
      <c r="AC831" t="inlineStr">
        <is>
          <t>157 Moana St., Brgy. 70 Pasay City</t>
        </is>
      </c>
      <c r="AD831" s="4">
        <v>45945</v>
      </c>
      <c r="AE831" t="inlineStr">
        <is>
          <t>100% Full Payment</t>
        </is>
      </c>
      <c r="AF831" s="2"/>
      <c r="AG831" t="inlineStr">
        <is>
          <t>NzQyNTk5MTgyNzQ4MTg3MDM0MTo3NTVDRDhCMy0yNzBBLTQzRTYtOUM0Mi1BNzE1NkRBQTZBQUYtMTpiNGE4OTFhZjQ2ZGYwMDE1ZjEzODI1YjQyMDFiYTU2Mjox</t>
        </is>
      </c>
      <c r="AH831" t="inlineStr">
        <is>
          <t>ANKAA TRANSIENT HOUSE</t>
        </is>
      </c>
      <c r="AI831"/>
      <c r="AJ831" t="inlineStr">
        <is>
          <t>LIQUIDITY PLAN (PAR # 202509020094 / 2025TEG-P0215)
4.1 Staging and Production &gt; 
STAGE TECHNICALS (Playoffs) &gt; Hide from Cleint 1
CAMERA TECHNICALS &gt; Hide from client 3
Total Budget = Php 130,000.00
Actual Cost = Php 96,000.00
Balance = Php 34,000.00</t>
        </is>
      </c>
      <c r="AK831"/>
    </row>
    <row r="832" ht="25.5" customHeight="1">
      <c r="A832" s="2" t="str">
        <f>=HYPERLINK("https://applink.larksuite.com/client/mini_program/open?appId=cli_9c7cc8a9a9edd105&amp;mode=appCenter&amp;path_pc=pc/pages/requested/index?instanceId=7561027231414239271&amp;source=bitable&amp;path=pages/detail/index?instanceId=7561027231414239271&amp;source=bitable", "202510140099")</f>
        <v>202510140099</v>
      </c>
      <c r="B832" t="inlineStr">
        <is>
          <t>Approved</t>
        </is>
      </c>
      <c r="C832" t="inlineStr">
        <is>
          <t>Procurement Order</t>
        </is>
      </c>
      <c r="D832" s="3">
        <v>45944.78283564815</v>
      </c>
      <c r="E832" s="3">
        <v>45945.426412037035</v>
      </c>
      <c r="F832" t="inlineStr">
        <is>
          <t>Fatima Kathleen M. FLores</t>
        </is>
      </c>
      <c r="G832" t="inlineStr">
        <is>
          <t>Procurement</t>
        </is>
      </c>
      <c r="H832"/>
      <c r="I832"/>
      <c r="J832" t="inlineStr">
        <is>
          <t>Project</t>
        </is>
      </c>
      <c r="K832" t="inlineStr">
        <is>
          <t>PDEI - Event Service</t>
        </is>
      </c>
      <c r="L832" t="inlineStr">
        <is>
          <t>MPL PH S16 - Playoffs</t>
        </is>
      </c>
      <c r="M832" t="inlineStr">
        <is>
          <t>2025TEG-P0215</t>
        </is>
      </c>
      <c r="N832" t="inlineStr">
        <is>
          <t>Katherine Denise Lee Sy</t>
        </is>
      </c>
      <c r="O832" t="inlineStr">
        <is>
          <t>202510130157-Katherine Denise Lee Sy-费用报销 - 副本 - 副本 - 副本-2025-10-13 14:24:12</t>
        </is>
      </c>
      <c r="P832" t="inlineStr">
        <is>
          <t>NO</t>
        </is>
      </c>
      <c r="Q832"/>
      <c r="R832" t="inlineStr">
        <is>
          <t>NO</t>
        </is>
      </c>
      <c r="S832" t="inlineStr">
        <is>
          <t>Crew Accommodation - 3 pax Twin Bedrooms (Oct 16 to 26)</t>
        </is>
      </c>
      <c r="T832">
        <v>1</v>
      </c>
      <c r="U832">
        <v>36000</v>
      </c>
      <c r="V832" t="inlineStr">
        <is>
          <t>PHP</t>
        </is>
      </c>
      <c r="W832">
        <v>36000</v>
      </c>
      <c r="X832" s="2"/>
      <c r="Y832"/>
      <c r="Z832"/>
      <c r="AA832"/>
      <c r="AB832"/>
      <c r="AC832"/>
      <c r="AD832" s="4"/>
      <c r="AE832"/>
      <c r="AF832" s="2"/>
      <c r="AG832" t="inlineStr">
        <is>
          <t>NzQyNTk5MTgyNzQ4MTg3MDM0MTo3NTVDRDhCMy0yNzBBLTQzRTYtOUM0Mi1BNzE1NkRBQTZBQUYtMjowOGYzNTBhYmJmZjExZmI3OTBjNzEwYzM4ZDU5MWI2Yjox</t>
        </is>
      </c>
      <c r="AH832"/>
      <c r="AI832"/>
      <c r="AJ832" t="inlineStr">
        <is>
          <t>LIQUIDITY PLAN (PAR # 202509020094 / 2025TEG-P0215)
4.1 Staging and Production &gt; 
STAGE TECHNICALS (Playoffs) &gt; Hide from Cleint 1
CAMERA TECHNICALS &gt; Hide from client 3
Total Budget = Php 130,000.00
Actual Cost = Php 96,000.00
Balance = Php 34,000.00</t>
        </is>
      </c>
      <c r="AK832"/>
    </row>
    <row r="833" ht="25.5" customHeight="1">
      <c r="A833" s="2" t="str">
        <f>=HYPERLINK("https://applink.larksuite.com/client/mini_program/open?appId=cli_9c7cc8a9a9edd105&amp;mode=appCenter&amp;path_pc=pc/pages/requested/index?instanceId=7561027231414239271&amp;source=bitable&amp;path=pages/detail/index?instanceId=7561027231414239271&amp;source=bitable", "202510140099")</f>
        <v>202510140099</v>
      </c>
      <c r="B833" t="inlineStr">
        <is>
          <t>Approved</t>
        </is>
      </c>
      <c r="C833" t="inlineStr">
        <is>
          <t>Procurement Order</t>
        </is>
      </c>
      <c r="D833" s="3">
        <v>45944.78283564815</v>
      </c>
      <c r="E833" s="3">
        <v>45945.426412037035</v>
      </c>
      <c r="F833" t="inlineStr">
        <is>
          <t>Fatima Kathleen M. FLores</t>
        </is>
      </c>
      <c r="G833" t="inlineStr">
        <is>
          <t>Procurement</t>
        </is>
      </c>
      <c r="H833"/>
      <c r="I833"/>
      <c r="J833" t="inlineStr">
        <is>
          <t>Project</t>
        </is>
      </c>
      <c r="K833" t="inlineStr">
        <is>
          <t>PDEI - Event Service</t>
        </is>
      </c>
      <c r="L833" t="inlineStr">
        <is>
          <t>MPL PH S16 - Playoffs</t>
        </is>
      </c>
      <c r="M833" t="inlineStr">
        <is>
          <t>2025TEG-P0215</t>
        </is>
      </c>
      <c r="N833" t="inlineStr">
        <is>
          <t>Katherine Denise Lee Sy</t>
        </is>
      </c>
      <c r="O833" t="inlineStr">
        <is>
          <t>202510130157-Katherine Denise Lee Sy-费用报销 - 副本 - 副本 - 副本-2025-10-13 14:24:12</t>
        </is>
      </c>
      <c r="P833" t="inlineStr">
        <is>
          <t>NO</t>
        </is>
      </c>
      <c r="Q833"/>
      <c r="R833" t="inlineStr">
        <is>
          <t>NO</t>
        </is>
      </c>
      <c r="S833" t="inlineStr">
        <is>
          <t>Crew Accommodation - 3 pax Twin Bedrooms (Oct 15 to 26)</t>
        </is>
      </c>
      <c r="T833">
        <v>1</v>
      </c>
      <c r="U833">
        <v>43200</v>
      </c>
      <c r="V833" t="inlineStr">
        <is>
          <t>PHP</t>
        </is>
      </c>
      <c r="W833">
        <v>43200</v>
      </c>
      <c r="X833" s="2" t="str">
        <f>=HYPERLINK("https://www.larksuite.com/approval/admin/previewAttachment?key=PMhLCsJAEATQK1VVV6anvYybDMGAgiDxs5izCy7cvtaJ1hdGK7ioAmcujVAqaFpRSk5NZhaSqZjjtp2Pz473OK6-r69dns_Luo0Hl0oJGXZ0ADz9PdJ2VTN-rm8AAAD__w", "2 attachment(s)")</f>
        <v>2 attachment(s)</v>
      </c>
      <c r="Y833"/>
      <c r="Z833"/>
      <c r="AA833"/>
      <c r="AB833"/>
      <c r="AC833"/>
      <c r="AD833" s="4"/>
      <c r="AE833"/>
      <c r="AF833" s="2"/>
      <c r="AG833" t="inlineStr">
        <is>
          <t>NzQyNTk5MTgyNzQ4MTg3MDM0MTo3NTVDRDhCMy0yNzBBLTQzRTYtOUM0Mi1BNzE1NkRBQTZBQUYtMzozZmFiMDFmZDM1NjE0ZWY2ZDZkOTUyMWFkOWYzNGU0NDox</t>
        </is>
      </c>
      <c r="AH833"/>
      <c r="AI833"/>
      <c r="AJ833" t="inlineStr">
        <is>
          <t>LIQUIDITY PLAN (PAR # 202509020094 / 2025TEG-P0215)
4.1 Staging and Production &gt; 
STAGE TECHNICALS (Playoffs) &gt; Hide from Cleint 1
CAMERA TECHNICALS &gt; Hide from client 3
Total Budget = Php 130,000.00
Actual Cost = Php 96,000.00
Balance = Php 34,000.00</t>
        </is>
      </c>
      <c r="AK833"/>
    </row>
    <row r="834" ht="25.5" customHeight="1">
      <c r="A834" s="2" t="str">
        <f>=HYPERLINK("https://applink.larksuite.com/client/mini_program/open?appId=cli_9c7cc8a9a9edd105&amp;mode=appCenter&amp;path_pc=pc/pages/requested/index?instanceId=7560994235076362279&amp;source=bitable&amp;path=pages/detail/index?instanceId=7560994235076362279&amp;source=bitable", "202510140065")</f>
        <v>202510140065</v>
      </c>
      <c r="B834" t="inlineStr">
        <is>
          <t>Approved</t>
        </is>
      </c>
      <c r="C834" t="inlineStr">
        <is>
          <t>Procurement Order</t>
        </is>
      </c>
      <c r="D834" s="3">
        <v>45944.69391203704</v>
      </c>
      <c r="E834" s="3">
        <v>45951.645324074074</v>
      </c>
      <c r="F834" t="inlineStr">
        <is>
          <t>Fatima Kathleen M. FLores</t>
        </is>
      </c>
      <c r="G834" t="inlineStr">
        <is>
          <t>Procurement</t>
        </is>
      </c>
      <c r="H834"/>
      <c r="I834"/>
      <c r="J834" t="inlineStr">
        <is>
          <t>Project</t>
        </is>
      </c>
      <c r="K834" t="inlineStr">
        <is>
          <t>GG - Event Service</t>
        </is>
      </c>
      <c r="L834" t="inlineStr">
        <is>
          <t>HOK Philippine Kings League - Fall Season</t>
        </is>
      </c>
      <c r="M834" t="inlineStr">
        <is>
          <t>2025TEG-P0219</t>
        </is>
      </c>
      <c r="N834" t="inlineStr">
        <is>
          <t>Frances Angelita Arreglado</t>
        </is>
      </c>
      <c r="O834" t="inlineStr">
        <is>
          <t>202508230003-Reign Santos Fortea-费用报销 - 副本 - 副本 - 副本-2025-08-23 03:50:53</t>
        </is>
      </c>
      <c r="P834" t="inlineStr">
        <is>
          <t>NO</t>
        </is>
      </c>
      <c r="Q834"/>
      <c r="R834" t="inlineStr">
        <is>
          <t>YES</t>
        </is>
      </c>
      <c r="S834" t="inlineStr">
        <is>
          <t>Outsourced Safety Officer, Medical Personnel and Event Marshals (Playoffs)</t>
        </is>
      </c>
      <c r="T834">
        <v>1</v>
      </c>
      <c r="U834">
        <v>62000</v>
      </c>
      <c r="V834" t="inlineStr">
        <is>
          <t>PHP</t>
        </is>
      </c>
      <c r="W834">
        <v>62000</v>
      </c>
      <c r="X834" s="2" t="str">
        <f>=HYPERLINK("https://www.larksuite.com/approval/admin/previewAttachment?key=PMhLioIxEATgK1U_0pWay8zGn6BIQBCy67MLLtx-NQ01h0UJKXPBmqMgpccAK8qdam8jBRo9-trr_9gDQT_7ufd67T7327reNkR3MDJjArC_nwczU6rE1_EJAAD__w", "2 attachment(s)")</f>
        <v>2 attachment(s)</v>
      </c>
      <c r="Y834" t="inlineStr">
        <is>
          <t>Bank Transfer</t>
        </is>
      </c>
      <c r="Z834" t="inlineStr">
        <is>
          <t>JEROME T. CAPOQUIAN</t>
        </is>
      </c>
      <c r="AA834" t="inlineStr">
        <is>
          <t>9599094366</t>
        </is>
      </c>
      <c r="AB834" t="inlineStr">
        <is>
          <t>BPI</t>
        </is>
      </c>
      <c r="AC834" t="inlineStr">
        <is>
          <t>BLOCK 5 LOT 7 PHASE 2 SHINEVILL MAMBUGAN ANTIPOLO CITY</t>
        </is>
      </c>
      <c r="AD834" s="4">
        <v>45936</v>
      </c>
      <c r="AE834" t="inlineStr">
        <is>
          <t>50% Down Payment upon confirmation
50% Balance upon completion of services</t>
        </is>
      </c>
      <c r="AF834" s="2"/>
      <c r="AG834" t="inlineStr">
        <is>
          <t>NzQyNTk5MTgyNzQ4MTg3MDM0MTozQzIwMUVEQi1DOTE5LTRDM0EtQkEwRi1GNjUwQUJEQzMxQUQtMTo5MTBjYWZmNmFmM2U0ODRjMDBjNWMyMDIzNzNhZmEyYTox</t>
        </is>
      </c>
      <c r="AH834" t="inlineStr">
        <is>
          <t>JEROME T. CAPOQUIAN</t>
        </is>
      </c>
      <c r="AI834"/>
      <c r="AJ834" t="inlineStr">
        <is>
          <t>LIQUIDITY PLAN (PAR # 202508190134 / 2025TEG-P0219)
INTERNAL 0820 COST ESTIMATE &gt; PLAYOFFS &gt;
SAFETY &amp; SECURITY TEAM &gt; 
Medic Team
Event Marshals (PO)
Total Budget = Php 57,000.00
This Request = Php 62,000.00
Balance = (Php 5,000.00) OVER BUDGET
^ Budget in internal CE does not include INGRESS, REHEARSALS AND INGRESS</t>
        </is>
      </c>
      <c r="AK834"/>
    </row>
    <row r="835" ht="25.5" customHeight="1">
      <c r="A835" s="2" t="str">
        <f>=HYPERLINK("https://applink.larksuite.com/client/mini_program/open?appId=cli_9c7cc8a9a9edd105&amp;mode=appCenter&amp;path_pc=pc/pages/requested/index?instanceId=7561047655376289823&amp;source=bitable&amp;path=pages/detail/index?instanceId=7561047655376289823&amp;source=bitable", "202510140107")</f>
        <v>202510140107</v>
      </c>
      <c r="B835" t="inlineStr">
        <is>
          <t>Approved</t>
        </is>
      </c>
      <c r="C835" t="inlineStr">
        <is>
          <t>Procurement Order</t>
        </is>
      </c>
      <c r="D835" s="3">
        <v>45944.83787037037</v>
      </c>
      <c r="E835" s="3">
        <v>45945.48886574074</v>
      </c>
      <c r="F835" t="inlineStr">
        <is>
          <t>Fatima Kathleen M. FLores</t>
        </is>
      </c>
      <c r="G835" t="inlineStr">
        <is>
          <t>Procurement</t>
        </is>
      </c>
      <c r="H835"/>
      <c r="I835"/>
      <c r="J835" t="inlineStr">
        <is>
          <t>Project</t>
        </is>
      </c>
      <c r="K835" t="inlineStr">
        <is>
          <t>PDEI - Slash</t>
        </is>
      </c>
      <c r="L835" t="inlineStr">
        <is>
          <t>DIGICON 2025</t>
        </is>
      </c>
      <c r="M835" t="inlineStr">
        <is>
          <t>2025TEG-P0264</t>
        </is>
      </c>
      <c r="N835" t="inlineStr">
        <is>
          <t>Arvin Evangelista Dela Cruz</t>
        </is>
      </c>
      <c r="O835" t="inlineStr">
        <is>
          <t>202510130158-Arvin Evangelista Dela Cruz-费用报销 - 副本 - 副本 - 副本-2025-10-13 14:31:21</t>
        </is>
      </c>
      <c r="P835" t="inlineStr">
        <is>
          <t>NO</t>
        </is>
      </c>
      <c r="Q835"/>
      <c r="R835" t="inlineStr">
        <is>
          <t>NO</t>
        </is>
      </c>
      <c r="S835" t="inlineStr">
        <is>
          <t>Pull up banner tarp 33” x 78” with installation</t>
        </is>
      </c>
      <c r="T835">
        <v>5</v>
      </c>
      <c r="U835">
        <v>900</v>
      </c>
      <c r="V835" t="inlineStr">
        <is>
          <t>PHP</t>
        </is>
      </c>
      <c r="W835">
        <v>4500</v>
      </c>
      <c r="X835" s="2" t="str">
        <f>=HYPERLINK("https://www.larksuite.com/approval/admin/previewAttachment?key=PMg9CgJBDAXgK738TF7iZWwcBl1dWRC0ytkFC9svUhA5xKLgJVqQ5giBM8YwhmalWmsLWaBQree-ztv-tNsx1_G4l322fl8va75kFFVBc7cEIKe_G929Khw_xzcAAP__", "2 attachment(s)")</f>
        <v>2 attachment(s)</v>
      </c>
      <c r="Y835" t="inlineStr">
        <is>
          <t>Bank Transfer</t>
        </is>
      </c>
      <c r="Z835" t="inlineStr">
        <is>
          <t>MaxPrecision Corporation</t>
        </is>
      </c>
      <c r="AA835" t="inlineStr">
        <is>
          <t>4440117166</t>
        </is>
      </c>
      <c r="AB835" t="inlineStr">
        <is>
          <t>BDO</t>
        </is>
      </c>
      <c r="AC835" t="inlineStr">
        <is>
          <t>No. 5 Lt. Artiaga Street, Brgy Corazon De Jesus San Juan</t>
        </is>
      </c>
      <c r="AD835" s="4">
        <v>45946</v>
      </c>
      <c r="AE835" t="inlineStr">
        <is>
          <t>100% Full Payment - 30 days upon complete delivery</t>
        </is>
      </c>
      <c r="AF835" s="2"/>
      <c r="AG835" t="inlineStr">
        <is>
          <t>NzQyNTk5MTgyNzQ4MTg3MDM0MToyQjBBQ0ExMy00MzIzLTQ5MUYtQjAxQi04MzJCNTQyMDY1OTktMTpmYWVmMmQxN2FiMTFmYjMwZWFmN2FhNWJjNDY0NzY2Mzox</t>
        </is>
      </c>
      <c r="AH835" t="inlineStr">
        <is>
          <t>MaxPrecision Corporation</t>
        </is>
      </c>
      <c r="AI835"/>
      <c r="AJ835" t="inlineStr">
        <is>
          <t>LIQUIDITY PLAN (PAR # 202509090002 / 2025TEG-P0264)
Slash Pull-Up Banners Tarp Only
Total Budget = Php 5,000.00
Actual Cost = Php 4,500.00
Balance = Php 500.00</t>
        </is>
      </c>
      <c r="AK835"/>
    </row>
    <row r="836" ht="25.5" customHeight="1">
      <c r="A836" s="2" t="str">
        <f>=HYPERLINK("https://applink.larksuite.com/client/mini_program/open?appId=cli_9c7cc8a9a9edd105&amp;mode=appCenter&amp;path_pc=pc/pages/requested/index?instanceId=7561386314755489830&amp;source=bitable&amp;path=pages/detail/index?instanceId=7561386314755489830&amp;source=bitable", "202510150119")</f>
        <v>202510150119</v>
      </c>
      <c r="B836" t="inlineStr">
        <is>
          <t>Approved</t>
        </is>
      </c>
      <c r="C836" t="inlineStr">
        <is>
          <t>Procurement Order</t>
        </is>
      </c>
      <c r="D836" s="3">
        <v>45945.75048611111</v>
      </c>
      <c r="E836" s="3">
        <v>45946.5065625</v>
      </c>
      <c r="F836" t="inlineStr">
        <is>
          <t>Fatima Kathleen M. FLores</t>
        </is>
      </c>
      <c r="G836" t="inlineStr">
        <is>
          <t>Procurement</t>
        </is>
      </c>
      <c r="H836"/>
      <c r="I836"/>
      <c r="J836" t="inlineStr">
        <is>
          <t>Project</t>
        </is>
      </c>
      <c r="K836" t="inlineStr">
        <is>
          <t>PDEI - Event Service</t>
        </is>
      </c>
      <c r="L836" t="inlineStr">
        <is>
          <t>Bingo Plus Panalo Caravan</t>
        </is>
      </c>
      <c r="M836" t="inlineStr">
        <is>
          <t>2025TEG-P0216</t>
        </is>
      </c>
      <c r="N836" t="inlineStr">
        <is>
          <t>Ronelle Kylene Chaneco Lim</t>
        </is>
      </c>
      <c r="O836" t="inlineStr">
        <is>
          <t>202510080047-Ronelle Kylene Chaneco Lim-费用报销 - 副本 - 副本 - 副本-2025-10-08 08:21:45</t>
        </is>
      </c>
      <c r="P836" t="inlineStr">
        <is>
          <t>YES</t>
        </is>
      </c>
      <c r="Q836"/>
      <c r="R836" t="inlineStr">
        <is>
          <t>NO</t>
        </is>
      </c>
      <c r="S836" t="inlineStr">
        <is>
          <t>Outsourced Project Manager</t>
        </is>
      </c>
      <c r="T836">
        <v>1</v>
      </c>
      <c r="U836">
        <v>33400</v>
      </c>
      <c r="V836" t="inlineStr">
        <is>
          <t>PHP</t>
        </is>
      </c>
      <c r="W836">
        <v>33400</v>
      </c>
      <c r="X836" s="2" t="str">
        <f>=HYPERLINK("https://www.larksuite.com/approval/admin/previewAttachment?key=PMg9igJBEAXgK71X_7WX2cRhcMAGQWijOrtgYPpFEVFOjYY1pcFJD2qF0tLdqksxMsxsJFN0jnX-X7v1_ZC9Li74c_b9dh4veqcIUs20APDv55pm1h2Gr-MTAAD__w", "2 attachment(s)")</f>
        <v>2 attachment(s)</v>
      </c>
      <c r="Y836" t="inlineStr">
        <is>
          <t>Bank Transfer</t>
        </is>
      </c>
      <c r="Z836" t="inlineStr">
        <is>
          <t>Roxanne Cabalu</t>
        </is>
      </c>
      <c r="AA836" t="inlineStr">
        <is>
          <t>109430903637</t>
        </is>
      </c>
      <c r="AB836" t="inlineStr">
        <is>
          <t>Unionbank</t>
        </is>
      </c>
      <c r="AC836" t="inlineStr">
        <is>
          <t>74 Ilang ilang st Libis Espina St Caloocan City</t>
        </is>
      </c>
      <c r="AD836" s="4">
        <v>45936</v>
      </c>
      <c r="AE836" t="inlineStr">
        <is>
          <t>1st Payment - Oct. 17, 2025
Final Payment - Oct. 31, 2025</t>
        </is>
      </c>
      <c r="AF836" s="2"/>
      <c r="AG836" t="inlineStr">
        <is>
          <t>NzQyNTk5MTgyNzQ4MTg3MDM0MTpCM0Q0RTNFRS05MENGLTRGOUYtOTlEQi0zRUMyMjY1RTM2QzMtMTozY2FlZGFmZTc2MjE2MjMzYzRmZTI2YTFhOTkyNjkwMzox</t>
        </is>
      </c>
      <c r="AH836" t="inlineStr">
        <is>
          <t>Roxanne Cabalu</t>
        </is>
      </c>
      <c r="AI836"/>
      <c r="AJ836" t="inlineStr">
        <is>
          <t>LIQUIDITY PLAN (PAR # 202509300084 / 2025TEG-P0216)
PROCUREMENT COST ESTIMATE TAB &gt; MARKETING / TALENT &gt;
Marketing
Total Budget = Php 200,000.00
This Request  = Php 33,400.00
Balance = Php 166,600.00</t>
        </is>
      </c>
      <c r="AK836"/>
    </row>
    <row r="837" ht="25.5" customHeight="1">
      <c r="A837" s="2" t="str">
        <f>=HYPERLINK("https://applink.larksuite.com/client/mini_program/open?appId=cli_9c7cc8a9a9edd105&amp;mode=appCenter&amp;path_pc=pc/pages/requested/index?instanceId=7561352933733007399&amp;source=bitable&amp;path=pages/detail/index?instanceId=7561352933733007399&amp;source=bitable", "202510150089")</f>
        <v>202510150089</v>
      </c>
      <c r="B837" t="inlineStr">
        <is>
          <t>Approved</t>
        </is>
      </c>
      <c r="C837" t="inlineStr">
        <is>
          <t>Procurement Order</t>
        </is>
      </c>
      <c r="D837" s="3">
        <v>45945.660532407404</v>
      </c>
      <c r="E837" s="3">
        <v>45946.567141203705</v>
      </c>
      <c r="F837" t="inlineStr">
        <is>
          <t>Fatima Kathleen M. FLores</t>
        </is>
      </c>
      <c r="G837" t="inlineStr">
        <is>
          <t>Procurement</t>
        </is>
      </c>
      <c r="H837"/>
      <c r="I837"/>
      <c r="J837" t="inlineStr">
        <is>
          <t>Project</t>
        </is>
      </c>
      <c r="K837" t="inlineStr">
        <is>
          <t>PDEI - Event Service</t>
        </is>
      </c>
      <c r="L837" t="inlineStr">
        <is>
          <t>GTCC 2025: September Arena</t>
        </is>
      </c>
      <c r="M837" t="inlineStr">
        <is>
          <t>2025TEG-P0236</t>
        </is>
      </c>
      <c r="N837" t="inlineStr">
        <is>
          <t>Frances Angelita Arreglado</t>
        </is>
      </c>
      <c r="O837" t="inlineStr">
        <is>
          <t>202510070033-Frances Angelita Arreglado-费用报销 - 副本 - 副本 - 副本-2025-10-07 06:12:34</t>
        </is>
      </c>
      <c r="P837" t="inlineStr">
        <is>
          <t>YES</t>
        </is>
      </c>
      <c r="Q837"/>
      <c r="R837" t="inlineStr">
        <is>
          <t>YES</t>
        </is>
      </c>
      <c r="S837" t="inlineStr">
        <is>
          <t>Outsourced Game Observers</t>
        </is>
      </c>
      <c r="T837">
        <v>1</v>
      </c>
      <c r="U837">
        <v>16500</v>
      </c>
      <c r="V837" t="inlineStr">
        <is>
          <t>PHP</t>
        </is>
      </c>
      <c r="W837">
        <v>16500</v>
      </c>
      <c r="X837" s="2" t="str">
        <f>=HYPERLINK("https://www.larksuite.com/approval/admin/previewAttachment?key=PMgxrsIwEATQK83urD2ef5nfEFlEEBqkQOOzI1HQvj4CfbRgN8qRRiy1HmxpUiQg2itXSIZCybUd838_Te631-Tb9-Oxzutlbs9oVibEKg4A8fdzqqrsXvg6PgEAAP__", "2 attachment(s)")</f>
        <v>2 attachment(s)</v>
      </c>
      <c r="Y837" t="inlineStr">
        <is>
          <t>Bank Transfer</t>
        </is>
      </c>
      <c r="Z837" t="inlineStr">
        <is>
          <t>VINCE RAFAEL GARCIA</t>
        </is>
      </c>
      <c r="AA837" t="inlineStr">
        <is>
          <t>0576664233</t>
        </is>
      </c>
      <c r="AB837" t="inlineStr">
        <is>
          <t>BPI</t>
        </is>
      </c>
      <c r="AC837" t="inlineStr">
        <is>
          <t>7 Don Felipe St. Villa Cecilla Subdivision. Mambugan Antipolo City Rizal</t>
        </is>
      </c>
      <c r="AD837" s="4">
        <v>45918</v>
      </c>
      <c r="AE837" t="inlineStr">
        <is>
          <t>1st Payment - Oct. 17, 2025
Final Payment - Oct. 31, 2025</t>
        </is>
      </c>
      <c r="AF837" s="2"/>
      <c r="AG837" t="inlineStr">
        <is>
          <t>NzQyNTk5MTgyNzQ4MTg3MDM0MToxRkYyOTg0QS0wNTlCLTQ0NDMtQUFFQi04Q0YxNEYzREVGRUQtMTpmN2JjYTMxN2FiNTQzNmM1Y2ZkMzM1MDQxM2E3ZjllZTox</t>
        </is>
      </c>
      <c r="AH837" t="inlineStr">
        <is>
          <t>VINCE RAFAEL GARCIA</t>
        </is>
      </c>
      <c r="AI837"/>
      <c r="AJ837" t="inlineStr">
        <is>
          <t>LIQUIDITY PLAN (PAR # 202508110059 / 2025TEG-P0236)
FINAL 911 - CE INTERNAL &gt; MANPOWER &gt;
BROADCAST &amp; PRODUCTION &gt;
Show Director = Php 35,000.00
Vision Mixer = Php 7,500.00
Stream Audio Engineer = Php 9,000.00
Game Observers = Php 12,000.00
Total Budget = Php 63,500.00
Actual Cost = Php 79,000.00
Balance = (Php 15,500.00) OVER BUDGET</t>
        </is>
      </c>
      <c r="AK837"/>
    </row>
    <row r="838" ht="25.5" customHeight="1">
      <c r="A838" s="2" t="str">
        <f>=HYPERLINK("https://applink.larksuite.com/client/mini_program/open?appId=cli_9c7cc8a9a9edd105&amp;mode=appCenter&amp;path_pc=pc/pages/requested/index?instanceId=7561352933733007399&amp;source=bitable&amp;path=pages/detail/index?instanceId=7561352933733007399&amp;source=bitable", "202510150089")</f>
        <v>202510150089</v>
      </c>
      <c r="B838" t="inlineStr">
        <is>
          <t>Approved</t>
        </is>
      </c>
      <c r="C838" t="inlineStr">
        <is>
          <t>Procurement Order</t>
        </is>
      </c>
      <c r="D838" s="3">
        <v>45945.660532407404</v>
      </c>
      <c r="E838" s="3">
        <v>45946.567141203705</v>
      </c>
      <c r="F838" t="inlineStr">
        <is>
          <t>Fatima Kathleen M. FLores</t>
        </is>
      </c>
      <c r="G838" t="inlineStr">
        <is>
          <t>Procurement</t>
        </is>
      </c>
      <c r="H838"/>
      <c r="I838"/>
      <c r="J838" t="inlineStr">
        <is>
          <t>Project</t>
        </is>
      </c>
      <c r="K838" t="inlineStr">
        <is>
          <t>PDEI - Event Service</t>
        </is>
      </c>
      <c r="L838" t="inlineStr">
        <is>
          <t>GTCC 2025: September Arena</t>
        </is>
      </c>
      <c r="M838" t="inlineStr">
        <is>
          <t>2025TEG-P0236</t>
        </is>
      </c>
      <c r="N838" t="inlineStr">
        <is>
          <t>Frances Angelita Arreglado</t>
        </is>
      </c>
      <c r="O838" t="inlineStr">
        <is>
          <t>202510070033-Frances Angelita Arreglado-费用报销 - 副本 - 副本 - 副本-2025-10-07 06:12:34</t>
        </is>
      </c>
      <c r="P838" t="inlineStr">
        <is>
          <t>YES</t>
        </is>
      </c>
      <c r="Q838"/>
      <c r="R838" t="inlineStr">
        <is>
          <t>YES</t>
        </is>
      </c>
      <c r="S838" t="inlineStr">
        <is>
          <t>Outsourced Show Director</t>
        </is>
      </c>
      <c r="T838">
        <v>1</v>
      </c>
      <c r="U838">
        <v>40000</v>
      </c>
      <c r="V838" t="inlineStr">
        <is>
          <t>PHP</t>
        </is>
      </c>
      <c r="W838">
        <v>40000</v>
      </c>
      <c r="X838" s="2" t="str">
        <f>=HYPERLINK("https://www.larksuite.com/approval/admin/previewAttachment?key=PMgxrsIwEATQK83urD2ef5nfEFlEEBqkQOOzI1HQvj4CfbRgN8qRRiy1HmxpUiQg2itXSIZCybUd838_Te631-Tb9-Oxzutlbs9oVibEKg4A8fdzqqrsXvh6fAIAAP__", "2 attachment(s)")</f>
        <v>2 attachment(s)</v>
      </c>
      <c r="Y838"/>
      <c r="Z838"/>
      <c r="AA838"/>
      <c r="AB838"/>
      <c r="AC838"/>
      <c r="AD838" s="4"/>
      <c r="AE838"/>
      <c r="AF838" s="2"/>
      <c r="AG838" t="inlineStr">
        <is>
          <t>NzQyNTk5MTgyNzQ4MTg3MDM0MToxRkYyOTg0QS0wNTlCLTQ0NDMtQUFFQi04Q0YxNEYzREVGRUQtMjo4MWQ0N2RhMjMzZDgyOGM5MTJkYTkyN2FiZThiYTc3Mjox</t>
        </is>
      </c>
      <c r="AH838"/>
      <c r="AI838"/>
      <c r="AJ838" t="inlineStr">
        <is>
          <t>LIQUIDITY PLAN (PAR # 202508110059 / 2025TEG-P0236)
FINAL 911 - CE INTERNAL &gt; MANPOWER &gt;
BROADCAST &amp; PRODUCTION &gt;
Show Director = Php 35,000.00
Vision Mixer = Php 7,500.00
Stream Audio Engineer = Php 9,000.00
Game Observers = Php 12,000.00
Total Budget = Php 63,500.00
Actual Cost = Php 79,000.00
Balance = (Php 15,500.00) OVER BUDGET</t>
        </is>
      </c>
      <c r="AK838"/>
    </row>
    <row r="839" ht="25.5" customHeight="1">
      <c r="A839" s="2" t="str">
        <f>=HYPERLINK("https://applink.larksuite.com/client/mini_program/open?appId=cli_9c7cc8a9a9edd105&amp;mode=appCenter&amp;path_pc=pc/pages/requested/index?instanceId=7561352933733007399&amp;source=bitable&amp;path=pages/detail/index?instanceId=7561352933733007399&amp;source=bitable", "202510150089")</f>
        <v>202510150089</v>
      </c>
      <c r="B839" t="inlineStr">
        <is>
          <t>Approved</t>
        </is>
      </c>
      <c r="C839" t="inlineStr">
        <is>
          <t>Procurement Order</t>
        </is>
      </c>
      <c r="D839" s="3">
        <v>45945.660532407404</v>
      </c>
      <c r="E839" s="3">
        <v>45946.567141203705</v>
      </c>
      <c r="F839" t="inlineStr">
        <is>
          <t>Fatima Kathleen M. FLores</t>
        </is>
      </c>
      <c r="G839" t="inlineStr">
        <is>
          <t>Procurement</t>
        </is>
      </c>
      <c r="H839"/>
      <c r="I839"/>
      <c r="J839" t="inlineStr">
        <is>
          <t>Project</t>
        </is>
      </c>
      <c r="K839" t="inlineStr">
        <is>
          <t>PDEI - Event Service</t>
        </is>
      </c>
      <c r="L839" t="inlineStr">
        <is>
          <t>GTCC 2025: September Arena</t>
        </is>
      </c>
      <c r="M839" t="inlineStr">
        <is>
          <t>2025TEG-P0236</t>
        </is>
      </c>
      <c r="N839" t="inlineStr">
        <is>
          <t>Frances Angelita Arreglado</t>
        </is>
      </c>
      <c r="O839" t="inlineStr">
        <is>
          <t>202510070033-Frances Angelita Arreglado-费用报销 - 副本 - 副本 - 副本-2025-10-07 06:12:34</t>
        </is>
      </c>
      <c r="P839" t="inlineStr">
        <is>
          <t>YES</t>
        </is>
      </c>
      <c r="Q839"/>
      <c r="R839" t="inlineStr">
        <is>
          <t>YES</t>
        </is>
      </c>
      <c r="S839" t="inlineStr">
        <is>
          <t>Outsourced Stream Audio Engineer</t>
        </is>
      </c>
      <c r="T839">
        <v>1</v>
      </c>
      <c r="U839">
        <v>12000</v>
      </c>
      <c r="V839" t="inlineStr">
        <is>
          <t>PHP</t>
        </is>
      </c>
      <c r="W839">
        <v>12000</v>
      </c>
      <c r="X839" s="2" t="str">
        <f>=HYPERLINK("https://www.larksuite.com/approval/admin/previewAttachment?key=PMgxrsIwEATQK83urD2ef5nfEFlEEBqkQOOzI1HQvj4CfbRgN8qRRiy1HmxpUiQg2itXSIZCybUd838_Te631-Tb9-Oxzutlbs9oVibEKg4A8fdzqqrsXvh6fgIAAP__", "2 attachment(s)")</f>
        <v>2 attachment(s)</v>
      </c>
      <c r="Y839"/>
      <c r="Z839"/>
      <c r="AA839"/>
      <c r="AB839"/>
      <c r="AC839"/>
      <c r="AD839" s="4"/>
      <c r="AE839"/>
      <c r="AF839" s="2"/>
      <c r="AG839" t="inlineStr">
        <is>
          <t>NzQyNTk5MTgyNzQ4MTg3MDM0MToxRkYyOTg0QS0wNTlCLTQ0NDMtQUFFQi04Q0YxNEYzREVGRUQtMzo0MjYyN2JhOWU2ZTk1YjFmYTMwZTE1YzcwY2RjMjRlMTox</t>
        </is>
      </c>
      <c r="AH839"/>
      <c r="AI839"/>
      <c r="AJ839" t="inlineStr">
        <is>
          <t>LIQUIDITY PLAN (PAR # 202508110059 / 2025TEG-P0236)
FINAL 911 - CE INTERNAL &gt; MANPOWER &gt;
BROADCAST &amp; PRODUCTION &gt;
Show Director = Php 35,000.00
Vision Mixer = Php 7,500.00
Stream Audio Engineer = Php 9,000.00
Game Observers = Php 12,000.00
Total Budget = Php 63,500.00
Actual Cost = Php 79,000.00
Balance = (Php 15,500.00) OVER BUDGET</t>
        </is>
      </c>
      <c r="AK839"/>
    </row>
    <row r="840" ht="25.5" customHeight="1">
      <c r="A840" s="2" t="str">
        <f>=HYPERLINK("https://applink.larksuite.com/client/mini_program/open?appId=cli_9c7cc8a9a9edd105&amp;mode=appCenter&amp;path_pc=pc/pages/requested/index?instanceId=7561352933733007399&amp;source=bitable&amp;path=pages/detail/index?instanceId=7561352933733007399&amp;source=bitable", "202510150089")</f>
        <v>202510150089</v>
      </c>
      <c r="B840" t="inlineStr">
        <is>
          <t>Approved</t>
        </is>
      </c>
      <c r="C840" t="inlineStr">
        <is>
          <t>Procurement Order</t>
        </is>
      </c>
      <c r="D840" s="3">
        <v>45945.660532407404</v>
      </c>
      <c r="E840" s="3">
        <v>45946.567141203705</v>
      </c>
      <c r="F840" t="inlineStr">
        <is>
          <t>Fatima Kathleen M. FLores</t>
        </is>
      </c>
      <c r="G840" t="inlineStr">
        <is>
          <t>Procurement</t>
        </is>
      </c>
      <c r="H840"/>
      <c r="I840"/>
      <c r="J840" t="inlineStr">
        <is>
          <t>Project</t>
        </is>
      </c>
      <c r="K840" t="inlineStr">
        <is>
          <t>PDEI - Event Service</t>
        </is>
      </c>
      <c r="L840" t="inlineStr">
        <is>
          <t>GTCC 2025: September Arena</t>
        </is>
      </c>
      <c r="M840" t="inlineStr">
        <is>
          <t>2025TEG-P0236</t>
        </is>
      </c>
      <c r="N840" t="inlineStr">
        <is>
          <t>Frances Angelita Arreglado</t>
        </is>
      </c>
      <c r="O840" t="inlineStr">
        <is>
          <t>202510070033-Frances Angelita Arreglado-费用报销 - 副本 - 副本 - 副本-2025-10-07 06:12:34</t>
        </is>
      </c>
      <c r="P840" t="inlineStr">
        <is>
          <t>YES</t>
        </is>
      </c>
      <c r="Q840"/>
      <c r="R840" t="inlineStr">
        <is>
          <t>YES</t>
        </is>
      </c>
      <c r="S840" t="inlineStr">
        <is>
          <t>Outsourced Vision Mixer</t>
        </is>
      </c>
      <c r="T840">
        <v>1</v>
      </c>
      <c r="U840">
        <v>10500</v>
      </c>
      <c r="V840" t="inlineStr">
        <is>
          <t>PHP</t>
        </is>
      </c>
      <c r="W840">
        <v>10500</v>
      </c>
      <c r="X840" s="2" t="str">
        <f>=HYPERLINK("https://www.larksuite.com/approval/admin/previewAttachment?key=PMgxrsIwEATQK83urD2ef5nfEFlEEBqkQOOzI1HQvj4CfbRgN8qRRiy1HmxpUiQg2itXSIZCybUd838_Te631-Tb9-Oxzutlbs9oVibEKg4A8fdzqqrsXvg6PwEAAP__", "2 attachment(s)")</f>
        <v>2 attachment(s)</v>
      </c>
      <c r="Y840"/>
      <c r="Z840"/>
      <c r="AA840"/>
      <c r="AB840"/>
      <c r="AC840"/>
      <c r="AD840" s="4"/>
      <c r="AE840"/>
      <c r="AF840" s="2"/>
      <c r="AG840" t="inlineStr">
        <is>
          <t>NzQyNTk5MTgyNzQ4MTg3MDM0MToxRkYyOTg0QS0wNTlCLTQ0NDMtQUFFQi04Q0YxNEYzREVGRUQtNDpkMzk4OGY1NjM1NGQ2NmMyMjkyNjA2Zjk2MzkyZDQwYjox</t>
        </is>
      </c>
      <c r="AH840"/>
      <c r="AI840"/>
      <c r="AJ840" t="inlineStr">
        <is>
          <t>LIQUIDITY PLAN (PAR # 202508110059 / 2025TEG-P0236)
FINAL 911 - CE INTERNAL &gt; MANPOWER &gt;
BROADCAST &amp; PRODUCTION &gt;
Show Director = Php 35,000.00
Vision Mixer = Php 7,500.00
Stream Audio Engineer = Php 9,000.00
Game Observers = Php 12,000.00
Total Budget = Php 63,500.00
Actual Cost = Php 79,000.00
Balance = (Php 15,500.00) OVER BUDGET</t>
        </is>
      </c>
      <c r="AK840"/>
    </row>
    <row r="841" ht="25.5" customHeight="1">
      <c r="A841" s="2" t="str">
        <f>=HYPERLINK("https://applink.larksuite.com/client/mini_program/open?appId=cli_9c7cc8a9a9edd105&amp;mode=appCenter&amp;path_pc=pc/pages/requested/index?instanceId=7561360206379270176&amp;source=bitable&amp;path=pages/detail/index?instanceId=7561360206379270176&amp;source=bitable", "202510150096")</f>
        <v>202510150096</v>
      </c>
      <c r="B841" t="inlineStr">
        <is>
          <t>Approved</t>
        </is>
      </c>
      <c r="C841" t="inlineStr">
        <is>
          <t>Procurement Order</t>
        </is>
      </c>
      <c r="D841" s="3">
        <v>45945.680127314816</v>
      </c>
      <c r="E841" s="3">
        <v>45946.536087962966</v>
      </c>
      <c r="F841" t="inlineStr">
        <is>
          <t>Fatima Kathleen M. FLores</t>
        </is>
      </c>
      <c r="G841" t="inlineStr">
        <is>
          <t>Procurement</t>
        </is>
      </c>
      <c r="H841"/>
      <c r="I841"/>
      <c r="J841" t="inlineStr">
        <is>
          <t>Project</t>
        </is>
      </c>
      <c r="K841" t="inlineStr">
        <is>
          <t>PDEI - Event Service</t>
        </is>
      </c>
      <c r="L841" t="inlineStr">
        <is>
          <t>GTCC 2025: September Arena</t>
        </is>
      </c>
      <c r="M841" t="inlineStr">
        <is>
          <t>2025TEG-P0236</t>
        </is>
      </c>
      <c r="N841" t="inlineStr">
        <is>
          <t>Frances Angelita Arreglado</t>
        </is>
      </c>
      <c r="O841" t="inlineStr">
        <is>
          <t>202510070041-Frances Angelita Arreglado-费用报销 - 副本 - 副本 - 副本-2025-10-07 06:37:21</t>
        </is>
      </c>
      <c r="P841" t="inlineStr">
        <is>
          <t>YES</t>
        </is>
      </c>
      <c r="Q841"/>
      <c r="R841" t="inlineStr">
        <is>
          <t>YES</t>
        </is>
      </c>
      <c r="S841" t="inlineStr">
        <is>
          <t>Outsourced Talent Coordinator/ Road Manager</t>
        </is>
      </c>
      <c r="T841">
        <v>1</v>
      </c>
      <c r="U841">
        <v>7500</v>
      </c>
      <c r="V841" t="inlineStr">
        <is>
          <t>PHP</t>
        </is>
      </c>
      <c r="W841">
        <v>7500</v>
      </c>
      <c r="X841" s="2" t="str">
        <f>=HYPERLINK("https://www.larksuite.com/approval/admin/previewAttachment?key=PMgxrsJADATQK83YXs_6X-Y3iSKQSBqkRRQ-OxIF7ctJ5Bz0LETRCmyNpCcM6SoTqGxrSgVR5r2fx_973SP8Otf2uF5cvW7bsT85SmaQR_gEwL-fuyKiKgNfxycAAP__", "2 attachment(s)")</f>
        <v>2 attachment(s)</v>
      </c>
      <c r="Y841" t="inlineStr">
        <is>
          <t>Bank Transfer</t>
        </is>
      </c>
      <c r="Z841" t="inlineStr">
        <is>
          <t>John Benigno R. Magat</t>
        </is>
      </c>
      <c r="AA841" t="inlineStr">
        <is>
          <t>046110005388</t>
        </is>
      </c>
      <c r="AB841" t="inlineStr">
        <is>
          <t>PSBank</t>
        </is>
      </c>
      <c r="AC841" t="inlineStr">
        <is>
          <t>228 Grissom st. Brgy Moonwalk Paranaque Metro Manila</t>
        </is>
      </c>
      <c r="AD841" s="4">
        <v>45918</v>
      </c>
      <c r="AE841" t="inlineStr">
        <is>
          <t>100% Full Payment - Oct. 17, 2025</t>
        </is>
      </c>
      <c r="AF841" s="2"/>
      <c r="AG841" t="inlineStr">
        <is>
          <t>NzQyNTk5MTgyNzQ4MTg3MDM0MTozNUY1RUFFNi1BN0JCLTQ0ODMtQkNDMS1CQUNFRkMzMTAxMTgtMToxZjExZWRmMmFhNDgyOTAzYzg5YmJkMTEzYjljYTQ1NTox</t>
        </is>
      </c>
      <c r="AH841" t="inlineStr">
        <is>
          <t>John Benigno R. Magat</t>
        </is>
      </c>
      <c r="AI841"/>
      <c r="AJ841" t="inlineStr">
        <is>
          <t>LIQUIDITY PLAN (PAR # 202508110059 / 2025TEG-P0236)
FINAL 911 - CE INTERNAL &gt; MANPOWER &gt;
BROADCAST &amp; PRODUCTION &gt;
Floor Director = Php 7,500.00
Floor Managers = Php 7,500.00
STAGING &amp; TECHNICALS &gt;
Camera Highlights = Php 10,000.00
Talent Manager = Php 15,000.00 (INTERNAL)
Talent Coordinator/ Road Manager = Php 7,500.00
Total Budget = Php 48,000.00
Actual Cost = Php 39,000.00
Balance = Php 9,000.00
^ tagged this as over budget because one line item is tagged as INTERNAL.</t>
        </is>
      </c>
      <c r="AK841"/>
    </row>
    <row r="842" ht="25.5" customHeight="1">
      <c r="A842" s="2" t="str">
        <f>=HYPERLINK("https://applink.larksuite.com/client/mini_program/open?appId=cli_9c7cc8a9a9edd105&amp;mode=appCenter&amp;path_pc=pc/pages/requested/index?instanceId=7561360206379270176&amp;source=bitable&amp;path=pages/detail/index?instanceId=7561360206379270176&amp;source=bitable", "202510150096")</f>
        <v>202510150096</v>
      </c>
      <c r="B842" t="inlineStr">
        <is>
          <t>Approved</t>
        </is>
      </c>
      <c r="C842" t="inlineStr">
        <is>
          <t>Procurement Order</t>
        </is>
      </c>
      <c r="D842" s="3">
        <v>45945.680127314816</v>
      </c>
      <c r="E842" s="3">
        <v>45946.536087962966</v>
      </c>
      <c r="F842" t="inlineStr">
        <is>
          <t>Fatima Kathleen M. FLores</t>
        </is>
      </c>
      <c r="G842" t="inlineStr">
        <is>
          <t>Procurement</t>
        </is>
      </c>
      <c r="H842"/>
      <c r="I842"/>
      <c r="J842" t="inlineStr">
        <is>
          <t>Project</t>
        </is>
      </c>
      <c r="K842" t="inlineStr">
        <is>
          <t>PDEI - Event Service</t>
        </is>
      </c>
      <c r="L842" t="inlineStr">
        <is>
          <t>GTCC 2025: September Arena</t>
        </is>
      </c>
      <c r="M842" t="inlineStr">
        <is>
          <t>2025TEG-P0236</t>
        </is>
      </c>
      <c r="N842" t="inlineStr">
        <is>
          <t>Frances Angelita Arreglado</t>
        </is>
      </c>
      <c r="O842" t="inlineStr">
        <is>
          <t>202510070041-Frances Angelita Arreglado-费用报销 - 副本 - 副本 - 副本-2025-10-07 06:37:21</t>
        </is>
      </c>
      <c r="P842" t="inlineStr">
        <is>
          <t>YES</t>
        </is>
      </c>
      <c r="Q842"/>
      <c r="R842" t="inlineStr">
        <is>
          <t>YES</t>
        </is>
      </c>
      <c r="S842" t="inlineStr">
        <is>
          <t>Outsourced Floor Manager</t>
        </is>
      </c>
      <c r="T842">
        <v>1</v>
      </c>
      <c r="U842">
        <v>6000</v>
      </c>
      <c r="V842" t="inlineStr">
        <is>
          <t>PHP</t>
        </is>
      </c>
      <c r="W842">
        <v>6000</v>
      </c>
      <c r="X842" s="2" t="str">
        <f>=HYPERLINK("https://www.larksuite.com/approval/admin/previewAttachment?key=PMgxrsJADATQK83YXs_6X-Y3iSKQSBqkRRQ-OxIF7ctJ5Bz0LETRCmyNpCcM6SoTqGxrSgVR5r2fx_973SP8Otf2uF5cvW7bsT85SmaQR_gEwL-fuyKiKgNf5ycAAP__", "2 attachment(s)")</f>
        <v>2 attachment(s)</v>
      </c>
      <c r="Y842"/>
      <c r="Z842"/>
      <c r="AA842"/>
      <c r="AB842"/>
      <c r="AC842"/>
      <c r="AD842" s="4"/>
      <c r="AE842"/>
      <c r="AF842" s="2"/>
      <c r="AG842" t="inlineStr">
        <is>
          <t>NzQyNTk5MTgyNzQ4MTg3MDM0MTozNUY1RUFFNi1BN0JCLTQ0ODMtQkNDMS1CQUNFRkMzMTAxMTgtMjpkYjdiMzUwM2ZjMDAwZmUyYmVkOWY4ODI4MmEyZTkzZDox</t>
        </is>
      </c>
      <c r="AH842"/>
      <c r="AI842"/>
      <c r="AJ842" t="inlineStr">
        <is>
          <t>LIQUIDITY PLAN (PAR # 202508110059 / 2025TEG-P0236)
FINAL 911 - CE INTERNAL &gt; MANPOWER &gt;
BROADCAST &amp; PRODUCTION &gt;
Floor Director = Php 7,500.00
Floor Managers = Php 7,500.00
STAGING &amp; TECHNICALS &gt;
Camera Highlights = Php 10,000.00
Talent Manager = Php 15,000.00 (INTERNAL)
Talent Coordinator/ Road Manager = Php 7,500.00
Total Budget = Php 48,000.00
Actual Cost = Php 39,000.00
Balance = Php 9,000.00
^ tagged this as over budget because one line item is tagged as INTERNAL.</t>
        </is>
      </c>
      <c r="AK842"/>
    </row>
    <row r="843" ht="25.5" customHeight="1">
      <c r="A843" s="2" t="str">
        <f>=HYPERLINK("https://applink.larksuite.com/client/mini_program/open?appId=cli_9c7cc8a9a9edd105&amp;mode=appCenter&amp;path_pc=pc/pages/requested/index?instanceId=7561360206379270176&amp;source=bitable&amp;path=pages/detail/index?instanceId=7561360206379270176&amp;source=bitable", "202510150096")</f>
        <v>202510150096</v>
      </c>
      <c r="B843" t="inlineStr">
        <is>
          <t>Approved</t>
        </is>
      </c>
      <c r="C843" t="inlineStr">
        <is>
          <t>Procurement Order</t>
        </is>
      </c>
      <c r="D843" s="3">
        <v>45945.680127314816</v>
      </c>
      <c r="E843" s="3">
        <v>45946.536087962966</v>
      </c>
      <c r="F843" t="inlineStr">
        <is>
          <t>Fatima Kathleen M. FLores</t>
        </is>
      </c>
      <c r="G843" t="inlineStr">
        <is>
          <t>Procurement</t>
        </is>
      </c>
      <c r="H843"/>
      <c r="I843"/>
      <c r="J843" t="inlineStr">
        <is>
          <t>Project</t>
        </is>
      </c>
      <c r="K843" t="inlineStr">
        <is>
          <t>PDEI - Event Service</t>
        </is>
      </c>
      <c r="L843" t="inlineStr">
        <is>
          <t>GTCC 2025: September Arena</t>
        </is>
      </c>
      <c r="M843" t="inlineStr">
        <is>
          <t>2025TEG-P0236</t>
        </is>
      </c>
      <c r="N843" t="inlineStr">
        <is>
          <t>Frances Angelita Arreglado</t>
        </is>
      </c>
      <c r="O843" t="inlineStr">
        <is>
          <t>202510070041-Frances Angelita Arreglado-费用报销 - 副本 - 副本 - 副本-2025-10-07 06:37:21</t>
        </is>
      </c>
      <c r="P843" t="inlineStr">
        <is>
          <t>YES</t>
        </is>
      </c>
      <c r="Q843"/>
      <c r="R843" t="inlineStr">
        <is>
          <t>YES</t>
        </is>
      </c>
      <c r="S843" t="inlineStr">
        <is>
          <t>Outsourced Talent Manager</t>
        </is>
      </c>
      <c r="T843">
        <v>1</v>
      </c>
      <c r="U843">
        <v>12000</v>
      </c>
      <c r="V843" t="inlineStr">
        <is>
          <t>PHP</t>
        </is>
      </c>
      <c r="W843">
        <v>12000</v>
      </c>
      <c r="X843" s="2" t="str">
        <f>=HYPERLINK("https://www.larksuite.com/approval/admin/previewAttachment?key=PMgxrsJADATQK83YXs_6X-Y3iSKQSBqkRRQ-OxIF7ctJ5Bz0LETRCmyNpCcM6SoTqGxrSgVR5r2fx_973SP8Otf2uF5cvW7bsT85SmaQR_gEwL-fuyKiKgNft08AAAD__w", "2 attachment(s)")</f>
        <v>2 attachment(s)</v>
      </c>
      <c r="Y843"/>
      <c r="Z843"/>
      <c r="AA843"/>
      <c r="AB843"/>
      <c r="AC843"/>
      <c r="AD843" s="4"/>
      <c r="AE843"/>
      <c r="AF843" s="2"/>
      <c r="AG843" t="inlineStr">
        <is>
          <t>NzQyNTk5MTgyNzQ4MTg3MDM0MTozNUY1RUFFNi1BN0JCLTQ0ODMtQkNDMS1CQUNFRkMzMTAxMTgtMzo0Y2JjNGE1NDBhYzJlZDI5YzNkZjZiYTE5M2ZhOGNjODox</t>
        </is>
      </c>
      <c r="AH843"/>
      <c r="AI843"/>
      <c r="AJ843" t="inlineStr">
        <is>
          <t>LIQUIDITY PLAN (PAR # 202508110059 / 2025TEG-P0236)
FINAL 911 - CE INTERNAL &gt; MANPOWER &gt;
BROADCAST &amp; PRODUCTION &gt;
Floor Director = Php 7,500.00
Floor Managers = Php 7,500.00
STAGING &amp; TECHNICALS &gt;
Camera Highlights = Php 10,000.00
Talent Manager = Php 15,000.00 (INTERNAL)
Talent Coordinator/ Road Manager = Php 7,500.00
Total Budget = Php 48,000.00
Actual Cost = Php 39,000.00
Balance = Php 9,000.00
^ tagged this as over budget because one line item is tagged as INTERNAL.</t>
        </is>
      </c>
      <c r="AK843"/>
    </row>
    <row r="844" ht="25.5" customHeight="1">
      <c r="A844" s="2" t="str">
        <f>=HYPERLINK("https://applink.larksuite.com/client/mini_program/open?appId=cli_9c7cc8a9a9edd105&amp;mode=appCenter&amp;path_pc=pc/pages/requested/index?instanceId=7561360206379270176&amp;source=bitable&amp;path=pages/detail/index?instanceId=7561360206379270176&amp;source=bitable", "202510150096")</f>
        <v>202510150096</v>
      </c>
      <c r="B844" t="inlineStr">
        <is>
          <t>Approved</t>
        </is>
      </c>
      <c r="C844" t="inlineStr">
        <is>
          <t>Procurement Order</t>
        </is>
      </c>
      <c r="D844" s="3">
        <v>45945.680127314816</v>
      </c>
      <c r="E844" s="3">
        <v>45946.536087962966</v>
      </c>
      <c r="F844" t="inlineStr">
        <is>
          <t>Fatima Kathleen M. FLores</t>
        </is>
      </c>
      <c r="G844" t="inlineStr">
        <is>
          <t>Procurement</t>
        </is>
      </c>
      <c r="H844"/>
      <c r="I844"/>
      <c r="J844" t="inlineStr">
        <is>
          <t>Project</t>
        </is>
      </c>
      <c r="K844" t="inlineStr">
        <is>
          <t>PDEI - Event Service</t>
        </is>
      </c>
      <c r="L844" t="inlineStr">
        <is>
          <t>GTCC 2025: September Arena</t>
        </is>
      </c>
      <c r="M844" t="inlineStr">
        <is>
          <t>2025TEG-P0236</t>
        </is>
      </c>
      <c r="N844" t="inlineStr">
        <is>
          <t>Frances Angelita Arreglado</t>
        </is>
      </c>
      <c r="O844" t="inlineStr">
        <is>
          <t>202510070041-Frances Angelita Arreglado-费用报销 - 副本 - 副本 - 副本-2025-10-07 06:37:21</t>
        </is>
      </c>
      <c r="P844" t="inlineStr">
        <is>
          <t>YES</t>
        </is>
      </c>
      <c r="Q844"/>
      <c r="R844" t="inlineStr">
        <is>
          <t>YES</t>
        </is>
      </c>
      <c r="S844" t="inlineStr">
        <is>
          <t>Outsourced Camera Highlights/ Operator</t>
        </is>
      </c>
      <c r="T844">
        <v>1</v>
      </c>
      <c r="U844">
        <v>6000</v>
      </c>
      <c r="V844" t="inlineStr">
        <is>
          <t>PHP</t>
        </is>
      </c>
      <c r="W844">
        <v>6000</v>
      </c>
      <c r="X844" s="2" t="str">
        <f>=HYPERLINK("https://www.larksuite.com/approval/admin/previewAttachment?key=PMgxrsJADATQK83YXs_6X-Y3iSKQSBqkRRQ-OxIF7ctJ5Bz0LETRCmyNpCcM6SoTqGxrSgVR5r2fx_973SP8Otf2uF5cvW7bsT85SmaQR_gEwL-fuyKiKgNf908AAAD__w", "2 attachment(s)")</f>
        <v>2 attachment(s)</v>
      </c>
      <c r="Y844"/>
      <c r="Z844"/>
      <c r="AA844"/>
      <c r="AB844"/>
      <c r="AC844"/>
      <c r="AD844" s="4"/>
      <c r="AE844"/>
      <c r="AF844" s="2"/>
      <c r="AG844" t="inlineStr">
        <is>
          <t>NzQyNTk5MTgyNzQ4MTg3MDM0MTozNUY1RUFFNi1BN0JCLTQ0ODMtQkNDMS1CQUNFRkMzMTAxMTgtNDozZmIyNjcxMmQ1MjgzNmY0M2FmOTFkNDNhYTA5NzY0YTox</t>
        </is>
      </c>
      <c r="AH844"/>
      <c r="AI844"/>
      <c r="AJ844" t="inlineStr">
        <is>
          <t>LIQUIDITY PLAN (PAR # 202508110059 / 2025TEG-P0236)
FINAL 911 - CE INTERNAL &gt; MANPOWER &gt;
BROADCAST &amp; PRODUCTION &gt;
Floor Director = Php 7,500.00
Floor Managers = Php 7,500.00
STAGING &amp; TECHNICALS &gt;
Camera Highlights = Php 10,000.00
Talent Manager = Php 15,000.00 (INTERNAL)
Talent Coordinator/ Road Manager = Php 7,500.00
Total Budget = Php 48,000.00
Actual Cost = Php 39,000.00
Balance = Php 9,000.00
^ tagged this as over budget because one line item is tagged as INTERNAL.</t>
        </is>
      </c>
      <c r="AK844"/>
    </row>
    <row r="845" ht="25.5" customHeight="1">
      <c r="A845" s="2" t="str">
        <f>=HYPERLINK("https://applink.larksuite.com/client/mini_program/open?appId=cli_9c7cc8a9a9edd105&amp;mode=appCenter&amp;path_pc=pc/pages/requested/index?instanceId=7561360206379270176&amp;source=bitable&amp;path=pages/detail/index?instanceId=7561360206379270176&amp;source=bitable", "202510150096")</f>
        <v>202510150096</v>
      </c>
      <c r="B845" t="inlineStr">
        <is>
          <t>Approved</t>
        </is>
      </c>
      <c r="C845" t="inlineStr">
        <is>
          <t>Procurement Order</t>
        </is>
      </c>
      <c r="D845" s="3">
        <v>45945.680127314816</v>
      </c>
      <c r="E845" s="3">
        <v>45946.536087962966</v>
      </c>
      <c r="F845" t="inlineStr">
        <is>
          <t>Fatima Kathleen M. FLores</t>
        </is>
      </c>
      <c r="G845" t="inlineStr">
        <is>
          <t>Procurement</t>
        </is>
      </c>
      <c r="H845"/>
      <c r="I845"/>
      <c r="J845" t="inlineStr">
        <is>
          <t>Project</t>
        </is>
      </c>
      <c r="K845" t="inlineStr">
        <is>
          <t>PDEI - Event Service</t>
        </is>
      </c>
      <c r="L845" t="inlineStr">
        <is>
          <t>GTCC 2025: September Arena</t>
        </is>
      </c>
      <c r="M845" t="inlineStr">
        <is>
          <t>2025TEG-P0236</t>
        </is>
      </c>
      <c r="N845" t="inlineStr">
        <is>
          <t>Frances Angelita Arreglado</t>
        </is>
      </c>
      <c r="O845" t="inlineStr">
        <is>
          <t>202510070041-Frances Angelita Arreglado-费用报销 - 副本 - 副本 - 副本-2025-10-07 06:37:21</t>
        </is>
      </c>
      <c r="P845" t="inlineStr">
        <is>
          <t>YES</t>
        </is>
      </c>
      <c r="Q845"/>
      <c r="R845" t="inlineStr">
        <is>
          <t>YES</t>
        </is>
      </c>
      <c r="S845" t="inlineStr">
        <is>
          <t>Outsourced Floor Director</t>
        </is>
      </c>
      <c r="T845">
        <v>1</v>
      </c>
      <c r="U845">
        <v>7500</v>
      </c>
      <c r="V845" t="inlineStr">
        <is>
          <t>PHP</t>
        </is>
      </c>
      <c r="W845">
        <v>7500</v>
      </c>
      <c r="X845" s="2" t="str">
        <f>=HYPERLINK("https://www.larksuite.com/approval/admin/previewAttachment?key=PMgxrsJADATQK83YXs_6X-Y3iSKQSBqkRRQ-OxIF7ctJ5Bz0LETRCmyNpCcM6SoTqGxrSgVR5r2fx_973SP8Otf2uF5cvW7bsT85SmaQR_gEwL-fuyKiKgNfj08AAAD__w", "2 attachment(s)")</f>
        <v>2 attachment(s)</v>
      </c>
      <c r="Y845"/>
      <c r="Z845"/>
      <c r="AA845"/>
      <c r="AB845"/>
      <c r="AC845"/>
      <c r="AD845" s="4"/>
      <c r="AE845"/>
      <c r="AF845" s="2"/>
      <c r="AG845" t="inlineStr">
        <is>
          <t>NzQyNTk5MTgyNzQ4MTg3MDM0MTozNUY1RUFFNi1BN0JCLTQ0ODMtQkNDMS1CQUNFRkMzMTAxMTgtNTo4NjkzZjQ4NzliMmVlZTBiZjAwMWIwMGQyZWM1ZDQ4Yzox</t>
        </is>
      </c>
      <c r="AH845"/>
      <c r="AI845"/>
      <c r="AJ845" t="inlineStr">
        <is>
          <t>LIQUIDITY PLAN (PAR # 202508110059 / 2025TEG-P0236)
FINAL 911 - CE INTERNAL &gt; MANPOWER &gt;
BROADCAST &amp; PRODUCTION &gt;
Floor Director = Php 7,500.00
Floor Managers = Php 7,500.00
STAGING &amp; TECHNICALS &gt;
Camera Highlights = Php 10,000.00
Talent Manager = Php 15,000.00 (INTERNAL)
Talent Coordinator/ Road Manager = Php 7,500.00
Total Budget = Php 48,000.00
Actual Cost = Php 39,000.00
Balance = Php 9,000.00
^ tagged this as over budget because one line item is tagged as INTERNAL.</t>
        </is>
      </c>
      <c r="AK845"/>
    </row>
    <row r="846" ht="25.5" customHeight="1">
      <c r="A846" s="2" t="str">
        <f>=HYPERLINK("https://applink.larksuite.com/client/mini_program/open?appId=cli_9c7cc8a9a9edd105&amp;mode=appCenter&amp;path_pc=pc/pages/requested/index?instanceId=7561391050724474911&amp;source=bitable&amp;path=pages/detail/index?instanceId=7561391050724474911&amp;source=bitable", "202510150130")</f>
        <v>202510150130</v>
      </c>
      <c r="B846" t="inlineStr">
        <is>
          <t>Approved</t>
        </is>
      </c>
      <c r="C846" t="inlineStr">
        <is>
          <t>Procurement Order</t>
        </is>
      </c>
      <c r="D846" s="3">
        <v>45945.76325231481</v>
      </c>
      <c r="E846" s="3">
        <v>45946.50497685185</v>
      </c>
      <c r="F846" t="inlineStr">
        <is>
          <t>Fatima Kathleen M. FLores</t>
        </is>
      </c>
      <c r="G846" t="inlineStr">
        <is>
          <t>Procurement</t>
        </is>
      </c>
      <c r="H846"/>
      <c r="I846"/>
      <c r="J846" t="inlineStr">
        <is>
          <t>Project</t>
        </is>
      </c>
      <c r="K846" t="inlineStr">
        <is>
          <t>PDEI - Game Marketing</t>
        </is>
      </c>
      <c r="L846" t="inlineStr">
        <is>
          <t>SMDC Heroes Clash Community Arena Tournament Year 3</t>
        </is>
      </c>
      <c r="M846" t="inlineStr">
        <is>
          <t>2025TEG-P0247</t>
        </is>
      </c>
      <c r="N846" t="inlineStr">
        <is>
          <t>Clifford Markus Ortiz Martinez</t>
        </is>
      </c>
      <c r="O846" t="inlineStr">
        <is>
          <t>202510060118-Clifford Markus Ortiz Martinez-费用报销 - 副本 - 副本 - 副本-2025-10-06 10:39:08</t>
        </is>
      </c>
      <c r="P846" t="inlineStr">
        <is>
          <t>NO</t>
        </is>
      </c>
      <c r="Q846"/>
      <c r="R846" t="inlineStr">
        <is>
          <t>YES</t>
        </is>
      </c>
      <c r="S846" t="inlineStr">
        <is>
          <t>Customized Drifit Shirt</t>
        </is>
      </c>
      <c r="T846">
        <v>14</v>
      </c>
      <c r="U846">
        <v>664.2857</v>
      </c>
      <c r="V846" t="inlineStr">
        <is>
          <t>PHP</t>
        </is>
      </c>
      <c r="W846">
        <v>9300</v>
      </c>
      <c r="X846" s="2" t="str">
        <f>=HYPERLINK("https://www.larksuite.com/approval/admin/previewAttachment?key=PMgxCgIxFATQK838P8nkexkbwyIriiAuWOTsgoXt64PoozF7QcUocLl1ZhENDskqcsWiXTAdueZ9O89sDx7jDX1u-_5cx_WyzRdbOQJOKQcAnv6ellTVhZ_jGwAA__8", "2 attachment(s)")</f>
        <v>2 attachment(s)</v>
      </c>
      <c r="Y846" t="inlineStr">
        <is>
          <t>Bank Transfer</t>
        </is>
      </c>
      <c r="Z846" t="inlineStr">
        <is>
          <t>Get-Wrecked Prod Co</t>
        </is>
      </c>
      <c r="AA846" t="inlineStr">
        <is>
          <t>9055058933</t>
        </is>
      </c>
      <c r="AB846" t="inlineStr">
        <is>
          <t>RCBC</t>
        </is>
      </c>
      <c r="AC846" t="inlineStr">
        <is>
          <t>17 North Polytech, Potrero, Malabon city</t>
        </is>
      </c>
      <c r="AD846" s="4">
        <v>45954</v>
      </c>
      <c r="AE846" t="inlineStr">
        <is>
          <t>50% Down Payment
50% Balance upon completion of services</t>
        </is>
      </c>
      <c r="AF846" s="2" t="str">
        <f>=HYPERLINK("https://www.larksuite.com/approval/admin/previewAttachment?key=TMgxCgJBDAXQK_0_yST5XsbGYZEVRRAXLHJ2wcr2RRFRkxaCi0Ng5wyaiIkc7ukiezQzhWQO63Xfzsvmg0e94Z_bvj_7uF629WKUBVzTnQLA05-TUFnYz_ENAAD__w", "2 attachment(s)")</f>
        <v>2 attachment(s)</v>
      </c>
      <c r="AG846" t="inlineStr">
        <is>
          <t>NzQyNTk5MTgyNzQ4MTg3MDM0MTpEMzMyQjI2NS00NjkwLTQ0ODAtQTM2My1EMjU1Q0U1OUM0MjYtMTpiYzNhZTdjMWMwNmI3ZWY5ZjQxZjg5NTA5Y2UzNWU1MDox</t>
        </is>
      </c>
      <c r="AH846" t="inlineStr">
        <is>
          <t>Get-Wrecked Prod Co</t>
        </is>
      </c>
      <c r="AI846"/>
      <c r="AJ846" t="inlineStr">
        <is>
          <t>LIQUIDITY PLAN (PAR # 202509190067 / 2025TEG-P0247)
MPLACE &gt; Shirt (Team Winner + 2 raffle)
LIGHT &gt; Shirt (Team Winner + 2 raffle)
Total Budget = Php 4,900.00
Actual Cost = Php 9,300.00
Balance = (Php 4,400.00) OVER BUDGET</t>
        </is>
      </c>
      <c r="AK846"/>
    </row>
    <row r="847" ht="25.5" customHeight="1">
      <c r="A847" s="2" t="str">
        <f>=HYPERLINK("https://applink.larksuite.com/client/mini_program/open?appId=cli_9c7cc8a9a9edd105&amp;mode=appCenter&amp;path_pc=pc/pages/requested/index?instanceId=7561662618021183520&amp;source=bitable&amp;path=pages/detail/index?instanceId=7561662618021183520&amp;source=bitable", "202510160014")</f>
        <v>202510160014</v>
      </c>
      <c r="B847" t="inlineStr">
        <is>
          <t>Approved</t>
        </is>
      </c>
      <c r="C847" t="inlineStr">
        <is>
          <t>Procurement Order</t>
        </is>
      </c>
      <c r="D847" s="3">
        <v>45946.49506944444</v>
      </c>
      <c r="E847" s="3">
        <v>45946.57082175926</v>
      </c>
      <c r="F847" t="inlineStr">
        <is>
          <t>Fatima Kathleen M. FLores</t>
        </is>
      </c>
      <c r="G847" t="inlineStr">
        <is>
          <t>Procurement</t>
        </is>
      </c>
      <c r="H847"/>
      <c r="I847"/>
      <c r="J847" t="inlineStr">
        <is>
          <t>Project</t>
        </is>
      </c>
      <c r="K847" t="inlineStr">
        <is>
          <t>PDEI - Game Marketing</t>
        </is>
      </c>
      <c r="L847" t="inlineStr">
        <is>
          <t>WCG 2025 Creator Rumble</t>
        </is>
      </c>
      <c r="M847" t="inlineStr">
        <is>
          <t>2025TEG-P0041</t>
        </is>
      </c>
      <c r="N847" t="inlineStr">
        <is>
          <t>Maura Aurel Atilano Yap</t>
        </is>
      </c>
      <c r="O847" t="inlineStr">
        <is>
          <t>202509300086-Maura Aurel Atilano Yap-费用报销 - 副本 - 副本 - 副本-2025-09-30 08:58:26</t>
        </is>
      </c>
      <c r="P847" t="inlineStr">
        <is>
          <t>YES</t>
        </is>
      </c>
      <c r="Q847"/>
      <c r="R847" t="inlineStr">
        <is>
          <t>NO</t>
        </is>
      </c>
      <c r="S847" t="inlineStr">
        <is>
          <t>Outsourced Referee</t>
        </is>
      </c>
      <c r="T847">
        <v>1</v>
      </c>
      <c r="U847">
        <v>6000</v>
      </c>
      <c r="V847" t="inlineStr">
        <is>
          <t>PHP</t>
        </is>
      </c>
      <c r="W847">
        <v>6000</v>
      </c>
      <c r="X847" s="2" t="str">
        <f>=HYPERLINK("https://www.larksuite.com/approval/admin/previewAttachment?key=PMg5CgJREATQK1X13l7G5A-D4pKIS9JnFwxMXxQR5dRoWFManPRghAQLQpa6YGSY2Uim2Gy3_fi2cz6Xf1rv64rLvE5r3x70ThGkmmkB4OHvmmbWHYaf4xsAAP__", "2 attachment(s)")</f>
        <v>2 attachment(s)</v>
      </c>
      <c r="Y847" t="inlineStr">
        <is>
          <t>Bank Transfer</t>
        </is>
      </c>
      <c r="Z847" t="inlineStr">
        <is>
          <t>Arlo Reymon Guillermo</t>
        </is>
      </c>
      <c r="AA847" t="inlineStr">
        <is>
          <t>109485679446</t>
        </is>
      </c>
      <c r="AB847" t="inlineStr">
        <is>
          <t>Unionbank</t>
        </is>
      </c>
      <c r="AC847" t="inlineStr">
        <is>
          <t>1346 Maria Natividad St., Sta Cruz, Manila</t>
        </is>
      </c>
      <c r="AD847" s="4">
        <v>45941</v>
      </c>
      <c r="AE847" t="inlineStr">
        <is>
          <t>100% Full Payment - Nov. 7, 2025</t>
        </is>
      </c>
      <c r="AF847" s="2"/>
      <c r="AG847" t="inlineStr">
        <is>
          <t>NzQyNTk5MTgyNzQ4MTg3MDM0MTpEMjhCNEVBQS1BMTUwLTQ4NTUtQUJERS1ERjQwODI4NzJBQTQtMTo1ZGNlMmNkYzdjMWJkNTRhNWEwZDNjYTgwMjRjYjQ5YTox</t>
        </is>
      </c>
      <c r="AH847" t="inlineStr">
        <is>
          <t>Arlo Reymon Guillermo</t>
        </is>
      </c>
      <c r="AI847"/>
      <c r="AJ847" t="inlineStr">
        <is>
          <t>LIQUIDITY PLAN (PAR # 202505160019 / 2025TEG-P0041)
MANPOWER &gt; League Operations &gt; Referees
Total Budget = Php 10,000.00
This Request = Php 6,000.00
Balance = Php 4,000.00</t>
        </is>
      </c>
      <c r="AK847"/>
    </row>
    <row r="848" ht="25.5" customHeight="1">
      <c r="A848" s="2" t="str">
        <f>=HYPERLINK("https://applink.larksuite.com/client/mini_program/open?appId=cli_9c7cc8a9a9edd105&amp;mode=appCenter&amp;path_pc=pc/pages/requested/index?instanceId=7561663402901356583&amp;source=bitable&amp;path=pages/detail/index?instanceId=7561663402901356583&amp;source=bitable", "202510160015")</f>
        <v>202510160015</v>
      </c>
      <c r="B848" t="inlineStr">
        <is>
          <t>Approved</t>
        </is>
      </c>
      <c r="C848" t="inlineStr">
        <is>
          <t>Procurement Order</t>
        </is>
      </c>
      <c r="D848" s="3">
        <v>45946.4971875</v>
      </c>
      <c r="E848" s="3">
        <v>45947.42896990741</v>
      </c>
      <c r="F848" t="inlineStr">
        <is>
          <t>Fatima Kathleen M. FLores</t>
        </is>
      </c>
      <c r="G848" t="inlineStr">
        <is>
          <t>Procurement</t>
        </is>
      </c>
      <c r="H848"/>
      <c r="I848"/>
      <c r="J848" t="inlineStr">
        <is>
          <t>Project</t>
        </is>
      </c>
      <c r="K848" t="inlineStr">
        <is>
          <t>PDEI - Game Marketing</t>
        </is>
      </c>
      <c r="L848" t="inlineStr">
        <is>
          <t>WCG 2025 Creator Rumble</t>
        </is>
      </c>
      <c r="M848" t="inlineStr">
        <is>
          <t>2025TEG-P0041</t>
        </is>
      </c>
      <c r="N848" t="inlineStr">
        <is>
          <t>Maura Aurel Atilano Yap</t>
        </is>
      </c>
      <c r="O848" t="inlineStr">
        <is>
          <t>202509300086-Maura Aurel Atilano Yap-费用报销 - 副本 - 副本 - 副本-2025-09-30 08:58:26</t>
        </is>
      </c>
      <c r="P848" t="inlineStr">
        <is>
          <t>YES</t>
        </is>
      </c>
      <c r="Q848"/>
      <c r="R848" t="inlineStr">
        <is>
          <t>YES</t>
        </is>
      </c>
      <c r="S848" t="inlineStr">
        <is>
          <t>Outsourced Referee</t>
        </is>
      </c>
      <c r="T848">
        <v>1</v>
      </c>
      <c r="U848">
        <v>5000</v>
      </c>
      <c r="V848" t="inlineStr">
        <is>
          <t>PHP</t>
        </is>
      </c>
      <c r="W848">
        <v>5000</v>
      </c>
      <c r="X848" s="2" t="str">
        <f>=HYPERLINK("https://www.larksuite.com/approval/admin/previewAttachment?key=PMg7CgJRDAXQLd0kNz83Y-NjEGRsxE-TtYsWU54TJYhysWiwRRsy6SERRvxkHl42OpLZSEnlrH07F_25dvXP_a1pt3ldL9t6iHeqIo20AiCn4y1Jdgfxf3wDAAD__w", "2 attachment(s)")</f>
        <v>2 attachment(s)</v>
      </c>
      <c r="Y848" t="inlineStr">
        <is>
          <t>Bank Transfer</t>
        </is>
      </c>
      <c r="Z848" t="inlineStr">
        <is>
          <t>Dustin Jeiondre Ventura</t>
        </is>
      </c>
      <c r="AA848" t="inlineStr">
        <is>
          <t>0945-197-9043</t>
        </is>
      </c>
      <c r="AB848" t="inlineStr">
        <is>
          <t>GCash</t>
        </is>
      </c>
      <c r="AC848" t="inlineStr">
        <is>
          <t>P47-01 10th-15th St. Villamor, Brgy. 183, Pasay City</t>
        </is>
      </c>
      <c r="AD848" s="4">
        <v>45941</v>
      </c>
      <c r="AE848" t="inlineStr">
        <is>
          <t>100% Full Payment - Nov. 7, 2025</t>
        </is>
      </c>
      <c r="AF848" s="2"/>
      <c r="AG848" t="inlineStr">
        <is>
          <t>NzQyNTk5MTgyNzQ4MTg3MDM0MTpCMjhENTg4My00MThELTRBMzgtODA3MS04RDhEQjIyQUVGQTEtMTo2OGU3ZWM5MDBiNWY4ZjJkYWMwOWQ5MDg2ZTBhNjcyOTox</t>
        </is>
      </c>
      <c r="AH848" t="inlineStr">
        <is>
          <t>Dustin Jeiondre Ventura</t>
        </is>
      </c>
      <c r="AI848"/>
      <c r="AJ848" t="inlineStr">
        <is>
          <t>LIQUIDITY PLAN (PAR # 202505160019 / 2025TEG-P0041)
MANPOWER &gt; League Operations &gt; Referees
Total Remaining Budget = Php 4,000.00
This Request = Php 5,000.00
Balance = (Php 1,000.00) OVER BUDGET</t>
        </is>
      </c>
      <c r="AK848"/>
    </row>
    <row r="849" ht="25.5" customHeight="1">
      <c r="A849" s="2" t="str">
        <f>=HYPERLINK("https://applink.larksuite.com/client/mini_program/open?appId=cli_9c7cc8a9a9edd105&amp;mode=appCenter&amp;path_pc=pc/pages/requested/index?instanceId=7561721304865488935&amp;source=bitable&amp;path=pages/detail/index?instanceId=7561721304865488935&amp;source=bitable", "202510160040")</f>
        <v>202510160040</v>
      </c>
      <c r="B849" t="inlineStr">
        <is>
          <t>Approved</t>
        </is>
      </c>
      <c r="C849" t="inlineStr">
        <is>
          <t>Procurement Order</t>
        </is>
      </c>
      <c r="D849" s="3">
        <v>45946.65321759259</v>
      </c>
      <c r="E849" s="3">
        <v>45946.773668981485</v>
      </c>
      <c r="F849" t="inlineStr">
        <is>
          <t>Fatima Kathleen M. FLores</t>
        </is>
      </c>
      <c r="G849" t="inlineStr">
        <is>
          <t>Procurement</t>
        </is>
      </c>
      <c r="H849"/>
      <c r="I849"/>
      <c r="J849" t="inlineStr">
        <is>
          <t>Project</t>
        </is>
      </c>
      <c r="K849" t="inlineStr">
        <is>
          <t>PDEI - Event Service</t>
        </is>
      </c>
      <c r="L849" t="inlineStr">
        <is>
          <t>MDL PH S6 Playoffs + Grand Finals Watch Party</t>
        </is>
      </c>
      <c r="M849" t="inlineStr">
        <is>
          <t>2025TEG-P0197</t>
        </is>
      </c>
      <c r="N849" t="inlineStr">
        <is>
          <t>Kervin</t>
        </is>
      </c>
      <c r="O849" t="inlineStr">
        <is>
          <t>202510150086-Kervin-费用报销 - 副本 - 副本 - 副本-2025-10-15 07:40:21</t>
        </is>
      </c>
      <c r="P849" t="inlineStr">
        <is>
          <t>NO</t>
        </is>
      </c>
      <c r="Q849"/>
      <c r="R849" t="inlineStr">
        <is>
          <t>NO</t>
        </is>
      </c>
      <c r="S849" t="inlineStr">
        <is>
          <t>Donburi- Japanese Rice Toppings</t>
        </is>
      </c>
      <c r="T849">
        <v>100</v>
      </c>
      <c r="U849">
        <v>125</v>
      </c>
      <c r="V849" t="inlineStr">
        <is>
          <t>PHP</t>
        </is>
      </c>
      <c r="W849">
        <v>12500</v>
      </c>
      <c r="X849" s="2"/>
      <c r="Y849" t="inlineStr">
        <is>
          <t>Bank Transfer</t>
        </is>
      </c>
      <c r="Z849" t="inlineStr">
        <is>
          <t>Kyoto Donburi Express Food Kiosk</t>
        </is>
      </c>
      <c r="AA849" t="inlineStr">
        <is>
          <t>004180137332</t>
        </is>
      </c>
      <c r="AB849" t="inlineStr">
        <is>
          <t>BDO</t>
        </is>
      </c>
      <c r="AC849" t="inlineStr">
        <is>
          <t>Unit BB-05B Bldg. B Level 2 Tiendesitas Ortigas East, E. Rodriguez Jr. Ave., Ugong, Pasig City</t>
        </is>
      </c>
      <c r="AD849" s="4">
        <v>45949</v>
      </c>
      <c r="AE849" t="inlineStr">
        <is>
          <t>50% Down Payment upon confirmation
50% Final Payment after completion of services</t>
        </is>
      </c>
      <c r="AF849" s="2" t="str">
        <f>=HYPERLINK("https://www.larksuite.com/approval/admin/previewAttachment?key=TMgrDsJgEATgK83se7kMhuYPAmpIW7VnJ0FhvygiyqnRsKY0OOnBFCqswq2q1UeGmY1kis32Xnc5L9txXPXaubZjzudjbR9GacDazdgAePtzEl0a-nN8AwAA__8", "3 attachment(s)")</f>
        <v>3 attachment(s)</v>
      </c>
      <c r="AG849" t="inlineStr">
        <is>
          <t>NzQyNTk5MTgyNzQ4MTg3MDM0MTpGQzBFMEJFMi05RTQwLTQ0MzYtODQ5Qi02RDRGOURBRjIzOEQtMTo1ODc3NGQ3ZWRlZjgwNmNiOWU2NzhiMTU0N2VlMThlMTox</t>
        </is>
      </c>
      <c r="AH849" t="inlineStr">
        <is>
          <t>Kyoto Donburi Express Food Kiosk</t>
        </is>
      </c>
      <c r="AI849"/>
      <c r="AJ849" t="inlineStr">
        <is>
          <t>LIQUIDITY PLAN (PAR # 202510060066 / 2025TEG-P0197)
(ONLINE) COST ESTIMATE &gt; 7. MARKETING &gt;
Food Vouchers Prizes
Total Budget = Php 25,000.00 
Actual Cost = Php 25,0000.00</t>
        </is>
      </c>
      <c r="AK849"/>
    </row>
    <row r="850" ht="25.5" customHeight="1">
      <c r="A850" s="2" t="str">
        <f>=HYPERLINK("https://applink.larksuite.com/client/mini_program/open?appId=cli_9c7cc8a9a9edd105&amp;mode=appCenter&amp;path_pc=pc/pages/requested/index?instanceId=7561721304865488935&amp;source=bitable&amp;path=pages/detail/index?instanceId=7561721304865488935&amp;source=bitable", "202510160040")</f>
        <v>202510160040</v>
      </c>
      <c r="B850" t="inlineStr">
        <is>
          <t>Approved</t>
        </is>
      </c>
      <c r="C850" t="inlineStr">
        <is>
          <t>Procurement Order</t>
        </is>
      </c>
      <c r="D850" s="3">
        <v>45946.65321759259</v>
      </c>
      <c r="E850" s="3">
        <v>45946.773668981485</v>
      </c>
      <c r="F850" t="inlineStr">
        <is>
          <t>Fatima Kathleen M. FLores</t>
        </is>
      </c>
      <c r="G850" t="inlineStr">
        <is>
          <t>Procurement</t>
        </is>
      </c>
      <c r="H850"/>
      <c r="I850"/>
      <c r="J850" t="inlineStr">
        <is>
          <t>Project</t>
        </is>
      </c>
      <c r="K850" t="inlineStr">
        <is>
          <t>PDEI - Event Service</t>
        </is>
      </c>
      <c r="L850" t="inlineStr">
        <is>
          <t>MDL PH S6 Playoffs + Grand Finals Watch Party</t>
        </is>
      </c>
      <c r="M850" t="inlineStr">
        <is>
          <t>2025TEG-P0197</t>
        </is>
      </c>
      <c r="N850" t="inlineStr">
        <is>
          <t>Kervin</t>
        </is>
      </c>
      <c r="O850" t="inlineStr">
        <is>
          <t>202510150086-Kervin-费用报销 - 副本 - 副本 - 副本-2025-10-15 07:40:21</t>
        </is>
      </c>
      <c r="P850" t="inlineStr">
        <is>
          <t>NO</t>
        </is>
      </c>
      <c r="Q850"/>
      <c r="R850" t="inlineStr">
        <is>
          <t>NO</t>
        </is>
      </c>
      <c r="S850" t="inlineStr">
        <is>
          <t>Beverages</t>
        </is>
      </c>
      <c r="T850">
        <v>100</v>
      </c>
      <c r="U850">
        <v>95</v>
      </c>
      <c r="V850" t="inlineStr">
        <is>
          <t>PHP</t>
        </is>
      </c>
      <c r="W850">
        <v>9500</v>
      </c>
      <c r="X850" s="2"/>
      <c r="Y850"/>
      <c r="Z850"/>
      <c r="AA850"/>
      <c r="AB850"/>
      <c r="AC850"/>
      <c r="AD850" s="4"/>
      <c r="AE850"/>
      <c r="AF850" s="2"/>
      <c r="AG850" t="inlineStr">
        <is>
          <t>NzQyNTk5MTgyNzQ4MTg3MDM0MTpGQzBFMEJFMi05RTQwLTQ0MzYtODQ5Qi02RDRGOURBRjIzOEQtMjo5OTI3YzI1ZTkzOWI3MTgzNGY0YzI4MzllMjQ3ZTk5OTox</t>
        </is>
      </c>
      <c r="AH850"/>
      <c r="AI850"/>
      <c r="AJ850" t="inlineStr">
        <is>
          <t>LIQUIDITY PLAN (PAR # 202510060066 / 2025TEG-P0197)
(ONLINE) COST ESTIMATE &gt; 7. MARKETING &gt;
Food Vouchers Prizes
Total Budget = Php 25,000.00 
Actual Cost = Php 25,0000.00</t>
        </is>
      </c>
      <c r="AK850"/>
    </row>
    <row r="851" ht="25.5" customHeight="1">
      <c r="A851" s="2" t="str">
        <f>=HYPERLINK("https://applink.larksuite.com/client/mini_program/open?appId=cli_9c7cc8a9a9edd105&amp;mode=appCenter&amp;path_pc=pc/pages/requested/index?instanceId=7561721304865488935&amp;source=bitable&amp;path=pages/detail/index?instanceId=7561721304865488935&amp;source=bitable", "202510160040")</f>
        <v>202510160040</v>
      </c>
      <c r="B851" t="inlineStr">
        <is>
          <t>Approved</t>
        </is>
      </c>
      <c r="C851" t="inlineStr">
        <is>
          <t>Procurement Order</t>
        </is>
      </c>
      <c r="D851" s="3">
        <v>45946.65321759259</v>
      </c>
      <c r="E851" s="3">
        <v>45946.773668981485</v>
      </c>
      <c r="F851" t="inlineStr">
        <is>
          <t>Fatima Kathleen M. FLores</t>
        </is>
      </c>
      <c r="G851" t="inlineStr">
        <is>
          <t>Procurement</t>
        </is>
      </c>
      <c r="H851"/>
      <c r="I851"/>
      <c r="J851" t="inlineStr">
        <is>
          <t>Project</t>
        </is>
      </c>
      <c r="K851" t="inlineStr">
        <is>
          <t>PDEI - Event Service</t>
        </is>
      </c>
      <c r="L851" t="inlineStr">
        <is>
          <t>MDL PH S6 Playoffs + Grand Finals Watch Party</t>
        </is>
      </c>
      <c r="M851" t="inlineStr">
        <is>
          <t>2025TEG-P0197</t>
        </is>
      </c>
      <c r="N851" t="inlineStr">
        <is>
          <t>Kervin</t>
        </is>
      </c>
      <c r="O851" t="inlineStr">
        <is>
          <t>202510150086-Kervin-费用报销 - 副本 - 副本 - 副本-2025-10-15 07:40:21</t>
        </is>
      </c>
      <c r="P851" t="inlineStr">
        <is>
          <t>NO</t>
        </is>
      </c>
      <c r="Q851"/>
      <c r="R851" t="inlineStr">
        <is>
          <t>NO</t>
        </is>
      </c>
      <c r="S851" t="inlineStr">
        <is>
          <t>Bottled Water</t>
        </is>
      </c>
      <c r="T851">
        <v>100</v>
      </c>
      <c r="U851">
        <v>10</v>
      </c>
      <c r="V851" t="inlineStr">
        <is>
          <t>PHP</t>
        </is>
      </c>
      <c r="W851">
        <v>1000</v>
      </c>
      <c r="X851" s="2" t="str">
        <f>=HYPERLINK("https://www.larksuite.com/approval/admin/previewAttachment?key=PMi7DcJAEATQlmZ25_ZDMyRYJwJwgmxHVzsSAemLIqIGPRpqWoMrRzCNDlUMVbWPZYuZjWSa1vaedzsv7Tiueu2c27HO52NuH45OM6RLXgB4-7unpO4Qfm7fAAAA__8", "2 attachment(s)")</f>
        <v>2 attachment(s)</v>
      </c>
      <c r="Y851"/>
      <c r="Z851"/>
      <c r="AA851"/>
      <c r="AB851"/>
      <c r="AC851"/>
      <c r="AD851" s="4"/>
      <c r="AE851"/>
      <c r="AF851" s="2"/>
      <c r="AG851" t="inlineStr">
        <is>
          <t>NzQyNTk5MTgyNzQ4MTg3MDM0MTpGQzBFMEJFMi05RTQwLTQ0MzYtODQ5Qi02RDRGOURBRjIzOEQtMzo0YmQ2OGZiOTVjNGVjM2U2NTU4MWQ5ZTliYWE1YmIyNDox</t>
        </is>
      </c>
      <c r="AH851"/>
      <c r="AI851"/>
      <c r="AJ851" t="inlineStr">
        <is>
          <t>LIQUIDITY PLAN (PAR # 202510060066 / 2025TEG-P0197)
(ONLINE) COST ESTIMATE &gt; 7. MARKETING &gt;
Food Vouchers Prizes
Total Budget = Php 25,000.00 
Actual Cost = Php 25,0000.00</t>
        </is>
      </c>
      <c r="AK851"/>
    </row>
    <row r="852" ht="25.5" customHeight="1">
      <c r="A852" s="2" t="str">
        <f>=HYPERLINK("https://applink.larksuite.com/client/mini_program/open?appId=cli_9c7cc8a9a9edd105&amp;mode=appCenter&amp;path_pc=pc/pages/requested/index?instanceId=7561716226406285351&amp;source=bitable&amp;path=pages/detail/index?instanceId=7561716226406285351&amp;source=bitable", "202510160036")</f>
        <v>202510160036</v>
      </c>
      <c r="B852" t="inlineStr">
        <is>
          <t>Approved</t>
        </is>
      </c>
      <c r="C852" t="inlineStr">
        <is>
          <t>Procurement Order</t>
        </is>
      </c>
      <c r="D852" s="3">
        <v>45946.63953703704</v>
      </c>
      <c r="E852" s="3">
        <v>45946.77841435185</v>
      </c>
      <c r="F852" t="inlineStr">
        <is>
          <t>Fatima Kathleen M. FLores</t>
        </is>
      </c>
      <c r="G852" t="inlineStr">
        <is>
          <t>Procurement</t>
        </is>
      </c>
      <c r="H852"/>
      <c r="I852"/>
      <c r="J852" t="inlineStr">
        <is>
          <t>Project</t>
        </is>
      </c>
      <c r="K852" t="inlineStr">
        <is>
          <t>PDEI - Game Marketing</t>
        </is>
      </c>
      <c r="L852" t="inlineStr">
        <is>
          <t>WCG 2025 Creator Rumble</t>
        </is>
      </c>
      <c r="M852" t="inlineStr">
        <is>
          <t>2025TEG-P0041</t>
        </is>
      </c>
      <c r="N852" t="inlineStr">
        <is>
          <t>Maura Aurel Atilano Yap</t>
        </is>
      </c>
      <c r="O852" t="inlineStr">
        <is>
          <t>202510070062-Maura Aurel Atilano Yap-费用报销 - 副本 - 副本 - 副本-2025-10-07 08:07:19</t>
        </is>
      </c>
      <c r="P852" t="inlineStr">
        <is>
          <t>YES</t>
        </is>
      </c>
      <c r="Q852"/>
      <c r="R852" t="inlineStr">
        <is>
          <t>NO</t>
        </is>
      </c>
      <c r="S852" t="inlineStr">
        <is>
          <t>Outsourced Event Safety &amp; Security Team</t>
        </is>
      </c>
      <c r="T852">
        <v>1</v>
      </c>
      <c r="U852">
        <v>23000</v>
      </c>
      <c r="V852" t="inlineStr">
        <is>
          <t>PHP</t>
        </is>
      </c>
      <c r="W852">
        <v>23000</v>
      </c>
      <c r="X852" s="2" t="str">
        <f>=HYPERLINK("https://www.larksuite.com/approval/admin/previewAttachment?key=PMgrDgJBEATQK1X1r6a5DGY3GwQowrg-OwkC-2oRtZJejWhag6MsimVWgbKVnhwbSg1RFnO-rnvmho7ThP3R02c_jut8M1tmkEf4AsDb310R0V2Bn-MbAAD__w", "2 attachment(s)")</f>
        <v>2 attachment(s)</v>
      </c>
      <c r="Y852" t="inlineStr">
        <is>
          <t>Bank Transfer</t>
        </is>
      </c>
      <c r="Z852" t="inlineStr">
        <is>
          <t>Juanito T. Acedo Jr.</t>
        </is>
      </c>
      <c r="AA852" t="inlineStr">
        <is>
          <t>010670126934</t>
        </is>
      </c>
      <c r="AB852" t="inlineStr">
        <is>
          <t>BDO</t>
        </is>
      </c>
      <c r="AC852" t="inlineStr">
        <is>
          <t>127-68 Bronze Street Tugatog, Malabon</t>
        </is>
      </c>
      <c r="AD852" s="4">
        <v>45955</v>
      </c>
      <c r="AE852" t="inlineStr">
        <is>
          <t>100% Full Payment - upon completion of services</t>
        </is>
      </c>
      <c r="AF852" s="2"/>
      <c r="AG852" t="inlineStr">
        <is>
          <t>NzQyNTk5MTgyNzQ4MTg3MDM0MTpEMzNDQTg0NC05M0M2LTRCRjMtQUQ4OS05RUNBMUNCNjJGOUUtMToxNzUxMTU0ZWQ1NmYxZWY3NGQyMzI4NDllNjY2NjU2NDox</t>
        </is>
      </c>
      <c r="AH852" t="inlineStr">
        <is>
          <t>Juanito T. Acedo Jr.</t>
        </is>
      </c>
      <c r="AI852"/>
      <c r="AJ852" t="inlineStr">
        <is>
          <t>LIQUIDITY PLAN (PAR # 202505160019 / 2025TEG-P0041)
MANPOWER &gt; Safety and Security &gt; Security
Total Budget = Php 150,000.00
Actual Cost = Php 23,000.00
Balance = Php 127,000.00</t>
        </is>
      </c>
      <c r="AK852"/>
    </row>
    <row r="853" ht="25.5" customHeight="1">
      <c r="A853" s="2" t="str">
        <f>=HYPERLINK("https://applink.larksuite.com/client/mini_program/open?appId=cli_9c7cc8a9a9edd105&amp;mode=appCenter&amp;path_pc=pc/pages/requested/index?instanceId=7561713339944943648&amp;source=bitable&amp;path=pages/detail/index?instanceId=7561713339944943648&amp;source=bitable", "202510160035")</f>
        <v>202510160035</v>
      </c>
      <c r="B853" t="inlineStr">
        <is>
          <t>Approved</t>
        </is>
      </c>
      <c r="C853" t="inlineStr">
        <is>
          <t>Procurement Order</t>
        </is>
      </c>
      <c r="D853" s="3">
        <v>45946.63175925926</v>
      </c>
      <c r="E853" s="3">
        <v>45946.78298611111</v>
      </c>
      <c r="F853" t="inlineStr">
        <is>
          <t>Fatima Kathleen M. FLores</t>
        </is>
      </c>
      <c r="G853" t="inlineStr">
        <is>
          <t>Procurement</t>
        </is>
      </c>
      <c r="H853"/>
      <c r="I853"/>
      <c r="J853" t="inlineStr">
        <is>
          <t>Project</t>
        </is>
      </c>
      <c r="K853" t="inlineStr">
        <is>
          <t>PDEI - Game Marketing</t>
        </is>
      </c>
      <c r="L853" t="inlineStr">
        <is>
          <t>WCG 2025 Creator Rumble</t>
        </is>
      </c>
      <c r="M853" t="inlineStr">
        <is>
          <t>2025TEG-P0041</t>
        </is>
      </c>
      <c r="N853" t="inlineStr">
        <is>
          <t>Maura Aurel Atilano Yap</t>
        </is>
      </c>
      <c r="O853" t="inlineStr">
        <is>
          <t>202510070036-Maura Aurel Atilano Yap-费用报销 - 副本 - 副本 - 副本-2025-10-07 06:20:41</t>
        </is>
      </c>
      <c r="P853" t="inlineStr">
        <is>
          <t>YES</t>
        </is>
      </c>
      <c r="Q853"/>
      <c r="R853" t="inlineStr">
        <is>
          <t>NO</t>
        </is>
      </c>
      <c r="S853" t="inlineStr">
        <is>
          <t>Outsourced Show Director</t>
        </is>
      </c>
      <c r="T853">
        <v>1</v>
      </c>
      <c r="U853">
        <v>6000</v>
      </c>
      <c r="V853" t="inlineStr">
        <is>
          <t>PHP</t>
        </is>
      </c>
      <c r="W853">
        <v>6000</v>
      </c>
      <c r="X853" s="2" t="str">
        <f>=HYPERLINK("https://www.larksuite.com/approval/admin/previewAttachment?key=PMhBCgIxDAXQK_0kv0m_l3EzpTiCIIjd9eyCi9m-7IbszSIFylywXS2tLCIkUoxk376tSigr5x6veX8_T3xjjuX9PNba63HM8bGmckcFGR2A3S6PIikl8Xf8AgAA__8", "2 attachment(s)")</f>
        <v>2 attachment(s)</v>
      </c>
      <c r="Y853" t="inlineStr">
        <is>
          <t>Bank Transfer</t>
        </is>
      </c>
      <c r="Z853" t="inlineStr">
        <is>
          <t>Christian James D. Dagumboy</t>
        </is>
      </c>
      <c r="AA853" t="inlineStr">
        <is>
          <t>09257023784</t>
        </is>
      </c>
      <c r="AB853" t="inlineStr">
        <is>
          <t>GCash</t>
        </is>
      </c>
      <c r="AC853" t="inlineStr">
        <is>
          <t>64 Raja Kalantiao St. Brgy. Daanghari, Navotas City</t>
        </is>
      </c>
      <c r="AD853" s="4">
        <v>45914</v>
      </c>
      <c r="AE853" t="inlineStr">
        <is>
          <t>100% Full Payment - Oct. 24, 2025</t>
        </is>
      </c>
      <c r="AF853" s="2"/>
      <c r="AG853" t="inlineStr">
        <is>
          <t>NzQyNTk5MTgyNzQ4MTg3MDM0MTowOThENDIyRS0xRjhDLTQ2RDctOThFQi1BNDczMUIwRUMxMjgtMTo3ZTNhYzE1MGY2Mjc2NGE5NWJjMGEzOGU0MTIwZmI2ODox</t>
        </is>
      </c>
      <c r="AH853" t="inlineStr">
        <is>
          <t>Christian James D. Dagumboy</t>
        </is>
      </c>
      <c r="AI853"/>
      <c r="AJ853" t="inlineStr">
        <is>
          <t>LIQUIDITY PLAN (PAR # 202505160019 / 2025TEG-P0041)
MANPOWER &gt; Broadcast &amp; Production &gt; Show Director 
Total Budget = Php 45,000.00
Actual Cost = Php 6,000.00
Balance = Php 39,000.00</t>
        </is>
      </c>
      <c r="AK853"/>
    </row>
    <row r="854" ht="25.5" customHeight="1">
      <c r="A854" s="2" t="str">
        <f>=HYPERLINK("https://applink.larksuite.com/client/mini_program/open?appId=cli_9c7cc8a9a9edd105&amp;mode=appCenter&amp;path_pc=pc/pages/requested/index?instanceId=7561729452045008928&amp;source=bitable&amp;path=pages/detail/index?instanceId=7561729452045008928&amp;source=bitable", "202510160047")</f>
        <v>202510160047</v>
      </c>
      <c r="B854" t="inlineStr">
        <is>
          <t>Approved</t>
        </is>
      </c>
      <c r="C854" t="inlineStr">
        <is>
          <t>Procurement Order</t>
        </is>
      </c>
      <c r="D854" s="3">
        <v>45946.67517361111</v>
      </c>
      <c r="E854" s="3">
        <v>45946.77510416666</v>
      </c>
      <c r="F854" t="inlineStr">
        <is>
          <t>Fatima Kathleen M. FLores</t>
        </is>
      </c>
      <c r="G854" t="inlineStr">
        <is>
          <t>Procurement</t>
        </is>
      </c>
      <c r="H854"/>
      <c r="I854"/>
      <c r="J854" t="inlineStr">
        <is>
          <t>Project</t>
        </is>
      </c>
      <c r="K854" t="inlineStr">
        <is>
          <t>PDEI - Event Service</t>
        </is>
      </c>
      <c r="L854" t="inlineStr">
        <is>
          <t>MDL PH S6 Playoffs + Grand Finals Watch Party</t>
        </is>
      </c>
      <c r="M854" t="inlineStr">
        <is>
          <t>2025TEG-P0197</t>
        </is>
      </c>
      <c r="N854" t="inlineStr">
        <is>
          <t>Kervin</t>
        </is>
      </c>
      <c r="O854" t="inlineStr">
        <is>
          <t>202510060082-Kervin-费用报销 - 副本 - 副本 - 副本-2025-10-06 08:57:57</t>
        </is>
      </c>
      <c r="P854" t="inlineStr">
        <is>
          <t>NO</t>
        </is>
      </c>
      <c r="Q854"/>
      <c r="R854" t="inlineStr">
        <is>
          <t>NO</t>
        </is>
      </c>
      <c r="S854" t="inlineStr">
        <is>
          <t>2 Sets 9ft x 12ft Complete LED Wall + ProLighting Equipment Rental</t>
        </is>
      </c>
      <c r="T854">
        <v>1</v>
      </c>
      <c r="U854">
        <v>60000</v>
      </c>
      <c r="V854" t="inlineStr">
        <is>
          <t>PHP</t>
        </is>
      </c>
      <c r="W854">
        <v>60000</v>
      </c>
      <c r="X854" s="2" t="str">
        <f>=HYPERLINK("https://www.larksuite.com/approval/admin/previewAttachment?key=PMgxDsIwFAPQK_k7Tvw_l2FpVYEqJkSYcnYkhq5vZGBkjzYKqmAhlvsIs9QJdSCLubjCLjhMrf113LcPp07zmYl5ftd8bMf-jl4m4Sa1BBC3y5slVQ3h7_gFAAD__w", "2 attachment(s)")</f>
        <v>2 attachment(s)</v>
      </c>
      <c r="Y854" t="inlineStr">
        <is>
          <t>Bank Transfer</t>
        </is>
      </c>
      <c r="Z854" t="inlineStr">
        <is>
          <t>Peter Angelo Somera</t>
        </is>
      </c>
      <c r="AA854" t="inlineStr">
        <is>
          <t>006781125108</t>
        </is>
      </c>
      <c r="AB854" t="inlineStr">
        <is>
          <t>BDO</t>
        </is>
      </c>
      <c r="AC854" t="inlineStr">
        <is>
          <t>Blk 89 Lot 28 Domingo De Ramos St., Lagro, QC</t>
        </is>
      </c>
      <c r="AD854" s="4">
        <v>45949</v>
      </c>
      <c r="AE854" t="inlineStr">
        <is>
          <t>50% Down Payment upon confirmation
50% Balance on ingress day</t>
        </is>
      </c>
      <c r="AF854" s="2" t="str">
        <f>=HYPERLINK("https://www.larksuite.com/approval/admin/previewAttachment?key=TMgxDsJADATAL-36fLaXz9AkikARFeKo_HYkqrQTRURNjhBcNIGdM5gmnwafQMmqrZkpJNO899dx3z62_Ex7VmGd316P7djfjBoB13SnAPB2cRKqEePv-AUAAP__", "3 attachment(s)")</f>
        <v>3 attachment(s)</v>
      </c>
      <c r="AG854" t="inlineStr">
        <is>
          <t>NzQyNTk5MTgyNzQ4MTg3MDM0MTowMTU4RDgyQy03OUE2LTQ5OTgtODBCMy05QzZENTM4NjlBM0EtMTo5ZTMyZWZiMDdiNzYwMjMyMTY4MWY3MWM3M2ZiYzUzMDox</t>
        </is>
      </c>
      <c r="AH854" t="inlineStr">
        <is>
          <t>Banda Pilipinas</t>
        </is>
      </c>
      <c r="AI854"/>
      <c r="AJ854" t="inlineStr">
        <is>
          <t>LIQUIDITY PLAN (PAR # 202510060066 / 2025TEG-P0197)
(ONLINE) COST ESTIMATE &gt; 4. STAGING &amp; PRODUCTION &gt;
4.1 Staging &amp; Production &gt; LED w/ Lights &amp; Sounds Set
Total Budget = Php 100,000.00 
Actual Cost = Php 60,000.00
Balance = Php 40,000.00</t>
        </is>
      </c>
      <c r="AK854"/>
    </row>
    <row r="855" ht="25.5" customHeight="1">
      <c r="A855" s="2" t="str">
        <f>=HYPERLINK("https://applink.larksuite.com/client/mini_program/open?appId=cli_9c7cc8a9a9edd105&amp;mode=appCenter&amp;path_pc=pc/pages/requested/index?instanceId=7561727395426828326&amp;source=bitable&amp;path=pages/detail/index?instanceId=7561727395426828326&amp;source=bitable", "202510160046")</f>
        <v>202510160046</v>
      </c>
      <c r="B855" t="inlineStr">
        <is>
          <t>Approved</t>
        </is>
      </c>
      <c r="C855" t="inlineStr">
        <is>
          <t>Procurement Order</t>
        </is>
      </c>
      <c r="D855" s="3">
        <v>45946.66962962963</v>
      </c>
      <c r="E855" s="3">
        <v>45946.777604166666</v>
      </c>
      <c r="F855" t="inlineStr">
        <is>
          <t>Fatima Kathleen M. FLores</t>
        </is>
      </c>
      <c r="G855" t="inlineStr">
        <is>
          <t>Procurement</t>
        </is>
      </c>
      <c r="H855"/>
      <c r="I855"/>
      <c r="J855" t="inlineStr">
        <is>
          <t>Project</t>
        </is>
      </c>
      <c r="K855" t="inlineStr">
        <is>
          <t>PDEI - Event Service</t>
        </is>
      </c>
      <c r="L855" t="inlineStr">
        <is>
          <t>MDL PH S6 Playoffs + Grand Finals Watch Party</t>
        </is>
      </c>
      <c r="M855" t="inlineStr">
        <is>
          <t>2025TEG-P0197</t>
        </is>
      </c>
      <c r="N855" t="inlineStr">
        <is>
          <t>Kervin</t>
        </is>
      </c>
      <c r="O855" t="inlineStr">
        <is>
          <t>202510060081-Kervin-费用报销 - 副本 - 副本 - 副本-2025-10-06 08:56:56</t>
        </is>
      </c>
      <c r="P855" t="inlineStr">
        <is>
          <t>NO</t>
        </is>
      </c>
      <c r="Q855"/>
      <c r="R855" t="inlineStr">
        <is>
          <t>NO</t>
        </is>
      </c>
      <c r="S855" t="inlineStr">
        <is>
          <t>4FT X 8FT MLBB BACKDROP BANNER</t>
        </is>
      </c>
      <c r="T855">
        <v>2</v>
      </c>
      <c r="U855">
        <v>3800</v>
      </c>
      <c r="V855" t="inlineStr">
        <is>
          <t>PHP</t>
        </is>
      </c>
      <c r="W855">
        <v>7600</v>
      </c>
      <c r="X855" s="2"/>
      <c r="Y855" t="inlineStr">
        <is>
          <t>Bank Transfer</t>
        </is>
      </c>
      <c r="Z855" t="inlineStr">
        <is>
          <t>iLIGHT PRODUCTION</t>
        </is>
      </c>
      <c r="AA855" t="inlineStr">
        <is>
          <t>007960010274</t>
        </is>
      </c>
      <c r="AB855" t="inlineStr">
        <is>
          <t>BDO</t>
        </is>
      </c>
      <c r="AC855" t="inlineStr">
        <is>
          <t>3791 Mascardo St. Brgy, Sta Cruz, Makati City</t>
        </is>
      </c>
      <c r="AD855" s="4">
        <v>45949</v>
      </c>
      <c r="AE855" t="inlineStr">
        <is>
          <t>100% Full Payment upon complete delivery</t>
        </is>
      </c>
      <c r="AF855" s="2"/>
      <c r="AG855" t="inlineStr">
        <is>
          <t>NzQyNTk5MTgyNzQ4MTg3MDM0MTpCMUQ2MzIyQS1BMjkzLTQ5QTUtODIyRC03QzdGRjQ5MEY3REItMTowYTkxODg1NmIyZTRhMmMxODJlNGRlYzZiMzA0ZGQwZTox</t>
        </is>
      </c>
      <c r="AH855" t="inlineStr">
        <is>
          <t>iLIGHT PRODUCTION</t>
        </is>
      </c>
      <c r="AI855"/>
      <c r="AJ855" t="inlineStr">
        <is>
          <t>LIQUIDITY PLAN (PAR # 202510060066 / 2025TEG-P0197)
(ONLINE) COST ESTIMATE &gt; 4. STAGING &amp; PRODUCTION &gt;
4.1 Staging &amp; Production &gt; Staging Fabrications
Total Budget = Php 110,000.00 
Actual Cost = Php 9,600.00
Balance = Php 100,400.00</t>
        </is>
      </c>
      <c r="AK855"/>
    </row>
    <row r="856" ht="25.5" customHeight="1">
      <c r="A856" s="2" t="str">
        <f>=HYPERLINK("https://applink.larksuite.com/client/mini_program/open?appId=cli_9c7cc8a9a9edd105&amp;mode=appCenter&amp;path_pc=pc/pages/requested/index?instanceId=7561727395426828326&amp;source=bitable&amp;path=pages/detail/index?instanceId=7561727395426828326&amp;source=bitable", "202510160046")</f>
        <v>202510160046</v>
      </c>
      <c r="B856" t="inlineStr">
        <is>
          <t>Approved</t>
        </is>
      </c>
      <c r="C856" t="inlineStr">
        <is>
          <t>Procurement Order</t>
        </is>
      </c>
      <c r="D856" s="3">
        <v>45946.66962962963</v>
      </c>
      <c r="E856" s="3">
        <v>45946.777604166666</v>
      </c>
      <c r="F856" t="inlineStr">
        <is>
          <t>Fatima Kathleen M. FLores</t>
        </is>
      </c>
      <c r="G856" t="inlineStr">
        <is>
          <t>Procurement</t>
        </is>
      </c>
      <c r="H856"/>
      <c r="I856"/>
      <c r="J856" t="inlineStr">
        <is>
          <t>Project</t>
        </is>
      </c>
      <c r="K856" t="inlineStr">
        <is>
          <t>PDEI - Event Service</t>
        </is>
      </c>
      <c r="L856" t="inlineStr">
        <is>
          <t>MDL PH S6 Playoffs + Grand Finals Watch Party</t>
        </is>
      </c>
      <c r="M856" t="inlineStr">
        <is>
          <t>2025TEG-P0197</t>
        </is>
      </c>
      <c r="N856" t="inlineStr">
        <is>
          <t>Kervin</t>
        </is>
      </c>
      <c r="O856" t="inlineStr">
        <is>
          <t>202510060081-Kervin-费用报销 - 副本 - 副本 - 副本-2025-10-06 08:56:56</t>
        </is>
      </c>
      <c r="P856" t="inlineStr">
        <is>
          <t>NO</t>
        </is>
      </c>
      <c r="Q856"/>
      <c r="R856" t="inlineStr">
        <is>
          <t>NO</t>
        </is>
      </c>
      <c r="S856" t="inlineStr">
        <is>
          <t>INSTALLATION/DELIVERY</t>
        </is>
      </c>
      <c r="T856">
        <v>1</v>
      </c>
      <c r="U856">
        <v>2000</v>
      </c>
      <c r="V856" t="inlineStr">
        <is>
          <t>PHP</t>
        </is>
      </c>
      <c r="W856">
        <v>2000</v>
      </c>
      <c r="X856" s="2"/>
      <c r="Y856"/>
      <c r="Z856"/>
      <c r="AA856"/>
      <c r="AB856"/>
      <c r="AC856"/>
      <c r="AD856" s="4"/>
      <c r="AE856"/>
      <c r="AF856" s="2"/>
      <c r="AG856" t="inlineStr">
        <is>
          <t>NzQyNTk5MTgyNzQ4MTg3MDM0MTpCMUQ2MzIyQS1BMjkzLTQ5QTUtODIyRC03QzdGRjQ5MEY3REItMjo1Njk4YmZlZDcxMmYwMGQzZTRlOTkwOGE4MThiNGRlNTox</t>
        </is>
      </c>
      <c r="AH856"/>
      <c r="AI856"/>
      <c r="AJ856" t="inlineStr">
        <is>
          <t>LIQUIDITY PLAN (PAR # 202510060066 / 2025TEG-P0197)
(ONLINE) COST ESTIMATE &gt; 4. STAGING &amp; PRODUCTION &gt;
4.1 Staging &amp; Production &gt; Staging Fabrications
Total Budget = Php 110,000.00 
Actual Cost = Php 9,600.00
Balance = Php 100,400.00</t>
        </is>
      </c>
      <c r="AK856"/>
    </row>
    <row r="857" ht="25.5" customHeight="1">
      <c r="A857" s="2" t="str">
        <f>=HYPERLINK("https://applink.larksuite.com/client/mini_program/open?appId=cli_9c7cc8a9a9edd105&amp;mode=appCenter&amp;path_pc=pc/pages/requested/index?instanceId=7561761571068936231&amp;source=bitable&amp;path=pages/detail/index?instanceId=7561761571068936231&amp;source=bitable", "202510160066")</f>
        <v>202510160066</v>
      </c>
      <c r="B857" t="inlineStr">
        <is>
          <t>Approved</t>
        </is>
      </c>
      <c r="C857" t="inlineStr">
        <is>
          <t>Procurement Order</t>
        </is>
      </c>
      <c r="D857" s="3">
        <v>45946.761724537035</v>
      </c>
      <c r="E857" s="3">
        <v>45946.7872337963</v>
      </c>
      <c r="F857" t="inlineStr">
        <is>
          <t>Fatima Kathleen M. FLores</t>
        </is>
      </c>
      <c r="G857" t="inlineStr">
        <is>
          <t>Procurement</t>
        </is>
      </c>
      <c r="H857"/>
      <c r="I857"/>
      <c r="J857" t="inlineStr">
        <is>
          <t>Project</t>
        </is>
      </c>
      <c r="K857" t="inlineStr">
        <is>
          <t>PDEI - Event Service</t>
        </is>
      </c>
      <c r="L857" t="inlineStr">
        <is>
          <t>MPL PH S16 - Playoffs</t>
        </is>
      </c>
      <c r="M857" t="inlineStr">
        <is>
          <t>2025TEG-P0215</t>
        </is>
      </c>
      <c r="N857" t="inlineStr">
        <is>
          <t>Katherine Denise Lee Sy</t>
        </is>
      </c>
      <c r="O857" t="inlineStr">
        <is>
          <t>202510090099-Katherine Denise Lee Sy-费用报销 - 副本 - 副本 - 副本-2025-10-09 10:58:26</t>
        </is>
      </c>
      <c r="P857" t="inlineStr">
        <is>
          <t>NO</t>
        </is>
      </c>
      <c r="Q857"/>
      <c r="R857" t="inlineStr">
        <is>
          <t>NO</t>
        </is>
      </c>
      <c r="S857" t="inlineStr">
        <is>
          <t>Outsourced Live Licensed Drone Operator</t>
        </is>
      </c>
      <c r="T857">
        <v>1</v>
      </c>
      <c r="U857">
        <v>105000</v>
      </c>
      <c r="V857" t="inlineStr">
        <is>
          <t>PHP</t>
        </is>
      </c>
      <c r="W857">
        <v>105000</v>
      </c>
      <c r="X857" s="2" t="str">
        <f>=HYPERLINK("https://www.larksuite.com/approval/admin/previewAttachment?key=PMkxjkIxDATQK3nsiSfey2xDFIHQp0ECGp8dQUH7Xk5YzoHIMha8DK2RUGLoUxXpgfaGVCbI2evY_09eRKyj9nqt27Uf59Ned4ySuynImGaGv5-HSFYl7ev2DgAA__8", "2 attachment(s)")</f>
        <v>2 attachment(s)</v>
      </c>
      <c r="Y857" t="inlineStr">
        <is>
          <t>Bank Transfer</t>
        </is>
      </c>
      <c r="Z857" t="inlineStr">
        <is>
          <t>Ryan Matias</t>
        </is>
      </c>
      <c r="AA857" t="inlineStr">
        <is>
          <t>1996 2285 79</t>
        </is>
      </c>
      <c r="AB857" t="inlineStr">
        <is>
          <t>BPI</t>
        </is>
      </c>
      <c r="AC857" t="inlineStr">
        <is>
          <t>Antipolo</t>
        </is>
      </c>
      <c r="AD857" s="4">
        <v>45950</v>
      </c>
      <c r="AE857" t="inlineStr">
        <is>
          <t>50% Down Payment upon confirmation
25% 2nd Payment - 15 days upon completion of services
25% Final Payment - 30 days upon completion of services</t>
        </is>
      </c>
      <c r="AF857" s="2"/>
      <c r="AG857" t="inlineStr">
        <is>
          <t>NzQyNTk5MTgyNzQ4MTg3MDM0MTo1QjZFRjQ1RC0xNDVELTRDQ0MtODhFQi1CNEFFREM2RDEyRkQtMTo0ZmFjOTRkMmJiZDQwMjA5YzQ4NDg3ZWQ5NTRmMDYxMjox</t>
        </is>
      </c>
      <c r="AH857" t="inlineStr">
        <is>
          <t>Ryan Matias</t>
        </is>
      </c>
      <c r="AI857"/>
      <c r="AJ857" t="inlineStr">
        <is>
          <t>LIQUIDITY PLAN (PAR # 202509020094 / 2025TEG-P0215)
4.1 Staging and Production &gt; 
CAMERA TECHNICALS &gt; Playoffs Drone
Total Budget = Php 105,000.00
Actual Cost = Php 105,000.00</t>
        </is>
      </c>
      <c r="AK857"/>
    </row>
    <row r="858" ht="25.5" customHeight="1">
      <c r="A858" s="2" t="str">
        <f>=HYPERLINK("https://applink.larksuite.com/client/mini_program/open?appId=cli_9c7cc8a9a9edd105&amp;mode=appCenter&amp;path_pc=pc/pages/requested/index?instanceId=7524616037292179495&amp;source=bitable&amp;path=pages/detail/index?instanceId=7524616037292179495&amp;source=bitable", "202507080045")</f>
        <v>202507080045</v>
      </c>
      <c r="B858" t="inlineStr">
        <is>
          <t>Approved</t>
        </is>
      </c>
      <c r="C858" t="inlineStr">
        <is>
          <t>Procurement Order</t>
        </is>
      </c>
      <c r="D858" s="3">
        <v>45846.66197916667</v>
      </c>
      <c r="E858" s="3">
        <v>45867.71744212963</v>
      </c>
      <c r="F858" t="inlineStr">
        <is>
          <t>Fatima Kathleen M. FLores</t>
        </is>
      </c>
      <c r="G858" t="inlineStr">
        <is>
          <t>Procurement</t>
        </is>
      </c>
      <c r="H858"/>
      <c r="I858"/>
      <c r="J858" t="inlineStr">
        <is>
          <t>Project</t>
        </is>
      </c>
      <c r="K858" t="inlineStr">
        <is>
          <t>PDEI - Event Service</t>
        </is>
      </c>
      <c r="L858" t="inlineStr">
        <is>
          <t>MPL PH S15</t>
        </is>
      </c>
      <c r="M858" t="inlineStr">
        <is>
          <t>2024TEG-P0430</t>
        </is>
      </c>
      <c r="N858" t="inlineStr">
        <is>
          <t>JP dela Peña</t>
        </is>
      </c>
      <c r="O858" t="inlineStr">
        <is>
          <t>202502170118-Tiny-费用报销 - 副本 - 副本 - 副本-2025-02-17 18:10:22</t>
        </is>
      </c>
      <c r="P858" t="inlineStr">
        <is>
          <t>NO</t>
        </is>
      </c>
      <c r="Q858"/>
      <c r="R858" t="inlineStr">
        <is>
          <t>YES</t>
        </is>
      </c>
      <c r="S858" t="inlineStr">
        <is>
          <t>Parking Rental Fees (Week 7: Apr. 25 to 27, May 2 to 4, 2025)</t>
        </is>
      </c>
      <c r="T858">
        <v>1</v>
      </c>
      <c r="U858">
        <v>42033.6</v>
      </c>
      <c r="V858" t="inlineStr">
        <is>
          <t>PHP</t>
        </is>
      </c>
      <c r="W858">
        <v>42033.6</v>
      </c>
      <c r="X858" s="2" t="str">
        <f>=HYPERLINK("https://www.larksuite.com/approval/admin/previewAttachment?key=PMg7CsJgEATgK80-J-NlbFyCRFIJpvrPLljYfr0ZeiuLFlLmgi2WZ1sj6HKjUrV8GSnQiFpz7vfjnLjyVZfP1Bzr83zs87YS3cHIjA2A3f4ezEypEz_HNwAA__8", "2 attachment(s)")</f>
        <v>2 attachment(s)</v>
      </c>
      <c r="Y858" t="inlineStr">
        <is>
          <t>Bank Transfer</t>
        </is>
      </c>
      <c r="Z858" t="inlineStr">
        <is>
          <t>Allegro Resources Corporation</t>
        </is>
      </c>
      <c r="AA858" t="inlineStr">
        <is>
          <t>1406-7000-1883</t>
        </is>
      </c>
      <c r="AB858" t="inlineStr">
        <is>
          <t>PNB</t>
        </is>
      </c>
      <c r="AC858" t="inlineStr">
        <is>
          <t>2284 Pasong Tamo Ext., Magallanes, Makati City</t>
        </is>
      </c>
      <c r="AD858" s="4">
        <v>45774</v>
      </c>
      <c r="AE858" t="inlineStr">
        <is>
          <t>100% Full payment</t>
        </is>
      </c>
      <c r="AF858" s="2"/>
      <c r="AG858" t="inlineStr">
        <is>
          <t>NzQyNTk5MTgyNzQ4MTg3MDM0MTpFQTk5RTVGMy1BMDYzLTRFMkUtOEJBMS01QzZGRkREMzUzODYtMTo5OTk0MGZmNWY0YzNiMjcwMGU5MGY4Yjc4NWU4OGRlMTox</t>
        </is>
      </c>
      <c r="AH858"/>
      <c r="AI858"/>
      <c r="AJ858"/>
      <c r="AK858"/>
    </row>
    <row r="859" ht="25.5" customHeight="1">
      <c r="A859" s="2" t="str">
        <f>=HYPERLINK("https://applink.larksuite.com/client/mini_program/open?appId=cli_9c7cc8a9a9edd105&amp;mode=appCenter&amp;path_pc=pc/pages/requested/index?instanceId=7524616037292179495&amp;source=bitable&amp;path=pages/detail/index?instanceId=7524616037292179495&amp;source=bitable", "202507080045")</f>
        <v>202507080045</v>
      </c>
      <c r="B859" t="inlineStr">
        <is>
          <t>Approved</t>
        </is>
      </c>
      <c r="C859" t="inlineStr">
        <is>
          <t>Procurement Order</t>
        </is>
      </c>
      <c r="D859" s="3">
        <v>45846.66197916667</v>
      </c>
      <c r="E859" s="3">
        <v>45867.71744212963</v>
      </c>
      <c r="F859" t="inlineStr">
        <is>
          <t>Fatima Kathleen M. FLores</t>
        </is>
      </c>
      <c r="G859" t="inlineStr">
        <is>
          <t>Procurement</t>
        </is>
      </c>
      <c r="H859"/>
      <c r="I859"/>
      <c r="J859" t="inlineStr">
        <is>
          <t>Project</t>
        </is>
      </c>
      <c r="K859" t="inlineStr">
        <is>
          <t>PDEI - Event Service</t>
        </is>
      </c>
      <c r="L859" t="inlineStr">
        <is>
          <t>MPL PH S15</t>
        </is>
      </c>
      <c r="M859" t="inlineStr">
        <is>
          <t>2024TEG-P0430</t>
        </is>
      </c>
      <c r="N859" t="inlineStr">
        <is>
          <t>JP dela Peña</t>
        </is>
      </c>
      <c r="O859" t="inlineStr">
        <is>
          <t>202502170118-Tiny-费用报销 - 副本 - 副本 - 副本-2025-02-17 18:10:22</t>
        </is>
      </c>
      <c r="P859" t="inlineStr">
        <is>
          <t>NO</t>
        </is>
      </c>
      <c r="Q859"/>
      <c r="R859" t="inlineStr">
        <is>
          <t>YES</t>
        </is>
      </c>
      <c r="S859" t="inlineStr">
        <is>
          <t>Parking Rental Fees (Playoffs: May 26 to June 1, 2025)</t>
        </is>
      </c>
      <c r="T859">
        <v>1</v>
      </c>
      <c r="U859">
        <v>34888</v>
      </c>
      <c r="V859" t="inlineStr">
        <is>
          <t>PHP</t>
        </is>
      </c>
      <c r="W859">
        <v>34888</v>
      </c>
      <c r="X859" s="2" t="str">
        <f>=HYPERLINK("https://www.larksuite.com/approval/admin/previewAttachment?key=PMg7CsJgEATgK83sM-NlbFyCRFIJpvrPLljYfrURtSW9hBBN4Oq0KBa8TcZWKJctdgvNRq459_txjl_xystmco71eT72eTPVZmiP8A0Ab3_3jgipAj_nNwAA__8", "1 attachment(s)")</f>
        <v>1 attachment(s)</v>
      </c>
      <c r="Y859"/>
      <c r="Z859"/>
      <c r="AA859"/>
      <c r="AB859"/>
      <c r="AC859"/>
      <c r="AD859" s="4"/>
      <c r="AE859"/>
      <c r="AF859" s="2"/>
      <c r="AG859" t="inlineStr">
        <is>
          <t>NzQyNTk5MTgyNzQ4MTg3MDM0MTpFQTk5RTVGMy1BMDYzLTRFMkUtOEJBMS01QzZGRkREMzUzODYtMjplMjA3YzlhYzcwYjA3MGYwZWM1MGZkMDBjMjIzZWFkYjox</t>
        </is>
      </c>
      <c r="AH859"/>
      <c r="AI859"/>
      <c r="AJ859"/>
      <c r="AK859"/>
    </row>
    <row r="860" ht="25.5" customHeight="1">
      <c r="A860" s="2" t="str">
        <f>=HYPERLINK("https://applink.larksuite.com/client/mini_program/open?appId=cli_9c7cc8a9a9edd105&amp;mode=appCenter&amp;path_pc=pc/pages/requested/index?instanceId=7529757984763740199&amp;source=bitable&amp;path=pages/detail/index?instanceId=7529757984763740199&amp;source=bitable", "202507220020")</f>
        <v>202507220020</v>
      </c>
      <c r="B860" t="inlineStr">
        <is>
          <t>Rejected</t>
        </is>
      </c>
      <c r="C860" t="inlineStr">
        <is>
          <t>Procurement Order</t>
        </is>
      </c>
      <c r="D860" s="3">
        <v>45860.51849537037</v>
      </c>
      <c r="E860" s="3">
        <v>45860.68858796296</v>
      </c>
      <c r="F860" t="inlineStr">
        <is>
          <t>Fatima Kathleen M. FLores</t>
        </is>
      </c>
      <c r="G860" t="inlineStr">
        <is>
          <t>Procurement</t>
        </is>
      </c>
      <c r="H860"/>
      <c r="I860"/>
      <c r="J860" t="inlineStr">
        <is>
          <t>GAE</t>
        </is>
      </c>
      <c r="K860"/>
      <c r="L860"/>
      <c r="M860"/>
      <c r="N860"/>
      <c r="O860" t="inlineStr">
        <is>
          <t>202507140052-Bernadeth Español Villaflor-费用报销 - 副本 - 副本 - 副本-2025-07-14 06:27:53</t>
        </is>
      </c>
      <c r="P860"/>
      <c r="Q860" t="inlineStr">
        <is>
          <t>GG Company</t>
        </is>
      </c>
      <c r="R860"/>
      <c r="S860" t="inlineStr">
        <is>
          <t>Outsourced Broadcast Manpower</t>
        </is>
      </c>
      <c r="T860">
        <v>1</v>
      </c>
      <c r="U860">
        <v>10000</v>
      </c>
      <c r="V860" t="inlineStr">
        <is>
          <t>PHP</t>
        </is>
      </c>
      <c r="W860">
        <v>10000</v>
      </c>
      <c r="X860" s="2" t="str">
        <f>=HYPERLINK("https://www.larksuite.com/approval/admin/previewAttachment?key=PMgxCgIwDAXQK_00SX--l3GxFEUFQRQccnbBwfXNMsxK8ymEbAjWzCEmVcHpDJjUo40UaET2uu_j67NvWeX22Ffy0u_zaa-npTgG6BFeAOzwd2dESDPwc3wDAAD__w", "2 attachment(s)")</f>
        <v>2 attachment(s)</v>
      </c>
      <c r="Y860" t="inlineStr">
        <is>
          <t>Bank Transfer</t>
        </is>
      </c>
      <c r="Z860" t="inlineStr">
        <is>
          <t>Alec Roi Dolorso</t>
        </is>
      </c>
      <c r="AA860" t="inlineStr">
        <is>
          <t>0000049934563</t>
        </is>
      </c>
      <c r="AB860" t="inlineStr">
        <is>
          <t>Security Bank</t>
        </is>
      </c>
      <c r="AC860" t="inlineStr">
        <is>
          <t>22B Virginia Drive. Rodriguez Subd. Baesa Quezon City</t>
        </is>
      </c>
      <c r="AD860" s="4">
        <v>45854</v>
      </c>
      <c r="AE860" t="inlineStr">
        <is>
          <t>100% Full Payment - Aug. 8, 2025</t>
        </is>
      </c>
      <c r="AF860" s="2"/>
      <c r="AG860" t="inlineStr">
        <is>
          <t>NzQyNTk5MTgyNzQ4MTg3MDM0MTo0MTlBOEREQS0xNDdGLTQ0MTctQTc1Qi0yQzZBOURGQUI3NEEtMTozYjM5MjE2Y2MwZDZhZTJlY2JhZTc3ZjcyNTViZDZmMTox</t>
        </is>
      </c>
      <c r="AH860" t="inlineStr">
        <is>
          <t>Alec Roi Dolorso</t>
        </is>
      </c>
      <c r="AI860"/>
      <c r="AJ860"/>
      <c r="AK860"/>
    </row>
    <row r="861" ht="25.5" customHeight="1">
      <c r="A861" s="2" t="str">
        <f>=HYPERLINK("https://applink.larksuite.com/client/mini_program/open?appId=cli_9c7cc8a9a9edd105&amp;mode=appCenter&amp;path_pc=pc/pages/requested/index?instanceId=7529756858312048679&amp;source=bitable&amp;path=pages/detail/index?instanceId=7529756858312048679&amp;source=bitable", "202507220019")</f>
        <v>202507220019</v>
      </c>
      <c r="B861" t="inlineStr">
        <is>
          <t>Approved</t>
        </is>
      </c>
      <c r="C861" t="inlineStr">
        <is>
          <t>Procurement Order</t>
        </is>
      </c>
      <c r="D861" s="3">
        <v>45860.51546296296</v>
      </c>
      <c r="E861" s="3">
        <v>45860.68885416666</v>
      </c>
      <c r="F861" t="inlineStr">
        <is>
          <t>Fatima Kathleen M. FLores</t>
        </is>
      </c>
      <c r="G861" t="inlineStr">
        <is>
          <t>Procurement</t>
        </is>
      </c>
      <c r="H861"/>
      <c r="I861"/>
      <c r="J861" t="inlineStr">
        <is>
          <t>GAE</t>
        </is>
      </c>
      <c r="K861"/>
      <c r="L861"/>
      <c r="M861"/>
      <c r="N861"/>
      <c r="O861" t="inlineStr">
        <is>
          <t>202507140038-Anteaus Villena-费用报销 - 副本 - 副本 - 副本-2025-07-14 05:54:21</t>
        </is>
      </c>
      <c r="P861"/>
      <c r="Q861" t="inlineStr">
        <is>
          <t>Game Marketing</t>
        </is>
      </c>
      <c r="R861"/>
      <c r="S861" t="inlineStr">
        <is>
          <t>Outsourced Creative Director (Solaire)</t>
        </is>
      </c>
      <c r="T861">
        <v>1</v>
      </c>
      <c r="U861">
        <v>60000</v>
      </c>
      <c r="V861" t="inlineStr">
        <is>
          <t>PHP</t>
        </is>
      </c>
      <c r="W861">
        <v>60000</v>
      </c>
      <c r="X861" s="2" t="str">
        <f>=HYPERLINK("https://www.larksuite.com/approval/admin/previewAttachment?key=PMg7CsJgEATgK80-Z8fL2CQEEQKCxO4_u2Bh-_UYesqihZS5YIvlYvXUhDlymlq-jBRoRK39PO7bNZXnc3SFv8LX57Ed-9tKdAcjMwaA3f4ezEypEz_HNwAA__8", "2 attachment(s)")</f>
        <v>2 attachment(s)</v>
      </c>
      <c r="Y861" t="inlineStr">
        <is>
          <t>Bank Transfer</t>
        </is>
      </c>
      <c r="Z861" t="inlineStr">
        <is>
          <t>Jasper Cajilig</t>
        </is>
      </c>
      <c r="AA861" t="inlineStr">
        <is>
          <t>1469190872</t>
        </is>
      </c>
      <c r="AB861" t="inlineStr">
        <is>
          <t>BPI</t>
        </is>
      </c>
      <c r="AC861" t="inlineStr">
        <is>
          <t>Balusbos, Malay, Aklan</t>
        </is>
      </c>
      <c r="AD861" s="4">
        <v>45841</v>
      </c>
      <c r="AE861" t="inlineStr">
        <is>
          <t>1st Payment - Aug. 1, 2025
2nd Payment - Aug. 15, 2025
Final Payment - Aug. 29, 2025</t>
        </is>
      </c>
      <c r="AF861" s="2"/>
      <c r="AG861" t="inlineStr">
        <is>
          <t>NzQyNTk5MTgyNzQ4MTg3MDM0MTo2NzNERTgwOS0yOTY0LTRCQzMtQTk4Ni01NEE5MzBFMEJEMzQtMTozOGJhMzczM2QzNDM3ZGMxN2RlNjQzMTcyM2I2YmI4NTox</t>
        </is>
      </c>
      <c r="AH861" t="inlineStr">
        <is>
          <t>Jasper Cajilig</t>
        </is>
      </c>
      <c r="AI861"/>
      <c r="AJ861"/>
      <c r="AK861"/>
    </row>
    <row r="862" ht="25.5" customHeight="1">
      <c r="A862" s="2" t="str">
        <f>=HYPERLINK("https://applink.larksuite.com/client/mini_program/open?appId=cli_9c7cc8a9a9edd105&amp;mode=appCenter&amp;path_pc=pc/pages/requested/index?instanceId=7529768819556892711&amp;source=bitable&amp;path=pages/detail/index?instanceId=7529768819556892711&amp;source=bitable", "202507220028")</f>
        <v>202507220028</v>
      </c>
      <c r="B862" t="inlineStr">
        <is>
          <t>Approved</t>
        </is>
      </c>
      <c r="C862" t="inlineStr">
        <is>
          <t>Procurement Order</t>
        </is>
      </c>
      <c r="D862" s="3">
        <v>45860.547685185185</v>
      </c>
      <c r="E862" s="3">
        <v>45862.67501157407</v>
      </c>
      <c r="F862" t="inlineStr">
        <is>
          <t>Fatima Kathleen M. FLores</t>
        </is>
      </c>
      <c r="G862" t="inlineStr">
        <is>
          <t>Procurement</t>
        </is>
      </c>
      <c r="H862"/>
      <c r="I862"/>
      <c r="J862" t="inlineStr">
        <is>
          <t>Project</t>
        </is>
      </c>
      <c r="K862" t="inlineStr">
        <is>
          <t>PDEI - Game Marketing</t>
        </is>
      </c>
      <c r="L862" t="inlineStr">
        <is>
          <t>Phase 2 - Wargaming Computer Shop Activation</t>
        </is>
      </c>
      <c r="M862" t="inlineStr">
        <is>
          <t>2025TEG-P0207</t>
        </is>
      </c>
      <c r="N862" t="inlineStr">
        <is>
          <t>Clifford Markus Ortiz Martinez</t>
        </is>
      </c>
      <c r="O862" t="inlineStr">
        <is>
          <t>202507150071-Clifford Markus Ortiz Martinez-费用报销 - 副本 - 副本 - 副本-2025-07-15 09:03:46</t>
        </is>
      </c>
      <c r="P862" t="inlineStr">
        <is>
          <t>YES</t>
        </is>
      </c>
      <c r="Q862"/>
      <c r="R862" t="inlineStr">
        <is>
          <t>NO</t>
        </is>
      </c>
      <c r="S862" t="inlineStr">
        <is>
          <t>Outsourced Project Manager</t>
        </is>
      </c>
      <c r="T862">
        <v>1</v>
      </c>
      <c r="U862">
        <v>22000</v>
      </c>
      <c r="V862" t="inlineStr">
        <is>
          <t>PHP</t>
        </is>
      </c>
      <c r="W862">
        <v>22000</v>
      </c>
      <c r="X862" s="2" t="str">
        <f>=HYPERLINK("https://www.larksuite.com/approval/admin/previewAttachment?key=PMg9igJBFATgK1W9fn-1l9lkhkZ0BEEcTPrsgoHpl01kB0cKLprAVWGq7KYismVFLlusEoqFWPt9_j-u8_Y6tj0O8T3PdV62uT8ZKjPUcB8NgH8_H-XuUjq-jk8AAAD__w", "2 attachment(s)")</f>
        <v>2 attachment(s)</v>
      </c>
      <c r="Y862" t="inlineStr">
        <is>
          <t>Bank Transfer</t>
        </is>
      </c>
      <c r="Z862" t="inlineStr">
        <is>
          <t>Aiza Chua</t>
        </is>
      </c>
      <c r="AA862" t="inlineStr">
        <is>
          <t>2079223533</t>
        </is>
      </c>
      <c r="AB862" t="inlineStr">
        <is>
          <t>BPI</t>
        </is>
      </c>
      <c r="AC862" t="inlineStr">
        <is>
          <t>45 Mayor Ignacio Santos Diaz Street, Cubao, Quezon City</t>
        </is>
      </c>
      <c r="AD862" s="4">
        <v>45859</v>
      </c>
      <c r="AE862" t="inlineStr">
        <is>
          <t>1st Payment - Aug. 8, 2025
Final Payment - Sept. 5, 2025</t>
        </is>
      </c>
      <c r="AF862" s="2"/>
      <c r="AG862" t="inlineStr">
        <is>
          <t>NzQyNTk5MTgyNzQ4MTg3MDM0MTpCRTlGNEE2Ny05QzY5LTQyNzctOTc1OC1DMzY3MUZBQ0Y5NzctMTpkYjc3MGMzMWYwYjdlOWViMTlkNTE3N2FkMWViN2M3MDox</t>
        </is>
      </c>
      <c r="AH862" t="inlineStr">
        <is>
          <t>Aiza Chua</t>
        </is>
      </c>
      <c r="AI862"/>
      <c r="AJ862"/>
      <c r="AK862"/>
    </row>
    <row r="863" ht="25.5" customHeight="1">
      <c r="A863" s="2" t="str">
        <f>=HYPERLINK("https://applink.larksuite.com/client/mini_program/open?appId=cli_9c7cc8a9a9edd105&amp;mode=appCenter&amp;path_pc=pc/pages/requested/index?instanceId=7529789802825203751&amp;source=bitable&amp;path=pages/detail/index?instanceId=7529789802825203751&amp;source=bitable", "202507220046")</f>
        <v>202507220046</v>
      </c>
      <c r="B863" t="inlineStr">
        <is>
          <t>Approved</t>
        </is>
      </c>
      <c r="C863" t="inlineStr">
        <is>
          <t>Procurement Order</t>
        </is>
      </c>
      <c r="D863" s="3">
        <v>45860.60423611111</v>
      </c>
      <c r="E863" s="3">
        <v>45861.61431712963</v>
      </c>
      <c r="F863" t="inlineStr">
        <is>
          <t>Fatima Kathleen M. FLores</t>
        </is>
      </c>
      <c r="G863" t="inlineStr">
        <is>
          <t>Procurement</t>
        </is>
      </c>
      <c r="H863"/>
      <c r="I863"/>
      <c r="J863" t="inlineStr">
        <is>
          <t>CAPEX</t>
        </is>
      </c>
      <c r="K863"/>
      <c r="L863"/>
      <c r="M863"/>
      <c r="N863"/>
      <c r="O863" t="inlineStr">
        <is>
          <t>202507170065-Nadine Nora-费用报销 - 副本 - 副本 - 副本-2025-07-17 07:58:00</t>
        </is>
      </c>
      <c r="P863"/>
      <c r="Q863" t="inlineStr">
        <is>
          <t>Game Marketing</t>
        </is>
      </c>
      <c r="R863"/>
      <c r="S863" t="inlineStr">
        <is>
          <t>Modular Booth Fabrication (6m x 8m) with Outpost Signage</t>
        </is>
      </c>
      <c r="T863">
        <v>1</v>
      </c>
      <c r="U863">
        <v>700000</v>
      </c>
      <c r="V863" t="inlineStr">
        <is>
          <t>PHP</t>
        </is>
      </c>
      <c r="W863">
        <v>700000</v>
      </c>
      <c r="X863" s="2" t="str">
        <f>=HYPERLINK("https://www.larksuite.com/approval/admin/previewAttachment?key=PMgxDsJADATAL-367LOXz9AkOiEEaZBC5bcjUaSdWcSs4JiCiyawM0xZKlhZGEYG25qZQjIRvb_X_eQ6uK3n8VqKL_t8bGv_MJRmyOE-CgBvl490d2k6_o5fAAAA__8", "2 attachment(s)")</f>
        <v>2 attachment(s)</v>
      </c>
      <c r="Y863" t="inlineStr">
        <is>
          <t>Bank Transfer</t>
        </is>
      </c>
      <c r="Z863" t="inlineStr">
        <is>
          <t>STAGE ONE EVENT SERVICES CORP.</t>
        </is>
      </c>
      <c r="AA863" t="inlineStr">
        <is>
          <t>0124 0800 3549</t>
        </is>
      </c>
      <c r="AB863" t="inlineStr">
        <is>
          <t>BDO</t>
        </is>
      </c>
      <c r="AC863" t="inlineStr">
        <is>
          <t>Kamagong St. cor. Ipil St. Hillcrest Village, Brgy. 173 Camarin, Caloocan</t>
        </is>
      </c>
      <c r="AD863" s="4">
        <v>45861</v>
      </c>
      <c r="AE863" t="inlineStr">
        <is>
          <t>50% Down payment upon confirmation
50% Final payment upon completion of services</t>
        </is>
      </c>
      <c r="AF863" s="2"/>
      <c r="AG863" t="inlineStr">
        <is>
          <t>NzQyNTk5MTgyNzQ4MTg3MDM0MTpFNzVEQjIxNC02OTA3LTRDNzYtOTE4Qy00ODQ5NkVDQjEyNjgtMTo4OWRkMjFkYTU4OTA3MWMyMzU3OTgxOTNmYzNmNzNmNzox</t>
        </is>
      </c>
      <c r="AH863" t="inlineStr">
        <is>
          <t>STAGE ONE EVENT SERVICES CORP.</t>
        </is>
      </c>
      <c r="AI863"/>
      <c r="AJ863"/>
      <c r="AK863"/>
    </row>
    <row r="864" ht="25.5" customHeight="1">
      <c r="A864" s="2" t="str">
        <f>=HYPERLINK("https://applink.larksuite.com/client/mini_program/open?appId=cli_9c7cc8a9a9edd105&amp;mode=appCenter&amp;path_pc=pc/pages/requested/index?instanceId=7529795550854512678&amp;source=bitable&amp;path=pages/detail/index?instanceId=7529795550854512678&amp;source=bitable", "202507220056")</f>
        <v>202507220056</v>
      </c>
      <c r="B864" t="inlineStr">
        <is>
          <t>Approved</t>
        </is>
      </c>
      <c r="C864" t="inlineStr">
        <is>
          <t>Procurement Order</t>
        </is>
      </c>
      <c r="D864" s="3">
        <v>45860.619722222225</v>
      </c>
      <c r="E864" s="3">
        <v>45860.68769675926</v>
      </c>
      <c r="F864" t="inlineStr">
        <is>
          <t>Fatima Kathleen M. FLores</t>
        </is>
      </c>
      <c r="G864" t="inlineStr">
        <is>
          <t>Procurement</t>
        </is>
      </c>
      <c r="H864"/>
      <c r="I864"/>
      <c r="J864" t="inlineStr">
        <is>
          <t>Project</t>
        </is>
      </c>
      <c r="K864" t="inlineStr">
        <is>
          <t>PDEI - Game Marketing</t>
        </is>
      </c>
      <c r="L864" t="inlineStr">
        <is>
          <t>PGDX Outpost by Mineski</t>
        </is>
      </c>
      <c r="M864" t="inlineStr">
        <is>
          <t>2025TEG-P0171</t>
        </is>
      </c>
      <c r="N864" t="inlineStr">
        <is>
          <t>Katherine Denise Lee Sy</t>
        </is>
      </c>
      <c r="O864" t="inlineStr">
        <is>
          <t>202507210043-Katherine Denise Lee Sy-费用报销 - 副本 - 副本 - 副本-2025-07-21 06:53:33</t>
        </is>
      </c>
      <c r="P864" t="inlineStr">
        <is>
          <t>NO</t>
        </is>
      </c>
      <c r="Q864"/>
      <c r="R864" t="inlineStr">
        <is>
          <t>NO</t>
        </is>
      </c>
      <c r="S864" t="inlineStr">
        <is>
          <t>TOTE BAG WITH SUBLI PRINT</t>
        </is>
      </c>
      <c r="T864">
        <v>100</v>
      </c>
      <c r="U864">
        <v>110</v>
      </c>
      <c r="V864" t="inlineStr">
        <is>
          <t>PHP</t>
        </is>
      </c>
      <c r="W864">
        <v>11000</v>
      </c>
      <c r="X864" s="2" t="str">
        <f>=HYPERLINK("https://www.larksuite.com/approval/admin/previewAttachment?key=PMgxCkJBDATQK02ymZ3Ey9i4LAoKgvi7nF2w-O2baZhJG7MQZV6wFr1UJJEMmk9le5tUkAns9drXjAMxHu_9Xc-12Mf9ttfHWHKHRsRIAHY5fSgiqmbg7_gFAAD__w", "2 attachment(s)")</f>
        <v>2 attachment(s)</v>
      </c>
      <c r="Y864" t="inlineStr">
        <is>
          <t>Bank Transfer</t>
        </is>
      </c>
      <c r="Z864" t="inlineStr">
        <is>
          <t>Charisem Magadia</t>
        </is>
      </c>
      <c r="AA864" t="inlineStr">
        <is>
          <t>1696239289</t>
        </is>
      </c>
      <c r="AB864" t="inlineStr">
        <is>
          <t>Landbank Savings</t>
        </is>
      </c>
      <c r="AC864" t="inlineStr">
        <is>
          <t>C.P. Garcia Ave., UP Diliman, QC</t>
        </is>
      </c>
      <c r="AD864" s="4">
        <v>45862</v>
      </c>
      <c r="AE864" t="inlineStr">
        <is>
          <t>50% Down payment upon confirmation
50% Final payment before delivery</t>
        </is>
      </c>
      <c r="AF864" s="2" t="str">
        <f>=HYPERLINK("https://www.larksuite.com/approval/admin/previewAttachment?key=TMg9CkIxEATgK80kO_vjZWwMQUFBEF-3ZxesXvt5Ep7i9IIVR4EdGhUlCSkTh0f2aEYUggH1eu1r2gGbj_f-ruda6uN-2-tDz-mwkhkLAC8nJ1E5ff4dvwAAAP__", "5 attachment(s)")</f>
        <v>5 attachment(s)</v>
      </c>
      <c r="AG864" t="inlineStr">
        <is>
          <t>NzQyNTk5MTgyNzQ4MTg3MDM0MTpFM0I0Q0IwMC0yMkM1LTQ1RjAtODlFMi1GQzI4MkJDNDNENjgtMTpkMDM3MTA3MjJhZDk1ODhmZWVkMjc3NWIzODVlODEwMzox</t>
        </is>
      </c>
      <c r="AH864" t="inlineStr">
        <is>
          <t>TEKUMA PRINTS ‘N THINGS</t>
        </is>
      </c>
      <c r="AI864"/>
      <c r="AJ864"/>
      <c r="AK864"/>
    </row>
    <row r="865" ht="25.5" customHeight="1">
      <c r="A865" s="2" t="str">
        <f>=HYPERLINK("https://applink.larksuite.com/client/mini_program/open?appId=cli_9c7cc8a9a9edd105&amp;mode=appCenter&amp;path_pc=pc/pages/requested/index?instanceId=7529792392027832351&amp;source=bitable&amp;path=pages/detail/index?instanceId=7529792392027832351&amp;source=bitable", "202507220050")</f>
        <v>202507220050</v>
      </c>
      <c r="B865" t="inlineStr">
        <is>
          <t>Approved</t>
        </is>
      </c>
      <c r="C865" t="inlineStr">
        <is>
          <t>Procurement Order</t>
        </is>
      </c>
      <c r="D865" s="3">
        <v>45860.61121527778</v>
      </c>
      <c r="E865" s="3">
        <v>45861.61335648148</v>
      </c>
      <c r="F865" t="inlineStr">
        <is>
          <t>Fatima Kathleen M. FLores</t>
        </is>
      </c>
      <c r="G865" t="inlineStr">
        <is>
          <t>Procurement</t>
        </is>
      </c>
      <c r="H865"/>
      <c r="I865"/>
      <c r="J865" t="inlineStr">
        <is>
          <t>GAE</t>
        </is>
      </c>
      <c r="K865"/>
      <c r="L865"/>
      <c r="M865"/>
      <c r="N865"/>
      <c r="O865" t="inlineStr">
        <is>
          <t>202507170065-Nadine Nora-费用报销 - 副本 - 副本 - 副本-2025-07-17 07:58:00</t>
        </is>
      </c>
      <c r="P865"/>
      <c r="Q865" t="inlineStr">
        <is>
          <t>Game Marketing</t>
        </is>
      </c>
      <c r="R865"/>
      <c r="S865" t="inlineStr">
        <is>
          <t>T-shirts with custom print</t>
        </is>
      </c>
      <c r="T865">
        <v>23</v>
      </c>
      <c r="U865">
        <v>250</v>
      </c>
      <c r="V865" t="inlineStr">
        <is>
          <t>PHP</t>
        </is>
      </c>
      <c r="W865">
        <v>5750</v>
      </c>
      <c r="X865" s="2"/>
      <c r="Y865" t="inlineStr">
        <is>
          <t>Bank Transfer</t>
        </is>
      </c>
      <c r="Z865" t="inlineStr">
        <is>
          <t>Charisem Magadia</t>
        </is>
      </c>
      <c r="AA865" t="inlineStr">
        <is>
          <t>1696239289</t>
        </is>
      </c>
      <c r="AB865" t="inlineStr">
        <is>
          <t>Landbank Savings</t>
        </is>
      </c>
      <c r="AC865" t="inlineStr">
        <is>
          <t>C.P. Garcia Ave., UP Diliman, QC</t>
        </is>
      </c>
      <c r="AD865" s="4">
        <v>45862</v>
      </c>
      <c r="AE865" t="inlineStr">
        <is>
          <t>50% Down payment upon confirmation
50% Final payment before delivery</t>
        </is>
      </c>
      <c r="AF865" s="2" t="str">
        <f>=HYPERLINK("https://www.larksuite.com/approval/admin/previewAttachment?key=TMi7CQJBGATglmb-547NmHgsKiiCcGKwtQtGl341iBpJLyFEE7g6TS1zGayHmyeXLXYLzUau7THPn5iI78z9fnu-pq39epnbmzW8EMoICgBPByeh4eV_xy8AAP__", "5 attachment(s)")</f>
        <v>5 attachment(s)</v>
      </c>
      <c r="AG865" t="inlineStr">
        <is>
          <t>NzQyNTk5MTgyNzQ4MTg3MDM0MTo1M0YwOTAzNy03MTJBLTRENzUtQkI2Qi1DQkI3RjJCNkYwMjMtMTo1MWI5ZWUwYjAxZjNmZjM4MDg5NTMxMmYwYjNmY2MxMTox</t>
        </is>
      </c>
      <c r="AH865" t="inlineStr">
        <is>
          <t>TEKUMA PRINTS ‘N THINGS</t>
        </is>
      </c>
      <c r="AI865"/>
      <c r="AJ865"/>
      <c r="AK865"/>
    </row>
    <row r="866" ht="25.5" customHeight="1">
      <c r="A866" s="2" t="str">
        <f>=HYPERLINK("https://applink.larksuite.com/client/mini_program/open?appId=cli_9c7cc8a9a9edd105&amp;mode=appCenter&amp;path_pc=pc/pages/requested/index?instanceId=7529792392027832351&amp;source=bitable&amp;path=pages/detail/index?instanceId=7529792392027832351&amp;source=bitable", "202507220050")</f>
        <v>202507220050</v>
      </c>
      <c r="B866" t="inlineStr">
        <is>
          <t>Approved</t>
        </is>
      </c>
      <c r="C866" t="inlineStr">
        <is>
          <t>Procurement Order</t>
        </is>
      </c>
      <c r="D866" s="3">
        <v>45860.61121527778</v>
      </c>
      <c r="E866" s="3">
        <v>45861.61335648148</v>
      </c>
      <c r="F866" t="inlineStr">
        <is>
          <t>Fatima Kathleen M. FLores</t>
        </is>
      </c>
      <c r="G866" t="inlineStr">
        <is>
          <t>Procurement</t>
        </is>
      </c>
      <c r="H866"/>
      <c r="I866"/>
      <c r="J866" t="inlineStr">
        <is>
          <t>GAE</t>
        </is>
      </c>
      <c r="K866"/>
      <c r="L866"/>
      <c r="M866"/>
      <c r="N866"/>
      <c r="O866" t="inlineStr">
        <is>
          <t>202507170065-Nadine Nora-费用报销 - 副本 - 副本 - 副本-2025-07-17 07:58:00</t>
        </is>
      </c>
      <c r="P866"/>
      <c r="Q866" t="inlineStr">
        <is>
          <t>Game Marketing</t>
        </is>
      </c>
      <c r="R866"/>
      <c r="S866" t="inlineStr">
        <is>
          <t>Cap with Print (Sample)</t>
        </is>
      </c>
      <c r="T866">
        <v>1</v>
      </c>
      <c r="U866">
        <v>250</v>
      </c>
      <c r="V866" t="inlineStr">
        <is>
          <t>PHP</t>
        </is>
      </c>
      <c r="W866">
        <v>250</v>
      </c>
      <c r="X866" s="2" t="str">
        <f>=HYPERLINK("https://www.larksuite.com/approval/admin/previewAttachment?key=PMg7CgJBEATQK1X_pqa8jInLoIIiCCsGfXbBYNM3pmHMshhCylywZrkoDzmcMzzK2ttIgUZUb491_uRCflft99vztbz362VtbyvRHYzMmADsdHgwM6WR-Lv9AgAA__8", "2 attachment(s)")</f>
        <v>2 attachment(s)</v>
      </c>
      <c r="Y866"/>
      <c r="Z866"/>
      <c r="AA866"/>
      <c r="AB866"/>
      <c r="AC866"/>
      <c r="AD866" s="4"/>
      <c r="AE866"/>
      <c r="AF866" s="2"/>
      <c r="AG866" t="inlineStr">
        <is>
          <t>NzQyNTk5MTgyNzQ4MTg3MDM0MTo1M0YwOTAzNy03MTJBLTRENzUtQkI2Qi1DQkI3RjJCNkYwMjMtMjo4OTI4YWEyY2ZiYWQwYTdiMDE0M2I3MTEwZjQxMTAwYTox</t>
        </is>
      </c>
      <c r="AH866"/>
      <c r="AI866"/>
      <c r="AJ866"/>
      <c r="AK866"/>
    </row>
    <row r="867" ht="25.5" customHeight="1">
      <c r="A867" s="2" t="str">
        <f>=HYPERLINK("https://applink.larksuite.com/client/mini_program/open?appId=cli_9c7cc8a9a9edd105&amp;mode=appCenter&amp;path_pc=pc/pages/requested/index?instanceId=7529821961074147360&amp;source=bitable&amp;path=pages/detail/index?instanceId=7529821961074147360&amp;source=bitable", "202507220074")</f>
        <v>202507220074</v>
      </c>
      <c r="B867" t="inlineStr">
        <is>
          <t>Approved</t>
        </is>
      </c>
      <c r="C867" t="inlineStr">
        <is>
          <t>Procurement Order</t>
        </is>
      </c>
      <c r="D867" s="3">
        <v>45860.6908912037</v>
      </c>
      <c r="E867" s="3">
        <v>45861.61550925926</v>
      </c>
      <c r="F867" t="inlineStr">
        <is>
          <t>Fatima Kathleen M. FLores</t>
        </is>
      </c>
      <c r="G867" t="inlineStr">
        <is>
          <t>Procurement</t>
        </is>
      </c>
      <c r="H867"/>
      <c r="I867"/>
      <c r="J867" t="inlineStr">
        <is>
          <t>GAE</t>
        </is>
      </c>
      <c r="K867"/>
      <c r="L867"/>
      <c r="M867"/>
      <c r="N867"/>
      <c r="O867" t="inlineStr">
        <is>
          <t>202507220036-Nadine Nora-费用报销 - 副本 - 副本 - 副本-2025-07-22 05:50:05</t>
        </is>
      </c>
      <c r="P867"/>
      <c r="Q867" t="inlineStr">
        <is>
          <t>Game Marketing</t>
        </is>
      </c>
      <c r="R867"/>
      <c r="S867" t="inlineStr">
        <is>
          <t>Outsourced Creative Director</t>
        </is>
      </c>
      <c r="T867">
        <v>1</v>
      </c>
      <c r="U867">
        <v>50000</v>
      </c>
      <c r="V867" t="inlineStr">
        <is>
          <t>PHP</t>
        </is>
      </c>
      <c r="W867">
        <v>50000</v>
      </c>
      <c r="X867" s="2" t="str">
        <f>=HYPERLINK("https://www.larksuite.com/approval/admin/previewAttachment?key=PMhBqgJBDATQK1WlK0nnX-ZvHAZ1cBCExk3OLrhw-2ISMZ0jCipagZ1uNY0VRIrKEWhrZhaSCe_tsf_f1vNYd5Pr9ON99rpe9u1FrzRDDmlMAPz7-UhJVSF8HZ8AAAD__w", "3 attachment(s)")</f>
        <v>3 attachment(s)</v>
      </c>
      <c r="Y867" t="inlineStr">
        <is>
          <t>Bank Transfer</t>
        </is>
      </c>
      <c r="Z867" t="inlineStr">
        <is>
          <t>Karl Kristian C. Durante</t>
        </is>
      </c>
      <c r="AA867" t="inlineStr">
        <is>
          <t>0003 3054 9030</t>
        </is>
      </c>
      <c r="AB867" t="inlineStr">
        <is>
          <t>BDO</t>
        </is>
      </c>
      <c r="AC867" t="inlineStr">
        <is>
          <t>21/23 Emerald Street, Marikit Subdivision, Concepcion Uno, Marikina City</t>
        </is>
      </c>
      <c r="AD867" s="4">
        <v>45860</v>
      </c>
      <c r="AE867" t="inlineStr">
        <is>
          <t>50% Down Payment - July 25, 2025
50% Final Payment - Aug. 29, 2025</t>
        </is>
      </c>
      <c r="AF867" s="2"/>
      <c r="AG867" t="inlineStr">
        <is>
          <t>NzQyNTk5MTgyNzQ4MTg3MDM0MToxMkVGMEI3Mi0yMEQwLTRGNDgtQjgzOC1GMTY1ODUxMjVFRDAtMTplOGY1MzA3ZjNmMTRlMWE2Y2IxYzRhZjk3MzBjYWY4Yzox</t>
        </is>
      </c>
      <c r="AH867" t="inlineStr">
        <is>
          <t>Karl Kristian C. Durante</t>
        </is>
      </c>
      <c r="AI867"/>
      <c r="AJ867"/>
      <c r="AK867"/>
    </row>
    <row r="868" ht="25.5" customHeight="1">
      <c r="A868" s="2" t="str">
        <f>=HYPERLINK("https://applink.larksuite.com/client/mini_program/open?appId=cli_9c7cc8a9a9edd105&amp;mode=appCenter&amp;path_pc=pc/pages/requested/index?instanceId=7529813522398576671&amp;source=bitable&amp;path=pages/detail/index?instanceId=7529813522398576671&amp;source=bitable", "202507220068")</f>
        <v>202507220068</v>
      </c>
      <c r="B868" t="inlineStr">
        <is>
          <t>Approved</t>
        </is>
      </c>
      <c r="C868" t="inlineStr">
        <is>
          <t>Procurement Order</t>
        </is>
      </c>
      <c r="D868" s="3">
        <v>45860.66815972222</v>
      </c>
      <c r="E868" s="3">
        <v>45861.62142361111</v>
      </c>
      <c r="F868" t="inlineStr">
        <is>
          <t>Fatima Kathleen M. FLores</t>
        </is>
      </c>
      <c r="G868" t="inlineStr">
        <is>
          <t>Procurement</t>
        </is>
      </c>
      <c r="H868"/>
      <c r="I868"/>
      <c r="J868" t="inlineStr">
        <is>
          <t>Project</t>
        </is>
      </c>
      <c r="K868" t="inlineStr">
        <is>
          <t>PDEI - Game Marketing</t>
        </is>
      </c>
      <c r="L868" t="inlineStr">
        <is>
          <t>UAAP Esports S87</t>
        </is>
      </c>
      <c r="M868" t="inlineStr">
        <is>
          <t>2025TEG-P0068</t>
        </is>
      </c>
      <c r="N868" t="inlineStr">
        <is>
          <t>Frances Angelita Arreglado</t>
        </is>
      </c>
      <c r="O868" t="inlineStr">
        <is>
          <t>202507150085-Frances Angelita Arreglado-费用报销 - 副本 - 副本 - 副本-2025-07-15 10:08:18</t>
        </is>
      </c>
      <c r="P868" t="inlineStr">
        <is>
          <t>YES</t>
        </is>
      </c>
      <c r="Q868"/>
      <c r="R868" t="inlineStr">
        <is>
          <t>NO</t>
        </is>
      </c>
      <c r="S868" t="inlineStr">
        <is>
          <t>Outsourced Staging and On ground Designer</t>
        </is>
      </c>
      <c r="T868">
        <v>1</v>
      </c>
      <c r="U868">
        <v>25000</v>
      </c>
      <c r="V868" t="inlineStr">
        <is>
          <t>PHP</t>
        </is>
      </c>
      <c r="W868">
        <v>25000</v>
      </c>
      <c r="X868" s="2" t="str">
        <f>=HYPERLINK("https://www.larksuite.com/approval/admin/previewAttachment?key=PMg9CkIxEATgK83O_kzWy9j4CApRBMEuZxcsXvvVMNRI82pEGxu2lexhnqT3SFXJNrdJDZmQ-3jOa3C9ORcf4PTX2t_7bR4fyxYJeYQPAHY53RUR3RX4O34BAAD__w", "2 attachment(s)")</f>
        <v>2 attachment(s)</v>
      </c>
      <c r="Y868" t="inlineStr">
        <is>
          <t>Bank Transfer</t>
        </is>
      </c>
      <c r="Z868" t="inlineStr">
        <is>
          <t>Ezzard Slim Eguia</t>
        </is>
      </c>
      <c r="AA868" t="inlineStr">
        <is>
          <t>6196 2357 26</t>
        </is>
      </c>
      <c r="AB868" t="inlineStr">
        <is>
          <t>BPI</t>
        </is>
      </c>
      <c r="AC868" t="inlineStr">
        <is>
          <t>34 Ambuklao St NPC Village, Pasong Tamo, QC</t>
        </is>
      </c>
      <c r="AD868" s="4">
        <v>45773</v>
      </c>
      <c r="AE868" t="inlineStr">
        <is>
          <t>1st Payment - July 25, 2025
Final Payment - Aug. 1, 2025</t>
        </is>
      </c>
      <c r="AF868" s="2"/>
      <c r="AG868" t="inlineStr">
        <is>
          <t>NzQyNTk5MTgyNzQ4MTg3MDM0MTo0Mzg3OTRERS1CQzdBLTRFQTUtODg5Qi0wNDlGNjU0Mjc5RUQtMToyZmUyNWUwNDg1ODJjZTM4NDIzZTI5N2UxNjQ2MzVmYzox</t>
        </is>
      </c>
      <c r="AH868" t="inlineStr">
        <is>
          <t>Ezzard Slim Eguia</t>
        </is>
      </c>
      <c r="AI868"/>
      <c r="AJ868"/>
      <c r="AK868"/>
    </row>
    <row r="869" ht="25.5" customHeight="1">
      <c r="A869" s="2" t="str">
        <f>=HYPERLINK("https://applink.larksuite.com/client/mini_program/open?appId=cli_9c7cc8a9a9edd105&amp;mode=appCenter&amp;path_pc=pc/pages/requested/index?instanceId=7529808681521889312&amp;source=bitable&amp;path=pages/detail/index?instanceId=7529808681521889312&amp;source=bitable", "202507220062")</f>
        <v>202507220062</v>
      </c>
      <c r="B869" t="inlineStr">
        <is>
          <t>Approved</t>
        </is>
      </c>
      <c r="C869" t="inlineStr">
        <is>
          <t>Procurement Order</t>
        </is>
      </c>
      <c r="D869" s="3">
        <v>45860.65511574074</v>
      </c>
      <c r="E869" s="3">
        <v>45861.6180787037</v>
      </c>
      <c r="F869" t="inlineStr">
        <is>
          <t>Fatima Kathleen M. FLores</t>
        </is>
      </c>
      <c r="G869" t="inlineStr">
        <is>
          <t>Procurement</t>
        </is>
      </c>
      <c r="H869"/>
      <c r="I869"/>
      <c r="J869" t="inlineStr">
        <is>
          <t>Project</t>
        </is>
      </c>
      <c r="K869" t="inlineStr">
        <is>
          <t>PDEI - Game Marketing</t>
        </is>
      </c>
      <c r="L869" t="inlineStr">
        <is>
          <t>ABI Corporate Video - AVP</t>
        </is>
      </c>
      <c r="M869" t="inlineStr">
        <is>
          <t>2025TEG-P0113</t>
        </is>
      </c>
      <c r="N869" t="inlineStr">
        <is>
          <t>Clifford Markus Ortiz Martinez</t>
        </is>
      </c>
      <c r="O869" t="inlineStr">
        <is>
          <t>202507140073-Clifford Markus Ortiz Martinez-费用报销 - 副本 - 副本 - 副本-2025-07-14 07:41:20</t>
        </is>
      </c>
      <c r="P869" t="inlineStr">
        <is>
          <t>YES</t>
        </is>
      </c>
      <c r="Q869"/>
      <c r="R869" t="inlineStr">
        <is>
          <t>NO</t>
        </is>
      </c>
      <c r="S869" t="inlineStr">
        <is>
          <t>Outsourced Drone Operator</t>
        </is>
      </c>
      <c r="T869">
        <v>1</v>
      </c>
      <c r="U869">
        <v>16700</v>
      </c>
      <c r="V869" t="inlineStr">
        <is>
          <t>PHP</t>
        </is>
      </c>
      <c r="W869">
        <v>16700</v>
      </c>
      <c r="X869" s="2" t="str">
        <f>=HYPERLINK("https://www.larksuite.com/approval/admin/previewAttachment?key=PMg7qsJgEAXgLZ0z_zzvZm5jCIIRAuJoM2sXLGw_T8LTuLygRSlwwqQS6UkTZtaijAwjCsGAzXbf_6WfR_f71nLm6zinr5d9e9AqRBBLdSUA_v18hapWueLr-AQAAP__", "2 attachment(s)")</f>
        <v>2 attachment(s)</v>
      </c>
      <c r="Y869" t="inlineStr">
        <is>
          <t>Bank Transfer</t>
        </is>
      </c>
      <c r="Z869" t="inlineStr">
        <is>
          <t>Joemar Red</t>
        </is>
      </c>
      <c r="AA869" t="inlineStr">
        <is>
          <t>3473347567095</t>
        </is>
      </c>
      <c r="AB869" t="inlineStr">
        <is>
          <t>Metrobank</t>
        </is>
      </c>
      <c r="AC869" t="inlineStr">
        <is>
          <t>190 Bignay st. Brgy Quirino 2C Quezon City</t>
        </is>
      </c>
      <c r="AD869" s="4">
        <v>45773</v>
      </c>
      <c r="AE869" t="inlineStr">
        <is>
          <t>100% Full payment - July 25, 2025</t>
        </is>
      </c>
      <c r="AF869" s="2"/>
      <c r="AG869" t="inlineStr">
        <is>
          <t>NzQyNTk5MTgyNzQ4MTg3MDM0MTo3ODQwNzg4NS1CNzg2LTREQzYtQkMxMy0yM0IwMkZCODBDNDgtMTo2MmY1NmJhYTU1ZTZjOGM3ZTlmMTA2YzhhMmRhMmY4OTox</t>
        </is>
      </c>
      <c r="AH869" t="inlineStr">
        <is>
          <t>Joemar Red</t>
        </is>
      </c>
      <c r="AI869"/>
      <c r="AJ869"/>
      <c r="AK869"/>
    </row>
    <row r="870" ht="25.5" customHeight="1">
      <c r="A870" s="2" t="str">
        <f>=HYPERLINK("https://applink.larksuite.com/client/mini_program/open?appId=cli_9c7cc8a9a9edd105&amp;mode=appCenter&amp;path_pc=pc/pages/requested/index?instanceId=7530113144333565990&amp;source=bitable&amp;path=pages/detail/index?instanceId=7530113144333565990&amp;source=bitable", "202507230028")</f>
        <v>202507230028</v>
      </c>
      <c r="B870" t="inlineStr">
        <is>
          <t>Approved</t>
        </is>
      </c>
      <c r="C870" t="inlineStr">
        <is>
          <t>Procurement Order</t>
        </is>
      </c>
      <c r="D870" s="3">
        <v>45861.47557870371</v>
      </c>
      <c r="E870" s="3">
        <v>45861.6137962963</v>
      </c>
      <c r="F870" t="inlineStr">
        <is>
          <t>Fatima Kathleen M. FLores</t>
        </is>
      </c>
      <c r="G870" t="inlineStr">
        <is>
          <t>Procurement</t>
        </is>
      </c>
      <c r="H870"/>
      <c r="I870"/>
      <c r="J870" t="inlineStr">
        <is>
          <t>CAPEX</t>
        </is>
      </c>
      <c r="K870"/>
      <c r="L870"/>
      <c r="M870"/>
      <c r="N870"/>
      <c r="O870" t="inlineStr">
        <is>
          <t>202507170065-Nadine Nora-费用报销 - 副本 - 副本 - 副本-2025-07-17 07:58:00</t>
        </is>
      </c>
      <c r="P870"/>
      <c r="Q870" t="inlineStr">
        <is>
          <t>Game Marketing</t>
        </is>
      </c>
      <c r="R870"/>
      <c r="S870" t="inlineStr">
        <is>
          <t>Boya BY-V20 Ultracompact 2.4GHz Dual Wireless Lavalier Microphone System</t>
        </is>
      </c>
      <c r="T870">
        <v>1</v>
      </c>
      <c r="U870">
        <v>2320</v>
      </c>
      <c r="V870" t="inlineStr">
        <is>
          <t>PHP</t>
        </is>
      </c>
      <c r="W870">
        <v>2320</v>
      </c>
      <c r="X870" s="2"/>
      <c r="Y870" t="inlineStr">
        <is>
          <t>Bank Transfer</t>
        </is>
      </c>
      <c r="Z870" t="inlineStr">
        <is>
          <t>O&amp;J Global Trading</t>
        </is>
      </c>
      <c r="AA870" t="inlineStr">
        <is>
          <t>00 444 802 7346</t>
        </is>
      </c>
      <c r="AB870" t="inlineStr">
        <is>
          <t>BDO</t>
        </is>
      </c>
      <c r="AC870" t="inlineStr">
        <is>
          <t>3F Annapolis Tower, 43 Annapolis St., Greenhills, San Juan City</t>
        </is>
      </c>
      <c r="AD870" s="4">
        <v>45705</v>
      </c>
      <c r="AE870" t="inlineStr">
        <is>
          <t>100% Full Payment before delivery / pick-up.</t>
        </is>
      </c>
      <c r="AF870" s="2"/>
      <c r="AG870" t="inlineStr">
        <is>
          <t>NzQyNTk5MTgyNzQ4MTg3MDM0MTowNzA0MzM1OS1BRkM1LTQyMEItODJBMi1DM0I1QzQ3OEZENzMtMTo1YjkzNWQ0ZGJjYWU2Mjc3ZGEyNTRmZjAyNTRjNzAwNTox</t>
        </is>
      </c>
      <c r="AH870" t="inlineStr">
        <is>
          <t>O&amp;J Global Trading</t>
        </is>
      </c>
      <c r="AI870"/>
      <c r="AJ870"/>
      <c r="AK870"/>
    </row>
    <row r="871" ht="25.5" customHeight="1">
      <c r="A871" s="2" t="str">
        <f>=HYPERLINK("https://applink.larksuite.com/client/mini_program/open?appId=cli_9c7cc8a9a9edd105&amp;mode=appCenter&amp;path_pc=pc/pages/requested/index?instanceId=7530113144333565990&amp;source=bitable&amp;path=pages/detail/index?instanceId=7530113144333565990&amp;source=bitable", "202507230028")</f>
        <v>202507230028</v>
      </c>
      <c r="B871" t="inlineStr">
        <is>
          <t>Approved</t>
        </is>
      </c>
      <c r="C871" t="inlineStr">
        <is>
          <t>Procurement Order</t>
        </is>
      </c>
      <c r="D871" s="3">
        <v>45861.47557870371</v>
      </c>
      <c r="E871" s="3">
        <v>45861.6137962963</v>
      </c>
      <c r="F871" t="inlineStr">
        <is>
          <t>Fatima Kathleen M. FLores</t>
        </is>
      </c>
      <c r="G871" t="inlineStr">
        <is>
          <t>Procurement</t>
        </is>
      </c>
      <c r="H871"/>
      <c r="I871"/>
      <c r="J871" t="inlineStr">
        <is>
          <t>CAPEX</t>
        </is>
      </c>
      <c r="K871"/>
      <c r="L871"/>
      <c r="M871"/>
      <c r="N871"/>
      <c r="O871" t="inlineStr">
        <is>
          <t>202507170065-Nadine Nora-费用报销 - 副本 - 副本 - 副本-2025-07-17 07:58:00</t>
        </is>
      </c>
      <c r="P871"/>
      <c r="Q871" t="inlineStr">
        <is>
          <t>Game Marketing</t>
        </is>
      </c>
      <c r="R871"/>
      <c r="S871" t="inlineStr">
        <is>
          <t>Ulanzi VL120 RGB 2500K-9000K Mini LED Video Light</t>
        </is>
      </c>
      <c r="T871">
        <v>1</v>
      </c>
      <c r="U871">
        <v>1460</v>
      </c>
      <c r="V871" t="inlineStr">
        <is>
          <t>PHP</t>
        </is>
      </c>
      <c r="W871">
        <v>1460</v>
      </c>
      <c r="X871" s="2" t="str">
        <f>=HYPERLINK("https://www.larksuite.com/approval/admin/previewAttachment?key=PMg7CgJBEATQK1VN9Wfay5jssoiskShO0GcXDExfTCKmU1Gw4iiw0wVSNJPk4VXo0cwsJBPe--O4vtZxzhNrrE2fu_f7th37k145BlJmmgB4-bvSzKrC8HN-AwAA__8", "2 attachment(s)")</f>
        <v>2 attachment(s)</v>
      </c>
      <c r="Y871"/>
      <c r="Z871"/>
      <c r="AA871"/>
      <c r="AB871"/>
      <c r="AC871"/>
      <c r="AD871" s="4"/>
      <c r="AE871"/>
      <c r="AF871" s="2"/>
      <c r="AG871" t="inlineStr">
        <is>
          <t>NzQyNTk5MTgyNzQ4MTg3MDM0MTowNzA0MzM1OS1BRkM1LTQyMEItODJBMi1DM0I1QzQ3OEZENzMtMjo2NzRmMjcwM2RkMmIwMWM3MjM1NDZmMzQxZjRhZjRmZjox</t>
        </is>
      </c>
      <c r="AH871"/>
      <c r="AI871"/>
      <c r="AJ871"/>
      <c r="AK871"/>
    </row>
    <row r="872" ht="25.5" customHeight="1">
      <c r="A872" s="2" t="str">
        <f>=HYPERLINK("https://applink.larksuite.com/client/mini_program/open?appId=cli_9c7cc8a9a9edd105&amp;mode=appCenter&amp;path_pc=pc/pages/requested/index?instanceId=7530116306448760871&amp;source=bitable&amp;path=pages/detail/index?instanceId=7530116306448760871&amp;source=bitable", "202507230031")</f>
        <v>202507230031</v>
      </c>
      <c r="B872" t="inlineStr">
        <is>
          <t>Approved</t>
        </is>
      </c>
      <c r="C872" t="inlineStr">
        <is>
          <t>Procurement Order</t>
        </is>
      </c>
      <c r="D872" s="3">
        <v>45861.48409722222</v>
      </c>
      <c r="E872" s="3">
        <v>45869.797800925924</v>
      </c>
      <c r="F872" t="inlineStr">
        <is>
          <t>Fatima Kathleen M. FLores</t>
        </is>
      </c>
      <c r="G872" t="inlineStr">
        <is>
          <t>Procurement</t>
        </is>
      </c>
      <c r="H872"/>
      <c r="I872"/>
      <c r="J872" t="inlineStr">
        <is>
          <t>GAE</t>
        </is>
      </c>
      <c r="K872"/>
      <c r="L872"/>
      <c r="M872"/>
      <c r="N872"/>
      <c r="O872" t="inlineStr">
        <is>
          <t>202506090035-Jean Pauline Dela Luna Dela Luna-费用报销 - 副本 - 副本 - 副本-2025-06-09 05:40:37</t>
        </is>
      </c>
      <c r="P872"/>
      <c r="Q872" t="inlineStr">
        <is>
          <t>Mineski PH</t>
        </is>
      </c>
      <c r="R872"/>
      <c r="S872" t="inlineStr">
        <is>
          <t>Business Card (Material: C2S200 (300Gsm) / Lamination: Matte / Print: Two Sides)</t>
        </is>
      </c>
      <c r="T872">
        <v>17</v>
      </c>
      <c r="U872">
        <v>537.6</v>
      </c>
      <c r="V872" t="inlineStr">
        <is>
          <t>PHP</t>
        </is>
      </c>
      <c r="W872">
        <v>9139.2</v>
      </c>
      <c r="X872" s="2"/>
      <c r="Y872" t="inlineStr">
        <is>
          <t>Bank Transfer</t>
        </is>
      </c>
      <c r="Z872" t="inlineStr">
        <is>
          <t>Bescost Digital Marketing Services Inc.</t>
        </is>
      </c>
      <c r="AA872" t="inlineStr">
        <is>
          <t>00000-5674-8951</t>
        </is>
      </c>
      <c r="AB872" t="inlineStr">
        <is>
          <t>Security Bank</t>
        </is>
      </c>
      <c r="AC872" t="inlineStr">
        <is>
          <t>5105-A Sulok St., Brgy. Ugong, Valenzuela City</t>
        </is>
      </c>
      <c r="AD872" s="4">
        <v>45810</v>
      </c>
      <c r="AE872" t="inlineStr">
        <is>
          <t>100% Full Payment - 15 days upon complete delivery</t>
        </is>
      </c>
      <c r="AF872" s="2"/>
      <c r="AG872" t="inlineStr">
        <is>
          <t>NzQyNTk5MTgyNzQ4MTg3MDM0MTozRUU2OEEzMy05ODRFLTRFRDUtOUVGMC00QzkzQUIwMzU5OTItMToyMDk1OWE5OTQxNjQ1MGQ4OTA2ZDZkYjlhYjQ5NzU5YTox</t>
        </is>
      </c>
      <c r="AH872" t="inlineStr">
        <is>
          <t>Bescost Digital Marketing Services Inc.</t>
        </is>
      </c>
      <c r="AI872"/>
      <c r="AJ872"/>
      <c r="AK872"/>
    </row>
    <row r="873" ht="25.5" customHeight="1">
      <c r="A873" s="2" t="str">
        <f>=HYPERLINK("https://applink.larksuite.com/client/mini_program/open?appId=cli_9c7cc8a9a9edd105&amp;mode=appCenter&amp;path_pc=pc/pages/requested/index?instanceId=7530116306448760871&amp;source=bitable&amp;path=pages/detail/index?instanceId=7530116306448760871&amp;source=bitable", "202507230031")</f>
        <v>202507230031</v>
      </c>
      <c r="B873" t="inlineStr">
        <is>
          <t>Approved</t>
        </is>
      </c>
      <c r="C873" t="inlineStr">
        <is>
          <t>Procurement Order</t>
        </is>
      </c>
      <c r="D873" s="3">
        <v>45861.48409722222</v>
      </c>
      <c r="E873" s="3">
        <v>45869.797800925924</v>
      </c>
      <c r="F873" t="inlineStr">
        <is>
          <t>Fatima Kathleen M. FLores</t>
        </is>
      </c>
      <c r="G873" t="inlineStr">
        <is>
          <t>Procurement</t>
        </is>
      </c>
      <c r="H873"/>
      <c r="I873"/>
      <c r="J873" t="inlineStr">
        <is>
          <t>GAE</t>
        </is>
      </c>
      <c r="K873"/>
      <c r="L873"/>
      <c r="M873"/>
      <c r="N873"/>
      <c r="O873" t="inlineStr">
        <is>
          <t>202506090035-Jean Pauline Dela Luna Dela Luna-费用报销 - 副本 - 副本 - 副本-2025-06-09 05:40:37</t>
        </is>
      </c>
      <c r="P873"/>
      <c r="Q873" t="inlineStr">
        <is>
          <t>Mineski PH</t>
        </is>
      </c>
      <c r="R873"/>
      <c r="S873" t="inlineStr">
        <is>
          <t>Rush Fee</t>
        </is>
      </c>
      <c r="T873">
        <v>1</v>
      </c>
      <c r="U873">
        <v>913.92</v>
      </c>
      <c r="V873" t="inlineStr">
        <is>
          <t>PHP</t>
        </is>
      </c>
      <c r="W873">
        <v>913.92</v>
      </c>
      <c r="X873" s="2" t="str">
        <f>=HYPERLINK("https://www.larksuite.com/approval/admin/previewAttachment?key=PMgxCsMwDAXQK_1vyfpWL9MlwZRCppIEDzp7oUPXF4OI0WmR8GRLsNQNZBjCfSgwxGpFKSEKvfZjPtc1j_O-_Vy2veeq67XN_cOeag0ydxsA-Pi7yd0zw_FzfgMAAP__", "2 attachment(s)")</f>
        <v>2 attachment(s)</v>
      </c>
      <c r="Y873"/>
      <c r="Z873"/>
      <c r="AA873"/>
      <c r="AB873"/>
      <c r="AC873"/>
      <c r="AD873" s="4"/>
      <c r="AE873"/>
      <c r="AF873" s="2"/>
      <c r="AG873" t="inlineStr">
        <is>
          <t>NzQyNTk5MTgyNzQ4MTg3MDM0MTozRUU2OEEzMy05ODRFLTRFRDUtOUVGMC00QzkzQUIwMzU5OTItMjozZmY0ODk3ZWI5NzQ2ZWY5ODJhOTM2ZTY5ZGZjNjQzOTox</t>
        </is>
      </c>
      <c r="AH873"/>
      <c r="AI873"/>
      <c r="AJ873"/>
      <c r="AK873"/>
    </row>
    <row r="874" ht="25.5" customHeight="1">
      <c r="A874" s="2" t="str">
        <f>=HYPERLINK("https://applink.larksuite.com/client/mini_program/open?appId=cli_9c7cc8a9a9edd105&amp;mode=appCenter&amp;path_pc=pc/pages/requested/index?instanceId=7530219741848272927&amp;source=bitable&amp;path=pages/detail/index?instanceId=7530219741848272927&amp;source=bitable", "202507230086")</f>
        <v>202507230086</v>
      </c>
      <c r="B874" t="inlineStr">
        <is>
          <t>Approved</t>
        </is>
      </c>
      <c r="C874" t="inlineStr">
        <is>
          <t>Procurement Order</t>
        </is>
      </c>
      <c r="D874" s="3">
        <v>45861.76283564815</v>
      </c>
      <c r="E874" s="3">
        <v>45861.77543981482</v>
      </c>
      <c r="F874" t="inlineStr">
        <is>
          <t>Fatima Kathleen M. FLores</t>
        </is>
      </c>
      <c r="G874" t="inlineStr">
        <is>
          <t>Procurement</t>
        </is>
      </c>
      <c r="H874"/>
      <c r="I874"/>
      <c r="J874" t="inlineStr">
        <is>
          <t>Project</t>
        </is>
      </c>
      <c r="K874" t="inlineStr">
        <is>
          <t>PDEI - Game Marketing</t>
        </is>
      </c>
      <c r="L874" t="inlineStr">
        <is>
          <t>Met Park Community Run (Federal Land)</t>
        </is>
      </c>
      <c r="M874" t="inlineStr">
        <is>
          <t>2025TEG-P0204</t>
        </is>
      </c>
      <c r="N874" t="inlineStr">
        <is>
          <t>Maura Aurel Atilano Yap</t>
        </is>
      </c>
      <c r="O874" t="inlineStr">
        <is>
          <t>202507220066-Maura Aurel Atilano Yap-费用报销 - 副本 - 副本 - 副本-2025-07-22 07:53:41</t>
        </is>
      </c>
      <c r="P874" t="inlineStr">
        <is>
          <t>NO</t>
        </is>
      </c>
      <c r="Q874"/>
      <c r="R874" t="inlineStr">
        <is>
          <t>NO</t>
        </is>
      </c>
      <c r="S874" t="inlineStr">
        <is>
          <t>TOTE BAG WITH SUBLI PRINT</t>
        </is>
      </c>
      <c r="T874">
        <v>300</v>
      </c>
      <c r="U874">
        <v>100</v>
      </c>
      <c r="V874" t="inlineStr">
        <is>
          <t>PHP</t>
        </is>
      </c>
      <c r="W874">
        <v>30000</v>
      </c>
      <c r="X874" s="2" t="str">
        <f>=HYPERLINK("https://www.larksuite.com/approval/admin/previewAttachment?key=PMgxCkJBDATQK02yyU7Gy9i4fCwUPgjKFjm7YGH7ZhlmpY0phMwFa-aAmxhWUU6Xs72NFGhE9noe10curJ2xXZ86z37fb8d6WYru4IgYBcAufx-MCGkGfo5vAAAA__8", "2 attachment(s)")</f>
        <v>2 attachment(s)</v>
      </c>
      <c r="Y874" t="inlineStr">
        <is>
          <t>Bank Transfer</t>
        </is>
      </c>
      <c r="Z874" t="inlineStr">
        <is>
          <t>Charisem Magadia</t>
        </is>
      </c>
      <c r="AA874" t="inlineStr">
        <is>
          <t>1696239289</t>
        </is>
      </c>
      <c r="AB874" t="inlineStr">
        <is>
          <t>Landbank Savings</t>
        </is>
      </c>
      <c r="AC874" t="inlineStr">
        <is>
          <t>C.P. Garcia Ave., UP Diliman, QC</t>
        </is>
      </c>
      <c r="AD874" s="4">
        <v>45862</v>
      </c>
      <c r="AE874" t="inlineStr">
        <is>
          <t>50% Down payment upon confirmation
50% Final payment before delivery</t>
        </is>
      </c>
      <c r="AF874" s="2" t="str">
        <f>=HYPERLINK("https://www.larksuite.com/approval/admin/previewAttachment?key=TMg9CgIxFATgK828vL_xMjaGxUJhQVBS5OyCle2XTWQHRwoumsBdMWBUOdvbymS1bbNKKBZiz-dxfcTEXOHL9Onz3O_77ZgvZo-EK9wpALz8OQn1yPFzfAMAAP__", "5 attachment(s)")</f>
        <v>5 attachment(s)</v>
      </c>
      <c r="AG874" t="inlineStr">
        <is>
          <t>NzQyNTk5MTgyNzQ4MTg3MDM0MTo0N0Q5RDgwMy0yMUE1LTQzNkYtQTA0OC1ERDM4NzRFOTE0MzYtMTo4YTYxMjRlNDYwMmQ0NWNjZDUxNGZjYzcyNTJjYTdjZTox</t>
        </is>
      </c>
      <c r="AH874" t="inlineStr">
        <is>
          <t>TEKUMA PRINTS ‘N THINGS</t>
        </is>
      </c>
      <c r="AI874"/>
      <c r="AJ874"/>
      <c r="AK874"/>
    </row>
    <row r="875" ht="25.5" customHeight="1">
      <c r="A875" s="2" t="str">
        <f>=HYPERLINK("https://applink.larksuite.com/client/mini_program/open?appId=cli_9c7cc8a9a9edd105&amp;mode=appCenter&amp;path_pc=pc/pages/requested/index?instanceId=7530236347463565351&amp;source=bitable&amp;path=pages/detail/index?instanceId=7530236347463565351&amp;source=bitable", "202507230091")</f>
        <v>202507230091</v>
      </c>
      <c r="B875" t="inlineStr">
        <is>
          <t>Approved</t>
        </is>
      </c>
      <c r="C875" t="inlineStr">
        <is>
          <t>Procurement Order</t>
        </is>
      </c>
      <c r="D875" s="3">
        <v>45861.80758101852</v>
      </c>
      <c r="E875" s="3">
        <v>45862.44849537037</v>
      </c>
      <c r="F875" t="inlineStr">
        <is>
          <t>Fatima Kathleen M. FLores</t>
        </is>
      </c>
      <c r="G875" t="inlineStr">
        <is>
          <t>Procurement</t>
        </is>
      </c>
      <c r="H875"/>
      <c r="I875"/>
      <c r="J875" t="inlineStr">
        <is>
          <t>Project</t>
        </is>
      </c>
      <c r="K875" t="inlineStr">
        <is>
          <t>PDEI - Game Marketing</t>
        </is>
      </c>
      <c r="L875" t="inlineStr">
        <is>
          <t>Met Park Community Run (Federal Land)</t>
        </is>
      </c>
      <c r="M875" t="inlineStr">
        <is>
          <t>2025TEG-P0204</t>
        </is>
      </c>
      <c r="N875" t="inlineStr">
        <is>
          <t>Maura Aurel Atilano Yap</t>
        </is>
      </c>
      <c r="O875" t="inlineStr">
        <is>
          <t>202507220123-Maura Aurel Atilano Yap-费用报销 - 副本 - 副本 - 副本-2025-07-22 12:28:02</t>
        </is>
      </c>
      <c r="P875" t="inlineStr">
        <is>
          <t>NO</t>
        </is>
      </c>
      <c r="Q875"/>
      <c r="R875" t="inlineStr">
        <is>
          <t>NO</t>
        </is>
      </c>
      <c r="S875" t="inlineStr">
        <is>
          <t>Rental of 6ft Lifetime Tables (2 days)</t>
        </is>
      </c>
      <c r="T875">
        <v>10</v>
      </c>
      <c r="U875">
        <v>500</v>
      </c>
      <c r="V875" t="inlineStr">
        <is>
          <t>PHP</t>
        </is>
      </c>
      <c r="W875">
        <v>5000</v>
      </c>
      <c r="X875" s="2"/>
      <c r="Y875" t="inlineStr">
        <is>
          <t>Bank Transfer</t>
        </is>
      </c>
      <c r="Z875" t="inlineStr">
        <is>
          <t>SPE Events Management And Services Party Needs Rental</t>
        </is>
      </c>
      <c r="AA875" t="inlineStr">
        <is>
          <t>141102017588</t>
        </is>
      </c>
      <c r="AB875" t="inlineStr">
        <is>
          <t>China Bank Corporation</t>
        </is>
      </c>
      <c r="AC875" t="inlineStr">
        <is>
          <t>Quezon City</t>
        </is>
      </c>
      <c r="AD875" s="4">
        <v>45819</v>
      </c>
      <c r="AE875" t="inlineStr">
        <is>
          <t>100% Full Payment upon completion of services</t>
        </is>
      </c>
      <c r="AF875" s="2"/>
      <c r="AG875" t="inlineStr">
        <is>
          <t>NzQyNTk5MTgyNzQ4MTg3MDM0MTpDQzM5QzUwNS04ODlFLTQ2QUUtQTNGRi1COUQ5NEQzMkUzNTktMTowNTM4ZGRjMzZiNzE0NGYyOThkZGY3ODFmMzlmMDc5Nzox</t>
        </is>
      </c>
      <c r="AH875" t="inlineStr">
        <is>
          <t>SPE Events Management And Services Party Needs Rental</t>
        </is>
      </c>
      <c r="AI875"/>
      <c r="AJ875"/>
      <c r="AK875"/>
    </row>
    <row r="876" ht="25.5" customHeight="1">
      <c r="A876" s="2" t="str">
        <f>=HYPERLINK("https://applink.larksuite.com/client/mini_program/open?appId=cli_9c7cc8a9a9edd105&amp;mode=appCenter&amp;path_pc=pc/pages/requested/index?instanceId=7530236347463565351&amp;source=bitable&amp;path=pages/detail/index?instanceId=7530236347463565351&amp;source=bitable", "202507230091")</f>
        <v>202507230091</v>
      </c>
      <c r="B876" t="inlineStr">
        <is>
          <t>Approved</t>
        </is>
      </c>
      <c r="C876" t="inlineStr">
        <is>
          <t>Procurement Order</t>
        </is>
      </c>
      <c r="D876" s="3">
        <v>45861.80758101852</v>
      </c>
      <c r="E876" s="3">
        <v>45862.44849537037</v>
      </c>
      <c r="F876" t="inlineStr">
        <is>
          <t>Fatima Kathleen M. FLores</t>
        </is>
      </c>
      <c r="G876" t="inlineStr">
        <is>
          <t>Procurement</t>
        </is>
      </c>
      <c r="H876"/>
      <c r="I876"/>
      <c r="J876" t="inlineStr">
        <is>
          <t>Project</t>
        </is>
      </c>
      <c r="K876" t="inlineStr">
        <is>
          <t>PDEI - Game Marketing</t>
        </is>
      </c>
      <c r="L876" t="inlineStr">
        <is>
          <t>Met Park Community Run (Federal Land)</t>
        </is>
      </c>
      <c r="M876" t="inlineStr">
        <is>
          <t>2025TEG-P0204</t>
        </is>
      </c>
      <c r="N876" t="inlineStr">
        <is>
          <t>Maura Aurel Atilano Yap</t>
        </is>
      </c>
      <c r="O876" t="inlineStr">
        <is>
          <t>202507220123-Maura Aurel Atilano Yap-费用报销 - 副本 - 副本 - 副本-2025-07-22 12:28:02</t>
        </is>
      </c>
      <c r="P876" t="inlineStr">
        <is>
          <t>NO</t>
        </is>
      </c>
      <c r="Q876"/>
      <c r="R876" t="inlineStr">
        <is>
          <t>NO</t>
        </is>
      </c>
      <c r="S876" t="inlineStr">
        <is>
          <t>Rental of Monoblock Chairs (2 days)</t>
        </is>
      </c>
      <c r="T876">
        <v>20</v>
      </c>
      <c r="U876">
        <v>30</v>
      </c>
      <c r="V876" t="inlineStr">
        <is>
          <t>PHP</t>
        </is>
      </c>
      <c r="W876">
        <v>600</v>
      </c>
      <c r="X876" s="2"/>
      <c r="Y876"/>
      <c r="Z876"/>
      <c r="AA876"/>
      <c r="AB876"/>
      <c r="AC876"/>
      <c r="AD876" s="4"/>
      <c r="AE876"/>
      <c r="AF876" s="2"/>
      <c r="AG876" t="inlineStr">
        <is>
          <t>NzQyNTk5MTgyNzQ4MTg3MDM0MTpDQzM5QzUwNS04ODlFLTQ2QUUtQTNGRi1COUQ5NEQzMkUzNTktMjo0NTBlNTRiOTkzMTcyODQwNDg5YmNhZTI3MzRhMGMyZTox</t>
        </is>
      </c>
      <c r="AH876"/>
      <c r="AI876"/>
      <c r="AJ876"/>
      <c r="AK876"/>
    </row>
    <row r="877" ht="25.5" customHeight="1">
      <c r="A877" s="2" t="str">
        <f>=HYPERLINK("https://applink.larksuite.com/client/mini_program/open?appId=cli_9c7cc8a9a9edd105&amp;mode=appCenter&amp;path_pc=pc/pages/requested/index?instanceId=7530236347463565351&amp;source=bitable&amp;path=pages/detail/index?instanceId=7530236347463565351&amp;source=bitable", "202507230091")</f>
        <v>202507230091</v>
      </c>
      <c r="B877" t="inlineStr">
        <is>
          <t>Approved</t>
        </is>
      </c>
      <c r="C877" t="inlineStr">
        <is>
          <t>Procurement Order</t>
        </is>
      </c>
      <c r="D877" s="3">
        <v>45861.80758101852</v>
      </c>
      <c r="E877" s="3">
        <v>45862.44849537037</v>
      </c>
      <c r="F877" t="inlineStr">
        <is>
          <t>Fatima Kathleen M. FLores</t>
        </is>
      </c>
      <c r="G877" t="inlineStr">
        <is>
          <t>Procurement</t>
        </is>
      </c>
      <c r="H877"/>
      <c r="I877"/>
      <c r="J877" t="inlineStr">
        <is>
          <t>Project</t>
        </is>
      </c>
      <c r="K877" t="inlineStr">
        <is>
          <t>PDEI - Game Marketing</t>
        </is>
      </c>
      <c r="L877" t="inlineStr">
        <is>
          <t>Met Park Community Run (Federal Land)</t>
        </is>
      </c>
      <c r="M877" t="inlineStr">
        <is>
          <t>2025TEG-P0204</t>
        </is>
      </c>
      <c r="N877" t="inlineStr">
        <is>
          <t>Maura Aurel Atilano Yap</t>
        </is>
      </c>
      <c r="O877" t="inlineStr">
        <is>
          <t>202507220123-Maura Aurel Atilano Yap-费用报销 - 副本 - 副本 - 副本-2025-07-22 12:28:02</t>
        </is>
      </c>
      <c r="P877" t="inlineStr">
        <is>
          <t>NO</t>
        </is>
      </c>
      <c r="Q877"/>
      <c r="R877" t="inlineStr">
        <is>
          <t>NO</t>
        </is>
      </c>
      <c r="S877" t="inlineStr">
        <is>
          <t>Delivery Fee</t>
        </is>
      </c>
      <c r="T877">
        <v>1</v>
      </c>
      <c r="U877">
        <v>2000</v>
      </c>
      <c r="V877" t="inlineStr">
        <is>
          <t>PHP</t>
        </is>
      </c>
      <c r="W877">
        <v>2000</v>
      </c>
      <c r="X877" s="2" t="str">
        <f>=HYPERLINK("https://www.larksuite.com/approval/admin/previewAttachment?key=PMhNCsJADAXgK73k5WfiZdxYiiKVgjCzytkFF91-MQQxXBgFK9GCdDqhDFpa0MPp0tqSWUhJeG_Hfn_N812rTswFHp-ez8e-fcUrVZE04wAgt8uZZlYVhr_rLwAA__8", "2 attachment(s)")</f>
        <v>2 attachment(s)</v>
      </c>
      <c r="Y877"/>
      <c r="Z877"/>
      <c r="AA877"/>
      <c r="AB877"/>
      <c r="AC877"/>
      <c r="AD877" s="4"/>
      <c r="AE877"/>
      <c r="AF877" s="2"/>
      <c r="AG877" t="inlineStr">
        <is>
          <t>NzQyNTk5MTgyNzQ4MTg3MDM0MTpDQzM5QzUwNS04ODlFLTQ2QUUtQTNGRi1COUQ5NEQzMkUzNTktMzphYWNlOGUyZjk1NzkwYjkyZmJjYmMwOGM1YjE1NDMwMjox</t>
        </is>
      </c>
      <c r="AH877"/>
      <c r="AI877"/>
      <c r="AJ877"/>
      <c r="AK877"/>
    </row>
    <row r="878" ht="25.5" customHeight="1">
      <c r="A878" s="2" t="str">
        <f>=HYPERLINK("https://applink.larksuite.com/client/mini_program/open?appId=cli_9c7cc8a9a9edd105&amp;mode=appCenter&amp;path_pc=pc/pages/requested/index?instanceId=7526827556177854495&amp;source=bitable&amp;path=pages/detail/index?instanceId=7526827556177854495&amp;source=bitable", "202507140066")</f>
        <v>202507140066</v>
      </c>
      <c r="B878" t="inlineStr">
        <is>
          <t>Approved</t>
        </is>
      </c>
      <c r="C878" t="inlineStr">
        <is>
          <t>Procurement Order</t>
        </is>
      </c>
      <c r="D878" s="3">
        <v>45852.62157407407</v>
      </c>
      <c r="E878" s="3">
        <v>45867.72515046296</v>
      </c>
      <c r="F878" t="inlineStr">
        <is>
          <t>Fatima Kathleen M. FLores</t>
        </is>
      </c>
      <c r="G878" t="inlineStr">
        <is>
          <t>Procurement</t>
        </is>
      </c>
      <c r="H878"/>
      <c r="I878"/>
      <c r="J878" t="inlineStr">
        <is>
          <t>Project</t>
        </is>
      </c>
      <c r="K878" t="inlineStr">
        <is>
          <t>PDEI - Event Service</t>
        </is>
      </c>
      <c r="L878" t="inlineStr">
        <is>
          <t>HOK Invitational S3</t>
        </is>
      </c>
      <c r="M878" t="inlineStr">
        <is>
          <t>2025TEG-P0027</t>
        </is>
      </c>
      <c r="N878" t="inlineStr">
        <is>
          <t>Duane Aaron Baret Cadangan</t>
        </is>
      </c>
      <c r="O878" t="inlineStr">
        <is>
          <t>202502100015-Duane Aaron Baret Cadangan-费用报销 - 副本 - 副本 - 副本-2025-02-10 01:43:01</t>
        </is>
      </c>
      <c r="P878" t="inlineStr">
        <is>
          <t>NO</t>
        </is>
      </c>
      <c r="Q878"/>
      <c r="R878" t="inlineStr">
        <is>
          <t>YES</t>
        </is>
      </c>
      <c r="S878" t="inlineStr">
        <is>
          <t>Delivery Fees (Feb. 17 to Mar. 1, 2025)</t>
        </is>
      </c>
      <c r="T878">
        <v>1</v>
      </c>
      <c r="U878">
        <v>14585</v>
      </c>
      <c r="V878" t="inlineStr">
        <is>
          <t>PHP</t>
        </is>
      </c>
      <c r="W878">
        <v>14585</v>
      </c>
      <c r="X878" s="2" t="str">
        <f>=HYPERLINK("https://www.larksuite.com/approval/admin/previewAttachment?key=PMgxDsJADATAL619a6_NZ2iIIlAOGkS6ezsSBe1kGbLCRjbY5g1bCs9yRaRJFWTH8mVSQybE2p77lT4_h-vxmifrmOu83_btbdFyhwY5CoBd_j5EsjuJn-MbAAD__w", "2 attachment(s)")</f>
        <v>2 attachment(s)</v>
      </c>
      <c r="Y878" t="inlineStr">
        <is>
          <t>Bank Transfer</t>
        </is>
      </c>
      <c r="Z878" t="inlineStr">
        <is>
          <t>GAJA KITCHEN STORIES INC</t>
        </is>
      </c>
      <c r="AA878" t="inlineStr">
        <is>
          <t>0034-3803-3688</t>
        </is>
      </c>
      <c r="AB878" t="inlineStr">
        <is>
          <t>BDO</t>
        </is>
      </c>
      <c r="AC878" t="inlineStr">
        <is>
          <t>#4 Pines Street, Mandaluyong City</t>
        </is>
      </c>
      <c r="AD878" s="4">
        <v>45705</v>
      </c>
      <c r="AE878" t="inlineStr">
        <is>
          <t>100% Full Payment</t>
        </is>
      </c>
      <c r="AF878" s="2"/>
      <c r="AG878" t="inlineStr">
        <is>
          <t>NzQyNTk5MTgyNzQ4MTg3MDM0MTo3RjU4QkM0My1BQjlFLTRFNkYtOEEyMC0yODQ4ODNFRUQ0MjgtMTphMTk1ZDliNWQ2ZWViMWU0MTdjY2JiMWU4NzQ2MTM0Mzox</t>
        </is>
      </c>
      <c r="AH878" t="inlineStr">
        <is>
          <t>GAJA KITCHEN STORIES INC</t>
        </is>
      </c>
      <c r="AI878"/>
      <c r="AJ878"/>
      <c r="AK878"/>
    </row>
    <row r="879" ht="25.5" customHeight="1">
      <c r="A879" s="2" t="str">
        <f>=HYPERLINK("https://applink.larksuite.com/client/mini_program/open?appId=cli_9c7cc8a9a9edd105&amp;mode=appCenter&amp;path_pc=pc/pages/requested/index?instanceId=7530479411213107239&amp;source=bitable&amp;path=pages/detail/index?instanceId=7530479411213107239&amp;source=bitable", "202507240015")</f>
        <v>202507240015</v>
      </c>
      <c r="B879" t="inlineStr">
        <is>
          <t>Approved</t>
        </is>
      </c>
      <c r="C879" t="inlineStr">
        <is>
          <t>Procurement Order</t>
        </is>
      </c>
      <c r="D879" s="3">
        <v>45862.462592592594</v>
      </c>
      <c r="E879" s="3">
        <v>45862.575578703705</v>
      </c>
      <c r="F879" t="inlineStr">
        <is>
          <t>Fatima Kathleen M. FLores</t>
        </is>
      </c>
      <c r="G879" t="inlineStr">
        <is>
          <t>Procurement</t>
        </is>
      </c>
      <c r="H879"/>
      <c r="I879"/>
      <c r="J879" t="inlineStr">
        <is>
          <t>Project</t>
        </is>
      </c>
      <c r="K879" t="inlineStr">
        <is>
          <t>PDEI - Game Marketing</t>
        </is>
      </c>
      <c r="L879" t="inlineStr">
        <is>
          <t>Met Park Community Run (Federal Land)</t>
        </is>
      </c>
      <c r="M879" t="inlineStr">
        <is>
          <t>2025TEG-P0204</t>
        </is>
      </c>
      <c r="N879" t="inlineStr">
        <is>
          <t>Maura Aurel Atilano Yap</t>
        </is>
      </c>
      <c r="O879" t="inlineStr">
        <is>
          <t>202507220066-Maura Aurel Atilano Yap-费用报销 - 副本 - 副本 - 副本-2025-07-22 07:53:41</t>
        </is>
      </c>
      <c r="P879" t="inlineStr">
        <is>
          <t>NO</t>
        </is>
      </c>
      <c r="Q879"/>
      <c r="R879" t="inlineStr">
        <is>
          <t>NO</t>
        </is>
      </c>
      <c r="S879" t="inlineStr">
        <is>
          <t>WHITE CANVAS 900 TOTE BAGS WITH 1 SIDE FULL SIZE PRINT - 12X14</t>
        </is>
      </c>
      <c r="T879">
        <v>400</v>
      </c>
      <c r="U879">
        <v>170</v>
      </c>
      <c r="V879" t="inlineStr">
        <is>
          <t>PHP</t>
        </is>
      </c>
      <c r="W879">
        <v>68000</v>
      </c>
      <c r="X879" s="2" t="str">
        <f>=HYPERLINK("https://www.larksuite.com/approval/admin/previewAttachment?key=PMg7CgJBEATQK1X1Z2ray5jssiiiibBj0mcXDEzfmMSYSR-FKFqBrXSEKkijEzKvtqZUEIXs_XlcMzeuONenXvf5UJ-37djfzJIZ5BE-AfDyd1dEVI3Az_ENAAD__w", "2 attachment(s)")</f>
        <v>2 attachment(s)</v>
      </c>
      <c r="Y879" t="inlineStr">
        <is>
          <t>Bank Transfer</t>
        </is>
      </c>
      <c r="Z879" t="inlineStr">
        <is>
          <t>AMVIL AGUSTIN</t>
        </is>
      </c>
      <c r="AA879" t="inlineStr">
        <is>
          <t>0000-0734-86898</t>
        </is>
      </c>
      <c r="AB879" t="inlineStr">
        <is>
          <t>Security Bank</t>
        </is>
      </c>
      <c r="AC879" t="inlineStr">
        <is>
          <t>93 Orchids St., Bernabe Phase 2, San Dionisio, Paranaque</t>
        </is>
      </c>
      <c r="AD879" s="4">
        <v>45863</v>
      </c>
      <c r="AE879" t="inlineStr">
        <is>
          <t>50% Down Payment upon confirmation
50% Final Payment upon complete delivery</t>
        </is>
      </c>
      <c r="AF879" s="2" t="str">
        <f>=HYPERLINK("https://www.larksuite.com/approval/admin/previewAttachment?key=TMg9CsJAFATgK83s-9vxMjYJQRFthKzNO7tgZfvlJHIGLQUXh8CuMHjJyUEjaph6NKuEYiF6fx7XiI3Lz_XR6z4f1edtO_Y3c1rCFe4UAF7-nISmpf0c3wAAAP__", "3 attachment(s)")</f>
        <v>3 attachment(s)</v>
      </c>
      <c r="AG879" t="inlineStr">
        <is>
          <t>NzQyNTk5MTgyNzQ4MTg3MDM0MTpFMDdFN0U4Mi1CQTc2LTQ5QjgtQUIzNy0yQkM1QkU1MDRGNTctMTo3MzI2ZDQ5Y2YwY2MzZDRiYTM1NDM1OWM4ZDg0OWNkYTox</t>
        </is>
      </c>
      <c r="AH879" t="inlineStr">
        <is>
          <t>Panda's Printing Station</t>
        </is>
      </c>
      <c r="AI879"/>
      <c r="AJ879"/>
      <c r="AK879"/>
    </row>
    <row r="880" ht="25.5" customHeight="1">
      <c r="A880" s="2" t="str">
        <f>=HYPERLINK("https://applink.larksuite.com/client/mini_program/open?appId=cli_9c7cc8a9a9edd105&amp;mode=appCenter&amp;path_pc=pc/pages/requested/index?instanceId=7532016101031444511&amp;source=bitable&amp;path=pages/detail/index?instanceId=7532016101031444511&amp;source=bitable", "202507280056")</f>
        <v>202507280056</v>
      </c>
      <c r="B880" t="inlineStr">
        <is>
          <t>Approved</t>
        </is>
      </c>
      <c r="C880" t="inlineStr">
        <is>
          <t>Procurement Order</t>
        </is>
      </c>
      <c r="D880" s="3">
        <v>45866.60365740741</v>
      </c>
      <c r="E880" s="3">
        <v>45867.747708333336</v>
      </c>
      <c r="F880" t="inlineStr">
        <is>
          <t>Fatima Kathleen M. FLores</t>
        </is>
      </c>
      <c r="G880" t="inlineStr">
        <is>
          <t>Procurement</t>
        </is>
      </c>
      <c r="H880"/>
      <c r="I880"/>
      <c r="J880" t="inlineStr">
        <is>
          <t>Project</t>
        </is>
      </c>
      <c r="K880" t="inlineStr">
        <is>
          <t>PDEI - Event Service</t>
        </is>
      </c>
      <c r="L880" t="inlineStr">
        <is>
          <t>MDL PH S6 Qualifiers &amp; Regular Season</t>
        </is>
      </c>
      <c r="M880" t="inlineStr">
        <is>
          <t>2025TEG-P0200</t>
        </is>
      </c>
      <c r="N880" t="inlineStr">
        <is>
          <t>Kervin</t>
        </is>
      </c>
      <c r="O880" t="inlineStr">
        <is>
          <t>202507020090-Kervin-费用报销 - 副本 - 副本 - 副本-2025-07-02 10:21:22</t>
        </is>
      </c>
      <c r="P880" t="inlineStr">
        <is>
          <t>YES</t>
        </is>
      </c>
      <c r="Q880"/>
      <c r="R880" t="inlineStr">
        <is>
          <t>NO</t>
        </is>
      </c>
      <c r="S880" t="inlineStr">
        <is>
          <t>Outsourced Main CG Operator / Asst. Director</t>
        </is>
      </c>
      <c r="T880">
        <v>1</v>
      </c>
      <c r="U880">
        <v>78000</v>
      </c>
      <c r="V880" t="inlineStr">
        <is>
          <t>PHP</t>
        </is>
      </c>
      <c r="W880">
        <v>78000</v>
      </c>
      <c r="X880" s="2" t="str">
        <f>=HYPERLINK("https://www.larksuite.com/approval/admin/previewAttachment?key=PMgxCkJBDATQK81sJsnGy9i4fETZ3wha5eyChe2LScR0WhRUHAV2ug0wCMIoyckezcxCMuG99nF97JX-3PM0__g6-32_HetFrxwDaZJNALz83VJSVQg_xzcAAP__", "2 attachment(s)")</f>
        <v>2 attachment(s)</v>
      </c>
      <c r="Y880" t="inlineStr">
        <is>
          <t>Bank Transfer</t>
        </is>
      </c>
      <c r="Z880" t="inlineStr">
        <is>
          <t>Kenneth Bayona</t>
        </is>
      </c>
      <c r="AA880" t="inlineStr">
        <is>
          <t>09484380719</t>
        </is>
      </c>
      <c r="AB880" t="inlineStr">
        <is>
          <t>GCash</t>
        </is>
      </c>
      <c r="AC880" t="inlineStr">
        <is>
          <t>San Nicolas 2nd, Magalang, Pampanga</t>
        </is>
      </c>
      <c r="AD880" s="4">
        <v>45859</v>
      </c>
      <c r="AE880" t="inlineStr">
        <is>
          <t>1st Payment - Aug. 8, 2025
2nd Payment - Aug. 29, 2025
3rd Payment - Sept. 19, 2025
4th Payment - Oct. 10, 2025
5th Payment - Oct. 31, 2025
Final Payment - Nov. 7, 2025</t>
        </is>
      </c>
      <c r="AF880" s="2"/>
      <c r="AG880" t="inlineStr">
        <is>
          <t>NzQyNTk5MTgyNzQ4MTg3MDM0MTo0NjczQjQzQS1FMTU2LTRDMzMtQjkxQS1FRkZGRDc1RjBFMUQtMTpjM2FlNDA2NTQwMTE2MWVjZWJmZDMwZTA3OTRmZGZlMjox</t>
        </is>
      </c>
      <c r="AH880" t="inlineStr">
        <is>
          <t>Kenneth Bayona</t>
        </is>
      </c>
      <c r="AI880"/>
      <c r="AJ880"/>
      <c r="AK880"/>
    </row>
    <row r="881" ht="25.5" customHeight="1">
      <c r="A881" s="2" t="str">
        <f>=HYPERLINK("https://applink.larksuite.com/client/mini_program/open?appId=cli_9c7cc8a9a9edd105&amp;mode=appCenter&amp;path_pc=pc/pages/requested/index?instanceId=7532018764016123935&amp;source=bitable&amp;path=pages/detail/index?instanceId=7532018764016123935&amp;source=bitable", "202507280058")</f>
        <v>202507280058</v>
      </c>
      <c r="B881" t="inlineStr">
        <is>
          <t>Approved</t>
        </is>
      </c>
      <c r="C881" t="inlineStr">
        <is>
          <t>Procurement Order</t>
        </is>
      </c>
      <c r="D881" s="3">
        <v>45866.61083333333</v>
      </c>
      <c r="E881" s="3">
        <v>45867.74699074074</v>
      </c>
      <c r="F881" t="inlineStr">
        <is>
          <t>Fatima Kathleen M. FLores</t>
        </is>
      </c>
      <c r="G881" t="inlineStr">
        <is>
          <t>Procurement</t>
        </is>
      </c>
      <c r="H881"/>
      <c r="I881"/>
      <c r="J881" t="inlineStr">
        <is>
          <t>Project</t>
        </is>
      </c>
      <c r="K881" t="inlineStr">
        <is>
          <t>PDEI - Event Service</t>
        </is>
      </c>
      <c r="L881" t="inlineStr">
        <is>
          <t>MDL PH S6 Qualifiers &amp; Regular Season</t>
        </is>
      </c>
      <c r="M881" t="inlineStr">
        <is>
          <t>2025TEG-P0200</t>
        </is>
      </c>
      <c r="N881" t="inlineStr">
        <is>
          <t>Kervin</t>
        </is>
      </c>
      <c r="O881" t="inlineStr">
        <is>
          <t>202507100050-Kervin-费用报销 - 副本 - 副本 - 副本-2025-07-10 05:42:05</t>
        </is>
      </c>
      <c r="P881" t="inlineStr">
        <is>
          <t>YES</t>
        </is>
      </c>
      <c r="Q881"/>
      <c r="R881" t="inlineStr">
        <is>
          <t>NO</t>
        </is>
      </c>
      <c r="S881" t="inlineStr">
        <is>
          <t>Outsourced Game Observer 1</t>
        </is>
      </c>
      <c r="T881">
        <v>1</v>
      </c>
      <c r="U881">
        <v>28500</v>
      </c>
      <c r="V881" t="inlineStr">
        <is>
          <t>PHP</t>
        </is>
      </c>
      <c r="W881">
        <v>28500</v>
      </c>
      <c r="X881" s="2" t="str">
        <f>=HYPERLINK("https://www.larksuite.com/approval/admin/previewAttachment?key=PMg7igMxEATQK1X1r9R7mU0kBmOsyDCZzm5w4PTVIGokvRrRtAaP0g0cqgCL5u157FBqiEKeta__515K7amdt17z3I95rTezZQZ5hA8A_Pu5KyK6K_B1fAIAAP__", "2 attachment(s)")</f>
        <v>2 attachment(s)</v>
      </c>
      <c r="Y881" t="inlineStr">
        <is>
          <t>Bank Transfer</t>
        </is>
      </c>
      <c r="Z881" t="inlineStr">
        <is>
          <t>Yencie Edmel Tomas</t>
        </is>
      </c>
      <c r="AA881" t="inlineStr">
        <is>
          <t>0999 859 8762</t>
        </is>
      </c>
      <c r="AB881" t="inlineStr">
        <is>
          <t>GCash</t>
        </is>
      </c>
      <c r="AC881" t="inlineStr">
        <is>
          <t>Blk 15 Lot 17 Purok 3 Central Bicutan Taguig City</t>
        </is>
      </c>
      <c r="AD881" s="4">
        <v>45887</v>
      </c>
      <c r="AE881" t="inlineStr">
        <is>
          <t>1st Payment - Aug. 29, 2025
2nd Payment - Sept. 12, 2025
3rd Payment - Sept. 26, 2025
4th Payment - Oct. 10, 2025
Final Payment - Oct. 31, 2025</t>
        </is>
      </c>
      <c r="AF881" s="2"/>
      <c r="AG881" t="inlineStr">
        <is>
          <t>NzQyNTk5MTgyNzQ4MTg3MDM0MTowMjIwMDI3OS0wQzBELTRFMzItOUVEMi0wMkZGRkZBNUJEQTEtMTowZWIxNjY1ZGVkMTBmYWRjYmUxOGVkN2Y3MDMzMmNmYjox</t>
        </is>
      </c>
      <c r="AH881" t="inlineStr">
        <is>
          <t>Yencie Edmel Tomas</t>
        </is>
      </c>
      <c r="AI881"/>
      <c r="AJ881"/>
      <c r="AK881"/>
    </row>
    <row r="882" ht="25.5" customHeight="1">
      <c r="A882" s="2" t="str">
        <f>=HYPERLINK("https://applink.larksuite.com/client/mini_program/open?appId=cli_9c7cc8a9a9edd105&amp;mode=appCenter&amp;path_pc=pc/pages/requested/index?instanceId=7532024880255074335&amp;source=bitable&amp;path=pages/detail/index?instanceId=7532024880255074335&amp;source=bitable", "202507280063")</f>
        <v>202507280063</v>
      </c>
      <c r="B882" t="inlineStr">
        <is>
          <t>Approved</t>
        </is>
      </c>
      <c r="C882" t="inlineStr">
        <is>
          <t>Procurement Order</t>
        </is>
      </c>
      <c r="D882" s="3">
        <v>45866.62732638889</v>
      </c>
      <c r="E882" s="3">
        <v>45867.74480324074</v>
      </c>
      <c r="F882" t="inlineStr">
        <is>
          <t>Fatima Kathleen M. FLores</t>
        </is>
      </c>
      <c r="G882" t="inlineStr">
        <is>
          <t>Procurement</t>
        </is>
      </c>
      <c r="H882"/>
      <c r="I882"/>
      <c r="J882" t="inlineStr">
        <is>
          <t>Project</t>
        </is>
      </c>
      <c r="K882" t="inlineStr">
        <is>
          <t>PDEI - Game Marketing</t>
        </is>
      </c>
      <c r="L882" t="inlineStr">
        <is>
          <t>Phase 2 - Wargaming Computer Shop Activation</t>
        </is>
      </c>
      <c r="M882" t="inlineStr">
        <is>
          <t>2025TEG-P0207</t>
        </is>
      </c>
      <c r="N882" t="inlineStr">
        <is>
          <t>Clifford Markus Ortiz Martinez</t>
        </is>
      </c>
      <c r="O882" t="inlineStr">
        <is>
          <t>202507180005-Clifford Markus Ortiz Martinez-费用报销 - 副本 - 副本 - 副本-2025-07-18 02:25:15</t>
        </is>
      </c>
      <c r="P882" t="inlineStr">
        <is>
          <t>NO</t>
        </is>
      </c>
      <c r="Q882"/>
      <c r="R882" t="inlineStr">
        <is>
          <t>NO</t>
        </is>
      </c>
      <c r="S882" t="inlineStr">
        <is>
          <t>PC RENTALS (per hour)</t>
        </is>
      </c>
      <c r="T882">
        <v>500</v>
      </c>
      <c r="U882">
        <v>89.6</v>
      </c>
      <c r="V882" t="inlineStr">
        <is>
          <t>PHP</t>
        </is>
      </c>
      <c r="W882">
        <v>44800</v>
      </c>
      <c r="X882" s="2"/>
      <c r="Y882" t="inlineStr">
        <is>
          <t>Bank Transfer</t>
        </is>
      </c>
      <c r="Z882" t="inlineStr">
        <is>
          <t>Manila Esports Icafe Inc.</t>
        </is>
      </c>
      <c r="AA882" t="inlineStr">
        <is>
          <t>002908019834</t>
        </is>
      </c>
      <c r="AB882" t="inlineStr">
        <is>
          <t>BDO</t>
        </is>
      </c>
      <c r="AC882" t="inlineStr">
        <is>
          <t>Unit 2A, 2nd Floor, H&amp;L Santiago Building, McArthur HighWay, Barangay marulas, Valenzuela City</t>
        </is>
      </c>
      <c r="AD882" s="4">
        <v>45855</v>
      </c>
      <c r="AE882" t="inlineStr">
        <is>
          <t>100% Full Payment upon completion of services</t>
        </is>
      </c>
      <c r="AF882" s="2"/>
      <c r="AG882" t="inlineStr">
        <is>
          <t>NzQyNTk5MTgyNzQ4MTg3MDM0MTpEOUZFMTE5Qi1CQkQ4LTRENUMtOTU1Ni1GQTk3OTk1RTdEQzgtMTplYjAzNjJkMTAwZWRhZjc3MmY5ZjFiYmNjYTBkZjBkODox</t>
        </is>
      </c>
      <c r="AH882" t="inlineStr">
        <is>
          <t>KDM</t>
        </is>
      </c>
      <c r="AI882"/>
      <c r="AJ882"/>
      <c r="AK882"/>
    </row>
    <row r="883" ht="25.5" customHeight="1">
      <c r="A883" s="2" t="str">
        <f>=HYPERLINK("https://applink.larksuite.com/client/mini_program/open?appId=cli_9c7cc8a9a9edd105&amp;mode=appCenter&amp;path_pc=pc/pages/requested/index?instanceId=7532024880255074335&amp;source=bitable&amp;path=pages/detail/index?instanceId=7532024880255074335&amp;source=bitable", "202507280063")</f>
        <v>202507280063</v>
      </c>
      <c r="B883" t="inlineStr">
        <is>
          <t>Approved</t>
        </is>
      </c>
      <c r="C883" t="inlineStr">
        <is>
          <t>Procurement Order</t>
        </is>
      </c>
      <c r="D883" s="3">
        <v>45866.62732638889</v>
      </c>
      <c r="E883" s="3">
        <v>45867.74480324074</v>
      </c>
      <c r="F883" t="inlineStr">
        <is>
          <t>Fatima Kathleen M. FLores</t>
        </is>
      </c>
      <c r="G883" t="inlineStr">
        <is>
          <t>Procurement</t>
        </is>
      </c>
      <c r="H883"/>
      <c r="I883"/>
      <c r="J883" t="inlineStr">
        <is>
          <t>Project</t>
        </is>
      </c>
      <c r="K883" t="inlineStr">
        <is>
          <t>PDEI - Game Marketing</t>
        </is>
      </c>
      <c r="L883" t="inlineStr">
        <is>
          <t>Phase 2 - Wargaming Computer Shop Activation</t>
        </is>
      </c>
      <c r="M883" t="inlineStr">
        <is>
          <t>2025TEG-P0207</t>
        </is>
      </c>
      <c r="N883" t="inlineStr">
        <is>
          <t>Clifford Markus Ortiz Martinez</t>
        </is>
      </c>
      <c r="O883" t="inlineStr">
        <is>
          <t>202507180005-Clifford Markus Ortiz Martinez-费用报销 - 副本 - 副本 - 副本-2025-07-18 02:25:15</t>
        </is>
      </c>
      <c r="P883" t="inlineStr">
        <is>
          <t>NO</t>
        </is>
      </c>
      <c r="Q883"/>
      <c r="R883" t="inlineStr">
        <is>
          <t>NO</t>
        </is>
      </c>
      <c r="S883" t="inlineStr">
        <is>
          <t>Pancit Canton</t>
        </is>
      </c>
      <c r="T883">
        <v>100</v>
      </c>
      <c r="U883">
        <v>39.2</v>
      </c>
      <c r="V883" t="inlineStr">
        <is>
          <t>PHP</t>
        </is>
      </c>
      <c r="W883">
        <v>3920</v>
      </c>
      <c r="X883" s="2" t="str">
        <f>=HYPERLINK("https://www.larksuite.com/approval/admin/previewAttachment?key=PMg7jgIxEATQK1X1x-Xey2wylgUBkyBGIuizIxGQvjGJMZM-ClG0AlvpBos5YZlQuGdbUyqIQvZ67P-LW-t994XzOF_o63bs9WSWzCCP8AmAfz93RUTVCHydnwAAAP__", "2 attachment(s)")</f>
        <v>2 attachment(s)</v>
      </c>
      <c r="Y883"/>
      <c r="Z883"/>
      <c r="AA883"/>
      <c r="AB883"/>
      <c r="AC883"/>
      <c r="AD883" s="4"/>
      <c r="AE883"/>
      <c r="AF883" s="2"/>
      <c r="AG883" t="inlineStr">
        <is>
          <t>NzQyNTk5MTgyNzQ4MTg3MDM0MTpEOUZFMTE5Qi1CQkQ4LTRENUMtOTU1Ni1GQTk3OTk1RTdEQzgtMjpjYjUxMmQ0YTNjMWVjNmFjOGVkODkxODhhNWU3OGFmZjox</t>
        </is>
      </c>
      <c r="AH883"/>
      <c r="AI883"/>
      <c r="AJ883"/>
      <c r="AK883"/>
    </row>
    <row r="884" ht="25.5" customHeight="1">
      <c r="A884" s="2" t="str">
        <f>=HYPERLINK("https://applink.larksuite.com/client/mini_program/open?appId=cli_9c7cc8a9a9edd105&amp;mode=appCenter&amp;path_pc=pc/pages/requested/index?instanceId=7532029350569525287&amp;source=bitable&amp;path=pages/detail/index?instanceId=7532029350569525287&amp;source=bitable", "202507280065")</f>
        <v>202507280065</v>
      </c>
      <c r="B884" t="inlineStr">
        <is>
          <t>Approved</t>
        </is>
      </c>
      <c r="C884" t="inlineStr">
        <is>
          <t>Procurement Order</t>
        </is>
      </c>
      <c r="D884" s="3">
        <v>45866.63936342593</v>
      </c>
      <c r="E884" s="3">
        <v>45870.6309837963</v>
      </c>
      <c r="F884" t="inlineStr">
        <is>
          <t>Fatima Kathleen M. FLores</t>
        </is>
      </c>
      <c r="G884" t="inlineStr">
        <is>
          <t>Procurement</t>
        </is>
      </c>
      <c r="H884"/>
      <c r="I884"/>
      <c r="J884" t="inlineStr">
        <is>
          <t>Project</t>
        </is>
      </c>
      <c r="K884" t="inlineStr">
        <is>
          <t>PDEI - Game Marketing</t>
        </is>
      </c>
      <c r="L884" t="inlineStr">
        <is>
          <t>GG Truck x Megabet</t>
        </is>
      </c>
      <c r="M884" t="inlineStr">
        <is>
          <t>2025TEG-P0124</t>
        </is>
      </c>
      <c r="N884" t="inlineStr">
        <is>
          <t>Kervin</t>
        </is>
      </c>
      <c r="O884" t="inlineStr">
        <is>
          <t>202507180055-Kervin-费用报销 - 副本 - 副本 - 副本-2025-07-18 09:53:57</t>
        </is>
      </c>
      <c r="P884" t="inlineStr">
        <is>
          <t>YES</t>
        </is>
      </c>
      <c r="Q884"/>
      <c r="R884" t="inlineStr">
        <is>
          <t>NO</t>
        </is>
      </c>
      <c r="S884" t="inlineStr">
        <is>
          <t>Outsourced Project Manager / Event Coordinator</t>
        </is>
      </c>
      <c r="T884">
        <v>1</v>
      </c>
      <c r="U884">
        <v>25000</v>
      </c>
      <c r="V884" t="inlineStr">
        <is>
          <t>PHP</t>
        </is>
      </c>
      <c r="W884">
        <v>25000</v>
      </c>
      <c r="X884" s="2" t="str">
        <f>=HYPERLINK("https://www.larksuite.com/approval/admin/previewAttachment?key=PMg7CgJBEATQK1V_anrKy5jsMqiLkbCa9NkFA9M3pmFMWgwhZS5YF8PhCoJDdPqs9rYqoazA3p_rSm6f-8HHeh-LefZ529b-MqrcUZEZE4Bd_h6VmdJI_BzfAAAA__8", "2 attachment(s)")</f>
        <v>2 attachment(s)</v>
      </c>
      <c r="Y884" t="inlineStr">
        <is>
          <t>Bank Transfer</t>
        </is>
      </c>
      <c r="Z884" t="inlineStr">
        <is>
          <t>Rizel John Obong</t>
        </is>
      </c>
      <c r="AA884" t="inlineStr">
        <is>
          <t>09709731174</t>
        </is>
      </c>
      <c r="AB884" t="inlineStr">
        <is>
          <t>GCash</t>
        </is>
      </c>
      <c r="AC884" t="inlineStr">
        <is>
          <t>Blk 1j Lot 31 Phase 3 E-1 Dagat Dagatan Caloocan City</t>
        </is>
      </c>
      <c r="AD884" s="4">
        <v>45861</v>
      </c>
      <c r="AE884" t="inlineStr">
        <is>
          <t>1st Payment - Aug. 8, 2025
2nd Payment - Aug. 29, 2025
Final Payment - Sept. 12, 2025</t>
        </is>
      </c>
      <c r="AF884" s="2"/>
      <c r="AG884" t="inlineStr">
        <is>
          <t>NzQyNTk5MTgyNzQ4MTg3MDM0MToyOTE2NTlGRi02MzQyLTQxNUUtQkVCMS04NEQ0QTc3RkUzMDctMTo4ZDhjOTkyOTQyZDNkMGVlYTc2YTY3YWQ3MjhhMGEwZDox</t>
        </is>
      </c>
      <c r="AH884" t="inlineStr">
        <is>
          <t>Rizel John Obong</t>
        </is>
      </c>
      <c r="AI884"/>
      <c r="AJ884"/>
      <c r="AK884"/>
    </row>
    <row r="885" ht="25.5" customHeight="1">
      <c r="A885" s="2" t="str">
        <f>=HYPERLINK("https://applink.larksuite.com/client/mini_program/open?appId=cli_9c7cc8a9a9edd105&amp;mode=appCenter&amp;path_pc=pc/pages/requested/index?instanceId=7530115069108338726&amp;source=bitable&amp;path=pages/detail/index?instanceId=7530115069108338726&amp;source=bitable", "202507230029")</f>
        <v>202507230029</v>
      </c>
      <c r="B885" t="inlineStr">
        <is>
          <t>Approved</t>
        </is>
      </c>
      <c r="C885" t="inlineStr">
        <is>
          <t>Procurement Order</t>
        </is>
      </c>
      <c r="D885" s="3">
        <v>45861.48076388889</v>
      </c>
      <c r="E885" s="3">
        <v>45867.72646990741</v>
      </c>
      <c r="F885" t="inlineStr">
        <is>
          <t>Fatima Kathleen M. FLores</t>
        </is>
      </c>
      <c r="G885" t="inlineStr">
        <is>
          <t>Procurement</t>
        </is>
      </c>
      <c r="H885"/>
      <c r="I885"/>
      <c r="J885" t="inlineStr">
        <is>
          <t>Project</t>
        </is>
      </c>
      <c r="K885" t="inlineStr">
        <is>
          <t>PDEI - Game Marketing</t>
        </is>
      </c>
      <c r="L885" t="inlineStr">
        <is>
          <t>realme Cup</t>
        </is>
      </c>
      <c r="M885" t="inlineStr">
        <is>
          <t>2025TEG-P0094</t>
        </is>
      </c>
      <c r="N885" t="inlineStr">
        <is>
          <t>Diana Lou Perocho Gosamo</t>
        </is>
      </c>
      <c r="O885" t="inlineStr">
        <is>
          <t>202505300089-Diana Lou Perocho Gosamo-费用报销 - 副本 - 副本 - 副本-2025-05-30 09:16:49</t>
        </is>
      </c>
      <c r="P885" t="inlineStr">
        <is>
          <t>NO</t>
        </is>
      </c>
      <c r="Q885"/>
      <c r="R885" t="inlineStr">
        <is>
          <t>YES</t>
        </is>
      </c>
      <c r="S885" t="inlineStr">
        <is>
          <t>POSTER (MATERIAL: C2S200 / Uv Print /  No Lamination / SIZE: 22"x28")</t>
        </is>
      </c>
      <c r="T885">
        <v>5</v>
      </c>
      <c r="U885">
        <v>689.92</v>
      </c>
      <c r="V885" t="inlineStr">
        <is>
          <t>PHP</t>
        </is>
      </c>
      <c r="W885">
        <v>3449.6</v>
      </c>
      <c r="X885" s="2"/>
      <c r="Y885" t="inlineStr">
        <is>
          <t>Bank Transfer</t>
        </is>
      </c>
      <c r="Z885" t="inlineStr">
        <is>
          <t>Bescost Digital Marketing Services Inc.</t>
        </is>
      </c>
      <c r="AA885" t="inlineStr">
        <is>
          <t>00000-5674-8951</t>
        </is>
      </c>
      <c r="AB885" t="inlineStr">
        <is>
          <t>Security Bank</t>
        </is>
      </c>
      <c r="AC885" t="inlineStr">
        <is>
          <t>5105-A Sulok St., Brgy. Ugong, Valenzuela City</t>
        </is>
      </c>
      <c r="AD885" s="4">
        <v>45810</v>
      </c>
      <c r="AE885" t="inlineStr">
        <is>
          <t>100% Full Payment - 15 days upon complete delivery</t>
        </is>
      </c>
      <c r="AF885" s="2"/>
      <c r="AG885" t="inlineStr">
        <is>
          <t>NzQyNTk5MTgyNzQ4MTg3MDM0MTpBM0Q4MTg4Ny03NTNGLTRCQUMtOTY4RC05MDFEODQ4MUFCREYtMTo2MDY5ZTBjYmI4NzE1NWE4ZjYwNzU2Yjg2Mjk0Y2NiYjox</t>
        </is>
      </c>
      <c r="AH885" t="inlineStr">
        <is>
          <t>Bescost Digital Marketing Services Inc.</t>
        </is>
      </c>
      <c r="AI885"/>
      <c r="AJ885"/>
      <c r="AK885"/>
    </row>
    <row r="886" ht="25.5" customHeight="1">
      <c r="A886" s="2" t="str">
        <f>=HYPERLINK("https://applink.larksuite.com/client/mini_program/open?appId=cli_9c7cc8a9a9edd105&amp;mode=appCenter&amp;path_pc=pc/pages/requested/index?instanceId=7530115069108338726&amp;source=bitable&amp;path=pages/detail/index?instanceId=7530115069108338726&amp;source=bitable", "202507230029")</f>
        <v>202507230029</v>
      </c>
      <c r="B886" t="inlineStr">
        <is>
          <t>Approved</t>
        </is>
      </c>
      <c r="C886" t="inlineStr">
        <is>
          <t>Procurement Order</t>
        </is>
      </c>
      <c r="D886" s="3">
        <v>45861.48076388889</v>
      </c>
      <c r="E886" s="3">
        <v>45867.72646990741</v>
      </c>
      <c r="F886" t="inlineStr">
        <is>
          <t>Fatima Kathleen M. FLores</t>
        </is>
      </c>
      <c r="G886" t="inlineStr">
        <is>
          <t>Procurement</t>
        </is>
      </c>
      <c r="H886"/>
      <c r="I886"/>
      <c r="J886" t="inlineStr">
        <is>
          <t>Project</t>
        </is>
      </c>
      <c r="K886" t="inlineStr">
        <is>
          <t>PDEI - Game Marketing</t>
        </is>
      </c>
      <c r="L886" t="inlineStr">
        <is>
          <t>realme Cup</t>
        </is>
      </c>
      <c r="M886" t="inlineStr">
        <is>
          <t>2025TEG-P0094</t>
        </is>
      </c>
      <c r="N886" t="inlineStr">
        <is>
          <t>Diana Lou Perocho Gosamo</t>
        </is>
      </c>
      <c r="O886" t="inlineStr">
        <is>
          <t>202505300089-Diana Lou Perocho Gosamo-费用报销 - 副本 - 副本 - 副本-2025-05-30 09:16:49</t>
        </is>
      </c>
      <c r="P886" t="inlineStr">
        <is>
          <t>NO</t>
        </is>
      </c>
      <c r="Q886"/>
      <c r="R886" t="inlineStr">
        <is>
          <t>YES</t>
        </is>
      </c>
      <c r="S886" t="inlineStr">
        <is>
          <t>POSTER (MATERIAL: C2S200 / Uv Print / No Lamination / SIZE: 22"x58")</t>
        </is>
      </c>
      <c r="T886">
        <v>2</v>
      </c>
      <c r="U886">
        <v>1429.12</v>
      </c>
      <c r="V886" t="inlineStr">
        <is>
          <t>PHP</t>
        </is>
      </c>
      <c r="W886">
        <v>2858.24</v>
      </c>
      <c r="X886" s="2"/>
      <c r="Y886"/>
      <c r="Z886"/>
      <c r="AA886"/>
      <c r="AB886"/>
      <c r="AC886"/>
      <c r="AD886" s="4"/>
      <c r="AE886"/>
      <c r="AF886" s="2"/>
      <c r="AG886" t="inlineStr">
        <is>
          <t>NzQyNTk5MTgyNzQ4MTg3MDM0MTpBM0Q4MTg4Ny03NTNGLTRCQUMtOTY4RC05MDFEODQ4MUFCREYtMjo5NGJjYjVjN2MzZWY3YmQ0MjRkMDZmNDMyMjVhYTNhYjox</t>
        </is>
      </c>
      <c r="AH886"/>
      <c r="AI886"/>
      <c r="AJ886"/>
      <c r="AK886"/>
    </row>
    <row r="887" ht="25.5" customHeight="1">
      <c r="A887" s="2" t="str">
        <f>=HYPERLINK("https://applink.larksuite.com/client/mini_program/open?appId=cli_9c7cc8a9a9edd105&amp;mode=appCenter&amp;path_pc=pc/pages/requested/index?instanceId=7530115069108338726&amp;source=bitable&amp;path=pages/detail/index?instanceId=7530115069108338726&amp;source=bitable", "202507230029")</f>
        <v>202507230029</v>
      </c>
      <c r="B887" t="inlineStr">
        <is>
          <t>Approved</t>
        </is>
      </c>
      <c r="C887" t="inlineStr">
        <is>
          <t>Procurement Order</t>
        </is>
      </c>
      <c r="D887" s="3">
        <v>45861.48076388889</v>
      </c>
      <c r="E887" s="3">
        <v>45867.72646990741</v>
      </c>
      <c r="F887" t="inlineStr">
        <is>
          <t>Fatima Kathleen M. FLores</t>
        </is>
      </c>
      <c r="G887" t="inlineStr">
        <is>
          <t>Procurement</t>
        </is>
      </c>
      <c r="H887"/>
      <c r="I887"/>
      <c r="J887" t="inlineStr">
        <is>
          <t>Project</t>
        </is>
      </c>
      <c r="K887" t="inlineStr">
        <is>
          <t>PDEI - Game Marketing</t>
        </is>
      </c>
      <c r="L887" t="inlineStr">
        <is>
          <t>realme Cup</t>
        </is>
      </c>
      <c r="M887" t="inlineStr">
        <is>
          <t>2025TEG-P0094</t>
        </is>
      </c>
      <c r="N887" t="inlineStr">
        <is>
          <t>Diana Lou Perocho Gosamo</t>
        </is>
      </c>
      <c r="O887" t="inlineStr">
        <is>
          <t>202505300089-Diana Lou Perocho Gosamo-费用报销 - 副本 - 副本 - 副本-2025-05-30 09:16:49</t>
        </is>
      </c>
      <c r="P887" t="inlineStr">
        <is>
          <t>NO</t>
        </is>
      </c>
      <c r="Q887"/>
      <c r="R887" t="inlineStr">
        <is>
          <t>YES</t>
        </is>
      </c>
      <c r="S887" t="inlineStr">
        <is>
          <t>Rush Fee</t>
        </is>
      </c>
      <c r="T887">
        <v>1</v>
      </c>
      <c r="U887">
        <v>630.78</v>
      </c>
      <c r="V887" t="inlineStr">
        <is>
          <t>PHP</t>
        </is>
      </c>
      <c r="W887">
        <v>630.78</v>
      </c>
      <c r="X887" s="2" t="str">
        <f>=HYPERLINK("https://www.larksuite.com/approval/admin/previewAttachment?key=PMg9CsJAEAXgK703vztexsYlSDaxEQSLObtgkfaLQcRwahSsKAV2uoJ0RBFDdaRESzOzkEx4z3O77-dctb7ur-NYtvfn-djmm14pglQzHQB4u1zTzKrC8Hf5BQAA__8", "2 attachment(s)")</f>
        <v>2 attachment(s)</v>
      </c>
      <c r="Y887"/>
      <c r="Z887"/>
      <c r="AA887"/>
      <c r="AB887"/>
      <c r="AC887"/>
      <c r="AD887" s="4"/>
      <c r="AE887"/>
      <c r="AF887" s="2"/>
      <c r="AG887" t="inlineStr">
        <is>
          <t>NzQyNTk5MTgyNzQ4MTg3MDM0MTpBM0Q4MTg4Ny03NTNGLTRCQUMtOTY4RC05MDFEODQ4MUFCREYtMzo4NDE0YmJkZGNjYjI2YTIyODBmYzBiZGYyZGFjMTcwYjox</t>
        </is>
      </c>
      <c r="AH887"/>
      <c r="AI887"/>
      <c r="AJ887"/>
      <c r="AK887"/>
    </row>
    <row r="888" ht="25.5" customHeight="1">
      <c r="A888" s="2" t="str">
        <f>=HYPERLINK("https://applink.larksuite.com/client/mini_program/open?appId=cli_9c7cc8a9a9edd105&amp;mode=appCenter&amp;path_pc=pc/pages/requested/index?instanceId=7532353580104253478&amp;source=bitable&amp;path=pages/detail/index?instanceId=7532353580104253478&amp;source=bitable", "202507290038")</f>
        <v>202507290038</v>
      </c>
      <c r="B888" t="inlineStr">
        <is>
          <t>Approved</t>
        </is>
      </c>
      <c r="C888" t="inlineStr">
        <is>
          <t>Procurement Order</t>
        </is>
      </c>
      <c r="D888" s="3">
        <v>45867.51310185185</v>
      </c>
      <c r="E888" s="3">
        <v>45867.73892361111</v>
      </c>
      <c r="F888" t="inlineStr">
        <is>
          <t>Fatima Kathleen M. FLores</t>
        </is>
      </c>
      <c r="G888" t="inlineStr">
        <is>
          <t>Procurement</t>
        </is>
      </c>
      <c r="H888"/>
      <c r="I888"/>
      <c r="J888" t="inlineStr">
        <is>
          <t>Project</t>
        </is>
      </c>
      <c r="K888" t="inlineStr">
        <is>
          <t>PDEI - Game Marketing</t>
        </is>
      </c>
      <c r="L888" t="inlineStr">
        <is>
          <t>1xbet VEEWISE watch party</t>
        </is>
      </c>
      <c r="M888" t="inlineStr">
        <is>
          <t>2025TEG-P0181</t>
        </is>
      </c>
      <c r="N888" t="inlineStr">
        <is>
          <t>Katherine Denise Lee Sy</t>
        </is>
      </c>
      <c r="O888" t="inlineStr">
        <is>
          <t>202507280020-Katherine Denise Lee Sy-费用报销 - 副本 - 副本 - 副本-2025-07-28 03:26:20</t>
        </is>
      </c>
      <c r="P888" t="inlineStr">
        <is>
          <t>NO</t>
        </is>
      </c>
      <c r="Q888"/>
      <c r="R888" t="inlineStr">
        <is>
          <t>NO</t>
        </is>
      </c>
      <c r="S888" t="inlineStr">
        <is>
          <t>Studio Rental (Aug. 1 to 3, 2025)</t>
        </is>
      </c>
      <c r="T888">
        <v>1</v>
      </c>
      <c r="U888">
        <v>123648</v>
      </c>
      <c r="V888" t="inlineStr">
        <is>
          <t>PHP</t>
        </is>
      </c>
      <c r="W888">
        <v>123648</v>
      </c>
      <c r="X888" s="2" t="str">
        <f>=HYPERLINK("https://www.larksuite.com/approval/admin/previewAttachment?key=PMgxCgJBDAXQK_2fn0wSL2OzwyLC2girzZxdsNj2jSJGBTUa3rQGV4ZMoSgQbiHPWraY2UgmYs1jvz-PeepbErdPzNc6H9s-34xOM6TcVQB4u1zp7t3D8Xf8AgAA__8", "2 attachment(s)")</f>
        <v>2 attachment(s)</v>
      </c>
      <c r="Y888" t="inlineStr">
        <is>
          <t>Bank Transfer</t>
        </is>
      </c>
      <c r="Z888" t="inlineStr">
        <is>
          <t>Baked Studio Inc.</t>
        </is>
      </c>
      <c r="AA888" t="inlineStr">
        <is>
          <t>004 288 028 051</t>
        </is>
      </c>
      <c r="AB888" t="inlineStr">
        <is>
          <t>BDO</t>
        </is>
      </c>
      <c r="AC888" t="inlineStr">
        <is>
          <t>Warehouse B, 7452 Yakal Street Barangay San Antonio Village, Makati</t>
        </is>
      </c>
      <c r="AD888" s="4">
        <v>45870</v>
      </c>
      <c r="AE888" t="inlineStr">
        <is>
          <t>50% Down Payment upon confirmation
50% Final Payment on event date</t>
        </is>
      </c>
      <c r="AF888" s="2"/>
      <c r="AG888" t="inlineStr">
        <is>
          <t>NzQyNTk5MTgyNzQ4MTg3MDM0MTo5OTEwMkUwMS04OTA4LTRGNUUtQjIyMS1EOTE3MTYzMTAyMkQtMTo2MzRhMmI3M2IxN2VlMDkzZDJkYWFmZjVjNzg4ZDk1Mjox</t>
        </is>
      </c>
      <c r="AH888" t="inlineStr">
        <is>
          <t>Baked Studio Inc.</t>
        </is>
      </c>
      <c r="AI888"/>
      <c r="AJ888"/>
      <c r="AK888"/>
    </row>
    <row r="889" ht="25.5" customHeight="1">
      <c r="A889" s="2" t="str">
        <f>=HYPERLINK("https://applink.larksuite.com/client/mini_program/open?appId=cli_9c7cc8a9a9edd105&amp;mode=appCenter&amp;path_pc=pc/pages/requested/index?instanceId=7532426182730612768&amp;source=bitable&amp;path=pages/detail/index?instanceId=7532426182730612768&amp;source=bitable", "202507290096")</f>
        <v>202507290096</v>
      </c>
      <c r="B889" t="inlineStr">
        <is>
          <t>Approved</t>
        </is>
      </c>
      <c r="C889" t="inlineStr">
        <is>
          <t>Procurement Order</t>
        </is>
      </c>
      <c r="D889" s="3">
        <v>45867.70875</v>
      </c>
      <c r="E889" s="3">
        <v>45868.45011574074</v>
      </c>
      <c r="F889" t="inlineStr">
        <is>
          <t>Fatima Kathleen M. FLores</t>
        </is>
      </c>
      <c r="G889" t="inlineStr">
        <is>
          <t>Procurement</t>
        </is>
      </c>
      <c r="H889"/>
      <c r="I889"/>
      <c r="J889" t="inlineStr">
        <is>
          <t>Project</t>
        </is>
      </c>
      <c r="K889" t="inlineStr">
        <is>
          <t>PDEI - Game Marketing</t>
        </is>
      </c>
      <c r="L889" t="inlineStr">
        <is>
          <t>1xbet VEEWISE watch party</t>
        </is>
      </c>
      <c r="M889" t="inlineStr">
        <is>
          <t>2025TEG-P0181</t>
        </is>
      </c>
      <c r="N889" t="inlineStr">
        <is>
          <t>Katherine Denise Lee Sy</t>
        </is>
      </c>
      <c r="O889" t="inlineStr">
        <is>
          <t>202507280085-Katherine Denise Lee Sy-费用报销 - 副本 - 副本 - 副本-2025-07-28 09:28:34</t>
        </is>
      </c>
      <c r="P889" t="inlineStr">
        <is>
          <t>NO</t>
        </is>
      </c>
      <c r="Q889"/>
      <c r="R889" t="inlineStr">
        <is>
          <t>NO</t>
        </is>
      </c>
      <c r="S889" t="inlineStr">
        <is>
          <t>Customized Acrylic Keychains</t>
        </is>
      </c>
      <c r="T889">
        <v>105</v>
      </c>
      <c r="U889">
        <v>75</v>
      </c>
      <c r="V889" t="inlineStr">
        <is>
          <t>PHP</t>
        </is>
      </c>
      <c r="W889">
        <v>7875</v>
      </c>
      <c r="X889" s="2" t="str">
        <f>=HYPERLINK("https://www.larksuite.com/approval/admin/previewAttachment?key=PMgxDgJRCATQK80AnwEvY7ObHxsrk9WGs5tY2L4sImvRsxFNa3C03MKSZXIkTVljQ6khCmvO577DQ3xXHZft4-NzPY59vrhaZpBHeAHg7e-uiOjOwM_xDQAA__8", "2 attachment(s)")</f>
        <v>2 attachment(s)</v>
      </c>
      <c r="Y889" t="inlineStr">
        <is>
          <t>Bank Transfer</t>
        </is>
      </c>
      <c r="Z889" t="inlineStr">
        <is>
          <t>BYB Trophies Shop</t>
        </is>
      </c>
      <c r="AA889" t="inlineStr">
        <is>
          <t>004460143715</t>
        </is>
      </c>
      <c r="AB889" t="inlineStr">
        <is>
          <t>BDO</t>
        </is>
      </c>
      <c r="AC889" t="inlineStr">
        <is>
          <t>1761 CM Recto, Sta. Cruz, Manila</t>
        </is>
      </c>
      <c r="AD889" s="4">
        <v>45807</v>
      </c>
      <c r="AE889" t="inlineStr">
        <is>
          <t>100% Full Payment before delivery</t>
        </is>
      </c>
      <c r="AF889" s="2"/>
      <c r="AG889" t="inlineStr">
        <is>
          <t>NzQyNTk5MTgyNzQ4MTg3MDM0MToyQUNDMjE3MC0wNjhBLTRFRkMtQUZENC02RTQ2NDQ0QTNFMjEtMToxMDIxNDFmOWE5NDNiZjBkMTc1NDY5MjVmMDUxMDgyOTox</t>
        </is>
      </c>
      <c r="AH889" t="inlineStr">
        <is>
          <t>BYB Trophies Shop</t>
        </is>
      </c>
      <c r="AI889"/>
      <c r="AJ889"/>
      <c r="AK889"/>
    </row>
    <row r="890" ht="25.5" customHeight="1">
      <c r="A890" s="2" t="str">
        <f>=HYPERLINK("https://applink.larksuite.com/client/mini_program/open?appId=cli_9c7cc8a9a9edd105&amp;mode=appCenter&amp;path_pc=pc/pages/requested/index?instanceId=7532422449179164711&amp;source=bitable&amp;path=pages/detail/index?instanceId=7532422449179164711&amp;source=bitable", "202507290091")</f>
        <v>202507290091</v>
      </c>
      <c r="B890" t="inlineStr">
        <is>
          <t>Approved</t>
        </is>
      </c>
      <c r="C890" t="inlineStr">
        <is>
          <t>Procurement Order</t>
        </is>
      </c>
      <c r="D890" s="3">
        <v>45867.69869212963</v>
      </c>
      <c r="E890" s="3">
        <v>45868.449224537035</v>
      </c>
      <c r="F890" t="inlineStr">
        <is>
          <t>Fatima Kathleen M. FLores</t>
        </is>
      </c>
      <c r="G890" t="inlineStr">
        <is>
          <t>Procurement</t>
        </is>
      </c>
      <c r="H890"/>
      <c r="I890"/>
      <c r="J890" t="inlineStr">
        <is>
          <t>Project</t>
        </is>
      </c>
      <c r="K890" t="inlineStr">
        <is>
          <t>PDEI - Game Marketing</t>
        </is>
      </c>
      <c r="L890" t="inlineStr">
        <is>
          <t>1xbet VEEWISE watch party</t>
        </is>
      </c>
      <c r="M890" t="inlineStr">
        <is>
          <t>2025TEG-P0181</t>
        </is>
      </c>
      <c r="N890" t="inlineStr">
        <is>
          <t>Katherine Denise Lee Sy</t>
        </is>
      </c>
      <c r="O890" t="inlineStr">
        <is>
          <t>202507280085-Katherine Denise Lee Sy-费用报销 - 副本 - 副本 - 副本-2025-07-28 09:28:34</t>
        </is>
      </c>
      <c r="P890" t="inlineStr">
        <is>
          <t>NO</t>
        </is>
      </c>
      <c r="Q890"/>
      <c r="R890" t="inlineStr">
        <is>
          <t>NO</t>
        </is>
      </c>
      <c r="S890" t="inlineStr">
        <is>
          <t>CUSTOMIZED SHIRT</t>
        </is>
      </c>
      <c r="T890">
        <v>105</v>
      </c>
      <c r="U890">
        <v>190</v>
      </c>
      <c r="V890" t="inlineStr">
        <is>
          <t>PHP</t>
        </is>
      </c>
      <c r="W890">
        <v>19950</v>
      </c>
      <c r="X890" s="2"/>
      <c r="Y890" t="inlineStr">
        <is>
          <t>Bank Transfer</t>
        </is>
      </c>
      <c r="Z890" t="inlineStr">
        <is>
          <t>Charisem Magadia</t>
        </is>
      </c>
      <c r="AA890" t="inlineStr">
        <is>
          <t>1696239289</t>
        </is>
      </c>
      <c r="AB890" t="inlineStr">
        <is>
          <t>Landbank Savings</t>
        </is>
      </c>
      <c r="AC890" t="inlineStr">
        <is>
          <t>C.P. Garcia Ave., UP Diliman, QC</t>
        </is>
      </c>
      <c r="AD890" s="4">
        <v>45862</v>
      </c>
      <c r="AE890" t="inlineStr">
        <is>
          <t>50% Down payment upon confirmation
50% Final payment before delivery</t>
        </is>
      </c>
      <c r="AF890" s="2" t="str">
        <f>=HYPERLINK("https://www.larksuite.com/approval/admin/previewAttachment?key=TMhBCsJQDATQK80k-ckfL-PGUlxUEcTaTc4uuOr25SRyDnoKIZrAruEWZhFiiRlFtjWrhGJh9PJYr2Hb8dz03Y0fvI7e77d1eTOnJ0IjggLAy8lJaHr63_ELAAD__w", "5 attachment(s)")</f>
        <v>5 attachment(s)</v>
      </c>
      <c r="AG890" t="inlineStr">
        <is>
          <t>NzQyNTk5MTgyNzQ4MTg3MDM0MToyNjg2MkMwRS1BNDFFLTRERUItOTREQy05NDI3NjEyQTQ5QjctMToyNmYyM2U0ZWMwMGQxZWNhZmIxZmFjZjg4NWY4YzJjMjox</t>
        </is>
      </c>
      <c r="AH890" t="inlineStr">
        <is>
          <t>TEKUMA PRINTS ‘N THINGS</t>
        </is>
      </c>
      <c r="AI890"/>
      <c r="AJ890"/>
      <c r="AK890"/>
    </row>
    <row r="891" ht="25.5" customHeight="1">
      <c r="A891" s="2" t="str">
        <f>=HYPERLINK("https://applink.larksuite.com/client/mini_program/open?appId=cli_9c7cc8a9a9edd105&amp;mode=appCenter&amp;path_pc=pc/pages/requested/index?instanceId=7532422449179164711&amp;source=bitable&amp;path=pages/detail/index?instanceId=7532422449179164711&amp;source=bitable", "202507290091")</f>
        <v>202507290091</v>
      </c>
      <c r="B891" t="inlineStr">
        <is>
          <t>Approved</t>
        </is>
      </c>
      <c r="C891" t="inlineStr">
        <is>
          <t>Procurement Order</t>
        </is>
      </c>
      <c r="D891" s="3">
        <v>45867.69869212963</v>
      </c>
      <c r="E891" s="3">
        <v>45868.449224537035</v>
      </c>
      <c r="F891" t="inlineStr">
        <is>
          <t>Fatima Kathleen M. FLores</t>
        </is>
      </c>
      <c r="G891" t="inlineStr">
        <is>
          <t>Procurement</t>
        </is>
      </c>
      <c r="H891"/>
      <c r="I891"/>
      <c r="J891" t="inlineStr">
        <is>
          <t>Project</t>
        </is>
      </c>
      <c r="K891" t="inlineStr">
        <is>
          <t>PDEI - Game Marketing</t>
        </is>
      </c>
      <c r="L891" t="inlineStr">
        <is>
          <t>1xbet VEEWISE watch party</t>
        </is>
      </c>
      <c r="M891" t="inlineStr">
        <is>
          <t>2025TEG-P0181</t>
        </is>
      </c>
      <c r="N891" t="inlineStr">
        <is>
          <t>Katherine Denise Lee Sy</t>
        </is>
      </c>
      <c r="O891" t="inlineStr">
        <is>
          <t>202507280085-Katherine Denise Lee Sy-费用报销 - 副本 - 副本 - 副本-2025-07-28 09:28:34</t>
        </is>
      </c>
      <c r="P891" t="inlineStr">
        <is>
          <t>NO</t>
        </is>
      </c>
      <c r="Q891"/>
      <c r="R891" t="inlineStr">
        <is>
          <t>NO</t>
        </is>
      </c>
      <c r="S891" t="inlineStr">
        <is>
          <t>CUSTOMIZED TOTE BAG (12X14)</t>
        </is>
      </c>
      <c r="T891">
        <v>105</v>
      </c>
      <c r="U891">
        <v>100</v>
      </c>
      <c r="V891" t="inlineStr">
        <is>
          <t>PHP</t>
        </is>
      </c>
      <c r="W891">
        <v>10500</v>
      </c>
      <c r="X891" s="2"/>
      <c r="Y891"/>
      <c r="Z891"/>
      <c r="AA891"/>
      <c r="AB891"/>
      <c r="AC891"/>
      <c r="AD891" s="4"/>
      <c r="AE891"/>
      <c r="AF891" s="2"/>
      <c r="AG891" t="inlineStr">
        <is>
          <t>NzQyNTk5MTgyNzQ4MTg3MDM0MToyNjg2MkMwRS1BNDFFLTRERUItOTREQy05NDI3NjEyQTQ5QjctMjo1ODZhMTBkMjZkMjRkMGMxOTgxOTc0NjJmNTU0MWQ5OTox</t>
        </is>
      </c>
      <c r="AH891"/>
      <c r="AI891"/>
      <c r="AJ891"/>
      <c r="AK891"/>
    </row>
    <row r="892" ht="25.5" customHeight="1">
      <c r="A892" s="2" t="str">
        <f>=HYPERLINK("https://applink.larksuite.com/client/mini_program/open?appId=cli_9c7cc8a9a9edd105&amp;mode=appCenter&amp;path_pc=pc/pages/requested/index?instanceId=7532422449179164711&amp;source=bitable&amp;path=pages/detail/index?instanceId=7532422449179164711&amp;source=bitable", "202507290091")</f>
        <v>202507290091</v>
      </c>
      <c r="B892" t="inlineStr">
        <is>
          <t>Approved</t>
        </is>
      </c>
      <c r="C892" t="inlineStr">
        <is>
          <t>Procurement Order</t>
        </is>
      </c>
      <c r="D892" s="3">
        <v>45867.69869212963</v>
      </c>
      <c r="E892" s="3">
        <v>45868.449224537035</v>
      </c>
      <c r="F892" t="inlineStr">
        <is>
          <t>Fatima Kathleen M. FLores</t>
        </is>
      </c>
      <c r="G892" t="inlineStr">
        <is>
          <t>Procurement</t>
        </is>
      </c>
      <c r="H892"/>
      <c r="I892"/>
      <c r="J892" t="inlineStr">
        <is>
          <t>Project</t>
        </is>
      </c>
      <c r="K892" t="inlineStr">
        <is>
          <t>PDEI - Game Marketing</t>
        </is>
      </c>
      <c r="L892" t="inlineStr">
        <is>
          <t>1xbet VEEWISE watch party</t>
        </is>
      </c>
      <c r="M892" t="inlineStr">
        <is>
          <t>2025TEG-P0181</t>
        </is>
      </c>
      <c r="N892" t="inlineStr">
        <is>
          <t>Katherine Denise Lee Sy</t>
        </is>
      </c>
      <c r="O892" t="inlineStr">
        <is>
          <t>202507280085-Katherine Denise Lee Sy-费用报销 - 副本 - 副本 - 副本-2025-07-28 09:28:34</t>
        </is>
      </c>
      <c r="P892" t="inlineStr">
        <is>
          <t>NO</t>
        </is>
      </c>
      <c r="Q892"/>
      <c r="R892" t="inlineStr">
        <is>
          <t>NO</t>
        </is>
      </c>
      <c r="S892" t="inlineStr">
        <is>
          <t>CUSTOMIZED MESH CAP</t>
        </is>
      </c>
      <c r="T892">
        <v>105</v>
      </c>
      <c r="U892">
        <v>90</v>
      </c>
      <c r="V892" t="inlineStr">
        <is>
          <t>PHP</t>
        </is>
      </c>
      <c r="W892">
        <v>9450</v>
      </c>
      <c r="X892" s="2"/>
      <c r="Y892"/>
      <c r="Z892"/>
      <c r="AA892"/>
      <c r="AB892"/>
      <c r="AC892"/>
      <c r="AD892" s="4"/>
      <c r="AE892"/>
      <c r="AF892" s="2"/>
      <c r="AG892" t="inlineStr">
        <is>
          <t>NzQyNTk5MTgyNzQ4MTg3MDM0MToyNjg2MkMwRS1BNDFFLTRERUItOTREQy05NDI3NjEyQTQ5QjctMzo1ZDgwNTc4ZDhhNjA0ZmQxOWRmZWQzNDg2OWU5NTg0Zjox</t>
        </is>
      </c>
      <c r="AH892"/>
      <c r="AI892"/>
      <c r="AJ892"/>
      <c r="AK892"/>
    </row>
    <row r="893" ht="25.5" customHeight="1">
      <c r="A893" s="2" t="str">
        <f>=HYPERLINK("https://applink.larksuite.com/client/mini_program/open?appId=cli_9c7cc8a9a9edd105&amp;mode=appCenter&amp;path_pc=pc/pages/requested/index?instanceId=7532422449179164711&amp;source=bitable&amp;path=pages/detail/index?instanceId=7532422449179164711&amp;source=bitable", "202507290091")</f>
        <v>202507290091</v>
      </c>
      <c r="B893" t="inlineStr">
        <is>
          <t>Approved</t>
        </is>
      </c>
      <c r="C893" t="inlineStr">
        <is>
          <t>Procurement Order</t>
        </is>
      </c>
      <c r="D893" s="3">
        <v>45867.69869212963</v>
      </c>
      <c r="E893" s="3">
        <v>45868.449224537035</v>
      </c>
      <c r="F893" t="inlineStr">
        <is>
          <t>Fatima Kathleen M. FLores</t>
        </is>
      </c>
      <c r="G893" t="inlineStr">
        <is>
          <t>Procurement</t>
        </is>
      </c>
      <c r="H893"/>
      <c r="I893"/>
      <c r="J893" t="inlineStr">
        <is>
          <t>Project</t>
        </is>
      </c>
      <c r="K893" t="inlineStr">
        <is>
          <t>PDEI - Game Marketing</t>
        </is>
      </c>
      <c r="L893" t="inlineStr">
        <is>
          <t>1xbet VEEWISE watch party</t>
        </is>
      </c>
      <c r="M893" t="inlineStr">
        <is>
          <t>2025TEG-P0181</t>
        </is>
      </c>
      <c r="N893" t="inlineStr">
        <is>
          <t>Katherine Denise Lee Sy</t>
        </is>
      </c>
      <c r="O893" t="inlineStr">
        <is>
          <t>202507280085-Katherine Denise Lee Sy-费用报销 - 副本 - 副本 - 副本-2025-07-28 09:28:34</t>
        </is>
      </c>
      <c r="P893" t="inlineStr">
        <is>
          <t>NO</t>
        </is>
      </c>
      <c r="Q893"/>
      <c r="R893" t="inlineStr">
        <is>
          <t>NO</t>
        </is>
      </c>
      <c r="S893" t="inlineStr">
        <is>
          <t>CUSTOMIZED LANYARD</t>
        </is>
      </c>
      <c r="T893">
        <v>105</v>
      </c>
      <c r="U893">
        <v>80</v>
      </c>
      <c r="V893" t="inlineStr">
        <is>
          <t>PHP</t>
        </is>
      </c>
      <c r="W893">
        <v>8400</v>
      </c>
      <c r="X893" s="2" t="str">
        <f>=HYPERLINK("https://www.larksuite.com/approval/admin/previewAttachment?key=PMgxCsJAFATQK838P7t_x8vYGIJFFEGMafbsgkXa1wfRR2N2Q2YYnNUyFCGZZXYVOWOyyigW2lwe61WxHc_N3z34weuY-_22Lm82VwQqpRwAeDk9S5Ldhb_nLwAA__8", "2 attachment(s)")</f>
        <v>2 attachment(s)</v>
      </c>
      <c r="Y893"/>
      <c r="Z893"/>
      <c r="AA893"/>
      <c r="AB893"/>
      <c r="AC893"/>
      <c r="AD893" s="4"/>
      <c r="AE893"/>
      <c r="AF893" s="2"/>
      <c r="AG893" t="inlineStr">
        <is>
          <t>NzQyNTk5MTgyNzQ4MTg3MDM0MToyNjg2MkMwRS1BNDFFLTRERUItOTREQy05NDI3NjEyQTQ5QjctNDo1NzZiMTYyZDcxNDc3ZTUwOWIzYzlhOWUyOWZjM2E2Mjox</t>
        </is>
      </c>
      <c r="AH893"/>
      <c r="AI893"/>
      <c r="AJ893"/>
      <c r="AK893"/>
    </row>
    <row r="894" ht="25.5" customHeight="1">
      <c r="A894" s="2" t="str">
        <f>=HYPERLINK("https://applink.larksuite.com/client/mini_program/open?appId=cli_9c7cc8a9a9edd105&amp;mode=appCenter&amp;path_pc=pc/pages/requested/index?instanceId=7532443952767582247&amp;source=bitable&amp;path=pages/detail/index?instanceId=7532443952767582247&amp;source=bitable", "202507290112")</f>
        <v>202507290112</v>
      </c>
      <c r="B894" t="inlineStr">
        <is>
          <t>Approved</t>
        </is>
      </c>
      <c r="C894" t="inlineStr">
        <is>
          <t>Procurement Order</t>
        </is>
      </c>
      <c r="D894" s="3">
        <v>45867.75664351852</v>
      </c>
      <c r="E894" s="3">
        <v>45867.772835648146</v>
      </c>
      <c r="F894" t="inlineStr">
        <is>
          <t>Fatima Kathleen M. FLores</t>
        </is>
      </c>
      <c r="G894" t="inlineStr">
        <is>
          <t>Procurement</t>
        </is>
      </c>
      <c r="H894"/>
      <c r="I894"/>
      <c r="J894" t="inlineStr">
        <is>
          <t>Project</t>
        </is>
      </c>
      <c r="K894" t="inlineStr">
        <is>
          <t>PDEI - Game Marketing</t>
        </is>
      </c>
      <c r="L894" t="inlineStr">
        <is>
          <t>BuzzOne - C-Vitt Brand Activation</t>
        </is>
      </c>
      <c r="M894" t="inlineStr">
        <is>
          <t>2025TEG-P0135</t>
        </is>
      </c>
      <c r="N894" t="inlineStr">
        <is>
          <t>Carla Andrea Calma Crespo</t>
        </is>
      </c>
      <c r="O894" t="inlineStr">
        <is>
          <t>202506040022-Carla Andrea Calma Crespo-费用报销 - 副本 - 副本 - 副本-2025-06-04 03:41:15</t>
        </is>
      </c>
      <c r="P894" t="inlineStr">
        <is>
          <t>NO</t>
        </is>
      </c>
      <c r="Q894"/>
      <c r="R894" t="inlineStr">
        <is>
          <t>NO</t>
        </is>
      </c>
      <c r="S894" t="inlineStr">
        <is>
          <t>Venue Rental (2 days / Robinsons Galleria)</t>
        </is>
      </c>
      <c r="T894">
        <v>1</v>
      </c>
      <c r="U894">
        <v>149402</v>
      </c>
      <c r="V894" t="inlineStr">
        <is>
          <t>PHP</t>
        </is>
      </c>
      <c r="W894">
        <v>149402</v>
      </c>
      <c r="X894" s="2" t="str">
        <f>=HYPERLINK("https://www.larksuite.com/approval/admin/previewAttachment?key=PMgxDsIwDAXQK33b3_kxl2FJVEFLWZDYcnYkhq6vdUPradEKLPOCLWU4GZWupuzu1PJlUkEm5Jrndp_R9_drnPtxPJNjfR9jmx_LkjsUZHQAdrs8RLKqEX_HLwAA__8", "3 attachment(s)")</f>
        <v>3 attachment(s)</v>
      </c>
      <c r="Y894" t="inlineStr">
        <is>
          <t>Bank Transfer</t>
        </is>
      </c>
      <c r="Z894" t="inlineStr">
        <is>
          <t>Robinsons Land Corporation</t>
        </is>
      </c>
      <c r="AA894" t="inlineStr">
        <is>
          <t>100-23-000-853-2</t>
        </is>
      </c>
      <c r="AB894" t="inlineStr">
        <is>
          <t>Robinsons Bank Corporation</t>
        </is>
      </c>
      <c r="AC894" t="inlineStr">
        <is>
          <t>Level 2, Galleria Corporate Center, Robinsons Galleria, Edsa Corner, Ortigas Ave., Quezon City</t>
        </is>
      </c>
      <c r="AD894" s="4">
        <v>45854</v>
      </c>
      <c r="AE894" t="inlineStr">
        <is>
          <t>100% Full Payment before ingress</t>
        </is>
      </c>
      <c r="AF894" s="2"/>
      <c r="AG894" t="inlineStr">
        <is>
          <t>NzQyNTk5MTgyNzQ4MTg3MDM0MTozNTk5ODRGRi0yRkVGLTQ0NTctQTY2MS1FOUQ0OERBRThFMUEtMTowY2IwYmYwNjQ3ODAxMjQ1MmM5ZTBlNTY0MTg4Y2U3Zjox</t>
        </is>
      </c>
      <c r="AH894" t="inlineStr">
        <is>
          <t>Robinsons Land Corp.</t>
        </is>
      </c>
      <c r="AI894"/>
      <c r="AJ894"/>
      <c r="AK894"/>
    </row>
    <row r="895" ht="25.5" customHeight="1">
      <c r="A895" s="2" t="str">
        <f>=HYPERLINK("https://applink.larksuite.com/client/mini_program/open?appId=cli_9c7cc8a9a9edd105&amp;mode=appCenter&amp;path_pc=pc/pages/requested/index?instanceId=7532442202190905376&amp;source=bitable&amp;path=pages/detail/index?instanceId=7532442202190905376&amp;source=bitable", "202507290111")</f>
        <v>202507290111</v>
      </c>
      <c r="B895" t="inlineStr">
        <is>
          <t>Approved</t>
        </is>
      </c>
      <c r="C895" t="inlineStr">
        <is>
          <t>Procurement Order</t>
        </is>
      </c>
      <c r="D895" s="3">
        <v>45867.751921296294</v>
      </c>
      <c r="E895" s="3">
        <v>45868.447430555556</v>
      </c>
      <c r="F895" t="inlineStr">
        <is>
          <t>Fatima Kathleen M. FLores</t>
        </is>
      </c>
      <c r="G895" t="inlineStr">
        <is>
          <t>Procurement</t>
        </is>
      </c>
      <c r="H895"/>
      <c r="I895"/>
      <c r="J895" t="inlineStr">
        <is>
          <t>Project</t>
        </is>
      </c>
      <c r="K895" t="inlineStr">
        <is>
          <t>PDEI - Game Marketing</t>
        </is>
      </c>
      <c r="L895" t="inlineStr">
        <is>
          <t>PGDX Outpost by Mineski</t>
        </is>
      </c>
      <c r="M895" t="inlineStr">
        <is>
          <t>2025TEG-P0171</t>
        </is>
      </c>
      <c r="N895" t="inlineStr">
        <is>
          <t>Katherine Denise Lee Sy</t>
        </is>
      </c>
      <c r="O895" t="inlineStr">
        <is>
          <t>202507230082-Katherine Denise Lee Sy-费用报销 - 副本 - 副本 - 副本-2025-07-23 09:56:51</t>
        </is>
      </c>
      <c r="P895" t="inlineStr">
        <is>
          <t>NO</t>
        </is>
      </c>
      <c r="Q895"/>
      <c r="R895" t="inlineStr">
        <is>
          <t>NO</t>
        </is>
      </c>
      <c r="S895" t="inlineStr">
        <is>
          <t>PS5 Rental (3 days)</t>
        </is>
      </c>
      <c r="T895">
        <v>1</v>
      </c>
      <c r="U895">
        <v>4750</v>
      </c>
      <c r="V895" t="inlineStr">
        <is>
          <t>PHP</t>
        </is>
      </c>
      <c r="W895">
        <v>4750</v>
      </c>
      <c r="X895" s="2" t="str">
        <f>=HYPERLINK("https://www.larksuite.com/approval/admin/previewAttachment?key=PMhBCsJQDATQK02SyU_Gy7ixFBGEgrS7nF1w4fatNqxOiyVQ5oJNZTjpDjdByKg1PlYllBVytvd-b17b-cqjlYefOdfzsW8fS5U7KshoAHb7exRJaRE_xzcAAP__", "2 attachment(s)")</f>
        <v>2 attachment(s)</v>
      </c>
      <c r="Y895" t="inlineStr">
        <is>
          <t>Bank Transfer</t>
        </is>
      </c>
      <c r="Z895" t="inlineStr">
        <is>
          <t>John Escolano</t>
        </is>
      </c>
      <c r="AA895" t="inlineStr">
        <is>
          <t>3549713385</t>
        </is>
      </c>
      <c r="AB895" t="inlineStr">
        <is>
          <t>BPI</t>
        </is>
      </c>
      <c r="AC895" t="inlineStr">
        <is>
          <t>42 Stall 2 Diamond Street, Capitol View Park, Bulihan, Malolos Bulacan</t>
        </is>
      </c>
      <c r="AD895" s="4">
        <v>45863</v>
      </c>
      <c r="AE895" t="inlineStr">
        <is>
          <t>100% Full Payment - Aug. 1, 2025</t>
        </is>
      </c>
      <c r="AF895" s="2"/>
      <c r="AG895" t="inlineStr">
        <is>
          <t>NzQyNTk5MTgyNzQ4MTg3MDM0MTo0OTIxQkFGNC1CQzExLTRCRTgtQTAwNS00MjBFQjQzM0UwQzUtMToyYjE3NzFkYjVkZmJlMGNhMGE4OGIwNmI3ZmJjMDE4Mzox</t>
        </is>
      </c>
      <c r="AH895" t="inlineStr">
        <is>
          <t>John Escolano</t>
        </is>
      </c>
      <c r="AI895"/>
      <c r="AJ895"/>
      <c r="AK895"/>
    </row>
    <row r="896" ht="25.5" customHeight="1">
      <c r="A896" s="2" t="str">
        <f>=HYPERLINK("https://applink.larksuite.com/client/mini_program/open?appId=cli_9c7cc8a9a9edd105&amp;mode=appCenter&amp;path_pc=pc/pages/requested/index?instanceId=7532447341652000800&amp;source=bitable&amp;path=pages/detail/index?instanceId=7532447341652000800&amp;source=bitable", "202507290115")</f>
        <v>202507290115</v>
      </c>
      <c r="B896" t="inlineStr">
        <is>
          <t>Approved</t>
        </is>
      </c>
      <c r="C896" t="inlineStr">
        <is>
          <t>Procurement Order</t>
        </is>
      </c>
      <c r="D896" s="3">
        <v>45867.76577546296</v>
      </c>
      <c r="E896" s="3">
        <v>45868.45101851852</v>
      </c>
      <c r="F896" t="inlineStr">
        <is>
          <t>Fatima Kathleen M. FLores</t>
        </is>
      </c>
      <c r="G896" t="inlineStr">
        <is>
          <t>Procurement</t>
        </is>
      </c>
      <c r="H896"/>
      <c r="I896"/>
      <c r="J896" t="inlineStr">
        <is>
          <t>Project</t>
        </is>
      </c>
      <c r="K896" t="inlineStr">
        <is>
          <t>PDEI - Game Marketing</t>
        </is>
      </c>
      <c r="L896" t="inlineStr">
        <is>
          <t>Met Park Community Run (Federal Land)</t>
        </is>
      </c>
      <c r="M896" t="inlineStr">
        <is>
          <t>2025TEG-P0204</t>
        </is>
      </c>
      <c r="N896" t="inlineStr">
        <is>
          <t>Maura Aurel Atilano Yap</t>
        </is>
      </c>
      <c r="O896" t="inlineStr">
        <is>
          <t>202507220012-Maura Aurel Atilano Yap-费用报销 - 副本 - 副本 - 副本-2025-07-22 03:05:52;202507220075-Maura Aurel Atilano Yap-费用报销 - 副本 - 副本 - 副本-2025-07-22 08:35:20</t>
        </is>
      </c>
      <c r="P896" t="inlineStr">
        <is>
          <t>NO</t>
        </is>
      </c>
      <c r="Q896"/>
      <c r="R896" t="inlineStr">
        <is>
          <t>NO</t>
        </is>
      </c>
      <c r="S896" t="inlineStr">
        <is>
          <t>Photo frame - Sticker on Sintra 32x48inches</t>
        </is>
      </c>
      <c r="T896">
        <v>1</v>
      </c>
      <c r="U896">
        <v>1600</v>
      </c>
      <c r="V896" t="inlineStr">
        <is>
          <t>PHP</t>
        </is>
      </c>
      <c r="W896">
        <v>1600</v>
      </c>
      <c r="X896" s="2"/>
      <c r="Y896" t="inlineStr">
        <is>
          <t>Bank Transfer</t>
        </is>
      </c>
      <c r="Z896" t="inlineStr">
        <is>
          <t>MaxPrecision Corporation</t>
        </is>
      </c>
      <c r="AA896" t="inlineStr">
        <is>
          <t>4440117166</t>
        </is>
      </c>
      <c r="AB896" t="inlineStr">
        <is>
          <t>BDO</t>
        </is>
      </c>
      <c r="AC896" t="inlineStr">
        <is>
          <t>No. 5 Lt. Artiaga Street, Brgy Corazon De Jesus San Juan</t>
        </is>
      </c>
      <c r="AD896" s="4">
        <v>45863</v>
      </c>
      <c r="AE896" t="inlineStr">
        <is>
          <t>100% Full Payment - 30 days upon complete delivery</t>
        </is>
      </c>
      <c r="AF896" s="2"/>
      <c r="AG896" t="inlineStr">
        <is>
          <t>NzQyNTk5MTgyNzQ4MTg3MDM0MToyN0ZDREM4My1GMzQ0LTQ5NjMtODlFQS03MEY5QUU3MDIxMUEtMTpjNmJmNDMwNjIyZTIxMzdhNmVlOGU5ZDkyZTUwZDc5ZDox</t>
        </is>
      </c>
      <c r="AH896" t="inlineStr">
        <is>
          <t>MaxPrecision Corporation</t>
        </is>
      </c>
      <c r="AI896"/>
      <c r="AJ896"/>
      <c r="AK896"/>
    </row>
    <row r="897" ht="25.5" customHeight="1">
      <c r="A897" s="2" t="str">
        <f>=HYPERLINK("https://applink.larksuite.com/client/mini_program/open?appId=cli_9c7cc8a9a9edd105&amp;mode=appCenter&amp;path_pc=pc/pages/requested/index?instanceId=7532447341652000800&amp;source=bitable&amp;path=pages/detail/index?instanceId=7532447341652000800&amp;source=bitable", "202507290115")</f>
        <v>202507290115</v>
      </c>
      <c r="B897" t="inlineStr">
        <is>
          <t>Approved</t>
        </is>
      </c>
      <c r="C897" t="inlineStr">
        <is>
          <t>Procurement Order</t>
        </is>
      </c>
      <c r="D897" s="3">
        <v>45867.76577546296</v>
      </c>
      <c r="E897" s="3">
        <v>45868.45101851852</v>
      </c>
      <c r="F897" t="inlineStr">
        <is>
          <t>Fatima Kathleen M. FLores</t>
        </is>
      </c>
      <c r="G897" t="inlineStr">
        <is>
          <t>Procurement</t>
        </is>
      </c>
      <c r="H897"/>
      <c r="I897"/>
      <c r="J897" t="inlineStr">
        <is>
          <t>Project</t>
        </is>
      </c>
      <c r="K897" t="inlineStr">
        <is>
          <t>PDEI - Game Marketing</t>
        </is>
      </c>
      <c r="L897" t="inlineStr">
        <is>
          <t>Met Park Community Run (Federal Land)</t>
        </is>
      </c>
      <c r="M897" t="inlineStr">
        <is>
          <t>2025TEG-P0204</t>
        </is>
      </c>
      <c r="N897" t="inlineStr">
        <is>
          <t>Maura Aurel Atilano Yap</t>
        </is>
      </c>
      <c r="O897" t="inlineStr">
        <is>
          <t>202507220012-Maura Aurel Atilano Yap-费用报销 - 副本 - 副本 - 副本-2025-07-22 03:05:52;202507220075-Maura Aurel Atilano Yap-费用报销 - 副本 - 副本 - 副本-2025-07-22 08:35:20</t>
        </is>
      </c>
      <c r="P897" t="inlineStr">
        <is>
          <t>NO</t>
        </is>
      </c>
      <c r="Q897"/>
      <c r="R897" t="inlineStr">
        <is>
          <t>NO</t>
        </is>
      </c>
      <c r="S897" t="inlineStr">
        <is>
          <t>Vinyl Matte Floor Sticker 6x12inches</t>
        </is>
      </c>
      <c r="T897">
        <v>15</v>
      </c>
      <c r="U897">
        <v>80</v>
      </c>
      <c r="V897" t="inlineStr">
        <is>
          <t>PHP</t>
        </is>
      </c>
      <c r="W897">
        <v>1200</v>
      </c>
      <c r="X897" s="2" t="str">
        <f>=HYPERLINK("https://www.larksuite.com/approval/admin/previewAttachment?key=PMgxCgJBDAXQK_2f_EkmXsbGZVFcQRAHLHJ2wcL2xSRiDnoUVLQCO4eblC7GMAATaGtmFpKJ0dtjP3_WDvn7idtxP7h6XS_79uKoNEO65BMAT3_3lFQVws_5DQAA__8", "3 attachment(s)")</f>
        <v>3 attachment(s)</v>
      </c>
      <c r="Y897"/>
      <c r="Z897"/>
      <c r="AA897"/>
      <c r="AB897"/>
      <c r="AC897"/>
      <c r="AD897" s="4"/>
      <c r="AE897"/>
      <c r="AF897" s="2"/>
      <c r="AG897" t="inlineStr">
        <is>
          <t>NzQyNTk5MTgyNzQ4MTg3MDM0MToyN0ZDREM4My1GMzQ0LTQ5NjMtODlFQS03MEY5QUU3MDIxMUEtMjo3OTg2YzMyOTA3MzIxOWQ2MjZkNzk4MTllOTYyODBiZjox</t>
        </is>
      </c>
      <c r="AH897"/>
      <c r="AI897"/>
      <c r="AJ897"/>
      <c r="AK897"/>
    </row>
    <row r="898" ht="25.5" customHeight="1">
      <c r="A898" s="2" t="str">
        <f>=HYPERLINK("https://applink.larksuite.com/client/mini_program/open?appId=cli_9c7cc8a9a9edd105&amp;mode=appCenter&amp;path_pc=pc/pages/requested/index?instanceId=7532460005593743399&amp;source=bitable&amp;path=pages/detail/index?instanceId=7532460005593743399&amp;source=bitable", "202507290121")</f>
        <v>202507290121</v>
      </c>
      <c r="B898" t="inlineStr">
        <is>
          <t>Approved</t>
        </is>
      </c>
      <c r="C898" t="inlineStr">
        <is>
          <t>Procurement Order</t>
        </is>
      </c>
      <c r="D898" s="3">
        <v>45867.799895833334</v>
      </c>
      <c r="E898" s="3">
        <v>45870.62935185185</v>
      </c>
      <c r="F898" t="inlineStr">
        <is>
          <t>Fatima Kathleen M. FLores</t>
        </is>
      </c>
      <c r="G898" t="inlineStr">
        <is>
          <t>Procurement</t>
        </is>
      </c>
      <c r="H898"/>
      <c r="I898"/>
      <c r="J898" t="inlineStr">
        <is>
          <t>Project</t>
        </is>
      </c>
      <c r="K898" t="inlineStr">
        <is>
          <t>PDEI - Event Service</t>
        </is>
      </c>
      <c r="L898" t="inlineStr">
        <is>
          <t>MDL PH S6 Qualifiers &amp; Regular Season</t>
        </is>
      </c>
      <c r="M898" t="inlineStr">
        <is>
          <t>2025TEG-P0200</t>
        </is>
      </c>
      <c r="N898" t="inlineStr">
        <is>
          <t>Kervin</t>
        </is>
      </c>
      <c r="O898" t="inlineStr">
        <is>
          <t>202507100048-Kervin-费用报销 - 副本 - 副本 - 副本-2025-07-10 05:39:58</t>
        </is>
      </c>
      <c r="P898" t="inlineStr">
        <is>
          <t>YES</t>
        </is>
      </c>
      <c r="Q898"/>
      <c r="R898" t="inlineStr">
        <is>
          <t>NO</t>
        </is>
      </c>
      <c r="S898" t="inlineStr">
        <is>
          <t>Outsourced Lead Stream Engineer</t>
        </is>
      </c>
      <c r="T898">
        <v>1</v>
      </c>
      <c r="U898">
        <v>38000</v>
      </c>
      <c r="V898" t="inlineStr">
        <is>
          <t>PHP</t>
        </is>
      </c>
      <c r="W898">
        <v>38000</v>
      </c>
      <c r="X898" s="2" t="str">
        <f>=HYPERLINK("https://www.larksuite.com/approval/admin/previewAttachment?key=PMgxCoIxDAXgK700SV-fl3GxFAXrIor_kLMLDq5fH4Y-0rwLIWuCFdNbdACZcoa7VK2MFGhE1tzr_DoWdT8-3Lkf81bv62XNp6XYGugRPgDY6e_OiJB64Of4BgAA__8", "2 attachment(s)")</f>
        <v>2 attachment(s)</v>
      </c>
      <c r="Y898" t="inlineStr">
        <is>
          <t>Bank Transfer</t>
        </is>
      </c>
      <c r="Z898" t="inlineStr">
        <is>
          <t>SEAN JHONAS A. ARAGO</t>
        </is>
      </c>
      <c r="AA898" t="inlineStr">
        <is>
          <t>011880108133</t>
        </is>
      </c>
      <c r="AB898" t="inlineStr">
        <is>
          <t>BDO</t>
        </is>
      </c>
      <c r="AC898" t="inlineStr">
        <is>
          <t>7 SUNFLOWER ST. LUMANG BAYAN EXECUTIVE VILLAGE, BRGY. MAYAMOT, ANTIPOLO CITY</t>
        </is>
      </c>
      <c r="AD898" s="4">
        <v>45887</v>
      </c>
      <c r="AE898" t="inlineStr">
        <is>
          <t>1st Payment - Aug. 29, 2025
2nd Payment - Sept. 12, 2025
3rd Payment - Sept. 26, 2025
4th Payment - Oct. 10, 2025
Final Payment - Oct. 31, 2025</t>
        </is>
      </c>
      <c r="AF898" s="2"/>
      <c r="AG898" t="inlineStr">
        <is>
          <t>NzQyNTk5MTgyNzQ4MTg3MDM0MTo1M0VENkJBMC1BNEIxLTRFQ0ItQjUwMy02MEQxMDc3RDM0RjItMTowYWI1M2QyNTA4NTcxNDNhNzEwYjg3ZjIyNzAyNTJiMTox</t>
        </is>
      </c>
      <c r="AH898" t="inlineStr">
        <is>
          <t>SEAN JHONAS A. ARAGO</t>
        </is>
      </c>
      <c r="AI898"/>
      <c r="AJ898"/>
      <c r="AK898"/>
    </row>
    <row r="899" ht="25.5" customHeight="1">
      <c r="A899" s="2" t="str">
        <f>=HYPERLINK("https://applink.larksuite.com/client/mini_program/open?appId=cli_9c7cc8a9a9edd105&amp;mode=appCenter&amp;path_pc=pc/pages/requested/index?instanceId=7532713580320374815&amp;source=bitable&amp;path=pages/detail/index?instanceId=7532713580320374815&amp;source=bitable", "202507300018")</f>
        <v>202507300018</v>
      </c>
      <c r="B899" t="inlineStr">
        <is>
          <t>Approved</t>
        </is>
      </c>
      <c r="C899" t="inlineStr">
        <is>
          <t>Procurement Order</t>
        </is>
      </c>
      <c r="D899" s="3">
        <v>45868.48322916667</v>
      </c>
      <c r="E899" s="3">
        <v>45868.57729166667</v>
      </c>
      <c r="F899" t="inlineStr">
        <is>
          <t>Fatima Kathleen M. FLores</t>
        </is>
      </c>
      <c r="G899" t="inlineStr">
        <is>
          <t>Procurement</t>
        </is>
      </c>
      <c r="H899"/>
      <c r="I899"/>
      <c r="J899" t="inlineStr">
        <is>
          <t>Project</t>
        </is>
      </c>
      <c r="K899" t="inlineStr">
        <is>
          <t>PDEI - Game Marketing</t>
        </is>
      </c>
      <c r="L899" t="inlineStr">
        <is>
          <t>1xbet VEEWISE watch party</t>
        </is>
      </c>
      <c r="M899" t="inlineStr">
        <is>
          <t>2025TEG-P0181</t>
        </is>
      </c>
      <c r="N899" t="inlineStr">
        <is>
          <t>Katherine Denise Lee Sy</t>
        </is>
      </c>
      <c r="O899" t="inlineStr">
        <is>
          <t>202507300011-Katherine Denise Lee Sy-费用报销 - 副本 - 副本 - 副本-2025-07-30 03:09:06</t>
        </is>
      </c>
      <c r="P899" t="inlineStr">
        <is>
          <t>NO</t>
        </is>
      </c>
      <c r="Q899"/>
      <c r="R899" t="inlineStr">
        <is>
          <t>NO</t>
        </is>
      </c>
      <c r="S899" t="inlineStr">
        <is>
          <t>Stage and On-ground Fabrication</t>
        </is>
      </c>
      <c r="T899">
        <v>1</v>
      </c>
      <c r="U899">
        <v>100000</v>
      </c>
      <c r="V899" t="inlineStr">
        <is>
          <t>PHP</t>
        </is>
      </c>
      <c r="W899">
        <v>100000</v>
      </c>
      <c r="X899" s="2" t="str">
        <f>=HYPERLINK("https://www.larksuite.com/approval/admin/previewAttachment?key=PMg7roIhFATgLc2cB8O5m7mN5I_BYGOkY-0mFrZf60TrSW-FKFqBR-kmena4wRWdeexQKohCnrGu_7nG3o8VOUc93_Ps--0aL2bJDPII7wD493NXRFS1wNfxCQAA__8", "2 attachment(s)")</f>
        <v>2 attachment(s)</v>
      </c>
      <c r="Y899" t="inlineStr">
        <is>
          <t>Bank Transfer</t>
        </is>
      </c>
      <c r="Z899" t="inlineStr">
        <is>
          <t>STAGE ONE EVENT SERVICES CORP.</t>
        </is>
      </c>
      <c r="AA899" t="inlineStr">
        <is>
          <t>0124 0800 3549</t>
        </is>
      </c>
      <c r="AB899" t="inlineStr">
        <is>
          <t>BDO</t>
        </is>
      </c>
      <c r="AC899" t="inlineStr">
        <is>
          <t>Kamagong St. cor. Ipil St. Hillcrest Village, Brgy. 173 Camarin, Caloocan</t>
        </is>
      </c>
      <c r="AD899" s="4">
        <v>45870</v>
      </c>
      <c r="AE899" t="inlineStr">
        <is>
          <t>100% Full Payment before ingress</t>
        </is>
      </c>
      <c r="AF899" s="2"/>
      <c r="AG899" t="inlineStr">
        <is>
          <t>NzQyNTk5MTgyNzQ4MTg3MDM0MTo2MkU2QzBFMS1BNUNBLTQzNTItQUE1Ny0wQTc5QUJDM0NFQjAtMTpkMmFhN2JiMjRhZjQ1MjI5MThjNDgzZDA4ZTYxNGJhOTox</t>
        </is>
      </c>
      <c r="AH899" t="inlineStr">
        <is>
          <t>STAGE ONE EVENT SERVICES CORP.</t>
        </is>
      </c>
      <c r="AI899"/>
      <c r="AJ899"/>
      <c r="AK899"/>
    </row>
    <row r="900" ht="25.5" customHeight="1">
      <c r="A900" s="2" t="str">
        <f>=HYPERLINK("https://applink.larksuite.com/client/mini_program/open?appId=cli_9c7cc8a9a9edd105&amp;mode=appCenter&amp;path_pc=pc/pages/requested/index?instanceId=7532757416279080992&amp;source=bitable&amp;path=pages/detail/index?instanceId=7532757416279080992&amp;source=bitable", "202507300041")</f>
        <v>202507300041</v>
      </c>
      <c r="B900" t="inlineStr">
        <is>
          <t>Approved</t>
        </is>
      </c>
      <c r="C900" t="inlineStr">
        <is>
          <t>Procurement Order</t>
        </is>
      </c>
      <c r="D900" s="3">
        <v>45868.60135416667</v>
      </c>
      <c r="E900" s="3">
        <v>45869.5653125</v>
      </c>
      <c r="F900" t="inlineStr">
        <is>
          <t>Fatima Kathleen M. FLores</t>
        </is>
      </c>
      <c r="G900" t="inlineStr">
        <is>
          <t>Procurement</t>
        </is>
      </c>
      <c r="H900"/>
      <c r="I900"/>
      <c r="J900" t="inlineStr">
        <is>
          <t>Project</t>
        </is>
      </c>
      <c r="K900" t="inlineStr">
        <is>
          <t>PDEI - Game Marketing</t>
        </is>
      </c>
      <c r="L900" t="inlineStr">
        <is>
          <t>1xbet VEEWISE watch party</t>
        </is>
      </c>
      <c r="M900" t="inlineStr">
        <is>
          <t>2025TEG-P0181</t>
        </is>
      </c>
      <c r="N900" t="inlineStr">
        <is>
          <t>Katherine Denise Lee Sy</t>
        </is>
      </c>
      <c r="O900" t="inlineStr">
        <is>
          <t>202507300032-Katherine Denise Lee Sy-费用报销 - 副本 - 副本 - 副本-2025-07-30 06:04:57</t>
        </is>
      </c>
      <c r="P900" t="inlineStr">
        <is>
          <t>NO</t>
        </is>
      </c>
      <c r="Q900"/>
      <c r="R900" t="inlineStr">
        <is>
          <t>NO</t>
        </is>
      </c>
      <c r="S900" t="inlineStr">
        <is>
          <t>Gachapon Machine Rental with tokens</t>
        </is>
      </c>
      <c r="T900">
        <v>1</v>
      </c>
      <c r="U900">
        <v>5500</v>
      </c>
      <c r="V900" t="inlineStr">
        <is>
          <t>PHP</t>
        </is>
      </c>
      <c r="W900">
        <v>5500</v>
      </c>
      <c r="X900" s="2"/>
      <c r="Y900" t="inlineStr">
        <is>
          <t>Bank Transfer</t>
        </is>
      </c>
      <c r="Z900" t="inlineStr">
        <is>
          <t>Maria Margarita Zamora</t>
        </is>
      </c>
      <c r="AA900" t="inlineStr">
        <is>
          <t>004120101749</t>
        </is>
      </c>
      <c r="AB900" t="inlineStr">
        <is>
          <t>BDO</t>
        </is>
      </c>
      <c r="AC900" t="inlineStr">
        <is>
          <t>68 P. Willis St., BF Heva BF Homes, Paranaque City</t>
        </is>
      </c>
      <c r="AD900" s="4">
        <v>45870</v>
      </c>
      <c r="AE900" t="inlineStr">
        <is>
          <t>100% Full Payment before ingress</t>
        </is>
      </c>
      <c r="AF900" s="2" t="str">
        <f>=HYPERLINK("https://www.larksuite.com/approval/admin/previewAttachment?key=TMhNisJAFATgK1X1--uay8zGJiiSEBCze2cXXLn9chI5g5aCi0NgV9ioKGeOEiak0aNZJRQL0Wvf_h_XeRz7irc_3e3s637b1os5LeEKdwoA_36chKalfR2fAAAA__8", "2 attachment(s)")</f>
        <v>2 attachment(s)</v>
      </c>
      <c r="AG900" t="inlineStr">
        <is>
          <t>NzQyNTk5MTgyNzQ4MTg3MDM0MTpGQUVDODRCOC05ODgwLTRGOTctQUQ3Ri02MUMwREJGODE3QzMtMToxMGEwMzc4NWJmMDU2ZjQ3NTAwOGVjNWE4NmI4OTZjNDox</t>
        </is>
      </c>
      <c r="AH900" t="inlineStr">
        <is>
          <t>Go Gatcha Party Needs Rental</t>
        </is>
      </c>
      <c r="AI900"/>
      <c r="AJ900"/>
      <c r="AK900"/>
    </row>
    <row r="901" ht="25.5" customHeight="1">
      <c r="A901" s="2" t="str">
        <f>=HYPERLINK("https://applink.larksuite.com/client/mini_program/open?appId=cli_9c7cc8a9a9edd105&amp;mode=appCenter&amp;path_pc=pc/pages/requested/index?instanceId=7532757416279080992&amp;source=bitable&amp;path=pages/detail/index?instanceId=7532757416279080992&amp;source=bitable", "202507300041")</f>
        <v>202507300041</v>
      </c>
      <c r="B901" t="inlineStr">
        <is>
          <t>Approved</t>
        </is>
      </c>
      <c r="C901" t="inlineStr">
        <is>
          <t>Procurement Order</t>
        </is>
      </c>
      <c r="D901" s="3">
        <v>45868.60135416667</v>
      </c>
      <c r="E901" s="3">
        <v>45869.5653125</v>
      </c>
      <c r="F901" t="inlineStr">
        <is>
          <t>Fatima Kathleen M. FLores</t>
        </is>
      </c>
      <c r="G901" t="inlineStr">
        <is>
          <t>Procurement</t>
        </is>
      </c>
      <c r="H901"/>
      <c r="I901"/>
      <c r="J901" t="inlineStr">
        <is>
          <t>Project</t>
        </is>
      </c>
      <c r="K901" t="inlineStr">
        <is>
          <t>PDEI - Game Marketing</t>
        </is>
      </c>
      <c r="L901" t="inlineStr">
        <is>
          <t>1xbet VEEWISE watch party</t>
        </is>
      </c>
      <c r="M901" t="inlineStr">
        <is>
          <t>2025TEG-P0181</t>
        </is>
      </c>
      <c r="N901" t="inlineStr">
        <is>
          <t>Katherine Denise Lee Sy</t>
        </is>
      </c>
      <c r="O901" t="inlineStr">
        <is>
          <t>202507300032-Katherine Denise Lee Sy-费用报销 - 副本 - 副本 - 副本-2025-07-30 06:04:57</t>
        </is>
      </c>
      <c r="P901" t="inlineStr">
        <is>
          <t>NO</t>
        </is>
      </c>
      <c r="Q901"/>
      <c r="R901" t="inlineStr">
        <is>
          <t>NO</t>
        </is>
      </c>
      <c r="S901" t="inlineStr">
        <is>
          <t>Gachapon Balls</t>
        </is>
      </c>
      <c r="T901">
        <v>100</v>
      </c>
      <c r="U901">
        <v>0</v>
      </c>
      <c r="V901" t="inlineStr">
        <is>
          <t>PHP</t>
        </is>
      </c>
      <c r="W901">
        <v>0</v>
      </c>
      <c r="X901" s="2"/>
      <c r="Y901"/>
      <c r="Z901"/>
      <c r="AA901"/>
      <c r="AB901"/>
      <c r="AC901"/>
      <c r="AD901" s="4"/>
      <c r="AE901"/>
      <c r="AF901" s="2"/>
      <c r="AG901" t="inlineStr">
        <is>
          <t>NzQyNTk5MTgyNzQ4MTg3MDM0MTpGQUVDODRCOC05ODgwLTRGOTctQUQ3Ri02MUMwREJGODE3QzMtMjo5NzQ0MGY2NTc2ZjU4OGE0MTg3Y2I5MTZiYmUxYTk4Njox</t>
        </is>
      </c>
      <c r="AH901"/>
      <c r="AI901"/>
      <c r="AJ901"/>
      <c r="AK901"/>
    </row>
    <row r="902" ht="25.5" customHeight="1">
      <c r="A902" s="2" t="str">
        <f>=HYPERLINK("https://applink.larksuite.com/client/mini_program/open?appId=cli_9c7cc8a9a9edd105&amp;mode=appCenter&amp;path_pc=pc/pages/requested/index?instanceId=7532757416279080992&amp;source=bitable&amp;path=pages/detail/index?instanceId=7532757416279080992&amp;source=bitable", "202507300041")</f>
        <v>202507300041</v>
      </c>
      <c r="B902" t="inlineStr">
        <is>
          <t>Approved</t>
        </is>
      </c>
      <c r="C902" t="inlineStr">
        <is>
          <t>Procurement Order</t>
        </is>
      </c>
      <c r="D902" s="3">
        <v>45868.60135416667</v>
      </c>
      <c r="E902" s="3">
        <v>45869.5653125</v>
      </c>
      <c r="F902" t="inlineStr">
        <is>
          <t>Fatima Kathleen M. FLores</t>
        </is>
      </c>
      <c r="G902" t="inlineStr">
        <is>
          <t>Procurement</t>
        </is>
      </c>
      <c r="H902"/>
      <c r="I902"/>
      <c r="J902" t="inlineStr">
        <is>
          <t>Project</t>
        </is>
      </c>
      <c r="K902" t="inlineStr">
        <is>
          <t>PDEI - Game Marketing</t>
        </is>
      </c>
      <c r="L902" t="inlineStr">
        <is>
          <t>1xbet VEEWISE watch party</t>
        </is>
      </c>
      <c r="M902" t="inlineStr">
        <is>
          <t>2025TEG-P0181</t>
        </is>
      </c>
      <c r="N902" t="inlineStr">
        <is>
          <t>Katherine Denise Lee Sy</t>
        </is>
      </c>
      <c r="O902" t="inlineStr">
        <is>
          <t>202507300032-Katherine Denise Lee Sy-费用报销 - 副本 - 副本 - 副本-2025-07-30 06:04:57</t>
        </is>
      </c>
      <c r="P902" t="inlineStr">
        <is>
          <t>NO</t>
        </is>
      </c>
      <c r="Q902"/>
      <c r="R902" t="inlineStr">
        <is>
          <t>NO</t>
        </is>
      </c>
      <c r="S902" t="inlineStr">
        <is>
          <t>Security Deposit (to be refunded after return of machine)</t>
        </is>
      </c>
      <c r="T902">
        <v>1</v>
      </c>
      <c r="U902">
        <v>3000</v>
      </c>
      <c r="V902" t="inlineStr">
        <is>
          <t>PHP</t>
        </is>
      </c>
      <c r="W902">
        <v>3000</v>
      </c>
      <c r="X902" s="2" t="str">
        <f>=HYPERLINK("https://www.larksuite.com/approval/admin/previewAttachment?key=PMhBqgJBDATQK1WSSlfnX-ZvbAZFZhgQZ5ezCy7cvjENY6bFKLDMC9bKcKVow1WYqPL2NqkgE7LXvv0_rvM49pVvPsk4-7rftvWyLLlDQcYEYH8_D5GsGsTX_RMAAP__", "2 attachment(s)")</f>
        <v>2 attachment(s)</v>
      </c>
      <c r="Y902"/>
      <c r="Z902"/>
      <c r="AA902"/>
      <c r="AB902"/>
      <c r="AC902"/>
      <c r="AD902" s="4"/>
      <c r="AE902"/>
      <c r="AF902" s="2"/>
      <c r="AG902" t="inlineStr">
        <is>
          <t>NzQyNTk5MTgyNzQ4MTg3MDM0MTpGQUVDODRCOC05ODgwLTRGOTctQUQ3Ri02MUMwREJGODE3QzMtMzozNmFhNzdjODgzZmY5YjQwMzQwOGU0M2ExNDU2NDVjOTox</t>
        </is>
      </c>
      <c r="AH902"/>
      <c r="AI902"/>
      <c r="AJ902"/>
      <c r="AK902"/>
    </row>
    <row r="903" ht="25.5" customHeight="1">
      <c r="A903" s="2" t="str">
        <f>=HYPERLINK("https://applink.larksuite.com/client/mini_program/open?appId=cli_9c7cc8a9a9edd105&amp;mode=appCenter&amp;path_pc=pc/pages/requested/index?instanceId=7529393140201947168&amp;source=bitable&amp;path=pages/detail/index?instanceId=7529393140201947168&amp;source=bitable", "202507210026")</f>
        <v>202507210026</v>
      </c>
      <c r="B903" t="inlineStr">
        <is>
          <t>Approved</t>
        </is>
      </c>
      <c r="C903" t="inlineStr">
        <is>
          <t>Procurement Order</t>
        </is>
      </c>
      <c r="D903" s="3">
        <v>45859.5353125</v>
      </c>
      <c r="E903" s="3">
        <v>45870.6280787037</v>
      </c>
      <c r="F903" t="inlineStr">
        <is>
          <t>Fatima Kathleen M. FLores</t>
        </is>
      </c>
      <c r="G903" t="inlineStr">
        <is>
          <t>Procurement</t>
        </is>
      </c>
      <c r="H903"/>
      <c r="I903"/>
      <c r="J903" t="inlineStr">
        <is>
          <t>Project</t>
        </is>
      </c>
      <c r="K903" t="inlineStr">
        <is>
          <t>PDEI - Game Marketing</t>
        </is>
      </c>
      <c r="L903" t="inlineStr">
        <is>
          <t>SM Cyberzone Game Fest</t>
        </is>
      </c>
      <c r="M903" t="inlineStr">
        <is>
          <t>2025TEG-P0082</t>
        </is>
      </c>
      <c r="N903" t="inlineStr">
        <is>
          <t>Anteaus Villena</t>
        </is>
      </c>
      <c r="O903" t="inlineStr">
        <is>
          <t>202507140027-Anteaus Villena-费用报销 - 副本 - 副本 - 副本-2025-07-14 04:38:13</t>
        </is>
      </c>
      <c r="P903" t="inlineStr">
        <is>
          <t>NO</t>
        </is>
      </c>
      <c r="Q903"/>
      <c r="R903" t="inlineStr">
        <is>
          <t>YES</t>
        </is>
      </c>
      <c r="S903" t="inlineStr">
        <is>
          <t>Replacement of Brokent CRT TV (Sony 16")</t>
        </is>
      </c>
      <c r="T903">
        <v>1</v>
      </c>
      <c r="U903">
        <v>5000</v>
      </c>
      <c r="V903" t="inlineStr">
        <is>
          <t>PHP</t>
        </is>
      </c>
      <c r="W903">
        <v>5000</v>
      </c>
      <c r="X903" s="2" t="str">
        <f>=HYPERLINK("https://www.larksuite.com/approval/admin/previewAttachment?key=PMhBikIxEATQK1V1V1LpucxsDEHlK4Lwdzm74MLt64PoozF7QcUocLtFZSWFAEtmHzs27YJptD0f619xvJ43edL3dR77vF7WfLOVI-CUcgDg38_Tkqq68HV8AgAA__8", "2 attachment(s)")</f>
        <v>2 attachment(s)</v>
      </c>
      <c r="Y903" t="inlineStr">
        <is>
          <t>Bank Transfer</t>
        </is>
      </c>
      <c r="Z903" t="inlineStr">
        <is>
          <t>Jhonbelle Valenzuela</t>
        </is>
      </c>
      <c r="AA903" t="inlineStr">
        <is>
          <t>092-12-002403-8</t>
        </is>
      </c>
      <c r="AB903" t="inlineStr">
        <is>
          <t>Asia United Bank</t>
        </is>
      </c>
      <c r="AC903" t="inlineStr">
        <is>
          <t>Unit C Santana Peralta Compound, Mercedes Ave., Pasig City</t>
        </is>
      </c>
      <c r="AD903" s="4">
        <v>45798</v>
      </c>
      <c r="AE903" t="inlineStr">
        <is>
          <t>100% Full payment</t>
        </is>
      </c>
      <c r="AF903" s="2" t="str">
        <f>=HYPERLINK("https://www.larksuite.com/approval/admin/previewAttachment?key=TMhBikJBDATQK1V10klqLjMbm0blK4Lwdzm74MrtiyKiJi0EF4fAzjlkMjoGKE9G9WhmCsnE7PXY_z6O1_PmuZj3fR59Xi97vRllAdd0pwDw78dJqCzs6_gEAAD__w", "2 attachment(s)")</f>
        <v>2 attachment(s)</v>
      </c>
      <c r="AG903" t="inlineStr">
        <is>
          <t>NzQyNTk5MTgyNzQ4MTg3MDM0MTpCRDUyM0JFOC1DMUZDLTQ2QUItOEJBRC1GRjlDQTdBQTIxM0ItMTphZTU2NTg5YzY1Yjc0NGQ0OTNiOGFiMmJmZWI4OTNkMDox</t>
        </is>
      </c>
      <c r="AH903" t="inlineStr">
        <is>
          <t>PRG EVENTS ORGANIZING SERVICES</t>
        </is>
      </c>
      <c r="AI903"/>
      <c r="AJ903"/>
      <c r="AK903"/>
    </row>
    <row r="904" ht="25.5" customHeight="1">
      <c r="A904" s="2" t="str">
        <f>=HYPERLINK("https://applink.larksuite.com/client/mini_program/open?appId=cli_9c7cc8a9a9edd105&amp;mode=appCenter&amp;path_pc=pc/pages/requested/index?instanceId=7533128241852923943&amp;source=bitable&amp;path=pages/detail/index?instanceId=7533128241852923943&amp;source=bitable", "202507310063")</f>
        <v>202507310063</v>
      </c>
      <c r="B904" t="inlineStr">
        <is>
          <t>Approved</t>
        </is>
      </c>
      <c r="C904" t="inlineStr">
        <is>
          <t>Procurement Order</t>
        </is>
      </c>
      <c r="D904" s="3">
        <v>45869.60065972222</v>
      </c>
      <c r="E904" s="3">
        <v>45869.79991898148</v>
      </c>
      <c r="F904" t="inlineStr">
        <is>
          <t>Fatima Kathleen M. FLores</t>
        </is>
      </c>
      <c r="G904" t="inlineStr">
        <is>
          <t>Procurement</t>
        </is>
      </c>
      <c r="H904"/>
      <c r="I904"/>
      <c r="J904" t="inlineStr">
        <is>
          <t>Project</t>
        </is>
      </c>
      <c r="K904" t="inlineStr">
        <is>
          <t>PDEI - Game Marketing</t>
        </is>
      </c>
      <c r="L904" t="inlineStr">
        <is>
          <t>1xbet VEEWISE watch party</t>
        </is>
      </c>
      <c r="M904" t="inlineStr">
        <is>
          <t>2025TEG-P0181</t>
        </is>
      </c>
      <c r="N904" t="inlineStr">
        <is>
          <t>Katherine Denise Lee Sy</t>
        </is>
      </c>
      <c r="O904" t="inlineStr">
        <is>
          <t>202507310044-Katherine Denise Lee Sy-费用报销 - 副本 - 副本 - 副本-2025-07-31 05:21:56</t>
        </is>
      </c>
      <c r="P904" t="inlineStr">
        <is>
          <t>NO</t>
        </is>
      </c>
      <c r="Q904"/>
      <c r="R904" t="inlineStr">
        <is>
          <t>NO</t>
        </is>
      </c>
      <c r="S904" t="inlineStr">
        <is>
          <t>Rental of Lottery Drum / Tambiolo (2 days)</t>
        </is>
      </c>
      <c r="T904">
        <v>1</v>
      </c>
      <c r="U904">
        <v>1500</v>
      </c>
      <c r="V904" t="inlineStr">
        <is>
          <t>PHP</t>
        </is>
      </c>
      <c r="W904">
        <v>1500</v>
      </c>
      <c r="X904" s="2"/>
      <c r="Y904" t="inlineStr">
        <is>
          <t>Bank Transfer</t>
        </is>
      </c>
      <c r="Z904" t="inlineStr">
        <is>
          <t>Ma. Maureen P. Carreon</t>
        </is>
      </c>
      <c r="AA904" t="inlineStr">
        <is>
          <t>4179 0783 39</t>
        </is>
      </c>
      <c r="AB904" t="inlineStr">
        <is>
          <t>BPI</t>
        </is>
      </c>
      <c r="AC904" t="inlineStr">
        <is>
          <t>13 Kalachuchi St., Greenpark Village, Cainta, Rizal</t>
        </is>
      </c>
      <c r="AD904" s="4">
        <v>45870</v>
      </c>
      <c r="AE904" t="inlineStr">
        <is>
          <t>100% Full Payment before pick-up</t>
        </is>
      </c>
      <c r="AF904" s="2"/>
      <c r="AG904" t="inlineStr">
        <is>
          <t>NzQyNTk5MTgyNzQ4MTg3MDM0MTpBMThERDA5Qi02OTY3LTRGMjAtQThDOS0wMjY3RDkxQjIxMDEtMTpiMzlhYjlkZmFmYTY5NWEyODYyNzdjMWJjZDU4NmUzMDox</t>
        </is>
      </c>
      <c r="AH904" t="inlineStr">
        <is>
          <t>Ma. Maureen P. Carreon</t>
        </is>
      </c>
      <c r="AI904"/>
      <c r="AJ904"/>
      <c r="AK904"/>
    </row>
    <row r="905" ht="25.5" customHeight="1">
      <c r="A905" s="2" t="str">
        <f>=HYPERLINK("https://applink.larksuite.com/client/mini_program/open?appId=cli_9c7cc8a9a9edd105&amp;mode=appCenter&amp;path_pc=pc/pages/requested/index?instanceId=7533128241852923943&amp;source=bitable&amp;path=pages/detail/index?instanceId=7533128241852923943&amp;source=bitable", "202507310063")</f>
        <v>202507310063</v>
      </c>
      <c r="B905" t="inlineStr">
        <is>
          <t>Approved</t>
        </is>
      </c>
      <c r="C905" t="inlineStr">
        <is>
          <t>Procurement Order</t>
        </is>
      </c>
      <c r="D905" s="3">
        <v>45869.60065972222</v>
      </c>
      <c r="E905" s="3">
        <v>45869.79991898148</v>
      </c>
      <c r="F905" t="inlineStr">
        <is>
          <t>Fatima Kathleen M. FLores</t>
        </is>
      </c>
      <c r="G905" t="inlineStr">
        <is>
          <t>Procurement</t>
        </is>
      </c>
      <c r="H905"/>
      <c r="I905"/>
      <c r="J905" t="inlineStr">
        <is>
          <t>Project</t>
        </is>
      </c>
      <c r="K905" t="inlineStr">
        <is>
          <t>PDEI - Game Marketing</t>
        </is>
      </c>
      <c r="L905" t="inlineStr">
        <is>
          <t>1xbet VEEWISE watch party</t>
        </is>
      </c>
      <c r="M905" t="inlineStr">
        <is>
          <t>2025TEG-P0181</t>
        </is>
      </c>
      <c r="N905" t="inlineStr">
        <is>
          <t>Katherine Denise Lee Sy</t>
        </is>
      </c>
      <c r="O905" t="inlineStr">
        <is>
          <t>202507310044-Katherine Denise Lee Sy-费用报销 - 副本 - 副本 - 副本-2025-07-31 05:21:56</t>
        </is>
      </c>
      <c r="P905" t="inlineStr">
        <is>
          <t>NO</t>
        </is>
      </c>
      <c r="Q905"/>
      <c r="R905" t="inlineStr">
        <is>
          <t>NO</t>
        </is>
      </c>
      <c r="S905" t="inlineStr">
        <is>
          <t>Security Deposit (refundable after return of item)</t>
        </is>
      </c>
      <c r="T905">
        <v>1</v>
      </c>
      <c r="U905">
        <v>3000</v>
      </c>
      <c r="V905" t="inlineStr">
        <is>
          <t>PHP</t>
        </is>
      </c>
      <c r="W905">
        <v>3000</v>
      </c>
      <c r="X905" s="2" t="str">
        <f>=HYPERLINK("https://www.larksuite.com/approval/admin/previewAttachment?key=PMhBCsJADAXQK_2f_EwSL-NmSrFCQRC6m7MLLrp9o4hRQR8NNa3BleFOKxMrrM1bvmwxs5FMxNrO_RkxP3ZmvY9Lx_R1vea-fRmdZkiXvADwcbunpO4h_J2_AAAA__8", "2 attachment(s)")</f>
        <v>2 attachment(s)</v>
      </c>
      <c r="Y905"/>
      <c r="Z905"/>
      <c r="AA905"/>
      <c r="AB905"/>
      <c r="AC905"/>
      <c r="AD905" s="4"/>
      <c r="AE905"/>
      <c r="AF905" s="2"/>
      <c r="AG905" t="inlineStr">
        <is>
          <t>NzQyNTk5MTgyNzQ4MTg3MDM0MTpBMThERDA5Qi02OTY3LTRGMjAtQThDOS0wMjY3RDkxQjIxMDEtMjpiYWVlM2FkOTg3M2U2NTA3YzY5ZjM5ZjVkZDQ5NmU2ODox</t>
        </is>
      </c>
      <c r="AH905"/>
      <c r="AI905"/>
      <c r="AJ905"/>
      <c r="AK905"/>
    </row>
    <row r="906" ht="25.5" customHeight="1">
      <c r="A906" s="2" t="str">
        <f>=HYPERLINK("https://applink.larksuite.com/client/mini_program/open?appId=cli_9c7cc8a9a9edd105&amp;mode=appCenter&amp;path_pc=pc/pages/requested/index?instanceId=7533487295670370336&amp;source=bitable&amp;path=pages/detail/index?instanceId=7533487295670370336&amp;source=bitable", "202508010042")</f>
        <v>202508010042</v>
      </c>
      <c r="B906" t="inlineStr">
        <is>
          <t>Approved</t>
        </is>
      </c>
      <c r="C906" t="inlineStr">
        <is>
          <t>Procurement Order</t>
        </is>
      </c>
      <c r="D906" s="3">
        <v>45870.568240740744</v>
      </c>
      <c r="E906" s="3">
        <v>45870.624189814815</v>
      </c>
      <c r="F906" t="inlineStr">
        <is>
          <t>Fatima Kathleen M. FLores</t>
        </is>
      </c>
      <c r="G906" t="inlineStr">
        <is>
          <t>Procurement</t>
        </is>
      </c>
      <c r="H906"/>
      <c r="I906"/>
      <c r="J906" t="inlineStr">
        <is>
          <t>Project</t>
        </is>
      </c>
      <c r="K906" t="inlineStr">
        <is>
          <t>PDEI - Event Service</t>
        </is>
      </c>
      <c r="L906" t="inlineStr">
        <is>
          <t>MPL PH S16 Media Day</t>
        </is>
      </c>
      <c r="M906" t="inlineStr">
        <is>
          <t>2025TEG-P0194</t>
        </is>
      </c>
      <c r="N906" t="inlineStr">
        <is>
          <t>Jessica Jane Lor Felicilda</t>
        </is>
      </c>
      <c r="O906" t="inlineStr">
        <is>
          <t>202507310007-Jessica Jane Lor Felicilda-费用报销 - 副本 - 副本 - 副本-2025-07-31 02:31:33</t>
        </is>
      </c>
      <c r="P906" t="inlineStr">
        <is>
          <t>NO</t>
        </is>
      </c>
      <c r="Q906"/>
      <c r="R906" t="inlineStr">
        <is>
          <t>YES</t>
        </is>
      </c>
      <c r="S906" t="inlineStr">
        <is>
          <t>Studio Rental (Aug. 8 to 9, 2025)</t>
        </is>
      </c>
      <c r="T906">
        <v>1</v>
      </c>
      <c r="U906">
        <v>224000</v>
      </c>
      <c r="V906" t="inlineStr">
        <is>
          <t>PHP</t>
        </is>
      </c>
      <c r="W906">
        <v>224000</v>
      </c>
      <c r="X906" s="2" t="str">
        <f>=HYPERLINK("https://www.larksuite.com/approval/admin/previewAttachment?key=PMgxCkIxEATQK83ubHayXsbGEASNjSD-ImcXLH77shuyN2MWoswLttXI6PJqKVAgc_s2qSATco81r1yvwUebrvX8Hsf-3G9zvK2V3CFGsAOwy-lURFRl4O_4BQAA__8", "2 attachment(s)")</f>
        <v>2 attachment(s)</v>
      </c>
      <c r="Y906" t="inlineStr">
        <is>
          <t>Bank Transfer</t>
        </is>
      </c>
      <c r="Z906" t="inlineStr">
        <is>
          <t>Jonathan Elias Tal Placido</t>
        </is>
      </c>
      <c r="AA906" t="inlineStr">
        <is>
          <t>2729108203</t>
        </is>
      </c>
      <c r="AB906" t="inlineStr">
        <is>
          <t>BPI</t>
        </is>
      </c>
      <c r="AC906" t="inlineStr">
        <is>
          <t>No. 10 Dona Felicidad St., Holy Spirit, QC</t>
        </is>
      </c>
      <c r="AD906" s="4">
        <v>45877</v>
      </c>
      <c r="AE906" t="inlineStr">
        <is>
          <t>50% Down Payment upon confirmation
50% Final Payment before shoot date</t>
        </is>
      </c>
      <c r="AF906" s="2" t="str">
        <f>=HYPERLINK("https://www.larksuite.com/approval/admin/previewAttachment?key=TMg9CgIxFATgK81kkvfjZWwMQdDYCOIW7-yC1bafBWExKEv0ZEuwfEg9vOUwhxySVSu6J5wOq7nXVfs19Rir-X5-j6M-99uab1rI0HP0zgTAy8lJZMj0d_wCAAD__w", "1 attachment(s)")</f>
        <v>1 attachment(s)</v>
      </c>
      <c r="AG906" t="inlineStr">
        <is>
          <t>NzQyNTk5MTgyNzQ4MTg3MDM0MTo2Qjc2RUJFOS03NjIxLTRBNDctQkM2RC1FREI1RTMxOTVEQjEtMTpkMDVmOWIyNjE5NjkxZGViY2RmZTc0MzdmNzZhMjgyZTox</t>
        </is>
      </c>
      <c r="AH906" t="inlineStr">
        <is>
          <t>BACKYARD WAREHOUSE STUDIO / TOOTHLESS MULTIMEDIA PRODUCTION</t>
        </is>
      </c>
      <c r="AI906"/>
      <c r="AJ906"/>
      <c r="AK906"/>
    </row>
    <row r="907" ht="25.5" customHeight="1">
      <c r="A907" s="2" t="str">
        <f>=HYPERLINK("https://applink.larksuite.com/client/mini_program/open?appId=cli_9c7cc8a9a9edd105&amp;mode=appCenter&amp;path_pc=pc/pages/requested/index?instanceId=7533526546376638495&amp;source=bitable&amp;path=pages/detail/index?instanceId=7533526546376638495&amp;source=bitable", "202508010056")</f>
        <v>202508010056</v>
      </c>
      <c r="B907" t="inlineStr">
        <is>
          <t>Approved</t>
        </is>
      </c>
      <c r="C907" t="inlineStr">
        <is>
          <t>Procurement Order</t>
        </is>
      </c>
      <c r="D907" s="3">
        <v>45870.67400462963</v>
      </c>
      <c r="E907" s="3">
        <v>45870.68414351852</v>
      </c>
      <c r="F907" t="inlineStr">
        <is>
          <t>Fatima Kathleen M. FLores</t>
        </is>
      </c>
      <c r="G907" t="inlineStr">
        <is>
          <t>Procurement</t>
        </is>
      </c>
      <c r="H907"/>
      <c r="I907"/>
      <c r="J907" t="inlineStr">
        <is>
          <t>Project</t>
        </is>
      </c>
      <c r="K907" t="inlineStr">
        <is>
          <t>PDEI - Game Marketing</t>
        </is>
      </c>
      <c r="L907" t="inlineStr">
        <is>
          <t>1xbet VEEWISE watch party</t>
        </is>
      </c>
      <c r="M907" t="inlineStr">
        <is>
          <t>2025TEG-P0181</t>
        </is>
      </c>
      <c r="N907" t="inlineStr">
        <is>
          <t>Katherine Denise Lee Sy</t>
        </is>
      </c>
      <c r="O907" t="inlineStr">
        <is>
          <t>202507300092-Katherine Denise Lee Sy-费用报销 - 副本 - 副本 - 副本-2025-07-30 11:03:30</t>
        </is>
      </c>
      <c r="P907" t="inlineStr">
        <is>
          <t>NO</t>
        </is>
      </c>
      <c r="Q907"/>
      <c r="R907" t="inlineStr">
        <is>
          <t>NO</t>
        </is>
      </c>
      <c r="S907" t="inlineStr">
        <is>
          <t>Outsourced Safety Officer (2 days)</t>
        </is>
      </c>
      <c r="T907">
        <v>1</v>
      </c>
      <c r="U907">
        <v>5000</v>
      </c>
      <c r="V907" t="inlineStr">
        <is>
          <t>PHP</t>
        </is>
      </c>
      <c r="W907">
        <v>5000</v>
      </c>
      <c r="X907" s="2"/>
      <c r="Y907" t="inlineStr">
        <is>
          <t>Bank Transfer</t>
        </is>
      </c>
      <c r="Z907" t="inlineStr">
        <is>
          <t>Juanito T. Acedo Jr.</t>
        </is>
      </c>
      <c r="AA907" t="inlineStr">
        <is>
          <t>010670126934</t>
        </is>
      </c>
      <c r="AB907" t="inlineStr">
        <is>
          <t>BDO</t>
        </is>
      </c>
      <c r="AC907" t="inlineStr">
        <is>
          <t>127-68 Bronze St., Tugatog District II, Malabon City</t>
        </is>
      </c>
      <c r="AD907" s="4">
        <v>45870</v>
      </c>
      <c r="AE907" t="inlineStr">
        <is>
          <t>100% Full Payment upon completion of services</t>
        </is>
      </c>
      <c r="AF907" s="2"/>
      <c r="AG907" t="inlineStr">
        <is>
          <t>NzQyNTk5MTgyNzQ4MTg3MDM0MTo4NjY4RUUwQi05MkJFLTQyMDUtQUZBOC0xRDdFOEM0NTc2RDMtMTpkZjA0NWVlYWFhZDhlMTM3ZGQ4ZjBiOGFmNDhlNDQyODox</t>
        </is>
      </c>
      <c r="AH907" t="inlineStr">
        <is>
          <t>ACE88 Event Security Management</t>
        </is>
      </c>
      <c r="AI907"/>
      <c r="AJ907"/>
      <c r="AK907"/>
    </row>
    <row r="908" ht="25.5" customHeight="1">
      <c r="A908" s="2" t="str">
        <f>=HYPERLINK("https://applink.larksuite.com/client/mini_program/open?appId=cli_9c7cc8a9a9edd105&amp;mode=appCenter&amp;path_pc=pc/pages/requested/index?instanceId=7533526546376638495&amp;source=bitable&amp;path=pages/detail/index?instanceId=7533526546376638495&amp;source=bitable", "202508010056")</f>
        <v>202508010056</v>
      </c>
      <c r="B908" t="inlineStr">
        <is>
          <t>Approved</t>
        </is>
      </c>
      <c r="C908" t="inlineStr">
        <is>
          <t>Procurement Order</t>
        </is>
      </c>
      <c r="D908" s="3">
        <v>45870.67400462963</v>
      </c>
      <c r="E908" s="3">
        <v>45870.68414351852</v>
      </c>
      <c r="F908" t="inlineStr">
        <is>
          <t>Fatima Kathleen M. FLores</t>
        </is>
      </c>
      <c r="G908" t="inlineStr">
        <is>
          <t>Procurement</t>
        </is>
      </c>
      <c r="H908"/>
      <c r="I908"/>
      <c r="J908" t="inlineStr">
        <is>
          <t>Project</t>
        </is>
      </c>
      <c r="K908" t="inlineStr">
        <is>
          <t>PDEI - Game Marketing</t>
        </is>
      </c>
      <c r="L908" t="inlineStr">
        <is>
          <t>1xbet VEEWISE watch party</t>
        </is>
      </c>
      <c r="M908" t="inlineStr">
        <is>
          <t>2025TEG-P0181</t>
        </is>
      </c>
      <c r="N908" t="inlineStr">
        <is>
          <t>Katherine Denise Lee Sy</t>
        </is>
      </c>
      <c r="O908" t="inlineStr">
        <is>
          <t>202507300092-Katherine Denise Lee Sy-费用报销 - 副本 - 副本 - 副本-2025-07-30 11:03:30</t>
        </is>
      </c>
      <c r="P908" t="inlineStr">
        <is>
          <t>NO</t>
        </is>
      </c>
      <c r="Q908"/>
      <c r="R908" t="inlineStr">
        <is>
          <t>NO</t>
        </is>
      </c>
      <c r="S908" t="inlineStr">
        <is>
          <t>Outsourced Event Marshalls (2 days)</t>
        </is>
      </c>
      <c r="T908">
        <v>6</v>
      </c>
      <c r="U908">
        <v>3000</v>
      </c>
      <c r="V908" t="inlineStr">
        <is>
          <t>PHP</t>
        </is>
      </c>
      <c r="W908">
        <v>18000</v>
      </c>
      <c r="X908" s="2"/>
      <c r="Y908"/>
      <c r="Z908"/>
      <c r="AA908"/>
      <c r="AB908"/>
      <c r="AC908"/>
      <c r="AD908" s="4"/>
      <c r="AE908"/>
      <c r="AF908" s="2"/>
      <c r="AG908" t="inlineStr">
        <is>
          <t>NzQyNTk5MTgyNzQ4MTg3MDM0MTo4NjY4RUUwQi05MkJFLTQyMDUtQUZBOC0xRDdFOEM0NTc2RDMtMjplMTBiNmZlNzc0MDUwNjAzZDY2ZmQyMDNiMzA2ODgwNTox</t>
        </is>
      </c>
      <c r="AH908"/>
      <c r="AI908"/>
      <c r="AJ908"/>
      <c r="AK908"/>
    </row>
    <row r="909" ht="25.5" customHeight="1">
      <c r="A909" s="2" t="str">
        <f>=HYPERLINK("https://applink.larksuite.com/client/mini_program/open?appId=cli_9c7cc8a9a9edd105&amp;mode=appCenter&amp;path_pc=pc/pages/requested/index?instanceId=7533526546376638495&amp;source=bitable&amp;path=pages/detail/index?instanceId=7533526546376638495&amp;source=bitable", "202508010056")</f>
        <v>202508010056</v>
      </c>
      <c r="B909" t="inlineStr">
        <is>
          <t>Approved</t>
        </is>
      </c>
      <c r="C909" t="inlineStr">
        <is>
          <t>Procurement Order</t>
        </is>
      </c>
      <c r="D909" s="3">
        <v>45870.67400462963</v>
      </c>
      <c r="E909" s="3">
        <v>45870.68414351852</v>
      </c>
      <c r="F909" t="inlineStr">
        <is>
          <t>Fatima Kathleen M. FLores</t>
        </is>
      </c>
      <c r="G909" t="inlineStr">
        <is>
          <t>Procurement</t>
        </is>
      </c>
      <c r="H909"/>
      <c r="I909"/>
      <c r="J909" t="inlineStr">
        <is>
          <t>Project</t>
        </is>
      </c>
      <c r="K909" t="inlineStr">
        <is>
          <t>PDEI - Game Marketing</t>
        </is>
      </c>
      <c r="L909" t="inlineStr">
        <is>
          <t>1xbet VEEWISE watch party</t>
        </is>
      </c>
      <c r="M909" t="inlineStr">
        <is>
          <t>2025TEG-P0181</t>
        </is>
      </c>
      <c r="N909" t="inlineStr">
        <is>
          <t>Katherine Denise Lee Sy</t>
        </is>
      </c>
      <c r="O909" t="inlineStr">
        <is>
          <t>202507300092-Katherine Denise Lee Sy-费用报销 - 副本 - 副本 - 副本-2025-07-30 11:03:30</t>
        </is>
      </c>
      <c r="P909" t="inlineStr">
        <is>
          <t>NO</t>
        </is>
      </c>
      <c r="Q909"/>
      <c r="R909" t="inlineStr">
        <is>
          <t>NO</t>
        </is>
      </c>
      <c r="S909" t="inlineStr">
        <is>
          <t>Outsourced Medic (2 days)</t>
        </is>
      </c>
      <c r="T909">
        <v>1</v>
      </c>
      <c r="U909">
        <v>4000</v>
      </c>
      <c r="V909" t="inlineStr">
        <is>
          <t>PHP</t>
        </is>
      </c>
      <c r="W909">
        <v>4000</v>
      </c>
      <c r="X909" s="2" t="str">
        <f>=HYPERLINK("https://www.larksuite.com/approval/admin/previewAttachment?key=PMg9CgIxEAXgK703vxkvY2MIIiiCEKs5-8IW234xiBhOjYIVpcBOV3UJt9CM0GHlLc3MQjIRPd_rvrm-Ew6V12f_2fv5WPNHrxRBqpkOALxdrmlmVWE4XY4AAAD__w", "2 attachment(s)")</f>
        <v>2 attachment(s)</v>
      </c>
      <c r="Y909"/>
      <c r="Z909"/>
      <c r="AA909"/>
      <c r="AB909"/>
      <c r="AC909"/>
      <c r="AD909" s="4"/>
      <c r="AE909"/>
      <c r="AF909" s="2"/>
      <c r="AG909" t="inlineStr">
        <is>
          <t>NzQyNTk5MTgyNzQ4MTg3MDM0MTo4NjY4RUUwQi05MkJFLTQyMDUtQUZBOC0xRDdFOEM0NTc2RDMtMzo3ZmQ4MjM4MGY0YWU1M2U3MjY5ZTk3NjhkOTZmOWQwNTox</t>
        </is>
      </c>
      <c r="AH909"/>
      <c r="AI909"/>
      <c r="AJ909"/>
      <c r="AK909"/>
    </row>
    <row r="910" ht="25.5" customHeight="1">
      <c r="A910" s="2" t="str">
        <f>=HYPERLINK("https://applink.larksuite.com/client/mini_program/open?appId=cli_9c7cc8a9a9edd105&amp;mode=appCenter&amp;path_pc=pc/pages/requested/index?instanceId=7534551981906460703&amp;source=bitable&amp;path=pages/detail/index?instanceId=7534551981906460703&amp;source=bitable", "202508040006")</f>
        <v>202508040006</v>
      </c>
      <c r="B910" t="inlineStr">
        <is>
          <t>Approved</t>
        </is>
      </c>
      <c r="C910" t="inlineStr">
        <is>
          <t>Procurement Order</t>
        </is>
      </c>
      <c r="D910" s="3">
        <v>45873.43734953704</v>
      </c>
      <c r="E910" s="3">
        <v>45873.515381944446</v>
      </c>
      <c r="F910" t="inlineStr">
        <is>
          <t>Fatima Kathleen M. FLores</t>
        </is>
      </c>
      <c r="G910" t="inlineStr">
        <is>
          <t>Procurement</t>
        </is>
      </c>
      <c r="H910"/>
      <c r="I910"/>
      <c r="J910" t="inlineStr">
        <is>
          <t>Project</t>
        </is>
      </c>
      <c r="K910" t="inlineStr">
        <is>
          <t>PDEI - Event Service</t>
        </is>
      </c>
      <c r="L910" t="inlineStr">
        <is>
          <t>MPL PH S16 Media Day</t>
        </is>
      </c>
      <c r="M910" t="inlineStr">
        <is>
          <t>2025TEG-P0194</t>
        </is>
      </c>
      <c r="N910" t="inlineStr">
        <is>
          <t>Jessica Jane Lor Felicilda</t>
        </is>
      </c>
      <c r="O910" t="inlineStr">
        <is>
          <t>202507310008-Jessica Jane Lor Felicilda-费用报销 - 副本 - 副本 - 副本-2025-07-31 02:46:24</t>
        </is>
      </c>
      <c r="P910" t="inlineStr">
        <is>
          <t>NO</t>
        </is>
      </c>
      <c r="Q910"/>
      <c r="R910" t="inlineStr">
        <is>
          <t>NO</t>
        </is>
      </c>
      <c r="S910" t="inlineStr">
        <is>
          <t>Outsourced Photography and Videography Team</t>
        </is>
      </c>
      <c r="T910">
        <v>1</v>
      </c>
      <c r="U910">
        <v>861400</v>
      </c>
      <c r="V910" t="inlineStr">
        <is>
          <t>PHP</t>
        </is>
      </c>
      <c r="W910">
        <v>861400</v>
      </c>
      <c r="X910" s="2" t="str">
        <f>=HYPERLINK("https://www.larksuite.com/approval/admin/previewAttachment?key=PMg7igJhEATgK1X1q_7ey2wyw6CDRoJo0GcXDEy_WkStpFcjmtbgKD0y2YuNioLgY0OpIQo1-_34z9x08nW9vQ08fZ6X7dgfzJYZ5BG-APDv566I6K7A1_EJAAD__w", "2 attachment(s)")</f>
        <v>2 attachment(s)</v>
      </c>
      <c r="Y910" t="inlineStr">
        <is>
          <t>Bank Transfer</t>
        </is>
      </c>
      <c r="Z910" t="inlineStr">
        <is>
          <t>Jose Jeffrey Mendiola Jr.</t>
        </is>
      </c>
      <c r="AA910" t="inlineStr">
        <is>
          <t>011130020469</t>
        </is>
      </c>
      <c r="AB910" t="inlineStr">
        <is>
          <t>BDO</t>
        </is>
      </c>
      <c r="AC910" t="inlineStr">
        <is>
          <t>Block 30 Lot 10 Heritage Subdivision, Longos, Malolos Bulacan</t>
        </is>
      </c>
      <c r="AD910" s="4">
        <v>45877</v>
      </c>
      <c r="AE910" t="inlineStr">
        <is>
          <t>50% Down Payment upon confirmation - Aug. 6, 2025
2nd Payment - Aug. 22, 2025
3rd Payment - Sept. 19, 2025
4th Payment - Oct. 24, 2025
Final Payment - Nov. 14, 2025</t>
        </is>
      </c>
      <c r="AF910" s="2"/>
      <c r="AG910" t="inlineStr">
        <is>
          <t>NzQyNTk5MTgyNzQ4MTg3MDM0MTpEMjZCNzQ4MS1FNEQyLTRDNTEtQkNENS01NkQxNjRBRURDRkEtMTpjYTA1ZTkxMzFhNDFiYzUyMTI4OWExOTRkN2Q0Yjk2MDox</t>
        </is>
      </c>
      <c r="AH910" t="inlineStr">
        <is>
          <t>VISIONARY MEDIA</t>
        </is>
      </c>
      <c r="AI910"/>
      <c r="AJ910"/>
      <c r="AK910"/>
    </row>
    <row r="911" ht="25.5" customHeight="1">
      <c r="A911" s="2" t="str">
        <f>=HYPERLINK("https://applink.larksuite.com/client/mini_program/open?appId=cli_9c7cc8a9a9edd105&amp;mode=appCenter&amp;path_pc=pc/pages/requested/index?instanceId=7534585529250086950&amp;source=bitable&amp;path=pages/detail/index?instanceId=7534585529250086950&amp;source=bitable", "202508040049")</f>
        <v>202508040049</v>
      </c>
      <c r="B911" t="inlineStr">
        <is>
          <t>Approved</t>
        </is>
      </c>
      <c r="C911" t="inlineStr">
        <is>
          <t>Procurement Order</t>
        </is>
      </c>
      <c r="D911" s="3">
        <v>45873.52775462963</v>
      </c>
      <c r="E911" s="3">
        <v>45874.647048611114</v>
      </c>
      <c r="F911" t="inlineStr">
        <is>
          <t>Fatima Kathleen M. FLores</t>
        </is>
      </c>
      <c r="G911" t="inlineStr">
        <is>
          <t>Procurement</t>
        </is>
      </c>
      <c r="H911"/>
      <c r="I911"/>
      <c r="J911" t="inlineStr">
        <is>
          <t>Project</t>
        </is>
      </c>
      <c r="K911" t="inlineStr">
        <is>
          <t>PDEI - Game Marketing</t>
        </is>
      </c>
      <c r="L911" t="inlineStr">
        <is>
          <t>Met Park Community Run (Federal Land)</t>
        </is>
      </c>
      <c r="M911" t="inlineStr">
        <is>
          <t>2025TEG-P0204</t>
        </is>
      </c>
      <c r="N911" t="inlineStr">
        <is>
          <t>Maura Aurel Atilano Yap</t>
        </is>
      </c>
      <c r="O911" t="inlineStr">
        <is>
          <t>202507220131-Maura Aurel Atilano Yap-费用报销 - 副本 - 副本 - 副本-2025-07-22 13:30:38</t>
        </is>
      </c>
      <c r="P911" t="inlineStr">
        <is>
          <t>NO</t>
        </is>
      </c>
      <c r="Q911"/>
      <c r="R911" t="inlineStr">
        <is>
          <t>NO</t>
        </is>
      </c>
      <c r="S911" t="inlineStr">
        <is>
          <t>Outsourced Merchant Coordinator</t>
        </is>
      </c>
      <c r="T911">
        <v>1</v>
      </c>
      <c r="U911">
        <v>20000</v>
      </c>
      <c r="V911" t="inlineStr">
        <is>
          <t>PHP</t>
        </is>
      </c>
      <c r="W911">
        <v>20000</v>
      </c>
      <c r="X911" s="2" t="str">
        <f>=HYPERLINK("https://www.larksuite.com/approval/admin/previewAttachment?key=PMg5qgJREAXQLd0abg1_Mz_pRyOi8EBoMKi1CwamJ0oQRbFoeIs2ZJLmLFJbCVQ0MTqS2UhJxKzn-U8eeV9e134_9ra5bse5XsJOVaS5WwGQv59bunt3OL6OTwAAAP__", "2 attachment(s)")</f>
        <v>2 attachment(s)</v>
      </c>
      <c r="Y911" t="inlineStr">
        <is>
          <t>Bank Transfer</t>
        </is>
      </c>
      <c r="Z911" t="inlineStr">
        <is>
          <t>JMG EVENTS ENTERPRISE</t>
        </is>
      </c>
      <c r="AA911" t="inlineStr">
        <is>
          <t>006 908 005 737</t>
        </is>
      </c>
      <c r="AB911" t="inlineStr">
        <is>
          <t>BDO</t>
        </is>
      </c>
      <c r="AC911" t="inlineStr">
        <is>
          <t>#2 Aliw St., Plainview, Mandaluyong City</t>
        </is>
      </c>
      <c r="AD911" s="4">
        <v>45864</v>
      </c>
      <c r="AE911" t="inlineStr">
        <is>
          <t>100% Full Payment after event</t>
        </is>
      </c>
      <c r="AF911" s="2" t="str">
        <f>=HYPERLINK("https://www.larksuite.com/approval/admin/previewAttachment?key=TMg9qgJBEATgK1VNd_XPu8xLdlhEFAaEBYM5u2Bk-kURUaJFw5ujwZ0yV0mjh4CKFvbYzGwkE7Hn8_yXjrxPr2u9H2vZvm7HOV-MsoC33NkA-PfjJLos7Ov4BAAA__8", "2 attachment(s)")</f>
        <v>2 attachment(s)</v>
      </c>
      <c r="AG911" t="inlineStr">
        <is>
          <t>NzQyNTk5MTgyNzQ4MTg3MDM0MToxMUYwQTkzQy02MTc3LTRFRUUtOUIyQi0zQTkwQzZDMjc4RDUtMTo4ZDk4YmE3ODMzODJhZDIxOWRlNWU1YzMzOTNmY2I5NTox</t>
        </is>
      </c>
      <c r="AH911" t="inlineStr">
        <is>
          <t>JMG EVENTS ENTERPRISE</t>
        </is>
      </c>
      <c r="AI911"/>
      <c r="AJ911"/>
      <c r="AK911"/>
    </row>
    <row r="912" ht="25.5" customHeight="1">
      <c r="A912" s="2" t="str">
        <f>=HYPERLINK("https://applink.larksuite.com/client/mini_program/open?appId=cli_9c7cc8a9a9edd105&amp;mode=appCenter&amp;path_pc=pc/pages/requested/index?instanceId=7534631352549851174&amp;source=bitable&amp;path=pages/detail/index?instanceId=7534631352549851174&amp;source=bitable", "202508040077")</f>
        <v>202508040077</v>
      </c>
      <c r="B912" t="inlineStr">
        <is>
          <t>Approved</t>
        </is>
      </c>
      <c r="C912" t="inlineStr">
        <is>
          <t>Procurement Order</t>
        </is>
      </c>
      <c r="D912" s="3">
        <v>45873.651238425926</v>
      </c>
      <c r="E912" s="3">
        <v>45874.674097222225</v>
      </c>
      <c r="F912" t="inlineStr">
        <is>
          <t>Fatima Kathleen M. FLores</t>
        </is>
      </c>
      <c r="G912" t="inlineStr">
        <is>
          <t>Procurement</t>
        </is>
      </c>
      <c r="H912"/>
      <c r="I912"/>
      <c r="J912" t="inlineStr">
        <is>
          <t>Project</t>
        </is>
      </c>
      <c r="K912" t="inlineStr">
        <is>
          <t>PDEI - Game Marketing</t>
        </is>
      </c>
      <c r="L912" t="inlineStr">
        <is>
          <t>PGDX Outpost by Mineski</t>
        </is>
      </c>
      <c r="M912" t="inlineStr">
        <is>
          <t>2025TEG-P0171</t>
        </is>
      </c>
      <c r="N912" t="inlineStr">
        <is>
          <t>Katherine Denise Lee Sy</t>
        </is>
      </c>
      <c r="O912" t="inlineStr">
        <is>
          <t>202507230038-Katherine Denise Lee Sy-费用报销 - 副本 - 副本 - 副本-2025-07-23 04:33:16</t>
        </is>
      </c>
      <c r="P912" t="inlineStr">
        <is>
          <t>YES</t>
        </is>
      </c>
      <c r="Q912"/>
      <c r="R912" t="inlineStr">
        <is>
          <t>NO</t>
        </is>
      </c>
      <c r="S912" t="inlineStr">
        <is>
          <t>Outsourced Tournament Referee</t>
        </is>
      </c>
      <c r="T912">
        <v>1</v>
      </c>
      <c r="U912">
        <v>5400</v>
      </c>
      <c r="V912" t="inlineStr">
        <is>
          <t>PHP</t>
        </is>
      </c>
      <c r="W912">
        <v>5400</v>
      </c>
      <c r="X912" s="2" t="str">
        <f>=HYPERLINK("https://www.larksuite.com/approval/admin/previewAttachment?key=PMg9CkIxEATgK81kfybrZWxeCPLQSlCbPbtgYfvlJHIGLQteHAW2wjyNFiO8ZpDyHk2pIArZ67Gvy-bxwflWndvu0a_bsdeTURoDMnebAHj5u8ndq9Lxc3wDAAD__w", "2 attachment(s)")</f>
        <v>2 attachment(s)</v>
      </c>
      <c r="Y912" t="inlineStr">
        <is>
          <t>Bank Transfer</t>
        </is>
      </c>
      <c r="Z912" t="inlineStr">
        <is>
          <t>Jimmy Montero Zapata Jr.</t>
        </is>
      </c>
      <c r="AA912" t="inlineStr">
        <is>
          <t>8419297101</t>
        </is>
      </c>
      <c r="AB912" t="inlineStr">
        <is>
          <t>BPI</t>
        </is>
      </c>
      <c r="AC912" t="inlineStr">
        <is>
          <t>278E Sta,Teresita St, Sampaloc Manila</t>
        </is>
      </c>
      <c r="AD912" s="4">
        <v>45863</v>
      </c>
      <c r="AE912" t="inlineStr">
        <is>
          <t>100% Full Payment - Aug. 8, 2025</t>
        </is>
      </c>
      <c r="AF912" s="2"/>
      <c r="AG912" t="inlineStr">
        <is>
          <t>NzQyNTk5MTgyNzQ4MTg3MDM0MTo2QUVDNUU5QS04M0UwLTRCRDgtODIwOS0wNjJGOUU3Qjg5RDMtMTo2ZGRlMzYyYjUzNGI5Y2NhMzJlN2FmMTIxMzY0ZWE5YTox</t>
        </is>
      </c>
      <c r="AH912" t="inlineStr">
        <is>
          <t>Jimmy Montero Zapata Jr.</t>
        </is>
      </c>
      <c r="AI912"/>
      <c r="AJ912"/>
      <c r="AK912"/>
    </row>
    <row r="913" ht="25.5" customHeight="1">
      <c r="A913" s="2" t="str">
        <f>=HYPERLINK("https://applink.larksuite.com/client/mini_program/open?appId=cli_9c7cc8a9a9edd105&amp;mode=appCenter&amp;path_pc=pc/pages/requested/index?instanceId=7534645378235334695&amp;source=bitable&amp;path=pages/detail/index?instanceId=7534645378235334695&amp;source=bitable", "202508040083")</f>
        <v>202508040083</v>
      </c>
      <c r="B913" t="inlineStr">
        <is>
          <t>Approved</t>
        </is>
      </c>
      <c r="C913" t="inlineStr">
        <is>
          <t>Procurement Order</t>
        </is>
      </c>
      <c r="D913" s="3">
        <v>45873.689039351855</v>
      </c>
      <c r="E913" s="3">
        <v>45874.64318287037</v>
      </c>
      <c r="F913" t="inlineStr">
        <is>
          <t>Fatima Kathleen M. FLores</t>
        </is>
      </c>
      <c r="G913" t="inlineStr">
        <is>
          <t>Procurement</t>
        </is>
      </c>
      <c r="H913"/>
      <c r="I913"/>
      <c r="J913" t="inlineStr">
        <is>
          <t>Project</t>
        </is>
      </c>
      <c r="K913" t="inlineStr">
        <is>
          <t>PDEI - Event Service</t>
        </is>
      </c>
      <c r="L913" t="inlineStr">
        <is>
          <t>MPL PH S16 Media Day</t>
        </is>
      </c>
      <c r="M913" t="inlineStr">
        <is>
          <t>2025TEG-P0194</t>
        </is>
      </c>
      <c r="N913" t="inlineStr">
        <is>
          <t>Jessica Jane Lor Felicilda</t>
        </is>
      </c>
      <c r="O913" t="inlineStr">
        <is>
          <t>202502040003-Duane Aaron Baret Cadangan-费用报销 - 副本 - 副本 - 副本-2025-02-04 01:58:57</t>
        </is>
      </c>
      <c r="P913" t="inlineStr">
        <is>
          <t>NO</t>
        </is>
      </c>
      <c r="Q913"/>
      <c r="R913" t="inlineStr">
        <is>
          <t>NO</t>
        </is>
      </c>
      <c r="S913" t="inlineStr">
        <is>
          <t>SanDisk Extreme Portable 1TB SSD</t>
        </is>
      </c>
      <c r="T913">
        <v>4</v>
      </c>
      <c r="U913">
        <v>7568</v>
      </c>
      <c r="V913" t="inlineStr">
        <is>
          <t>PHP</t>
        </is>
      </c>
      <c r="W913">
        <v>30272</v>
      </c>
      <c r="X913" s="2" t="str">
        <f>=HYPERLINK("https://www.larksuite.com/approval/admin/previewAttachment?key=PMhBCgJhCAXgKz31qb9dps0MQwRFEE4rzx60aPvFEsRysSiwRAsy6cagWy41N2OUj45kFlISMfvjuOrZz-3Tr763nuw5b9uxv8UrVZFG2gIgl79bkqwK4uf4BgAA__8", "2 attachment(s)")</f>
        <v>2 attachment(s)</v>
      </c>
      <c r="Y913" t="inlineStr">
        <is>
          <t>Bank Transfer</t>
        </is>
      </c>
      <c r="Z913" t="inlineStr">
        <is>
          <t>O&amp;J Global Trading</t>
        </is>
      </c>
      <c r="AA913" t="inlineStr">
        <is>
          <t>00 444 802 7346</t>
        </is>
      </c>
      <c r="AB913" t="inlineStr">
        <is>
          <t>BDO</t>
        </is>
      </c>
      <c r="AC913" t="inlineStr">
        <is>
          <t>3F Annapolis Tower, 43 Annapolis St., Greenhills, San Juan City</t>
        </is>
      </c>
      <c r="AD913" s="4">
        <v>45877</v>
      </c>
      <c r="AE913" t="inlineStr">
        <is>
          <t>100% Full Payment before delivery / pick-up.</t>
        </is>
      </c>
      <c r="AF913" s="2"/>
      <c r="AG913" t="inlineStr">
        <is>
          <t>NzQyNTk5MTgyNzQ4MTg3MDM0MTpFMDMwMEZERC0yMTBELTQ1QzItQkM3Ny1GODdCODYxQjNCN0YtMToyMTFmY2VlOGUxMmZkOGJjZGEzZjU1MDdhYTQ5Y2ZhZjox</t>
        </is>
      </c>
      <c r="AH913" t="inlineStr">
        <is>
          <t>O&amp;J Global Trading</t>
        </is>
      </c>
      <c r="AI913"/>
      <c r="AJ913"/>
      <c r="AK913"/>
    </row>
    <row r="914" ht="25.5" customHeight="1">
      <c r="A914" s="2" t="str">
        <f>=HYPERLINK("https://applink.larksuite.com/client/mini_program/open?appId=cli_9c7cc8a9a9edd105&amp;mode=appCenter&amp;path_pc=pc/pages/requested/index?instanceId=7534629175743823903&amp;source=bitable&amp;path=pages/detail/index?instanceId=7534629175743823903&amp;source=bitable", "202508040074")</f>
        <v>202508040074</v>
      </c>
      <c r="B914" t="inlineStr">
        <is>
          <t>Approved</t>
        </is>
      </c>
      <c r="C914" t="inlineStr">
        <is>
          <t>Procurement Order</t>
        </is>
      </c>
      <c r="D914" s="3">
        <v>45873.645370370374</v>
      </c>
      <c r="E914" s="3">
        <v>45875.4803125</v>
      </c>
      <c r="F914" t="inlineStr">
        <is>
          <t>Fatima Kathleen M. FLores</t>
        </is>
      </c>
      <c r="G914" t="inlineStr">
        <is>
          <t>Procurement</t>
        </is>
      </c>
      <c r="H914"/>
      <c r="I914"/>
      <c r="J914" t="inlineStr">
        <is>
          <t>Project</t>
        </is>
      </c>
      <c r="K914" t="inlineStr">
        <is>
          <t>PDEI - Event Service</t>
        </is>
      </c>
      <c r="L914" t="inlineStr">
        <is>
          <t>GTCC Summer Showdown</t>
        </is>
      </c>
      <c r="M914" t="inlineStr">
        <is>
          <t>2025TEG-P0040</t>
        </is>
      </c>
      <c r="N914" t="inlineStr">
        <is>
          <t>Frances Angelita Arreglado</t>
        </is>
      </c>
      <c r="O914" t="inlineStr">
        <is>
          <t>202507030066-Frances Angelita Arreglado-费用报销 - 副本 - 副本 - 副本-2025-07-03 05:09:07</t>
        </is>
      </c>
      <c r="P914" t="inlineStr">
        <is>
          <t>YES</t>
        </is>
      </c>
      <c r="Q914"/>
      <c r="R914" t="inlineStr">
        <is>
          <t>YES</t>
        </is>
      </c>
      <c r="S914" t="inlineStr">
        <is>
          <t>Outsourced Graphic Artist</t>
        </is>
      </c>
      <c r="T914">
        <v>1</v>
      </c>
      <c r="U914">
        <v>15000</v>
      </c>
      <c r="V914" t="inlineStr">
        <is>
          <t>PHP</t>
        </is>
      </c>
      <c r="W914">
        <v>15000</v>
      </c>
      <c r="X914" s="2" t="str">
        <f>=HYPERLINK("https://www.larksuite.com/approval/admin/previewAttachment?key=PMgxCgJBDAXQK_0kf_InXsbGYdFVQRAWm5xdsLB9OQ05h0UWWOYFa41gepmGGNOjEO1tUkEmZK_ndr77is-xv27aHxT7uF629bZRcoeCjAnATn8PkaxK4uf4BgAA__8", "2 attachment(s)")</f>
        <v>2 attachment(s)</v>
      </c>
      <c r="Y914" t="inlineStr">
        <is>
          <t>Bank Transfer</t>
        </is>
      </c>
      <c r="Z914" t="inlineStr">
        <is>
          <t>Mary Marjorie Martha D. Nepomuceno</t>
        </is>
      </c>
      <c r="AA914" t="inlineStr">
        <is>
          <t>0072 2027 0744</t>
        </is>
      </c>
      <c r="AB914" t="inlineStr">
        <is>
          <t>BDO</t>
        </is>
      </c>
      <c r="AC914" t="inlineStr">
        <is>
          <t>319 Molave Drive Ayala Alabang Village Muntinlupa City</t>
        </is>
      </c>
      <c r="AD914" s="4">
        <v>45823</v>
      </c>
      <c r="AE914" t="inlineStr">
        <is>
          <t>100% Full Payment - July 25, 2025</t>
        </is>
      </c>
      <c r="AF914" s="2"/>
      <c r="AG914" t="inlineStr">
        <is>
          <t>NzQyNTk5MTgyNzQ4MTg3MDM0MTpEQjgxMkFBNS04M0RDLTQyRTctQUQzMS0zNUM0REMwQ0UzNzItMToxOWVkNjdiOGQ1ODNkN2JmNTYzMGVkNTllMTczY2EyZDox</t>
        </is>
      </c>
      <c r="AH914" t="inlineStr">
        <is>
          <t>Mary Marjorie Martha D. Nepomuceno</t>
        </is>
      </c>
      <c r="AI914"/>
      <c r="AJ914"/>
      <c r="AK914"/>
    </row>
    <row r="915" ht="25.5" customHeight="1">
      <c r="A915" s="2" t="str">
        <f>=HYPERLINK("https://applink.larksuite.com/client/mini_program/open?appId=cli_9c7cc8a9a9edd105&amp;mode=appCenter&amp;path_pc=pc/pages/requested/index?instanceId=7534927544987025439&amp;source=bitable&amp;path=pages/detail/index?instanceId=7534927544987025439&amp;source=bitable", "202508050007")</f>
        <v>202508050007</v>
      </c>
      <c r="B915" t="inlineStr">
        <is>
          <t>Recalled</t>
        </is>
      </c>
      <c r="C915" t="inlineStr">
        <is>
          <t>Procurement Order</t>
        </is>
      </c>
      <c r="D915" s="3">
        <v>45874.449421296296</v>
      </c>
      <c r="E915" s="3">
        <v>45874.45349537037</v>
      </c>
      <c r="F915" t="inlineStr">
        <is>
          <t>Rushelle A. Capistrano</t>
        </is>
      </c>
      <c r="G915" t="inlineStr">
        <is>
          <t>Procurement</t>
        </is>
      </c>
      <c r="H915"/>
      <c r="I915"/>
      <c r="J915" t="inlineStr">
        <is>
          <t>Project</t>
        </is>
      </c>
      <c r="K915" t="inlineStr">
        <is>
          <t>PDEI - Game Marketing</t>
        </is>
      </c>
      <c r="L915" t="inlineStr">
        <is>
          <t>Lucky Me! x PGDX Outpost by Mineski</t>
        </is>
      </c>
      <c r="M915" t="inlineStr">
        <is>
          <t>2025TEG-P0222</t>
        </is>
      </c>
      <c r="N915" t="inlineStr">
        <is>
          <t>Katherine Denise Lee Sy</t>
        </is>
      </c>
      <c r="O915" t="inlineStr">
        <is>
          <t>202507230107-Katherine Denise Lee Sy-费用报销 - 副本 - 副本 - 副本-2025-07-23 15:13:02</t>
        </is>
      </c>
      <c r="P915" t="inlineStr">
        <is>
          <t>YES</t>
        </is>
      </c>
      <c r="Q915"/>
      <c r="R915" t="inlineStr">
        <is>
          <t>NO</t>
        </is>
      </c>
      <c r="S915" t="inlineStr">
        <is>
          <t>Outsourced usher</t>
        </is>
      </c>
      <c r="T915">
        <v>1</v>
      </c>
      <c r="U915">
        <v>12000</v>
      </c>
      <c r="V915" t="inlineStr">
        <is>
          <t>PHP</t>
        </is>
      </c>
      <c r="W915">
        <v>12000</v>
      </c>
      <c r="X915" s="2" t="str">
        <f>=HYPERLINK("https://www.larksuite.com/approval/admin/previewAttachment?key=PMgxCgJBDAXQK_0kP_MnXsZmh0XQnUawy9kFC9s3pmHMtBgFlnnBWhksV5I1BU9GtbdJBZmgXtd5zzx07efaxNIr-vM4zvW2LLlDQcYEYLe_h0hWDeLn-AYAAP__", "1 attachment(s)")</f>
        <v>1 attachment(s)</v>
      </c>
      <c r="Y915" t="inlineStr">
        <is>
          <t>Bank Transfer</t>
        </is>
      </c>
      <c r="Z915" t="inlineStr">
        <is>
          <t>Marc Kevin Serrano</t>
        </is>
      </c>
      <c r="AA915" t="inlineStr">
        <is>
          <t>1519218972</t>
        </is>
      </c>
      <c r="AB915" t="inlineStr">
        <is>
          <t>BPI</t>
        </is>
      </c>
      <c r="AC915" t="inlineStr">
        <is>
          <t>3 Don Guillermo Street, Barangay Holy Spirit, Commonwealth, Quezon City, Metro Manila, 112</t>
        </is>
      </c>
      <c r="AD915" s="4">
        <v>45884</v>
      </c>
      <c r="AE915" t="inlineStr">
        <is>
          <t>Full Payment on August 15, 2025</t>
        </is>
      </c>
      <c r="AF915" s="2"/>
      <c r="AG915" t="inlineStr">
        <is>
          <t>NzQyNTk5MTgyNzQ4MTg3MDM0MTpENjkwNDQ2RC05NzA4LTQ4MTctQUM0QS0yMDgxRjM1NDk0NDgtMTplNzM0MzY2YjM4ZGYxMTFmZjNmMTk3MGIxZTRkMjY0NTox</t>
        </is>
      </c>
      <c r="AH915" t="inlineStr">
        <is>
          <t>Marc Kevin Serrano</t>
        </is>
      </c>
      <c r="AI915"/>
      <c r="AJ915"/>
      <c r="AK915"/>
    </row>
    <row r="916" ht="25.5" customHeight="1">
      <c r="A916" s="2" t="str">
        <f>=HYPERLINK("https://applink.larksuite.com/client/mini_program/open?appId=cli_9c7cc8a9a9edd105&amp;mode=appCenter&amp;path_pc=pc/pages/requested/index?instanceId=7532439407261941798&amp;source=bitable&amp;path=pages/detail/index?instanceId=7532439407261941798&amp;source=bitable", "202507290108")</f>
        <v>202507290108</v>
      </c>
      <c r="B916" t="inlineStr">
        <is>
          <t>Approved</t>
        </is>
      </c>
      <c r="C916" t="inlineStr">
        <is>
          <t>Procurement Order</t>
        </is>
      </c>
      <c r="D916" s="3">
        <v>45867.74438657407</v>
      </c>
      <c r="E916" s="3">
        <v>45875.453101851854</v>
      </c>
      <c r="F916" t="inlineStr">
        <is>
          <t>Fatima Kathleen M. FLores</t>
        </is>
      </c>
      <c r="G916" t="inlineStr">
        <is>
          <t>Procurement</t>
        </is>
      </c>
      <c r="H916"/>
      <c r="I916"/>
      <c r="J916" t="inlineStr">
        <is>
          <t>Project</t>
        </is>
      </c>
      <c r="K916" t="inlineStr">
        <is>
          <t>PDEI - Game Marketing</t>
        </is>
      </c>
      <c r="L916" t="inlineStr">
        <is>
          <t>PGDX Outpost by Mineski</t>
        </is>
      </c>
      <c r="M916" t="inlineStr">
        <is>
          <t>2025TEG-P0171</t>
        </is>
      </c>
      <c r="N916" t="inlineStr">
        <is>
          <t>Katherine Denise Lee Sy</t>
        </is>
      </c>
      <c r="O916" t="inlineStr">
        <is>
          <t>202507240032-Katherine Denise Lee Sy-费用报销 - 副本 - 副本 - 副本-2025-07-24 05:11:50</t>
        </is>
      </c>
      <c r="P916" t="inlineStr">
        <is>
          <t>YES</t>
        </is>
      </c>
      <c r="Q916"/>
      <c r="R916" t="inlineStr">
        <is>
          <t>YES</t>
        </is>
      </c>
      <c r="S916" t="inlineStr">
        <is>
          <t>Outsourced Videographer/Editor</t>
        </is>
      </c>
      <c r="T916">
        <v>1</v>
      </c>
      <c r="U916">
        <v>15000</v>
      </c>
      <c r="V916" t="inlineStr">
        <is>
          <t>PHP</t>
        </is>
      </c>
      <c r="W916">
        <v>15000</v>
      </c>
      <c r="X916" s="2" t="str">
        <f>=HYPERLINK("https://www.larksuite.com/approval/admin/previewAttachment?key=PMgxCgIxFATQK838P8nkexkbwyLIiiAqFjm7YLHt64PoozF7QcUocLllKEtwdJboGisW7YJpeM19O99i7o_24gd3f6fW-3rZ5pOtHAGnlAMAT4enJVV14e_4BQAA__8", "2 attachment(s)")</f>
        <v>2 attachment(s)</v>
      </c>
      <c r="Y916" t="inlineStr">
        <is>
          <t>Bank Transfer</t>
        </is>
      </c>
      <c r="Z916" t="inlineStr">
        <is>
          <t>Ruben A. Mercado Jr.</t>
        </is>
      </c>
      <c r="AA916" t="inlineStr">
        <is>
          <t>1096 6595 8663</t>
        </is>
      </c>
      <c r="AB916" t="inlineStr">
        <is>
          <t>Unionbank</t>
        </is>
      </c>
      <c r="AC916" t="inlineStr">
        <is>
          <t>L 33 Blk 15 DM8 Subd. San Andress Hagonoy St. Cainta Rizal</t>
        </is>
      </c>
      <c r="AD916" s="4">
        <v>45863</v>
      </c>
      <c r="AE916" t="inlineStr">
        <is>
          <t>100% Full Payment - Aug. 15, 2025</t>
        </is>
      </c>
      <c r="AF916" s="2"/>
      <c r="AG916" t="inlineStr">
        <is>
          <t>NzQyNTk5MTgyNzQ4MTg3MDM0MToyQTg3MDM5Qi1DNjRCLTQ0QUMtOUU3Qy0yRjZGODI1NDkwMEUtMTpkYjcxNDFmY2M1MDFmM2ZjOWYyNmU2MTJhOTRmYjhiNTox</t>
        </is>
      </c>
      <c r="AH916" t="inlineStr">
        <is>
          <t>Ruben A. Mercado Jr.</t>
        </is>
      </c>
      <c r="AI916"/>
      <c r="AJ916"/>
      <c r="AK916"/>
    </row>
    <row r="917" ht="25.5" customHeight="1">
      <c r="A917" s="2" t="str">
        <f>=HYPERLINK("https://applink.larksuite.com/client/mini_program/open?appId=cli_9c7cc8a9a9edd105&amp;mode=appCenter&amp;path_pc=pc/pages/requested/index?instanceId=7532033201066262567&amp;source=bitable&amp;path=pages/detail/index?instanceId=7532033201066262567&amp;source=bitable", "202507280068")</f>
        <v>202507280068</v>
      </c>
      <c r="B917" t="inlineStr">
        <is>
          <t>Approved</t>
        </is>
      </c>
      <c r="C917" t="inlineStr">
        <is>
          <t>Procurement Order</t>
        </is>
      </c>
      <c r="D917" s="3">
        <v>45866.64974537037</v>
      </c>
      <c r="E917" s="3">
        <v>45875.457662037035</v>
      </c>
      <c r="F917" t="inlineStr">
        <is>
          <t>Fatima Kathleen M. FLores</t>
        </is>
      </c>
      <c r="G917" t="inlineStr">
        <is>
          <t>Procurement</t>
        </is>
      </c>
      <c r="H917"/>
      <c r="I917"/>
      <c r="J917" t="inlineStr">
        <is>
          <t>Project</t>
        </is>
      </c>
      <c r="K917" t="inlineStr">
        <is>
          <t>PDEI - Game Marketing</t>
        </is>
      </c>
      <c r="L917" t="inlineStr">
        <is>
          <t>PGDX Outpost by Mineski</t>
        </is>
      </c>
      <c r="M917" t="inlineStr">
        <is>
          <t>2025TEG-P0171</t>
        </is>
      </c>
      <c r="N917" t="inlineStr">
        <is>
          <t>Katherine Denise Lee Sy</t>
        </is>
      </c>
      <c r="O917" t="inlineStr">
        <is>
          <t>202507230024-Katherine Denise Lee Sy-费用报销 - 副本 - 副本 - 副本-2025-07-23 03:00:08</t>
        </is>
      </c>
      <c r="P917" t="inlineStr">
        <is>
          <t>YES</t>
        </is>
      </c>
      <c r="Q917"/>
      <c r="R917" t="inlineStr">
        <is>
          <t>YES</t>
        </is>
      </c>
      <c r="S917" t="inlineStr">
        <is>
          <t>Outsourced Broadcast Manager</t>
        </is>
      </c>
      <c r="T917">
        <v>1</v>
      </c>
      <c r="U917">
        <v>8000</v>
      </c>
      <c r="V917" t="inlineStr">
        <is>
          <t>PHP</t>
        </is>
      </c>
      <c r="W917">
        <v>8000</v>
      </c>
      <c r="X917" s="2" t="str">
        <f>=HYPERLINK("https://www.larksuite.com/approval/admin/previewAttachment?key=PMgxCgJBDAXQK_38ZPInXsbGZXBBRRDXKmcXLGxfTkPOYZ6FKGPBWsMJd8KQyeRINdukgkxQb_d15vHmvvZVn8eq27OP62VtLxslEvIInwDs9HdXRFRl4Of4BgAA__8", "2 attachment(s)")</f>
        <v>2 attachment(s)</v>
      </c>
      <c r="Y917" t="inlineStr">
        <is>
          <t>Bank Transfer</t>
        </is>
      </c>
      <c r="Z917" t="inlineStr">
        <is>
          <t>Christian James D. Dagumboy</t>
        </is>
      </c>
      <c r="AA917" t="inlineStr">
        <is>
          <t>09257023784</t>
        </is>
      </c>
      <c r="AB917" t="inlineStr">
        <is>
          <t>GCash</t>
        </is>
      </c>
      <c r="AC917" t="inlineStr">
        <is>
          <t>64 Raja Kalantiao St. Brgy. Daanghari, Navotas City</t>
        </is>
      </c>
      <c r="AD917" s="4">
        <v>45862</v>
      </c>
      <c r="AE917" t="inlineStr">
        <is>
          <t>100% Full Payment - Aug. 8, 2025</t>
        </is>
      </c>
      <c r="AF917" s="2"/>
      <c r="AG917" t="inlineStr">
        <is>
          <t>NzQyNTk5MTgyNzQ4MTg3MDM0MTpBQjA4RUU0RS0yMTIzLTQzMDItQkM1NS0xNEI0NzIyNTFFMDYtMToyNWY0MjAyYmI1MTM4ZDM5YmExYmU3ODVmNjQwOGQ1Yjox</t>
        </is>
      </c>
      <c r="AH917" t="inlineStr">
        <is>
          <t>Christian James D. Dagumboy</t>
        </is>
      </c>
      <c r="AI917"/>
      <c r="AJ917"/>
      <c r="AK917"/>
    </row>
    <row r="918" ht="25.5" customHeight="1">
      <c r="A918" s="2" t="str">
        <f>=HYPERLINK("https://applink.larksuite.com/client/mini_program/open?appId=cli_9c7cc8a9a9edd105&amp;mode=appCenter&amp;path_pc=pc/pages/requested/index?instanceId=7532034470036144159&amp;source=bitable&amp;path=pages/detail/index?instanceId=7532034470036144159&amp;source=bitable", "202507280071")</f>
        <v>202507280071</v>
      </c>
      <c r="B918" t="inlineStr">
        <is>
          <t>Approved</t>
        </is>
      </c>
      <c r="C918" t="inlineStr">
        <is>
          <t>Procurement Order</t>
        </is>
      </c>
      <c r="D918" s="3">
        <v>45866.65315972222</v>
      </c>
      <c r="E918" s="3">
        <v>45875.45898148148</v>
      </c>
      <c r="F918" t="inlineStr">
        <is>
          <t>Fatima Kathleen M. FLores</t>
        </is>
      </c>
      <c r="G918" t="inlineStr">
        <is>
          <t>Procurement</t>
        </is>
      </c>
      <c r="H918"/>
      <c r="I918"/>
      <c r="J918" t="inlineStr">
        <is>
          <t>Project</t>
        </is>
      </c>
      <c r="K918" t="inlineStr">
        <is>
          <t>PDEI - Game Marketing</t>
        </is>
      </c>
      <c r="L918" t="inlineStr">
        <is>
          <t>PGDX Outpost by Mineski</t>
        </is>
      </c>
      <c r="M918" t="inlineStr">
        <is>
          <t>2025TEG-P0171</t>
        </is>
      </c>
      <c r="N918" t="inlineStr">
        <is>
          <t>Katherine Denise Lee Sy</t>
        </is>
      </c>
      <c r="O918" t="inlineStr">
        <is>
          <t>202507230024-Katherine Denise Lee Sy-费用报销 - 副本 - 副本 - 副本-2025-07-23 03:00:08</t>
        </is>
      </c>
      <c r="P918" t="inlineStr">
        <is>
          <t>YES</t>
        </is>
      </c>
      <c r="Q918"/>
      <c r="R918" t="inlineStr">
        <is>
          <t>YES</t>
        </is>
      </c>
      <c r="S918" t="inlineStr">
        <is>
          <t>Outsourced Broadcast Assistant</t>
        </is>
      </c>
      <c r="T918">
        <v>1</v>
      </c>
      <c r="U918">
        <v>6000</v>
      </c>
      <c r="V918" t="inlineStr">
        <is>
          <t>PHP</t>
        </is>
      </c>
      <c r="W918">
        <v>6000</v>
      </c>
      <c r="X918" s="2" t="str">
        <f>=HYPERLINK("https://www.larksuite.com/approval/admin/previewAttachment?key=PMgxCsJAFATQK83sn93Z72VsEoIuxEYIWPyzCxa2b0xizM4YCSVbguUeDSEZiEGJPasV7YRpuPbzuK9zd9e1Xs-55mer67Ed-5s93RocUkwAvP09LClzCD_HNwAA__8", "2 attachment(s)")</f>
        <v>2 attachment(s)</v>
      </c>
      <c r="Y918" t="inlineStr">
        <is>
          <t>Bank Transfer</t>
        </is>
      </c>
      <c r="Z918" t="inlineStr">
        <is>
          <t>Joshua Vignesh U Narayan</t>
        </is>
      </c>
      <c r="AA918" t="inlineStr">
        <is>
          <t>09686047871</t>
        </is>
      </c>
      <c r="AB918" t="inlineStr">
        <is>
          <t>GCash</t>
        </is>
      </c>
      <c r="AC918" t="inlineStr">
        <is>
          <t>Celadon Park Condominium, Felix Huertas Rd .Santa Cruz Manila</t>
        </is>
      </c>
      <c r="AD918" s="4">
        <v>45862</v>
      </c>
      <c r="AE918" t="inlineStr">
        <is>
          <t>100% Full Payment - Aug. 8, 2025</t>
        </is>
      </c>
      <c r="AF918" s="2"/>
      <c r="AG918" t="inlineStr">
        <is>
          <t>NzQyNTk5MTgyNzQ4MTg3MDM0MTpBOTk2NUUzRC0xNThGLTQ4QUMtQjdDRC0yNUYzMEEyQjIyNTQtMTo5MTgxYWJiZjVmNTE0MDFhYzgwYWFkYWI0NTllNTQzNDox</t>
        </is>
      </c>
      <c r="AH918" t="inlineStr">
        <is>
          <t>Joshua Vignesh U Narayan</t>
        </is>
      </c>
      <c r="AI918"/>
      <c r="AJ918"/>
      <c r="AK918"/>
    </row>
    <row r="919" ht="25.5" customHeight="1">
      <c r="A919" s="2" t="str">
        <f>=HYPERLINK("https://applink.larksuite.com/client/mini_program/open?appId=cli_9c7cc8a9a9edd105&amp;mode=appCenter&amp;path_pc=pc/pages/requested/index?instanceId=7534931556926767143&amp;source=bitable&amp;path=pages/detail/index?instanceId=7534931556926767143&amp;source=bitable", "202508050010")</f>
        <v>202508050010</v>
      </c>
      <c r="B919" t="inlineStr">
        <is>
          <t>Approved</t>
        </is>
      </c>
      <c r="C919" t="inlineStr">
        <is>
          <t>Procurement Order</t>
        </is>
      </c>
      <c r="D919" s="3">
        <v>45874.460231481484</v>
      </c>
      <c r="E919" s="3">
        <v>45874.675844907404</v>
      </c>
      <c r="F919" t="inlineStr">
        <is>
          <t>Rushelle A. Capistrano</t>
        </is>
      </c>
      <c r="G919" t="inlineStr">
        <is>
          <t>Procurement</t>
        </is>
      </c>
      <c r="H919"/>
      <c r="I919"/>
      <c r="J919" t="inlineStr">
        <is>
          <t>Project</t>
        </is>
      </c>
      <c r="K919" t="inlineStr">
        <is>
          <t>PDEI - Game Marketing</t>
        </is>
      </c>
      <c r="L919" t="inlineStr">
        <is>
          <t>PGDX Outpost by Mineski</t>
        </is>
      </c>
      <c r="M919" t="inlineStr">
        <is>
          <t>2025TEG-P0171</t>
        </is>
      </c>
      <c r="N919" t="inlineStr">
        <is>
          <t>Clifford Markus Ortiz Martinez</t>
        </is>
      </c>
      <c r="O919" t="inlineStr">
        <is>
          <t>202507240013-Clifford Markus Ortiz Martinez-费用报销 - 副本 - 副本 - 副本-2025-07-24 03:02:50</t>
        </is>
      </c>
      <c r="P919" t="inlineStr">
        <is>
          <t>YES</t>
        </is>
      </c>
      <c r="Q919"/>
      <c r="R919" t="inlineStr">
        <is>
          <t>NO</t>
        </is>
      </c>
      <c r="S919" t="inlineStr">
        <is>
          <t>Outsourced usher</t>
        </is>
      </c>
      <c r="T919">
        <v>1</v>
      </c>
      <c r="U919">
        <v>4500</v>
      </c>
      <c r="V919" t="inlineStr">
        <is>
          <t>PHP</t>
        </is>
      </c>
      <c r="W919">
        <v>4500</v>
      </c>
      <c r="X919" s="2" t="str">
        <f>=HYPERLINK("https://www.larksuite.com/approval/admin/previewAttachment?key=PMg7isNAEATQK1X1r6b3Mpt4EAahyGBFfXaDA6evFlEr6dWIpjU4So92ZlZbqcTwsaHUEAXNvo7_07bz1kpe571j3s_HsV_MlhnkEb4A8O_nrojorsDX8QkAAP__", "1 attachment(s)")</f>
        <v>1 attachment(s)</v>
      </c>
      <c r="Y919" t="inlineStr">
        <is>
          <t>Bank Transfer</t>
        </is>
      </c>
      <c r="Z919" t="inlineStr">
        <is>
          <t>Marc Kevin Serrano</t>
        </is>
      </c>
      <c r="AA919" t="inlineStr">
        <is>
          <t>1519218972</t>
        </is>
      </c>
      <c r="AB919" t="inlineStr">
        <is>
          <t>BPI</t>
        </is>
      </c>
      <c r="AC919" t="inlineStr">
        <is>
          <t>3 Don Guillermo Street, Barangay Holy Spirit, Commonwealth, Quezon City, Metro Manila, 112</t>
        </is>
      </c>
      <c r="AD919" s="4">
        <v>45877</v>
      </c>
      <c r="AE919" t="inlineStr">
        <is>
          <t>Full payment on August 8, 2025</t>
        </is>
      </c>
      <c r="AF919" s="2"/>
      <c r="AG919" t="inlineStr">
        <is>
          <t>NzQyNTk5MTgyNzQ4MTg3MDM0MTo4Q0YzOUQwRi1CNDI4LTQzM0QtODA2OC01RDY0RkUwRjE1N0ItMTpkYjhmODE4ZDI3N2E4OWE2MDczN2Y3NzhjNTQ4ZmUzNjox</t>
        </is>
      </c>
      <c r="AH919" t="inlineStr">
        <is>
          <t>Marc Kevin Serrano</t>
        </is>
      </c>
      <c r="AI919"/>
      <c r="AJ919"/>
      <c r="AK919"/>
    </row>
    <row r="920" ht="25.5" customHeight="1">
      <c r="A920" s="2" t="str">
        <f>=HYPERLINK("https://applink.larksuite.com/client/mini_program/open?appId=cli_9c7cc8a9a9edd105&amp;mode=appCenter&amp;path_pc=pc/pages/requested/index?instanceId=7534929858401468455&amp;source=bitable&amp;path=pages/detail/index?instanceId=7534929858401468455&amp;source=bitable", "202508050008")</f>
        <v>202508050008</v>
      </c>
      <c r="B920" t="inlineStr">
        <is>
          <t>Approved</t>
        </is>
      </c>
      <c r="C920" t="inlineStr">
        <is>
          <t>Procurement Order</t>
        </is>
      </c>
      <c r="D920" s="3">
        <v>45874.45564814815</v>
      </c>
      <c r="E920" s="3">
        <v>45882.78828703704</v>
      </c>
      <c r="F920" t="inlineStr">
        <is>
          <t>Rushelle A. Capistrano</t>
        </is>
      </c>
      <c r="G920" t="inlineStr">
        <is>
          <t>Procurement</t>
        </is>
      </c>
      <c r="H920"/>
      <c r="I920"/>
      <c r="J920" t="inlineStr">
        <is>
          <t>Project</t>
        </is>
      </c>
      <c r="K920" t="inlineStr">
        <is>
          <t>PDEI - Game Marketing</t>
        </is>
      </c>
      <c r="L920" t="inlineStr">
        <is>
          <t>Lucky Me! x PGDX Outpost by Mineski</t>
        </is>
      </c>
      <c r="M920" t="inlineStr">
        <is>
          <t>2025TEG-P0222</t>
        </is>
      </c>
      <c r="N920" t="inlineStr">
        <is>
          <t>Katherine Denise Lee Sy</t>
        </is>
      </c>
      <c r="O920" t="inlineStr">
        <is>
          <t>202507230107-Katherine Denise Lee Sy-费用报销 - 副本 - 副本 - 副本-2025-07-23 15:13:02</t>
        </is>
      </c>
      <c r="P920" t="inlineStr">
        <is>
          <t>YES</t>
        </is>
      </c>
      <c r="Q920"/>
      <c r="R920" t="inlineStr">
        <is>
          <t>NO</t>
        </is>
      </c>
      <c r="S920" t="inlineStr">
        <is>
          <t>Outsourced usher</t>
        </is>
      </c>
      <c r="T920">
        <v>1</v>
      </c>
      <c r="U920">
        <v>9000</v>
      </c>
      <c r="V920" t="inlineStr">
        <is>
          <t>PHP</t>
        </is>
      </c>
      <c r="W920">
        <v>9000</v>
      </c>
      <c r="X920" s="2" t="str">
        <f>=HYPERLINK("https://www.larksuite.com/approval/admin/previewAttachment?key=PMg9CsJAFATgK83szvvzMjaGxSYSECMW7-yChe3nSXgapxdUHAV22FSNSkuB8pRZj2ZEIRiI3vZ1Pbk-7zz2l45Hrr3P-21tT1rFGIgpzQTAy99nSKpy4ef4BgAA__8", "1 attachment(s)")</f>
        <v>1 attachment(s)</v>
      </c>
      <c r="Y920" t="inlineStr">
        <is>
          <t>Bank Transfer</t>
        </is>
      </c>
      <c r="Z920" t="inlineStr">
        <is>
          <t>Marc Kevin Serrano</t>
        </is>
      </c>
      <c r="AA920" t="inlineStr">
        <is>
          <t>1519218972</t>
        </is>
      </c>
      <c r="AB920" t="inlineStr">
        <is>
          <t>BPI</t>
        </is>
      </c>
      <c r="AC920" t="inlineStr">
        <is>
          <t>3 Don Guillermo Street, Barangay Holy Spirit, Commonwealth, Quezon City, Metro Manila, 112</t>
        </is>
      </c>
      <c r="AD920" s="4">
        <v>45877</v>
      </c>
      <c r="AE920" t="inlineStr">
        <is>
          <t>Full Payment on August 8, 2025</t>
        </is>
      </c>
      <c r="AF920" s="2"/>
      <c r="AG920" t="inlineStr">
        <is>
          <t>NzQyNTk5MTgyNzQ4MTg3MDM0MToyRkUyNkE2Ni0xREE1LTQ1QkYtQjg4Ni1CQkFBMUZCOTY2RDgtMToyZWUwYTgxZWE3ZjcxMjAwMDg1NzQ5ZmIzMGNhMWJlYzox</t>
        </is>
      </c>
      <c r="AH920" t="inlineStr">
        <is>
          <t>Marc Kevin Serrano</t>
        </is>
      </c>
      <c r="AI920"/>
      <c r="AJ920"/>
      <c r="AK920"/>
    </row>
    <row r="921" ht="25.5" customHeight="1">
      <c r="A921" s="2" t="str">
        <f>=HYPERLINK("https://applink.larksuite.com/client/mini_program/open?appId=cli_9c7cc8a9a9edd105&amp;mode=appCenter&amp;path_pc=pc/pages/requested/index?instanceId=7534640927994904615&amp;source=bitable&amp;path=pages/detail/index?instanceId=7534640927994904615&amp;source=bitable", "202508040081")</f>
        <v>202508040081</v>
      </c>
      <c r="B921" t="inlineStr">
        <is>
          <t>Approved</t>
        </is>
      </c>
      <c r="C921" t="inlineStr">
        <is>
          <t>Procurement Order</t>
        </is>
      </c>
      <c r="D921" s="3">
        <v>45873.67704861111</v>
      </c>
      <c r="E921" s="3">
        <v>45875.64570601852</v>
      </c>
      <c r="F921" t="inlineStr">
        <is>
          <t>Fatima Kathleen M. FLores</t>
        </is>
      </c>
      <c r="G921" t="inlineStr">
        <is>
          <t>Procurement</t>
        </is>
      </c>
      <c r="H921"/>
      <c r="I921"/>
      <c r="J921" t="inlineStr">
        <is>
          <t>Project</t>
        </is>
      </c>
      <c r="K921" t="inlineStr">
        <is>
          <t>PDEI - Event Service</t>
        </is>
      </c>
      <c r="L921" t="inlineStr">
        <is>
          <t>MPL PH S16 Media Day</t>
        </is>
      </c>
      <c r="M921" t="inlineStr">
        <is>
          <t>2025TEG-P0194</t>
        </is>
      </c>
      <c r="N921" t="inlineStr">
        <is>
          <t>Jessica Jane Lor Felicilda</t>
        </is>
      </c>
      <c r="O921" t="inlineStr">
        <is>
          <t>202507310017-Jessica Jane Lor Felicilda-费用报销 - 副本 - 副本 - 副本-2025-07-31 03:20:05</t>
        </is>
      </c>
      <c r="P921" t="inlineStr">
        <is>
          <t>NO</t>
        </is>
      </c>
      <c r="Q921"/>
      <c r="R921" t="inlineStr">
        <is>
          <t>YES</t>
        </is>
      </c>
      <c r="S921" t="inlineStr">
        <is>
          <t>8 x 34ft and 8 x 20ft board up panel w/ black cloth</t>
        </is>
      </c>
      <c r="T921">
        <v>1</v>
      </c>
      <c r="U921">
        <v>40000</v>
      </c>
      <c r="V921" t="inlineStr">
        <is>
          <t>PHP</t>
        </is>
      </c>
      <c r="W921">
        <v>40000</v>
      </c>
      <c r="X921" s="2" t="str">
        <f>=HYPERLINK("https://www.larksuite.com/approval/admin/previewAttachment?key=PMgxCsJQEATQK83un7_zx8vYJAQJWInBZs8uWNi-WoFaM0YZdKQRrTlYhFM2DVbMzg7JUAjq_XncFy_FOjflyc979vXYjv0V08qEBjkWgLj9fYikXcTP8Q0AAP__", "2 attachment(s)")</f>
        <v>2 attachment(s)</v>
      </c>
      <c r="Y921" t="inlineStr">
        <is>
          <t>Bank Transfer</t>
        </is>
      </c>
      <c r="Z921" t="inlineStr">
        <is>
          <t>STAGE ONE EVENT SERVICES CORP.</t>
        </is>
      </c>
      <c r="AA921" t="inlineStr">
        <is>
          <t>0124 0800 3549</t>
        </is>
      </c>
      <c r="AB921" t="inlineStr">
        <is>
          <t>BDO</t>
        </is>
      </c>
      <c r="AC921" t="inlineStr">
        <is>
          <t>Kamagong St. cor. Ipil St. Hillcrest Village, Brgy. 173 Camarin, Caloocan</t>
        </is>
      </c>
      <c r="AD921" s="4">
        <v>45877</v>
      </c>
      <c r="AE921" t="inlineStr">
        <is>
          <t>100% Full Payment upon completion of services</t>
        </is>
      </c>
      <c r="AF921" s="2"/>
      <c r="AG921" t="inlineStr">
        <is>
          <t>NzQyNTk5MTgyNzQ4MTg3MDM0MTo3OEEyMDdDNi0zREEwLTQzOEMtOTZBMi0xMjUwQTY2NTAwNDMtMTo5NTc0NTVhZDU3YmQ3ZGY3MmEzMDFmODQwYTVmNTc2Njox</t>
        </is>
      </c>
      <c r="AH921" t="inlineStr">
        <is>
          <t>STAGE ONE EVENT SERVICES CORP.</t>
        </is>
      </c>
      <c r="AI921"/>
      <c r="AJ921"/>
      <c r="AK921"/>
    </row>
    <row r="922" ht="25.5" customHeight="1">
      <c r="A922" s="2" t="str">
        <f>=HYPERLINK("https://applink.larksuite.com/client/mini_program/open?appId=cli_9c7cc8a9a9edd105&amp;mode=appCenter&amp;path_pc=pc/pages/requested/index?instanceId=7534722948913971231&amp;source=bitable&amp;path=pages/detail/index?instanceId=7534722948913971231&amp;source=bitable", "202508040113")</f>
        <v>202508040113</v>
      </c>
      <c r="B922" t="inlineStr">
        <is>
          <t>Approved</t>
        </is>
      </c>
      <c r="C922" t="inlineStr">
        <is>
          <t>Procurement Order</t>
        </is>
      </c>
      <c r="D922" s="3">
        <v>45873.89807870371</v>
      </c>
      <c r="E922" s="3">
        <v>45881.67166666667</v>
      </c>
      <c r="F922" t="inlineStr">
        <is>
          <t>Fatima Kathleen M. FLores</t>
        </is>
      </c>
      <c r="G922" t="inlineStr">
        <is>
          <t>Procurement</t>
        </is>
      </c>
      <c r="H922"/>
      <c r="I922"/>
      <c r="J922" t="inlineStr">
        <is>
          <t>Project</t>
        </is>
      </c>
      <c r="K922" t="inlineStr">
        <is>
          <t>PDEI - Game Marketing</t>
        </is>
      </c>
      <c r="L922" t="inlineStr">
        <is>
          <t>Samsung Galaxy Gaming Academy - Content Seeding</t>
        </is>
      </c>
      <c r="M922" t="inlineStr">
        <is>
          <t>2025TEG-P0075</t>
        </is>
      </c>
      <c r="N922" t="inlineStr">
        <is>
          <t>Diana Lou Perocho Gosamo</t>
        </is>
      </c>
      <c r="O922" t="inlineStr">
        <is>
          <t>202507040050-Diana Lou Perocho Gosamo-费用报销 - 副本 - 副本 - 副本-2025-07-04 08:33:20</t>
        </is>
      </c>
      <c r="P922" t="inlineStr">
        <is>
          <t>YES</t>
        </is>
      </c>
      <c r="Q922"/>
      <c r="R922" t="inlineStr">
        <is>
          <t>YES</t>
        </is>
      </c>
      <c r="S922" t="inlineStr">
        <is>
          <t>Collegiate Social Media Posting (Tempest Gaming)</t>
        </is>
      </c>
      <c r="T922">
        <v>1</v>
      </c>
      <c r="U922">
        <v>5102.04</v>
      </c>
      <c r="V922" t="inlineStr">
        <is>
          <t>PHP</t>
        </is>
      </c>
      <c r="W922">
        <v>5102.04</v>
      </c>
      <c r="X922" s="2" t="str">
        <f>=HYPERLINK("https://www.larksuite.com/approval/admin/previewAttachment?key=PMhBqgIxEATQK1V1d1Kpf5m_SRhERhgQdJWzCy7cvj6IPhqzG2WGwa2WpQjXMNNiJHdsSoYoaK_H8b9yzHifV9zPi2vu120e68lmRUBZlQMA_36eqiq7F76OTwAAAP__", "3 attachment(s)")</f>
        <v>3 attachment(s)</v>
      </c>
      <c r="Y922" t="inlineStr">
        <is>
          <t>Bank Transfer</t>
        </is>
      </c>
      <c r="Z922" t="inlineStr">
        <is>
          <t>Renzel G. Laroza</t>
        </is>
      </c>
      <c r="AA922" t="inlineStr">
        <is>
          <t>4509257189</t>
        </is>
      </c>
      <c r="AB922" t="inlineStr">
        <is>
          <t>BPI</t>
        </is>
      </c>
      <c r="AC922" t="inlineStr">
        <is>
          <t>938 Aurora Blvd. 1109 Quezon City</t>
        </is>
      </c>
      <c r="AD922" s="4">
        <v>45755</v>
      </c>
      <c r="AE922" t="inlineStr">
        <is>
          <t>100% Full Payment</t>
        </is>
      </c>
      <c r="AF922" s="2"/>
      <c r="AG922" t="inlineStr">
        <is>
          <t>NzQyNTk5MTgyNzQ4MTg3MDM0MTpEMzFGMjA3Qy0wMkVBLTQ5REYtQkJEMS02OTA2MTQ2QjFDMkItMTo4NDRhY2UzZjc4NWQyNjIyYTRjMWMzYTEyMjM1MzI3ODox</t>
        </is>
      </c>
      <c r="AH922" t="inlineStr">
        <is>
          <t>TEMPEST GAMING SOCIETY</t>
        </is>
      </c>
      <c r="AI922"/>
      <c r="AJ922"/>
      <c r="AK922"/>
    </row>
    <row r="923" ht="25.5" customHeight="1">
      <c r="A923" s="2" t="str">
        <f>=HYPERLINK("https://applink.larksuite.com/client/mini_program/open?appId=cli_9c7cc8a9a9edd105&amp;mode=appCenter&amp;path_pc=pc/pages/requested/index?instanceId=7534721782998106144&amp;source=bitable&amp;path=pages/detail/index?instanceId=7534721782998106144&amp;source=bitable", "202508040112")</f>
        <v>202508040112</v>
      </c>
      <c r="B923" t="inlineStr">
        <is>
          <t>Approved</t>
        </is>
      </c>
      <c r="C923" t="inlineStr">
        <is>
          <t>Procurement Order</t>
        </is>
      </c>
      <c r="D923" s="3">
        <v>45873.89493055556</v>
      </c>
      <c r="E923" s="3">
        <v>45881.67224537037</v>
      </c>
      <c r="F923" t="inlineStr">
        <is>
          <t>Fatima Kathleen M. FLores</t>
        </is>
      </c>
      <c r="G923" t="inlineStr">
        <is>
          <t>Procurement</t>
        </is>
      </c>
      <c r="H923"/>
      <c r="I923"/>
      <c r="J923" t="inlineStr">
        <is>
          <t>Project</t>
        </is>
      </c>
      <c r="K923" t="inlineStr">
        <is>
          <t>PDEI - Game Marketing</t>
        </is>
      </c>
      <c r="L923" t="inlineStr">
        <is>
          <t>Samsung Galaxy Gaming Academy - Content Seeding</t>
        </is>
      </c>
      <c r="M923" t="inlineStr">
        <is>
          <t>2025TEG-P0075</t>
        </is>
      </c>
      <c r="N923" t="inlineStr">
        <is>
          <t>Diana Lou Perocho Gosamo</t>
        </is>
      </c>
      <c r="O923" t="inlineStr">
        <is>
          <t>202507040050-Diana Lou Perocho Gosamo-费用报销 - 副本 - 副本 - 副本-2025-07-04 08:33:20</t>
        </is>
      </c>
      <c r="P923" t="inlineStr">
        <is>
          <t>YES</t>
        </is>
      </c>
      <c r="Q923"/>
      <c r="R923" t="inlineStr">
        <is>
          <t>YES</t>
        </is>
      </c>
      <c r="S923" t="inlineStr">
        <is>
          <t>Collegiate Social Media Posting (Pylon Esports)</t>
        </is>
      </c>
      <c r="T923">
        <v>1</v>
      </c>
      <c r="U923">
        <v>5102.04</v>
      </c>
      <c r="V923" t="inlineStr">
        <is>
          <t>PHP</t>
        </is>
      </c>
      <c r="W923">
        <v>5102.04</v>
      </c>
      <c r="X923" s="2" t="str">
        <f>=HYPERLINK("https://www.larksuite.com/approval/admin/previewAttachment?key=PMkxDkIhEATQK80sC8N4GRsIsbEykvyCsxstbN9rnWi9sjQjzTB4VEsqqB72t5l54lAyREFnPtf92stvDfqao8Y--zHWfLFaEVDJLB0Ab38vyky7JX6OTwAAAP__", "3 attachment(s)")</f>
        <v>3 attachment(s)</v>
      </c>
      <c r="Y923" t="inlineStr">
        <is>
          <t>Bank Transfer</t>
        </is>
      </c>
      <c r="Z923" t="inlineStr">
        <is>
          <t>Nathaniel Valenzuela</t>
        </is>
      </c>
      <c r="AA923" t="inlineStr">
        <is>
          <t>5566 0573 70</t>
        </is>
      </c>
      <c r="AB923" t="inlineStr">
        <is>
          <t>Unionbank</t>
        </is>
      </c>
      <c r="AC923" t="inlineStr">
        <is>
          <t>A. Mabini Campus, Anonas Street, Sta. Mesa, Manila</t>
        </is>
      </c>
      <c r="AD923" s="4">
        <v>45755</v>
      </c>
      <c r="AE923" t="inlineStr">
        <is>
          <t>100% Full Payment</t>
        </is>
      </c>
      <c r="AF923" s="2"/>
      <c r="AG923" t="inlineStr">
        <is>
          <t>NzQyNTk5MTgyNzQ4MTg3MDM0MTpDRUUzQzJBRi0xN0RBLTQ1MTktQjU5NC1ERUM2ODEzQjM3MjEtMTo2Y2RhMTBlNjA2MDRkYTQyMWZiYWQ4MWJiNGRmNDQxYzox</t>
        </is>
      </c>
      <c r="AH923" t="inlineStr">
        <is>
          <t>PYLON ESPORTS</t>
        </is>
      </c>
      <c r="AI923"/>
      <c r="AJ923"/>
      <c r="AK923"/>
    </row>
    <row r="924" ht="25.5" customHeight="1">
      <c r="A924" s="2" t="str">
        <f>=HYPERLINK("https://applink.larksuite.com/client/mini_program/open?appId=cli_9c7cc8a9a9edd105&amp;mode=appCenter&amp;path_pc=pc/pages/requested/index?instanceId=7534719203333390367&amp;source=bitable&amp;path=pages/detail/index?instanceId=7534719203333390367&amp;source=bitable", "202508040111")</f>
        <v>202508040111</v>
      </c>
      <c r="B924" t="inlineStr">
        <is>
          <t>Approved</t>
        </is>
      </c>
      <c r="C924" t="inlineStr">
        <is>
          <t>Procurement Order</t>
        </is>
      </c>
      <c r="D924" s="3">
        <v>45873.88798611111</v>
      </c>
      <c r="E924" s="3">
        <v>45881.67291666667</v>
      </c>
      <c r="F924" t="inlineStr">
        <is>
          <t>Fatima Kathleen M. FLores</t>
        </is>
      </c>
      <c r="G924" t="inlineStr">
        <is>
          <t>Procurement</t>
        </is>
      </c>
      <c r="H924"/>
      <c r="I924"/>
      <c r="J924" t="inlineStr">
        <is>
          <t>Project</t>
        </is>
      </c>
      <c r="K924" t="inlineStr">
        <is>
          <t>PDEI - Game Marketing</t>
        </is>
      </c>
      <c r="L924" t="inlineStr">
        <is>
          <t>Samsung Galaxy Gaming Academy - Content Seeding</t>
        </is>
      </c>
      <c r="M924" t="inlineStr">
        <is>
          <t>2025TEG-P0075</t>
        </is>
      </c>
      <c r="N924" t="inlineStr">
        <is>
          <t>Diana Lou Perocho Gosamo</t>
        </is>
      </c>
      <c r="O924" t="inlineStr">
        <is>
          <t>202507040050-Diana Lou Perocho Gosamo-费用报销 - 副本 - 副本 - 副本-2025-07-04 08:33:20</t>
        </is>
      </c>
      <c r="P924" t="inlineStr">
        <is>
          <t>YES</t>
        </is>
      </c>
      <c r="Q924"/>
      <c r="R924" t="inlineStr">
        <is>
          <t>YES</t>
        </is>
      </c>
      <c r="S924" t="inlineStr">
        <is>
          <t>Collegiate Social Media Posting (TUPT GRAYHAWKS ESPORTS)</t>
        </is>
      </c>
      <c r="T924">
        <v>1</v>
      </c>
      <c r="U924">
        <v>5102.04</v>
      </c>
      <c r="V924" t="inlineStr">
        <is>
          <t>PHP</t>
        </is>
      </c>
      <c r="W924">
        <v>5102.04</v>
      </c>
      <c r="X924" s="2" t="str">
        <f>=HYPERLINK("https://www.larksuite.com/approval/admin/previewAttachment?key=PMg9CgIxFATgK837SSbjZWwMi1usCELE4p1dtNiv_Pow9NEsupAyF6zYImlyxI8QneVlpEAjWPPYrnE8nmNfH8d7zzVr3W_bfFkT3cHIjAHALucHM1Pqif_jGwAA__8", "3 attachment(s)")</f>
        <v>3 attachment(s)</v>
      </c>
      <c r="Y924" t="inlineStr">
        <is>
          <t>Bank Transfer</t>
        </is>
      </c>
      <c r="Z924" t="inlineStr">
        <is>
          <t>JAMIE ANN V. GARCIA</t>
        </is>
      </c>
      <c r="AA924" t="inlineStr">
        <is>
          <t>1096 7592 8813</t>
        </is>
      </c>
      <c r="AB924" t="inlineStr">
        <is>
          <t>Unionbank</t>
        </is>
      </c>
      <c r="AC924" t="inlineStr">
        <is>
          <t>Km.14 East Service Rd. Brgy. Western Bicutan, Taguig City</t>
        </is>
      </c>
      <c r="AD924" s="4">
        <v>45755</v>
      </c>
      <c r="AE924" t="inlineStr">
        <is>
          <t>100% Full Payment</t>
        </is>
      </c>
      <c r="AF924" s="2"/>
      <c r="AG924" t="inlineStr">
        <is>
          <t>NzQyNTk5MTgyNzQ4MTg3MDM0MTpDQzExMjE5Qi0yMzhFLTQwMDItQjAxRC05NEY5M0M0RTg5REItMTphNzQyMTdkMjU5MWFlNDI3N2NlMDgyMzY0ZGYyNTAxYjox</t>
        </is>
      </c>
      <c r="AH924" t="inlineStr">
        <is>
          <t>TUPT GRAYHAWKS ESPORTS</t>
        </is>
      </c>
      <c r="AI924"/>
      <c r="AJ924"/>
      <c r="AK924"/>
    </row>
    <row r="925" ht="25.5" customHeight="1">
      <c r="A925" s="2" t="str">
        <f>=HYPERLINK("https://applink.larksuite.com/client/mini_program/open?appId=cli_9c7cc8a9a9edd105&amp;mode=appCenter&amp;path_pc=pc/pages/requested/index?instanceId=7534717445237997607&amp;source=bitable&amp;path=pages/detail/index?instanceId=7534717445237997607&amp;source=bitable", "202508040109")</f>
        <v>202508040109</v>
      </c>
      <c r="B925" t="inlineStr">
        <is>
          <t>Approved</t>
        </is>
      </c>
      <c r="C925" t="inlineStr">
        <is>
          <t>Procurement Order</t>
        </is>
      </c>
      <c r="D925" s="3">
        <v>45873.88324074074</v>
      </c>
      <c r="E925" s="3">
        <v>45881.67334490741</v>
      </c>
      <c r="F925" t="inlineStr">
        <is>
          <t>Fatima Kathleen M. FLores</t>
        </is>
      </c>
      <c r="G925" t="inlineStr">
        <is>
          <t>Procurement</t>
        </is>
      </c>
      <c r="H925"/>
      <c r="I925"/>
      <c r="J925" t="inlineStr">
        <is>
          <t>Project</t>
        </is>
      </c>
      <c r="K925" t="inlineStr">
        <is>
          <t>PDEI - Game Marketing</t>
        </is>
      </c>
      <c r="L925" t="inlineStr">
        <is>
          <t>Samsung Galaxy Gaming Academy - Content Seeding</t>
        </is>
      </c>
      <c r="M925" t="inlineStr">
        <is>
          <t>2025TEG-P0075</t>
        </is>
      </c>
      <c r="N925" t="inlineStr">
        <is>
          <t>Diana Lou Perocho Gosamo</t>
        </is>
      </c>
      <c r="O925" t="inlineStr">
        <is>
          <t>202507040050-Diana Lou Perocho Gosamo-费用报销 - 副本 - 副本 - 副本-2025-07-04 08:33:20</t>
        </is>
      </c>
      <c r="P925" t="inlineStr">
        <is>
          <t>YES</t>
        </is>
      </c>
      <c r="Q925"/>
      <c r="R925" t="inlineStr">
        <is>
          <t>YES</t>
        </is>
      </c>
      <c r="S925" t="inlineStr">
        <is>
          <t>Collegiate Social Media Posting (TUP Gear)</t>
        </is>
      </c>
      <c r="T925">
        <v>1</v>
      </c>
      <c r="U925">
        <v>5102.04</v>
      </c>
      <c r="V925" t="inlineStr">
        <is>
          <t>PHP</t>
        </is>
      </c>
      <c r="W925">
        <v>5102.04</v>
      </c>
      <c r="X925" s="2" t="str">
        <f>=HYPERLINK("https://www.larksuite.com/approval/admin/previewAttachment?key=PMhBqgIxEATQK1V3V1Kpf5m_MQRh0I2MzCZnF1y4fX0E-mhR3aAjjdhqRYXIliVbHdq5QzIUgvZ8rP8jZ52rPc-j5nV5v--3NV_RrEyoyBoA4u_nJZJ2J76OTwAAAP__", "3 attachment(s)")</f>
        <v>3 attachment(s)</v>
      </c>
      <c r="Y925" t="inlineStr">
        <is>
          <t>Bank Transfer</t>
        </is>
      </c>
      <c r="Z925" t="inlineStr">
        <is>
          <t>Mari Nicolette Roldan</t>
        </is>
      </c>
      <c r="AA925" t="inlineStr">
        <is>
          <t>0586173421</t>
        </is>
      </c>
      <c r="AB925" t="inlineStr">
        <is>
          <t>Landbank</t>
        </is>
      </c>
      <c r="AC925" t="inlineStr">
        <is>
          <t>Technological University of the Philippines - Manila, Ayala Boulevard corner San Marcelino St. Ermita, Manila</t>
        </is>
      </c>
      <c r="AD925" s="4">
        <v>45755</v>
      </c>
      <c r="AE925" t="inlineStr">
        <is>
          <t>100% Full Payment</t>
        </is>
      </c>
      <c r="AF925" s="2"/>
      <c r="AG925" t="inlineStr">
        <is>
          <t>NzQyNTk5MTgyNzQ4MTg3MDM0MToxRUVBM0EwRC0wMUIwLTQyRDctOUQ4My02RUZDQ0E5MzE2MzEtMTphMDQzYjlkYmU0Y2NhM2MwMTEyNDU5N2IzNDFjMDE1NDox</t>
        </is>
      </c>
      <c r="AH925" t="inlineStr">
        <is>
          <t>TUP Gear</t>
        </is>
      </c>
      <c r="AI925"/>
      <c r="AJ925"/>
      <c r="AK925"/>
    </row>
    <row r="926" ht="25.5" customHeight="1">
      <c r="A926" s="2" t="str">
        <f>=HYPERLINK("https://applink.larksuite.com/client/mini_program/open?appId=cli_9c7cc8a9a9edd105&amp;mode=appCenter&amp;path_pc=pc/pages/requested/index?instanceId=7534718062633680935&amp;source=bitable&amp;path=pages/detail/index?instanceId=7534718062633680935&amp;source=bitable", "202508040110")</f>
        <v>202508040110</v>
      </c>
      <c r="B926" t="inlineStr">
        <is>
          <t>Approved</t>
        </is>
      </c>
      <c r="C926" t="inlineStr">
        <is>
          <t>Procurement Order</t>
        </is>
      </c>
      <c r="D926" s="3">
        <v>45873.88490740741</v>
      </c>
      <c r="E926" s="3">
        <v>45881.67412037037</v>
      </c>
      <c r="F926" t="inlineStr">
        <is>
          <t>Fatima Kathleen M. FLores</t>
        </is>
      </c>
      <c r="G926" t="inlineStr">
        <is>
          <t>Procurement</t>
        </is>
      </c>
      <c r="H926"/>
      <c r="I926"/>
      <c r="J926" t="inlineStr">
        <is>
          <t>Project</t>
        </is>
      </c>
      <c r="K926" t="inlineStr">
        <is>
          <t>PDEI - Game Marketing</t>
        </is>
      </c>
      <c r="L926" t="inlineStr">
        <is>
          <t>Samsung Galaxy Gaming Academy - Content Seeding</t>
        </is>
      </c>
      <c r="M926" t="inlineStr">
        <is>
          <t>2025TEG-P0075</t>
        </is>
      </c>
      <c r="N926" t="inlineStr">
        <is>
          <t>Diana Lou Perocho Gosamo</t>
        </is>
      </c>
      <c r="O926" t="inlineStr">
        <is>
          <t>202507040050-Diana Lou Perocho Gosamo-费用报销 - 副本 - 副本 - 副本-2025-07-04 08:33:20</t>
        </is>
      </c>
      <c r="P926" t="inlineStr">
        <is>
          <t>YES</t>
        </is>
      </c>
      <c r="Q926"/>
      <c r="R926" t="inlineStr">
        <is>
          <t>YES</t>
        </is>
      </c>
      <c r="S926" t="inlineStr">
        <is>
          <t>Collegiate Social Media Posting (UP Gaming Guild)</t>
        </is>
      </c>
      <c r="T926">
        <v>1</v>
      </c>
      <c r="U926">
        <v>5102.04</v>
      </c>
      <c r="V926" t="inlineStr">
        <is>
          <t>PHP</t>
        </is>
      </c>
      <c r="W926">
        <v>5102.04</v>
      </c>
      <c r="X926" s="2" t="str">
        <f>=HYPERLINK("https://www.larksuite.com/approval/admin/previewAttachment?key=PMgxCgJBDAXQK_3Mz-QnXsbGZdFiB0Fcq5xdsLB9kYbIaYyCl42CtSZdlogRZCSKs0ebVJAJ6u3YrzzWMx9YxfV5n1uf99u-vWyWxoDozgRgl79T7l4Vjp_jGwAA__8", "3 attachment(s)")</f>
        <v>3 attachment(s)</v>
      </c>
      <c r="Y926" t="inlineStr">
        <is>
          <t>Bank Transfer</t>
        </is>
      </c>
      <c r="Z926" t="inlineStr">
        <is>
          <t>Geri Dominique P. Cortez</t>
        </is>
      </c>
      <c r="AA926" t="inlineStr">
        <is>
          <t>3089504456</t>
        </is>
      </c>
      <c r="AB926" t="inlineStr">
        <is>
          <t>BPI</t>
        </is>
      </c>
      <c r="AC926" t="inlineStr">
        <is>
          <t>Vinzons Tambayan Complex, UP Diliman, Quezon City</t>
        </is>
      </c>
      <c r="AD926" s="4">
        <v>45755</v>
      </c>
      <c r="AE926" t="inlineStr">
        <is>
          <t>100% Full Payment</t>
        </is>
      </c>
      <c r="AF926" s="2"/>
      <c r="AG926" t="inlineStr">
        <is>
          <t>NzQyNTk5MTgyNzQ4MTg3MDM0MTpBRkM3NkZBMy02MkE2LTQ5ODAtOEMwMi00RDRFMEY1OUU5NEYtMTpjZjg3ODE3MThlMGU2MGY4MzQ5MmU2YTI5M2Y4Mjk1ZDox</t>
        </is>
      </c>
      <c r="AH926" t="inlineStr">
        <is>
          <t>UP Gaming Guild</t>
        </is>
      </c>
      <c r="AI926"/>
      <c r="AJ926"/>
      <c r="AK926"/>
    </row>
    <row r="927" ht="25.5" customHeight="1">
      <c r="A927" s="2" t="str">
        <f>=HYPERLINK("https://applink.larksuite.com/client/mini_program/open?appId=cli_9c7cc8a9a9edd105&amp;mode=appCenter&amp;path_pc=pc/pages/requested/index?instanceId=7535401117585276967&amp;source=bitable&amp;path=pages/detail/index?instanceId=7535401117585276967&amp;source=bitable", "202508060073")</f>
        <v>202508060073</v>
      </c>
      <c r="B927" t="inlineStr">
        <is>
          <t>Approved</t>
        </is>
      </c>
      <c r="C927" t="inlineStr">
        <is>
          <t>Procurement Order</t>
        </is>
      </c>
      <c r="D927" s="3">
        <v>45875.72560185185</v>
      </c>
      <c r="E927" s="3">
        <v>45876.69436342592</v>
      </c>
      <c r="F927" t="inlineStr">
        <is>
          <t>Arlyn Castillo</t>
        </is>
      </c>
      <c r="G927" t="inlineStr">
        <is>
          <t>Procurement</t>
        </is>
      </c>
      <c r="H927"/>
      <c r="I927"/>
      <c r="J927" t="inlineStr">
        <is>
          <t>Project</t>
        </is>
      </c>
      <c r="K927" t="inlineStr">
        <is>
          <t>PDEI - Game Marketing</t>
        </is>
      </c>
      <c r="L927" t="inlineStr">
        <is>
          <t>PGDX Outpost by Mineski</t>
        </is>
      </c>
      <c r="M927" t="inlineStr">
        <is>
          <t>2025TEG-P0171</t>
        </is>
      </c>
      <c r="N927" t="inlineStr">
        <is>
          <t>Clifford Markus Ortiz Martinez</t>
        </is>
      </c>
      <c r="O927" t="inlineStr">
        <is>
          <t>202508050051-Clifford Markus Ortiz Martinez-费用报销 - 副本 - 副本 - 副本-2025-08-05 07:27:43</t>
        </is>
      </c>
      <c r="P927" t="inlineStr">
        <is>
          <t>NO</t>
        </is>
      </c>
      <c r="Q927"/>
      <c r="R927" t="inlineStr">
        <is>
          <t>NO</t>
        </is>
      </c>
      <c r="S927" t="inlineStr">
        <is>
          <t>Outsourced Logistics Services (Egress)</t>
        </is>
      </c>
      <c r="T927">
        <v>1</v>
      </c>
      <c r="U927">
        <v>5472</v>
      </c>
      <c r="V927" t="inlineStr">
        <is>
          <t>PHP</t>
        </is>
      </c>
      <c r="W927">
        <v>5472</v>
      </c>
      <c r="X927" s="2" t="str">
        <f>=HYPERLINK("https://www.larksuite.com/approval/admin/previewAttachment?key=PMhBqoIxDATgK82kSaZ5l3kbS1F-BEHoLmcXXLj9chI5gyMLXrQCWzHCQVIxw5SVamtKBVFQr-f-P9zE9XCe17qMfe63vd6Mkhk03McEwL-fD7l7VTq-jk8AAAD__w", "3 attachment(s)")</f>
        <v>3 attachment(s)</v>
      </c>
      <c r="Y927" t="inlineStr">
        <is>
          <t>Bank Transfer</t>
        </is>
      </c>
      <c r="Z927" t="inlineStr">
        <is>
          <t>ONE-MAX TRUCKING SERVICES</t>
        </is>
      </c>
      <c r="AA927" t="inlineStr">
        <is>
          <t>504-3-50448621-5</t>
        </is>
      </c>
      <c r="AB927" t="inlineStr">
        <is>
          <t>METROBANK</t>
        </is>
      </c>
      <c r="AC927" t="inlineStr">
        <is>
          <t>Eastdrive St., Marikina Heights, Marikina City</t>
        </is>
      </c>
      <c r="AD927" s="4">
        <v>45865</v>
      </c>
      <c r="AE927" t="inlineStr">
        <is>
          <t>100% Full Payment upon completion of services</t>
        </is>
      </c>
      <c r="AF927" s="2"/>
      <c r="AG927" t="inlineStr">
        <is>
          <t>NzQyNTk5MTgyNzQ4MTg3MDM0MTo1RjREMUZCQi05M0VFLTQ4RUUtOTUxRC1DQTZBNjZGOURBM0UtMTo4MzA2Mzk0ZTU4NjJjYjJlOGU1MzBiNDk4NTBjZTYwYTox</t>
        </is>
      </c>
      <c r="AH927" t="inlineStr">
        <is>
          <t>ONE-MAX TRUCKING SERVICES</t>
        </is>
      </c>
      <c r="AI927"/>
      <c r="AJ927"/>
      <c r="AK927"/>
    </row>
    <row r="928" ht="25.5" customHeight="1">
      <c r="A928" s="2" t="str">
        <f>=HYPERLINK("https://applink.larksuite.com/client/mini_program/open?appId=cli_9c7cc8a9a9edd105&amp;mode=appCenter&amp;path_pc=pc/pages/requested/index?instanceId=7534943551914901535&amp;source=bitable&amp;path=pages/detail/index?instanceId=7534943551914901535&amp;source=bitable", "202508050023")</f>
        <v>202508050023</v>
      </c>
      <c r="B928" t="inlineStr">
        <is>
          <t>Approved</t>
        </is>
      </c>
      <c r="C928" t="inlineStr">
        <is>
          <t>Procurement Order</t>
        </is>
      </c>
      <c r="D928" s="3">
        <v>45874.49255787037</v>
      </c>
      <c r="E928" s="3">
        <v>45876.69568287037</v>
      </c>
      <c r="F928" t="inlineStr">
        <is>
          <t>Rushelle A. Capistrano</t>
        </is>
      </c>
      <c r="G928" t="inlineStr">
        <is>
          <t>Procurement</t>
        </is>
      </c>
      <c r="H928"/>
      <c r="I928"/>
      <c r="J928" t="inlineStr">
        <is>
          <t>Project</t>
        </is>
      </c>
      <c r="K928" t="inlineStr">
        <is>
          <t>PDEI - Game Marketing</t>
        </is>
      </c>
      <c r="L928" t="inlineStr">
        <is>
          <t>PGDX Outpost by Mineski</t>
        </is>
      </c>
      <c r="M928" t="inlineStr">
        <is>
          <t>2025TEG-P0171</t>
        </is>
      </c>
      <c r="N928" t="inlineStr">
        <is>
          <t>Katherine Denise Lee Sy</t>
        </is>
      </c>
      <c r="O928" t="inlineStr">
        <is>
          <t>202507210049-Katherine Denise Lee Sy-费用报销 - 副本 - 副本 - 副本-2025-07-21 07:31:33</t>
        </is>
      </c>
      <c r="P928" t="inlineStr">
        <is>
          <t>YES</t>
        </is>
      </c>
      <c r="Q928"/>
      <c r="R928" t="inlineStr">
        <is>
          <t>YES</t>
        </is>
      </c>
      <c r="S928" t="inlineStr">
        <is>
          <t>Outsourced Graphic Artist</t>
        </is>
      </c>
      <c r="T928">
        <v>1</v>
      </c>
      <c r="U928">
        <v>1950</v>
      </c>
      <c r="V928" t="inlineStr">
        <is>
          <t>PHP</t>
        </is>
      </c>
      <c r="W928">
        <v>1950</v>
      </c>
      <c r="X928" s="2" t="str">
        <f>=HYPERLINK("https://www.larksuite.com/approval/admin/previewAttachment?key=PMhBCsIwFATQK83kz8_PeBk3DUUQQRBausjZBRduXx9EH8nohsxmcFWGrMikKYMZudpilVEs1Jqv_T5jbDMOXs_zvMZ7HY9tnx-mqzVUSDEA8Pb3KEl2F36ObwAAAP__", "1 attachment(s)")</f>
        <v>1 attachment(s)</v>
      </c>
      <c r="Y928" t="inlineStr">
        <is>
          <t>Bank Transfer</t>
        </is>
      </c>
      <c r="Z928" t="inlineStr">
        <is>
          <t>Hannah Franchesca Dose Timoteo</t>
        </is>
      </c>
      <c r="AA928" t="inlineStr">
        <is>
          <t>1096 7421 5163</t>
        </is>
      </c>
      <c r="AB928" t="inlineStr">
        <is>
          <t>Unionbank</t>
        </is>
      </c>
      <c r="AC928" t="inlineStr">
        <is>
          <t>Zone 1, Block 5, Lot 21, Central Bicutan, Taguig City.</t>
        </is>
      </c>
      <c r="AD928" s="4">
        <v>45877</v>
      </c>
      <c r="AE928" t="inlineStr">
        <is>
          <t>100% Full payment on August 8, 2025</t>
        </is>
      </c>
      <c r="AF928" s="2"/>
      <c r="AG928" t="inlineStr">
        <is>
          <t>NzQyNTk5MTgyNzQ4MTg3MDM0MTo1REJBMjVDNS0xMjdCLTQ5M0YtOENENy0xMUY3RUU4QTczREQtMTpiNjU5ZmI5YzU2MTkyOWM4ODgyNGFlMTVjMGY4NmNhYTox</t>
        </is>
      </c>
      <c r="AH928" t="inlineStr">
        <is>
          <t>Hannah Franchesca Dose Timoteo</t>
        </is>
      </c>
      <c r="AI928"/>
      <c r="AJ928"/>
      <c r="AK928"/>
    </row>
    <row r="929" ht="25.5" customHeight="1">
      <c r="A929" s="2" t="str">
        <f>=HYPERLINK("https://applink.larksuite.com/client/mini_program/open?appId=cli_9c7cc8a9a9edd105&amp;mode=appCenter&amp;path_pc=pc/pages/requested/index?instanceId=7535420154893598759&amp;source=bitable&amp;path=pages/detail/index?instanceId=7535420154893598759&amp;source=bitable", "202508060097")</f>
        <v>202508060097</v>
      </c>
      <c r="B929" t="inlineStr">
        <is>
          <t>Approved</t>
        </is>
      </c>
      <c r="C929" t="inlineStr">
        <is>
          <t>Procurement Order</t>
        </is>
      </c>
      <c r="D929" s="3">
        <v>45875.77690972222</v>
      </c>
      <c r="E929" s="3">
        <v>45876.45706018519</v>
      </c>
      <c r="F929" t="inlineStr">
        <is>
          <t>Arlyn Castillo</t>
        </is>
      </c>
      <c r="G929" t="inlineStr">
        <is>
          <t>Procurement</t>
        </is>
      </c>
      <c r="H929"/>
      <c r="I929"/>
      <c r="J929" t="inlineStr">
        <is>
          <t>Project</t>
        </is>
      </c>
      <c r="K929" t="inlineStr">
        <is>
          <t>PDEI - Event Service</t>
        </is>
      </c>
      <c r="L929" t="inlineStr">
        <is>
          <t>MPL PH S16 Media Day</t>
        </is>
      </c>
      <c r="M929" t="inlineStr">
        <is>
          <t>2025TEG-P0194</t>
        </is>
      </c>
      <c r="N929" t="inlineStr">
        <is>
          <t>Jessica Jane Lor Felicilda</t>
        </is>
      </c>
      <c r="O929" t="inlineStr">
        <is>
          <t>202507310015-Jessica Jane Lor Felicilda-费用报销 - 副本 - 副本 - 副本-2025-07-31 03:08:25</t>
        </is>
      </c>
      <c r="P929" t="inlineStr">
        <is>
          <t>NO</t>
        </is>
      </c>
      <c r="Q929"/>
      <c r="R929" t="inlineStr">
        <is>
          <t>NO</t>
        </is>
      </c>
      <c r="S929" t="inlineStr">
        <is>
          <t>Crew Meals (2 days / 3 Meals) - 372pax</t>
        </is>
      </c>
      <c r="T929">
        <v>1</v>
      </c>
      <c r="U929">
        <v>48110</v>
      </c>
      <c r="V929" t="inlineStr">
        <is>
          <t>PHP</t>
        </is>
      </c>
      <c r="W929">
        <v>48110</v>
      </c>
      <c r="X929" s="2" t="str">
        <f>=HYPERLINK("https://www.larksuite.com/approval/admin/previewAttachment?key=PMgxDgIxDATAL61jO-vlMzQXnQBBhQ5IkbcjUdBOL0OvNO9CyJpgi-kZDZZR8lQxtdoyUqARXOOxn7ejjjnG9TZhn_t7vS7bPp6WYmugR3gBsNPfnREh9cDP8Q0AAP__", "1 attachment(s)")</f>
        <v>1 attachment(s)</v>
      </c>
      <c r="Y929" t="inlineStr">
        <is>
          <t>Bank Transfer</t>
        </is>
      </c>
      <c r="Z929" t="inlineStr">
        <is>
          <t>SESTRAQUISINA HOMEMADE FROOD TRADING</t>
        </is>
      </c>
      <c r="AA929" t="inlineStr">
        <is>
          <t>4455811088</t>
        </is>
      </c>
      <c r="AB929" t="inlineStr">
        <is>
          <t>BPI</t>
        </is>
      </c>
      <c r="AC929" t="inlineStr">
        <is>
          <t>37 St. Matthew St. Charbel Executive Village, Tandang Sora, Quezon City</t>
        </is>
      </c>
      <c r="AD929" s="4">
        <v>45877</v>
      </c>
      <c r="AE929" t="inlineStr">
        <is>
          <t>Full Payment after the date of order</t>
        </is>
      </c>
      <c r="AF929" s="2" t="str">
        <f>=HYPERLINK("https://www.larksuite.com/approval/admin/previewAttachment?key=TMg7CsJAGATgK83kf46XsckSVLSSqCn27IKV7ZdNZActBRcXgbPCwhcwvGWhrtBcJquEYqHmeGznde_9GON6O8DP_T1fl3UbT2ZbwhXuFACe_pyE2tJ-jm8AAAD__w", "2 attachment(s)")</f>
        <v>2 attachment(s)</v>
      </c>
      <c r="AG929" t="inlineStr">
        <is>
          <t>NzQyNTk5MTgyNzQ4MTg3MDM0MTpFRUI2MTU3RS0xRkZELTQ2QzMtOTNGMS1GNDA4RDIwMkIxQjItMTpjNjAwYzAzNzU3MTkwMWQ4MTk4ZGI3Yjg1OTE0MDQ1NTox</t>
        </is>
      </c>
      <c r="AH929" t="inlineStr">
        <is>
          <t>Kayla Marisse Martinez Embuscado</t>
        </is>
      </c>
      <c r="AI929"/>
      <c r="AJ929"/>
      <c r="AK929"/>
    </row>
    <row r="930" ht="25.5" customHeight="1">
      <c r="A930" s="2" t="str">
        <f>=HYPERLINK("https://applink.larksuite.com/client/mini_program/open?appId=cli_9c7cc8a9a9edd105&amp;mode=appCenter&amp;path_pc=pc/pages/requested/index?instanceId=7535420154893598759&amp;source=bitable&amp;path=pages/detail/index?instanceId=7535420154893598759&amp;source=bitable", "202508060097")</f>
        <v>202508060097</v>
      </c>
      <c r="B930" t="inlineStr">
        <is>
          <t>Approved</t>
        </is>
      </c>
      <c r="C930" t="inlineStr">
        <is>
          <t>Procurement Order</t>
        </is>
      </c>
      <c r="D930" s="3">
        <v>45875.77690972222</v>
      </c>
      <c r="E930" s="3">
        <v>45876.45706018519</v>
      </c>
      <c r="F930" t="inlineStr">
        <is>
          <t>Arlyn Castillo</t>
        </is>
      </c>
      <c r="G930" t="inlineStr">
        <is>
          <t>Procurement</t>
        </is>
      </c>
      <c r="H930"/>
      <c r="I930"/>
      <c r="J930" t="inlineStr">
        <is>
          <t>Project</t>
        </is>
      </c>
      <c r="K930" t="inlineStr">
        <is>
          <t>PDEI - Event Service</t>
        </is>
      </c>
      <c r="L930" t="inlineStr">
        <is>
          <t>MPL PH S16 Media Day</t>
        </is>
      </c>
      <c r="M930" t="inlineStr">
        <is>
          <t>2025TEG-P0194</t>
        </is>
      </c>
      <c r="N930" t="inlineStr">
        <is>
          <t>Jessica Jane Lor Felicilda</t>
        </is>
      </c>
      <c r="O930" t="inlineStr">
        <is>
          <t>202507310015-Jessica Jane Lor Felicilda-费用报销 - 副本 - 副本 - 副本-2025-07-31 03:08:25</t>
        </is>
      </c>
      <c r="P930" t="inlineStr">
        <is>
          <t>NO</t>
        </is>
      </c>
      <c r="Q930"/>
      <c r="R930" t="inlineStr">
        <is>
          <t>NO</t>
        </is>
      </c>
      <c r="S930" t="inlineStr">
        <is>
          <t>Delivery Fee</t>
        </is>
      </c>
      <c r="T930">
        <v>1</v>
      </c>
      <c r="U930">
        <v>550</v>
      </c>
      <c r="V930" t="inlineStr">
        <is>
          <t>PHP</t>
        </is>
      </c>
      <c r="W930">
        <v>550</v>
      </c>
      <c r="X930" s="2" t="str">
        <f>=HYPERLINK("https://www.larksuite.com/approval/admin/previewAttachment?key=PMgxDgIxDATAL-3GduzlMzQXnQBBhQ5IkbcjUdBOL6JX0LrgYhO4Miy8geElC1WGVlvMFJKJXOOxn7ejjjnG9TbBz_29XpdtH0-GsjWkuVsB4Onvlu4udcfP-Q0AAP__", "1 attachment(s)")</f>
        <v>1 attachment(s)</v>
      </c>
      <c r="Y930"/>
      <c r="Z930"/>
      <c r="AA930"/>
      <c r="AB930"/>
      <c r="AC930"/>
      <c r="AD930" s="4"/>
      <c r="AE930"/>
      <c r="AF930" s="2"/>
      <c r="AG930" t="inlineStr">
        <is>
          <t>NzQyNTk5MTgyNzQ4MTg3MDM0MTpFRUI2MTU3RS0xRkZELTQ2QzMtOTNGMS1GNDA4RDIwMkIxQjItMjoxYzRiZTY5MTM4ZmMxZTI1ZDM3NDY3NTlhYjgyNWU1NDox</t>
        </is>
      </c>
      <c r="AH930"/>
      <c r="AI930"/>
      <c r="AJ930"/>
      <c r="AK930"/>
    </row>
    <row r="931" ht="25.5" customHeight="1">
      <c r="A931" s="2" t="str">
        <f>=HYPERLINK("https://applink.larksuite.com/client/mini_program/open?appId=cli_9c7cc8a9a9edd105&amp;mode=appCenter&amp;path_pc=pc/pages/requested/index?instanceId=7535665709834076199&amp;source=bitable&amp;path=pages/detail/index?instanceId=7535665709834076199&amp;source=bitable", "202508070003")</f>
        <v>202508070003</v>
      </c>
      <c r="B931" t="inlineStr">
        <is>
          <t>Approved</t>
        </is>
      </c>
      <c r="C931" t="inlineStr">
        <is>
          <t>Procurement Order</t>
        </is>
      </c>
      <c r="D931" s="3">
        <v>45876.438622685186</v>
      </c>
      <c r="E931" s="3">
        <v>45876.69306712963</v>
      </c>
      <c r="F931" t="inlineStr">
        <is>
          <t>Arlyn Castillo</t>
        </is>
      </c>
      <c r="G931" t="inlineStr">
        <is>
          <t>Procurement</t>
        </is>
      </c>
      <c r="H931"/>
      <c r="I931"/>
      <c r="J931" t="inlineStr">
        <is>
          <t>GAE</t>
        </is>
      </c>
      <c r="K931"/>
      <c r="L931"/>
      <c r="M931"/>
      <c r="N931"/>
      <c r="O931" t="inlineStr">
        <is>
          <t>202508060007-Bernadeth Español Villaflor-费用报销 - 副本 - 副本 - 副本-2025-08-06 03:00:14</t>
        </is>
      </c>
      <c r="P931"/>
      <c r="Q931" t="inlineStr">
        <is>
          <t>Mineski PH</t>
        </is>
      </c>
      <c r="R931"/>
      <c r="S931" t="inlineStr">
        <is>
          <t>UPS BATTERY REPLACEMENT - APC BVX1200</t>
        </is>
      </c>
      <c r="T931">
        <v>9</v>
      </c>
      <c r="U931">
        <v>1300</v>
      </c>
      <c r="V931" t="inlineStr">
        <is>
          <t>PHP</t>
        </is>
      </c>
      <c r="W931">
        <v>11700</v>
      </c>
      <c r="X931" s="2"/>
      <c r="Y931" t="inlineStr">
        <is>
          <t>Bank Transfer</t>
        </is>
      </c>
      <c r="Z931" t="inlineStr">
        <is>
          <t>JESJS Information Technology Services.</t>
        </is>
      </c>
      <c r="AA931" t="inlineStr">
        <is>
          <t>3303-2050-03</t>
        </is>
      </c>
      <c r="AB931" t="inlineStr">
        <is>
          <t>BPI</t>
        </is>
      </c>
      <c r="AC931" t="inlineStr">
        <is>
          <t>#29 Acacia St., Feria Road, Brgy. Matandang Balara, Quezon City</t>
        </is>
      </c>
      <c r="AD931" s="4">
        <v>45882</v>
      </c>
      <c r="AE931" t="inlineStr">
        <is>
          <t>100% Full Payment before delivery</t>
        </is>
      </c>
      <c r="AF931" s="2"/>
      <c r="AG931" t="inlineStr">
        <is>
          <t>NzQyNTk5MTgyNzQ4MTg3MDM0MTo4RkE0QUNEOC1FQTU4LTQyQ0EtOEY5RS01N0IzQTcxQzNFN0YtMTozY2ZhM2Y2NzczODI3MWM1ZmQxY2ZhZThkZWU3NTMwODox</t>
        </is>
      </c>
      <c r="AH931" t="inlineStr">
        <is>
          <t>JESJS Information Technology Services.</t>
        </is>
      </c>
      <c r="AI931"/>
      <c r="AJ931"/>
      <c r="AK931"/>
    </row>
    <row r="932" ht="25.5" customHeight="1">
      <c r="A932" s="2" t="str">
        <f>=HYPERLINK("https://applink.larksuite.com/client/mini_program/open?appId=cli_9c7cc8a9a9edd105&amp;mode=appCenter&amp;path_pc=pc/pages/requested/index?instanceId=7535665709834076199&amp;source=bitable&amp;path=pages/detail/index?instanceId=7535665709834076199&amp;source=bitable", "202508070003")</f>
        <v>202508070003</v>
      </c>
      <c r="B932" t="inlineStr">
        <is>
          <t>Approved</t>
        </is>
      </c>
      <c r="C932" t="inlineStr">
        <is>
          <t>Procurement Order</t>
        </is>
      </c>
      <c r="D932" s="3">
        <v>45876.438622685186</v>
      </c>
      <c r="E932" s="3">
        <v>45876.69306712963</v>
      </c>
      <c r="F932" t="inlineStr">
        <is>
          <t>Arlyn Castillo</t>
        </is>
      </c>
      <c r="G932" t="inlineStr">
        <is>
          <t>Procurement</t>
        </is>
      </c>
      <c r="H932"/>
      <c r="I932"/>
      <c r="J932" t="inlineStr">
        <is>
          <t>GAE</t>
        </is>
      </c>
      <c r="K932"/>
      <c r="L932"/>
      <c r="M932"/>
      <c r="N932"/>
      <c r="O932" t="inlineStr">
        <is>
          <t>202508060007-Bernadeth Español Villaflor-费用报销 - 副本 - 副本 - 副本-2025-08-06 03:00:14</t>
        </is>
      </c>
      <c r="P932"/>
      <c r="Q932" t="inlineStr">
        <is>
          <t>Mineski PH</t>
        </is>
      </c>
      <c r="R932"/>
      <c r="S932" t="inlineStr">
        <is>
          <t>UPS BATTERY REPLACEMENT - APC BX1400U-MS</t>
        </is>
      </c>
      <c r="T932">
        <v>20</v>
      </c>
      <c r="U932">
        <v>1100</v>
      </c>
      <c r="V932" t="inlineStr">
        <is>
          <t>PHP</t>
        </is>
      </c>
      <c r="W932">
        <v>22000</v>
      </c>
      <c r="X932" s="2"/>
      <c r="Y932"/>
      <c r="Z932"/>
      <c r="AA932"/>
      <c r="AB932"/>
      <c r="AC932"/>
      <c r="AD932" s="4"/>
      <c r="AE932"/>
      <c r="AF932" s="2"/>
      <c r="AG932" t="inlineStr">
        <is>
          <t>NzQyNTk5MTgyNzQ4MTg3MDM0MTo4RkE0QUNEOC1FQTU4LTQyQ0EtOEY5RS01N0IzQTcxQzNFN0YtMjo1NGEyZjc0ZDhlNWI3NDRjYjMyMjlmM2EzODljZjk4Njox</t>
        </is>
      </c>
      <c r="AH932"/>
      <c r="AI932"/>
      <c r="AJ932"/>
      <c r="AK932"/>
    </row>
    <row r="933" ht="25.5" customHeight="1">
      <c r="A933" s="2" t="str">
        <f>=HYPERLINK("https://applink.larksuite.com/client/mini_program/open?appId=cli_9c7cc8a9a9edd105&amp;mode=appCenter&amp;path_pc=pc/pages/requested/index?instanceId=7535665709834076199&amp;source=bitable&amp;path=pages/detail/index?instanceId=7535665709834076199&amp;source=bitable", "202508070003")</f>
        <v>202508070003</v>
      </c>
      <c r="B933" t="inlineStr">
        <is>
          <t>Approved</t>
        </is>
      </c>
      <c r="C933" t="inlineStr">
        <is>
          <t>Procurement Order</t>
        </is>
      </c>
      <c r="D933" s="3">
        <v>45876.438622685186</v>
      </c>
      <c r="E933" s="3">
        <v>45876.69306712963</v>
      </c>
      <c r="F933" t="inlineStr">
        <is>
          <t>Arlyn Castillo</t>
        </is>
      </c>
      <c r="G933" t="inlineStr">
        <is>
          <t>Procurement</t>
        </is>
      </c>
      <c r="H933"/>
      <c r="I933"/>
      <c r="J933" t="inlineStr">
        <is>
          <t>GAE</t>
        </is>
      </c>
      <c r="K933"/>
      <c r="L933"/>
      <c r="M933"/>
      <c r="N933"/>
      <c r="O933" t="inlineStr">
        <is>
          <t>202508060007-Bernadeth Español Villaflor-费用报销 - 副本 - 副本 - 副本-2025-08-06 03:00:14</t>
        </is>
      </c>
      <c r="P933"/>
      <c r="Q933" t="inlineStr">
        <is>
          <t>Mineski PH</t>
        </is>
      </c>
      <c r="R933"/>
      <c r="S933" t="inlineStr">
        <is>
          <t>UPS BATTERY REPLACEMENT - APC BX1100LI-MS</t>
        </is>
      </c>
      <c r="T933">
        <v>4</v>
      </c>
      <c r="U933">
        <v>1100</v>
      </c>
      <c r="V933" t="inlineStr">
        <is>
          <t>PHP</t>
        </is>
      </c>
      <c r="W933">
        <v>4400</v>
      </c>
      <c r="X933" s="2"/>
      <c r="Y933"/>
      <c r="Z933"/>
      <c r="AA933"/>
      <c r="AB933"/>
      <c r="AC933"/>
      <c r="AD933" s="4"/>
      <c r="AE933"/>
      <c r="AF933" s="2"/>
      <c r="AG933" t="inlineStr">
        <is>
          <t>NzQyNTk5MTgyNzQ4MTg3MDM0MTo4RkE0QUNEOC1FQTU4LTQyQ0EtOEY5RS01N0IzQTcxQzNFN0YtMzphMjZiMmE0MTEwZjM0YTE2NjA3OGM0OWVhMjBlZjFkYzox</t>
        </is>
      </c>
      <c r="AH933"/>
      <c r="AI933"/>
      <c r="AJ933"/>
      <c r="AK933"/>
    </row>
    <row r="934" ht="25.5" customHeight="1">
      <c r="A934" s="2" t="str">
        <f>=HYPERLINK("https://applink.larksuite.com/client/mini_program/open?appId=cli_9c7cc8a9a9edd105&amp;mode=appCenter&amp;path_pc=pc/pages/requested/index?instanceId=7535665709834076199&amp;source=bitable&amp;path=pages/detail/index?instanceId=7535665709834076199&amp;source=bitable", "202508070003")</f>
        <v>202508070003</v>
      </c>
      <c r="B934" t="inlineStr">
        <is>
          <t>Approved</t>
        </is>
      </c>
      <c r="C934" t="inlineStr">
        <is>
          <t>Procurement Order</t>
        </is>
      </c>
      <c r="D934" s="3">
        <v>45876.438622685186</v>
      </c>
      <c r="E934" s="3">
        <v>45876.69306712963</v>
      </c>
      <c r="F934" t="inlineStr">
        <is>
          <t>Arlyn Castillo</t>
        </is>
      </c>
      <c r="G934" t="inlineStr">
        <is>
          <t>Procurement</t>
        </is>
      </c>
      <c r="H934"/>
      <c r="I934"/>
      <c r="J934" t="inlineStr">
        <is>
          <t>GAE</t>
        </is>
      </c>
      <c r="K934"/>
      <c r="L934"/>
      <c r="M934"/>
      <c r="N934"/>
      <c r="O934" t="inlineStr">
        <is>
          <t>202508060007-Bernadeth Español Villaflor-费用报销 - 副本 - 副本 - 副本-2025-08-06 03:00:14</t>
        </is>
      </c>
      <c r="P934"/>
      <c r="Q934" t="inlineStr">
        <is>
          <t>Mineski PH</t>
        </is>
      </c>
      <c r="R934"/>
      <c r="S934" t="inlineStr">
        <is>
          <t>UPS BATTERY REPLACEMENT - APC BX800LI-MS</t>
        </is>
      </c>
      <c r="T934">
        <v>1</v>
      </c>
      <c r="U934">
        <v>1100</v>
      </c>
      <c r="V934" t="inlineStr">
        <is>
          <t>PHP</t>
        </is>
      </c>
      <c r="W934">
        <v>1100</v>
      </c>
      <c r="X934" s="2"/>
      <c r="Y934"/>
      <c r="Z934"/>
      <c r="AA934"/>
      <c r="AB934"/>
      <c r="AC934"/>
      <c r="AD934" s="4"/>
      <c r="AE934"/>
      <c r="AF934" s="2"/>
      <c r="AG934" t="inlineStr">
        <is>
          <t>NzQyNTk5MTgyNzQ4MTg3MDM0MTo4RkE0QUNEOC1FQTU4LTQyQ0EtOEY5RS01N0IzQTcxQzNFN0YtNDplMDc0ZmQ5YTQ2NDRjOWI5ZTllZDJiYjk0MDRmNDZhZjox</t>
        </is>
      </c>
      <c r="AH934"/>
      <c r="AI934"/>
      <c r="AJ934"/>
      <c r="AK934"/>
    </row>
    <row r="935" ht="25.5" customHeight="1">
      <c r="A935" s="2" t="str">
        <f>=HYPERLINK("https://applink.larksuite.com/client/mini_program/open?appId=cli_9c7cc8a9a9edd105&amp;mode=appCenter&amp;path_pc=pc/pages/requested/index?instanceId=7535665709834076199&amp;source=bitable&amp;path=pages/detail/index?instanceId=7535665709834076199&amp;source=bitable", "202508070003")</f>
        <v>202508070003</v>
      </c>
      <c r="B935" t="inlineStr">
        <is>
          <t>Approved</t>
        </is>
      </c>
      <c r="C935" t="inlineStr">
        <is>
          <t>Procurement Order</t>
        </is>
      </c>
      <c r="D935" s="3">
        <v>45876.438622685186</v>
      </c>
      <c r="E935" s="3">
        <v>45876.69306712963</v>
      </c>
      <c r="F935" t="inlineStr">
        <is>
          <t>Arlyn Castillo</t>
        </is>
      </c>
      <c r="G935" t="inlineStr">
        <is>
          <t>Procurement</t>
        </is>
      </c>
      <c r="H935"/>
      <c r="I935"/>
      <c r="J935" t="inlineStr">
        <is>
          <t>GAE</t>
        </is>
      </c>
      <c r="K935"/>
      <c r="L935"/>
      <c r="M935"/>
      <c r="N935"/>
      <c r="O935" t="inlineStr">
        <is>
          <t>202508060007-Bernadeth Español Villaflor-费用报销 - 副本 - 副本 - 副本-2025-08-06 03:00:14</t>
        </is>
      </c>
      <c r="P935"/>
      <c r="Q935" t="inlineStr">
        <is>
          <t>Mineski PH</t>
        </is>
      </c>
      <c r="R935"/>
      <c r="S935" t="inlineStr">
        <is>
          <t>UPS BATTERY REPLACEMENT - APC BX7000U-MS</t>
        </is>
      </c>
      <c r="T935">
        <v>1</v>
      </c>
      <c r="U935">
        <v>1100</v>
      </c>
      <c r="V935" t="inlineStr">
        <is>
          <t>PHP</t>
        </is>
      </c>
      <c r="W935">
        <v>1100</v>
      </c>
      <c r="X935" s="2"/>
      <c r="Y935"/>
      <c r="Z935"/>
      <c r="AA935"/>
      <c r="AB935"/>
      <c r="AC935"/>
      <c r="AD935" s="4"/>
      <c r="AE935"/>
      <c r="AF935" s="2"/>
      <c r="AG935" t="inlineStr">
        <is>
          <t>NzQyNTk5MTgyNzQ4MTg3MDM0MTo4RkE0QUNEOC1FQTU4LTQyQ0EtOEY5RS01N0IzQTcxQzNFN0YtNTo5ZTAyMjc0OWFkN2NjM2JlYzliMmYxYTQ5MzViYzE0MDox</t>
        </is>
      </c>
      <c r="AH935"/>
      <c r="AI935"/>
      <c r="AJ935"/>
      <c r="AK935"/>
    </row>
    <row r="936" ht="25.5" customHeight="1">
      <c r="A936" s="2" t="str">
        <f>=HYPERLINK("https://applink.larksuite.com/client/mini_program/open?appId=cli_9c7cc8a9a9edd105&amp;mode=appCenter&amp;path_pc=pc/pages/requested/index?instanceId=7535665709834076199&amp;source=bitable&amp;path=pages/detail/index?instanceId=7535665709834076199&amp;source=bitable", "202508070003")</f>
        <v>202508070003</v>
      </c>
      <c r="B936" t="inlineStr">
        <is>
          <t>Approved</t>
        </is>
      </c>
      <c r="C936" t="inlineStr">
        <is>
          <t>Procurement Order</t>
        </is>
      </c>
      <c r="D936" s="3">
        <v>45876.438622685186</v>
      </c>
      <c r="E936" s="3">
        <v>45876.69306712963</v>
      </c>
      <c r="F936" t="inlineStr">
        <is>
          <t>Arlyn Castillo</t>
        </is>
      </c>
      <c r="G936" t="inlineStr">
        <is>
          <t>Procurement</t>
        </is>
      </c>
      <c r="H936"/>
      <c r="I936"/>
      <c r="J936" t="inlineStr">
        <is>
          <t>GAE</t>
        </is>
      </c>
      <c r="K936"/>
      <c r="L936"/>
      <c r="M936"/>
      <c r="N936"/>
      <c r="O936" t="inlineStr">
        <is>
          <t>202508060007-Bernadeth Español Villaflor-费用报销 - 副本 - 副本 - 副本-2025-08-06 03:00:14</t>
        </is>
      </c>
      <c r="P936"/>
      <c r="Q936" t="inlineStr">
        <is>
          <t>Mineski PH</t>
        </is>
      </c>
      <c r="R936"/>
      <c r="S936" t="inlineStr">
        <is>
          <t>Labor Charges (Battery installation, checking and testing)</t>
        </is>
      </c>
      <c r="T936">
        <v>1</v>
      </c>
      <c r="U936">
        <v>21900</v>
      </c>
      <c r="V936" t="inlineStr">
        <is>
          <t>PHP</t>
        </is>
      </c>
      <c r="W936">
        <v>21900</v>
      </c>
      <c r="X936" s="2"/>
      <c r="Y936"/>
      <c r="Z936"/>
      <c r="AA936"/>
      <c r="AB936"/>
      <c r="AC936"/>
      <c r="AD936" s="4"/>
      <c r="AE936"/>
      <c r="AF936" s="2"/>
      <c r="AG936" t="inlineStr">
        <is>
          <t>NzQyNTk5MTgyNzQ4MTg3MDM0MTo4RkE0QUNEOC1FQTU4LTQyQ0EtOEY5RS01N0IzQTcxQzNFN0YtNjpjN2IwMjA4ZGZkYzUwNTYyZGUxM2EyOGYzZGQxNzFhYjox</t>
        </is>
      </c>
      <c r="AH936"/>
      <c r="AI936"/>
      <c r="AJ936"/>
      <c r="AK936"/>
    </row>
    <row r="937" ht="25.5" customHeight="1">
      <c r="A937" s="2" t="str">
        <f>=HYPERLINK("https://applink.larksuite.com/client/mini_program/open?appId=cli_9c7cc8a9a9edd105&amp;mode=appCenter&amp;path_pc=pc/pages/requested/index?instanceId=7535665709834076199&amp;source=bitable&amp;path=pages/detail/index?instanceId=7535665709834076199&amp;source=bitable", "202508070003")</f>
        <v>202508070003</v>
      </c>
      <c r="B937" t="inlineStr">
        <is>
          <t>Approved</t>
        </is>
      </c>
      <c r="C937" t="inlineStr">
        <is>
          <t>Procurement Order</t>
        </is>
      </c>
      <c r="D937" s="3">
        <v>45876.438622685186</v>
      </c>
      <c r="E937" s="3">
        <v>45876.69306712963</v>
      </c>
      <c r="F937" t="inlineStr">
        <is>
          <t>Arlyn Castillo</t>
        </is>
      </c>
      <c r="G937" t="inlineStr">
        <is>
          <t>Procurement</t>
        </is>
      </c>
      <c r="H937"/>
      <c r="I937"/>
      <c r="J937" t="inlineStr">
        <is>
          <t>GAE</t>
        </is>
      </c>
      <c r="K937"/>
      <c r="L937"/>
      <c r="M937"/>
      <c r="N937"/>
      <c r="O937" t="inlineStr">
        <is>
          <t>202508060007-Bernadeth Español Villaflor-费用报销 - 副本 - 副本 - 副本-2025-08-06 03:00:14</t>
        </is>
      </c>
      <c r="P937"/>
      <c r="Q937" t="inlineStr">
        <is>
          <t>Mineski PH</t>
        </is>
      </c>
      <c r="R937"/>
      <c r="S937" t="inlineStr">
        <is>
          <t>Tranportation Fee</t>
        </is>
      </c>
      <c r="T937">
        <v>1</v>
      </c>
      <c r="U937">
        <v>250</v>
      </c>
      <c r="V937" t="inlineStr">
        <is>
          <t>PHP</t>
        </is>
      </c>
      <c r="W937">
        <v>250</v>
      </c>
      <c r="X937" s="2" t="str">
        <f>=HYPERLINK("https://www.larksuite.com/approval/admin/previewAttachment?key=PMi7DQIxEATQlma9n_HQDAnWCeEjQpBt7UgEpK-moWaalxCyIVgzPauS0PQAy6QebaRAI9jreVzPXImwx97ne8fqz_12rJelOAboET4B2OXvzoiQKvDz-gYAAP__", "2 attachment(s)")</f>
        <v>2 attachment(s)</v>
      </c>
      <c r="Y937"/>
      <c r="Z937"/>
      <c r="AA937"/>
      <c r="AB937"/>
      <c r="AC937"/>
      <c r="AD937" s="4"/>
      <c r="AE937"/>
      <c r="AF937" s="2"/>
      <c r="AG937" t="inlineStr">
        <is>
          <t>NzQyNTk5MTgyNzQ4MTg3MDM0MTo4RkE0QUNEOC1FQTU4LTQyQ0EtOEY5RS01N0IzQTcxQzNFN0YtNzowN2M3ODFkZDRmMGEzMDBkYmU2OWVlMjM4YWI1ZmYyZTox</t>
        </is>
      </c>
      <c r="AH937"/>
      <c r="AI937"/>
      <c r="AJ937"/>
      <c r="AK937"/>
    </row>
    <row r="938" ht="25.5" customHeight="1">
      <c r="A938" s="2" t="str">
        <f>=HYPERLINK("https://applink.larksuite.com/client/mini_program/open?appId=cli_9c7cc8a9a9edd105&amp;mode=appCenter&amp;path_pc=pc/pages/requested/index?instanceId=7535779551884951584&amp;source=bitable&amp;path=pages/detail/index?instanceId=7535779551884951584&amp;source=bitable", "202508070048")</f>
        <v>202508070048</v>
      </c>
      <c r="B938" t="inlineStr">
        <is>
          <t>Approved</t>
        </is>
      </c>
      <c r="C938" t="inlineStr">
        <is>
          <t>Procurement Order</t>
        </is>
      </c>
      <c r="D938" s="3">
        <v>45876.745405092595</v>
      </c>
      <c r="E938" s="3">
        <v>45876.89981481482</v>
      </c>
      <c r="F938" t="inlineStr">
        <is>
          <t>Arlyn Castillo</t>
        </is>
      </c>
      <c r="G938" t="inlineStr">
        <is>
          <t>Procurement</t>
        </is>
      </c>
      <c r="H938"/>
      <c r="I938"/>
      <c r="J938" t="inlineStr">
        <is>
          <t>Project</t>
        </is>
      </c>
      <c r="K938" t="inlineStr">
        <is>
          <t>PDEI - Event Service</t>
        </is>
      </c>
      <c r="L938" t="inlineStr">
        <is>
          <t>MPL PH S16 Media Day</t>
        </is>
      </c>
      <c r="M938" t="inlineStr">
        <is>
          <t>2025TEG-P0194</t>
        </is>
      </c>
      <c r="N938" t="inlineStr">
        <is>
          <t>Jessica Jane Lor Felicilda</t>
        </is>
      </c>
      <c r="O938" t="inlineStr">
        <is>
          <t>202507310017-Jessica Jane Lor Felicilda-费用报销 - 副本 - 副本 - 副本-2025-07-31 03:20:05</t>
        </is>
      </c>
      <c r="P938" t="inlineStr">
        <is>
          <t>NO</t>
        </is>
      </c>
      <c r="Q938"/>
      <c r="R938" t="inlineStr">
        <is>
          <t>NO</t>
        </is>
      </c>
      <c r="S938" t="inlineStr">
        <is>
          <t>Set Design - Props (Fake Book)</t>
        </is>
      </c>
      <c r="T938">
        <v>1</v>
      </c>
      <c r="U938">
        <v>10000</v>
      </c>
      <c r="V938" t="inlineStr">
        <is>
          <t>PHP</t>
        </is>
      </c>
      <c r="W938">
        <v>10000</v>
      </c>
      <c r="X938" s="2" t="str">
        <f>=HYPERLINK("https://www.larksuite.com/approval/admin/previewAttachment?key=PMhBCsJADAXQK_0_SeYnXsZNSxFKQZDOLmcXXLh9M4mZQZsFL44CW2EhVQQzvYKR3qMpFURBvV_Hc6x7vbfrOhcsz7vXazv2D6M0BmTulgD4-LvJ3aum4-f4BgAA__8", "1 attachment(s)")</f>
        <v>1 attachment(s)</v>
      </c>
      <c r="Y938" t="inlineStr">
        <is>
          <t>Bank Transfer</t>
        </is>
      </c>
      <c r="Z938" t="inlineStr">
        <is>
          <t>Hazel Anne Banawa</t>
        </is>
      </c>
      <c r="AA938" t="inlineStr">
        <is>
          <t>007740138751</t>
        </is>
      </c>
      <c r="AB938" t="inlineStr">
        <is>
          <t>BDO</t>
        </is>
      </c>
      <c r="AC938" t="inlineStr">
        <is>
          <t>153 A. Bonifacio Ave., Tañong, Marikina City</t>
        </is>
      </c>
      <c r="AD938" s="4">
        <v>45876</v>
      </c>
      <c r="AE938" t="inlineStr">
        <is>
          <t>Full Payment</t>
        </is>
      </c>
      <c r="AF938" s="2" t="str">
        <f>=HYPERLINK("https://www.larksuite.com/approval/admin/previewAttachment?key=TMg9CsJAEAXgK7238-9lbBKCEBYE2e3m7IKV7edJeBrFC1ocBXaYWESZMVPLaKk9mhGFYCD6nNdz7LXfx5z3huS9er-O6_zQUxxapsoCwMefk6gUl5_jGwAA__8", "3 attachment(s)")</f>
        <v>3 attachment(s)</v>
      </c>
      <c r="AG938" t="inlineStr">
        <is>
          <t>NzQyNTk5MTgyNzQ4MTg3MDM0MTo0RTU4RDBERi1GN0U0LTRCODMtQTBFMC0wRERGMjg1NkMzNzAtMTpjYjY4ZTdhYmIwZGM3YTMyZmYxZWVjZTQ4YTkwYzExOTox</t>
        </is>
      </c>
      <c r="AH938" t="inlineStr">
        <is>
          <t>Jagger Advertising Services</t>
        </is>
      </c>
      <c r="AI938"/>
      <c r="AJ938"/>
      <c r="AK938"/>
    </row>
    <row r="939" ht="25.5" customHeight="1">
      <c r="A939" s="2" t="str">
        <f>=HYPERLINK("https://applink.larksuite.com/client/mini_program/open?appId=cli_9c7cc8a9a9edd105&amp;mode=appCenter&amp;path_pc=pc/pages/requested/index?instanceId=7536394361265717280&amp;source=bitable&amp;path=pages/detail/index?instanceId=7536394361265717280&amp;source=bitable", "202508090002")</f>
        <v>202508090002</v>
      </c>
      <c r="B939" t="inlineStr">
        <is>
          <t>Approved</t>
        </is>
      </c>
      <c r="C939" t="inlineStr">
        <is>
          <t>Procurement Order</t>
        </is>
      </c>
      <c r="D939" s="3">
        <v>45878.40219907407</v>
      </c>
      <c r="E939" s="3">
        <v>45898.696805555555</v>
      </c>
      <c r="F939" t="inlineStr">
        <is>
          <t>Arlyn Castillo</t>
        </is>
      </c>
      <c r="G939" t="inlineStr">
        <is>
          <t>Procurement</t>
        </is>
      </c>
      <c r="H939"/>
      <c r="I939"/>
      <c r="J939" t="inlineStr">
        <is>
          <t>GAE</t>
        </is>
      </c>
      <c r="K939"/>
      <c r="L939"/>
      <c r="M939"/>
      <c r="N939"/>
      <c r="O939" t="inlineStr">
        <is>
          <t>202505270076-Madelyn Espanto-费用报销 - 副本 - 副本-2025-05-27 09:26:04</t>
        </is>
      </c>
      <c r="P939"/>
      <c r="Q939" t="inlineStr">
        <is>
          <t>Mineski PH</t>
        </is>
      </c>
      <c r="R939"/>
      <c r="S939" t="inlineStr">
        <is>
          <t>Additional Kollab Professional Services (Google Workspace Subscription Additonal User for Newly Hires)</t>
        </is>
      </c>
      <c r="T939">
        <v>16</v>
      </c>
      <c r="U939">
        <v>4585.28</v>
      </c>
      <c r="V939" t="inlineStr">
        <is>
          <t>PHP</t>
        </is>
      </c>
      <c r="W939">
        <v>73364.48</v>
      </c>
      <c r="X939" s="2" t="str">
        <f>=HYPERLINK("https://www.larksuite.com/approval/admin/previewAttachment?key=PMgxDgIxDATAL-3ajjfmMzQXRVBchTjR-O1IFLSTk8g56FmIohXYGp5e4UnLIcom2ppSQRTU69z3i5unnlqfN3Cwr8ex14ujZAZ5hE8AvP3dFRFVGfg5vgEAAP__", "1 attachment(s)")</f>
        <v>1 attachment(s)</v>
      </c>
      <c r="Y939" t="inlineStr">
        <is>
          <t>Bank Transfer</t>
        </is>
      </c>
      <c r="Z939" t="inlineStr">
        <is>
          <t>Kollab Inc.</t>
        </is>
      </c>
      <c r="AA939" t="inlineStr">
        <is>
          <t>0018-6000-1959</t>
        </is>
      </c>
      <c r="AB939" t="inlineStr">
        <is>
          <t>UnionBank of the Philippines</t>
        </is>
      </c>
      <c r="AC939" t="inlineStr">
        <is>
          <t>G/F, Unit 18, BSA Twin Towers, Bank Drive, Ortigas Center Mandaluyong City, Metro Manila</t>
        </is>
      </c>
      <c r="AD939" s="4">
        <v>45812</v>
      </c>
      <c r="AE939" t="inlineStr">
        <is>
          <t>THIS IS CONFIRMING PO ONLY. SERVICE IS ALREADY PAID LAST JULY 29,2025.</t>
        </is>
      </c>
      <c r="AF939" s="2"/>
      <c r="AG939" t="inlineStr">
        <is>
          <t>NzQyNTk5MTgyNzQ4MTg3MDM0MTpBOEVDMjdDMi0zMEI3LTRCNDItQUIxQS1DMDdCOTBDNEYwNTAtMToyZGM3MGMwYTYzZjYzYmUwMzAzYWQwNTczOTNjODY2Njox</t>
        </is>
      </c>
      <c r="AH939" t="inlineStr">
        <is>
          <t>Kollab Inc.</t>
        </is>
      </c>
      <c r="AI939"/>
      <c r="AJ939"/>
      <c r="AK939"/>
    </row>
    <row r="940" ht="25.5" customHeight="1">
      <c r="A940" s="2" t="str">
        <f>=HYPERLINK("https://applink.larksuite.com/client/mini_program/open?appId=cli_9c7cc8a9a9edd105&amp;mode=appCenter&amp;path_pc=pc/pages/requested/index?instanceId=7537507441299226656&amp;source=bitable&amp;path=pages/detail/index?instanceId=7537507441299226656&amp;source=bitable", "202508120004")</f>
        <v>202508120004</v>
      </c>
      <c r="B940" t="inlineStr">
        <is>
          <t>Approved</t>
        </is>
      </c>
      <c r="C940" t="inlineStr">
        <is>
          <t>Procurement Order</t>
        </is>
      </c>
      <c r="D940" s="3">
        <v>45881.401724537034</v>
      </c>
      <c r="E940" s="3">
        <v>45881.74884259259</v>
      </c>
      <c r="F940" t="inlineStr">
        <is>
          <t>Fatima Kathleen M. FLores</t>
        </is>
      </c>
      <c r="G940" t="inlineStr">
        <is>
          <t>Procurement</t>
        </is>
      </c>
      <c r="H940"/>
      <c r="I940"/>
      <c r="J940" t="inlineStr">
        <is>
          <t>Project</t>
        </is>
      </c>
      <c r="K940" t="inlineStr">
        <is>
          <t>PDEI - Game Marketing</t>
        </is>
      </c>
      <c r="L940" t="inlineStr">
        <is>
          <t>1xbet VEEWISE watch party</t>
        </is>
      </c>
      <c r="M940" t="inlineStr">
        <is>
          <t>2025TEG-P0181</t>
        </is>
      </c>
      <c r="N940" t="inlineStr">
        <is>
          <t>Katherine Denise Lee Sy</t>
        </is>
      </c>
      <c r="O940" t="inlineStr">
        <is>
          <t>202507290105-Katherine Denise Lee Sy-费用报销 - 副本 - 副本 - 副本-2025-07-29 09:35:43</t>
        </is>
      </c>
      <c r="P940" t="inlineStr">
        <is>
          <t>YES</t>
        </is>
      </c>
      <c r="Q940"/>
      <c r="R940" t="inlineStr">
        <is>
          <t>NO</t>
        </is>
      </c>
      <c r="S940" t="inlineStr">
        <is>
          <t>Outsourced Logistics Associates (Ingress &amp; Egress)</t>
        </is>
      </c>
      <c r="T940">
        <v>1</v>
      </c>
      <c r="U940">
        <v>7500</v>
      </c>
      <c r="V940" t="inlineStr">
        <is>
          <t>PHP</t>
        </is>
      </c>
      <c r="W940">
        <v>7500</v>
      </c>
      <c r="X940" s="2" t="str">
        <f>=HYPERLINK("https://www.larksuite.com/approval/admin/previewAttachment?key=PMg7jgIxEATQK1X1r9x7mU1mZBEMEZKBwGdHIiB9NYgaSa9GNK3BrXQlFEHrNqvK2rYpNURB-7zP__ea5MufeR3XirXX7Zjng9kygzzCBwD-_dwVEd0V-Do-AQAA__8", "2 attachment(s)")</f>
        <v>2 attachment(s)</v>
      </c>
      <c r="Y940" t="inlineStr">
        <is>
          <t>Bank Transfer</t>
        </is>
      </c>
      <c r="Z940" t="inlineStr">
        <is>
          <t>RIC JACA</t>
        </is>
      </c>
      <c r="AA940" t="inlineStr">
        <is>
          <t>09509516216</t>
        </is>
      </c>
      <c r="AB940" t="inlineStr">
        <is>
          <t>GCash</t>
        </is>
      </c>
      <c r="AC940" t="inlineStr">
        <is>
          <t>321 Sitio Langhaya Brgy. Dela Paz Antipolo Rizal</t>
        </is>
      </c>
      <c r="AD940" s="4">
        <v>45870</v>
      </c>
      <c r="AE940" t="inlineStr">
        <is>
          <t>100% Full Payment - Aug. 15, 2025</t>
        </is>
      </c>
      <c r="AF940" s="2"/>
      <c r="AG940" t="inlineStr">
        <is>
          <t>NzQyNTk5MTgyNzQ4MTg3MDM0MToyODM4RkNEOC1EMkNFLTQxM0EtQjYyNC1GMzFGNzJCQjFFOEUtMTplYTg5MjRiYTlmZGZlMWZjOWZjMDE4NWZiMDQ0MmFiOTox</t>
        </is>
      </c>
      <c r="AH940" t="inlineStr">
        <is>
          <t>RIC JACA</t>
        </is>
      </c>
      <c r="AI940"/>
      <c r="AJ940"/>
      <c r="AK940"/>
    </row>
    <row r="941" ht="25.5" customHeight="1">
      <c r="A941" s="2" t="str">
        <f>=HYPERLINK("https://applink.larksuite.com/client/mini_program/open?appId=cli_9c7cc8a9a9edd105&amp;mode=appCenter&amp;path_pc=pc/pages/requested/index?instanceId=7537504543039455271&amp;source=bitable&amp;path=pages/detail/index?instanceId=7537504543039455271&amp;source=bitable", "202508120003")</f>
        <v>202508120003</v>
      </c>
      <c r="B941" t="inlineStr">
        <is>
          <t>Approved</t>
        </is>
      </c>
      <c r="C941" t="inlineStr">
        <is>
          <t>Procurement Order</t>
        </is>
      </c>
      <c r="D941" s="3">
        <v>45881.393912037034</v>
      </c>
      <c r="E941" s="3">
        <v>45881.66883101852</v>
      </c>
      <c r="F941" t="inlineStr">
        <is>
          <t>Fatima Kathleen M. FLores</t>
        </is>
      </c>
      <c r="G941" t="inlineStr">
        <is>
          <t>Procurement</t>
        </is>
      </c>
      <c r="H941"/>
      <c r="I941"/>
      <c r="J941" t="inlineStr">
        <is>
          <t>Project</t>
        </is>
      </c>
      <c r="K941" t="inlineStr">
        <is>
          <t>PDEI - Event Service</t>
        </is>
      </c>
      <c r="L941" t="inlineStr">
        <is>
          <t>MDL PH S6 Qualifiers &amp; Regular Season</t>
        </is>
      </c>
      <c r="M941" t="inlineStr">
        <is>
          <t>2025TEG-P0200</t>
        </is>
      </c>
      <c r="N941" t="inlineStr">
        <is>
          <t>Kervin</t>
        </is>
      </c>
      <c r="O941" t="inlineStr">
        <is>
          <t>202507290026-Kervin-费用报销 - 副本 - 副本 - 副本-2025-07-29 03:57:49</t>
        </is>
      </c>
      <c r="P941" t="inlineStr">
        <is>
          <t>YES</t>
        </is>
      </c>
      <c r="Q941"/>
      <c r="R941" t="inlineStr">
        <is>
          <t>NO</t>
        </is>
      </c>
      <c r="S941" t="inlineStr">
        <is>
          <t>Outsourced Social Media Graphic Artist</t>
        </is>
      </c>
      <c r="T941">
        <v>1</v>
      </c>
      <c r="U941">
        <v>66000</v>
      </c>
      <c r="V941" t="inlineStr">
        <is>
          <t>PHP</t>
        </is>
      </c>
      <c r="W941">
        <v>66000</v>
      </c>
      <c r="X941" s="2" t="str">
        <f>=HYPERLINK("https://www.larksuite.com/approval/admin/previewAttachment?key=PMgxqgJBEATQK1V1V09N_8v8ZJdBRCNhjebsgoHpG5MYs5ijoWY0uF3pgkqJbFWFuWPTbpiG9_lc_xdXxDvviw_z4L5uxzpfrHYEnFJOAPz7eVpS9xC-jk8AAAD__w", "2 attachment(s)")</f>
        <v>2 attachment(s)</v>
      </c>
      <c r="Y941" t="inlineStr">
        <is>
          <t>Bank Transfer</t>
        </is>
      </c>
      <c r="Z941" t="inlineStr">
        <is>
          <t>Emmanuel Roberto A. Luz</t>
        </is>
      </c>
      <c r="AA941" t="inlineStr">
        <is>
          <t>1032 0001 4686</t>
        </is>
      </c>
      <c r="AB941" t="inlineStr">
        <is>
          <t>Unionbank</t>
        </is>
      </c>
      <c r="AC941" t="inlineStr">
        <is>
          <t>Greenbelt Parkplace, Don Carlos Palanca, San Lorenzo, Makati City</t>
        </is>
      </c>
      <c r="AD941" s="4">
        <v>45870</v>
      </c>
      <c r="AE941" t="inlineStr">
        <is>
          <t>1st Payment - Aug. 29, 2025
2nd Payment - Sept. 19, 2025
3rd Payment - Oct. 10, 2025
Final Payment - Nov. 7, 2025</t>
        </is>
      </c>
      <c r="AF941" s="2"/>
      <c r="AG941" t="inlineStr">
        <is>
          <t>NzQyNTk5MTgyNzQ4MTg3MDM0MTo3MDJGREQ2Qy00NUFELTRERUItOTBBMi1FN0E2ODI5RDFCRTctMTpkOGNhMzdjOGFkNDQzYjk0MzZlMzMzMjMzNDQzODdkNzox</t>
        </is>
      </c>
      <c r="AH941" t="inlineStr">
        <is>
          <t>Emmanuel Roberto A. Luz</t>
        </is>
      </c>
      <c r="AI941"/>
      <c r="AJ941"/>
      <c r="AK941"/>
    </row>
    <row r="942" ht="25.5" customHeight="1">
      <c r="A942" s="2" t="str">
        <f>=HYPERLINK("https://applink.larksuite.com/client/mini_program/open?appId=cli_9c7cc8a9a9edd105&amp;mode=appCenter&amp;path_pc=pc/pages/requested/index?instanceId=7537515705730678816&amp;source=bitable&amp;path=pages/detail/index?instanceId=7537515705730678816&amp;source=bitable", "202508120010")</f>
        <v>202508120010</v>
      </c>
      <c r="B942" t="inlineStr">
        <is>
          <t>Approved</t>
        </is>
      </c>
      <c r="C942" t="inlineStr">
        <is>
          <t>Procurement Order</t>
        </is>
      </c>
      <c r="D942" s="3">
        <v>45881.423993055556</v>
      </c>
      <c r="E942" s="3">
        <v>45881.65513888889</v>
      </c>
      <c r="F942" t="inlineStr">
        <is>
          <t>Fatima Kathleen M. FLores</t>
        </is>
      </c>
      <c r="G942" t="inlineStr">
        <is>
          <t>Procurement</t>
        </is>
      </c>
      <c r="H942"/>
      <c r="I942"/>
      <c r="J942" t="inlineStr">
        <is>
          <t>Project</t>
        </is>
      </c>
      <c r="K942" t="inlineStr">
        <is>
          <t>PDEI - Game Marketing</t>
        </is>
      </c>
      <c r="L942" t="inlineStr">
        <is>
          <t>1xbet VEEWISE watch party</t>
        </is>
      </c>
      <c r="M942" t="inlineStr">
        <is>
          <t>2025TEG-P0181</t>
        </is>
      </c>
      <c r="N942" t="inlineStr">
        <is>
          <t>Katherine Denise Lee Sy</t>
        </is>
      </c>
      <c r="O942" t="inlineStr">
        <is>
          <t>202507300029-Katherine Denise Lee Sy-费用报销 - 副本 - 副本 - 副本-2025-07-30 05:07:06</t>
        </is>
      </c>
      <c r="P942" t="inlineStr">
        <is>
          <t>NO</t>
        </is>
      </c>
      <c r="Q942"/>
      <c r="R942" t="inlineStr">
        <is>
          <t>NO</t>
        </is>
      </c>
      <c r="S942" t="inlineStr">
        <is>
          <t>Rental of Cocktail Tables w/ Black Cover (2 days)</t>
        </is>
      </c>
      <c r="T942">
        <v>10</v>
      </c>
      <c r="U942">
        <v>500</v>
      </c>
      <c r="V942" t="inlineStr">
        <is>
          <t>PHP</t>
        </is>
      </c>
      <c r="W942">
        <v>5000</v>
      </c>
      <c r="X942" s="2"/>
      <c r="Y942" t="inlineStr">
        <is>
          <t>Bank Transfer</t>
        </is>
      </c>
      <c r="Z942" t="inlineStr">
        <is>
          <t>SPE Events Management And Services Party Needs Rental</t>
        </is>
      </c>
      <c r="AA942" t="inlineStr">
        <is>
          <t>141102017588</t>
        </is>
      </c>
      <c r="AB942" t="inlineStr">
        <is>
          <t>China Bank Corporation</t>
        </is>
      </c>
      <c r="AC942" t="inlineStr">
        <is>
          <t>10A St. Benedict, Paradise Village, Sangandaan, QC</t>
        </is>
      </c>
      <c r="AD942" s="4">
        <v>45870</v>
      </c>
      <c r="AE942" t="inlineStr">
        <is>
          <t>100% Full Payment</t>
        </is>
      </c>
      <c r="AF942" s="2"/>
      <c r="AG942" t="inlineStr">
        <is>
          <t>NzQyNTk5MTgyNzQ4MTg3MDM0MTpFRjMwNzczRi01N0NFLTRGQTktOTgzMS05NzE5OTFGNTI5QTctMTozZDNkOTllYzMxYWFkNzIxZmZkOWZlZDNmNzhjMGEzNzox</t>
        </is>
      </c>
      <c r="AH942" t="inlineStr">
        <is>
          <t>SPE Events Management And Services Party Needs Rental</t>
        </is>
      </c>
      <c r="AI942"/>
      <c r="AJ942"/>
      <c r="AK942"/>
    </row>
    <row r="943" ht="25.5" customHeight="1">
      <c r="A943" s="2" t="str">
        <f>=HYPERLINK("https://applink.larksuite.com/client/mini_program/open?appId=cli_9c7cc8a9a9edd105&amp;mode=appCenter&amp;path_pc=pc/pages/requested/index?instanceId=7537515705730678816&amp;source=bitable&amp;path=pages/detail/index?instanceId=7537515705730678816&amp;source=bitable", "202508120010")</f>
        <v>202508120010</v>
      </c>
      <c r="B943" t="inlineStr">
        <is>
          <t>Approved</t>
        </is>
      </c>
      <c r="C943" t="inlineStr">
        <is>
          <t>Procurement Order</t>
        </is>
      </c>
      <c r="D943" s="3">
        <v>45881.423993055556</v>
      </c>
      <c r="E943" s="3">
        <v>45881.65513888889</v>
      </c>
      <c r="F943" t="inlineStr">
        <is>
          <t>Fatima Kathleen M. FLores</t>
        </is>
      </c>
      <c r="G943" t="inlineStr">
        <is>
          <t>Procurement</t>
        </is>
      </c>
      <c r="H943"/>
      <c r="I943"/>
      <c r="J943" t="inlineStr">
        <is>
          <t>Project</t>
        </is>
      </c>
      <c r="K943" t="inlineStr">
        <is>
          <t>PDEI - Game Marketing</t>
        </is>
      </c>
      <c r="L943" t="inlineStr">
        <is>
          <t>1xbet VEEWISE watch party</t>
        </is>
      </c>
      <c r="M943" t="inlineStr">
        <is>
          <t>2025TEG-P0181</t>
        </is>
      </c>
      <c r="N943" t="inlineStr">
        <is>
          <t>Katherine Denise Lee Sy</t>
        </is>
      </c>
      <c r="O943" t="inlineStr">
        <is>
          <t>202507300029-Katherine Denise Lee Sy-费用报销 - 副本 - 副本 - 副本-2025-07-30 05:07:06</t>
        </is>
      </c>
      <c r="P943" t="inlineStr">
        <is>
          <t>NO</t>
        </is>
      </c>
      <c r="Q943"/>
      <c r="R943" t="inlineStr">
        <is>
          <t>NO</t>
        </is>
      </c>
      <c r="S943" t="inlineStr">
        <is>
          <t>Monobloc chairs w/ black cover (2 days)</t>
        </is>
      </c>
      <c r="T943">
        <v>320</v>
      </c>
      <c r="U943">
        <v>60</v>
      </c>
      <c r="V943" t="inlineStr">
        <is>
          <t>PHP</t>
        </is>
      </c>
      <c r="W943">
        <v>19200</v>
      </c>
      <c r="X943" s="2"/>
      <c r="Y943"/>
      <c r="Z943"/>
      <c r="AA943"/>
      <c r="AB943"/>
      <c r="AC943"/>
      <c r="AD943" s="4"/>
      <c r="AE943"/>
      <c r="AF943" s="2"/>
      <c r="AG943" t="inlineStr">
        <is>
          <t>NzQyNTk5MTgyNzQ4MTg3MDM0MTpFRjMwNzczRi01N0NFLTRGQTktOTgzMS05NzE5OTFGNTI5QTctMjo1MTFmNTQ3ZDE3MTcxNTljYzkxNDFmYjEzN2U5MTc1MDox</t>
        </is>
      </c>
      <c r="AH943"/>
      <c r="AI943"/>
      <c r="AJ943"/>
      <c r="AK943"/>
    </row>
    <row r="944" ht="25.5" customHeight="1">
      <c r="A944" s="2" t="str">
        <f>=HYPERLINK("https://applink.larksuite.com/client/mini_program/open?appId=cli_9c7cc8a9a9edd105&amp;mode=appCenter&amp;path_pc=pc/pages/requested/index?instanceId=7537515705730678816&amp;source=bitable&amp;path=pages/detail/index?instanceId=7537515705730678816&amp;source=bitable", "202508120010")</f>
        <v>202508120010</v>
      </c>
      <c r="B944" t="inlineStr">
        <is>
          <t>Approved</t>
        </is>
      </c>
      <c r="C944" t="inlineStr">
        <is>
          <t>Procurement Order</t>
        </is>
      </c>
      <c r="D944" s="3">
        <v>45881.423993055556</v>
      </c>
      <c r="E944" s="3">
        <v>45881.65513888889</v>
      </c>
      <c r="F944" t="inlineStr">
        <is>
          <t>Fatima Kathleen M. FLores</t>
        </is>
      </c>
      <c r="G944" t="inlineStr">
        <is>
          <t>Procurement</t>
        </is>
      </c>
      <c r="H944"/>
      <c r="I944"/>
      <c r="J944" t="inlineStr">
        <is>
          <t>Project</t>
        </is>
      </c>
      <c r="K944" t="inlineStr">
        <is>
          <t>PDEI - Game Marketing</t>
        </is>
      </c>
      <c r="L944" t="inlineStr">
        <is>
          <t>1xbet VEEWISE watch party</t>
        </is>
      </c>
      <c r="M944" t="inlineStr">
        <is>
          <t>2025TEG-P0181</t>
        </is>
      </c>
      <c r="N944" t="inlineStr">
        <is>
          <t>Katherine Denise Lee Sy</t>
        </is>
      </c>
      <c r="O944" t="inlineStr">
        <is>
          <t>202507300029-Katherine Denise Lee Sy-费用报销 - 副本 - 副本 - 副本-2025-07-30 05:07:06</t>
        </is>
      </c>
      <c r="P944" t="inlineStr">
        <is>
          <t>NO</t>
        </is>
      </c>
      <c r="Q944"/>
      <c r="R944" t="inlineStr">
        <is>
          <t>NO</t>
        </is>
      </c>
      <c r="S944" t="inlineStr">
        <is>
          <t>Delivery Fee</t>
        </is>
      </c>
      <c r="T944">
        <v>1</v>
      </c>
      <c r="U944">
        <v>2000</v>
      </c>
      <c r="V944" t="inlineStr">
        <is>
          <t>PHP</t>
        </is>
      </c>
      <c r="W944">
        <v>2000</v>
      </c>
      <c r="X944" s="2" t="str">
        <f>=HYPERLINK("https://www.larksuite.com/approval/admin/previewAttachment?key=PMg7qoIxFATgLc2c1-TczdzG8CNoRBBEi6xdsLD9ahA1kl6NaFqDW-lKppBylMZgbduUGqKgPdfxf8251v1yW1qveNt-nk_HfDBbZpBH-ADAv5-7IqK7Al-3TwAAAP__", "2 attachment(s)")</f>
        <v>2 attachment(s)</v>
      </c>
      <c r="Y944"/>
      <c r="Z944"/>
      <c r="AA944"/>
      <c r="AB944"/>
      <c r="AC944"/>
      <c r="AD944" s="4"/>
      <c r="AE944"/>
      <c r="AF944" s="2"/>
      <c r="AG944" t="inlineStr">
        <is>
          <t>NzQyNTk5MTgyNzQ4MTg3MDM0MTpFRjMwNzczRi01N0NFLTRGQTktOTgzMS05NzE5OTFGNTI5QTctMzozN2MxOTE5MzRhYmNmMmVjYWIyNDc3YzRjNDQ2YzE4Mzox</t>
        </is>
      </c>
      <c r="AH944"/>
      <c r="AI944"/>
      <c r="AJ944"/>
      <c r="AK944"/>
    </row>
    <row r="945" ht="25.5" customHeight="1">
      <c r="A945" s="2" t="str">
        <f>=HYPERLINK("https://applink.larksuite.com/client/mini_program/open?appId=cli_9c7cc8a9a9edd105&amp;mode=appCenter&amp;path_pc=pc/pages/requested/index?instanceId=7537519041062305824&amp;source=bitable&amp;path=pages/detail/index?instanceId=7537519041062305824&amp;source=bitable", "202508120014")</f>
        <v>202508120014</v>
      </c>
      <c r="B945" t="inlineStr">
        <is>
          <t>Approved</t>
        </is>
      </c>
      <c r="C945" t="inlineStr">
        <is>
          <t>Procurement Order</t>
        </is>
      </c>
      <c r="D945" s="3">
        <v>45881.43298611111</v>
      </c>
      <c r="E945" s="3">
        <v>45881.65726851852</v>
      </c>
      <c r="F945" t="inlineStr">
        <is>
          <t>Fatima Kathleen M. FLores</t>
        </is>
      </c>
      <c r="G945" t="inlineStr">
        <is>
          <t>Procurement</t>
        </is>
      </c>
      <c r="H945"/>
      <c r="I945"/>
      <c r="J945" t="inlineStr">
        <is>
          <t>Project</t>
        </is>
      </c>
      <c r="K945" t="inlineStr">
        <is>
          <t>PDEI - Game Marketing</t>
        </is>
      </c>
      <c r="L945" t="inlineStr">
        <is>
          <t>1xbet VEEWISE watch party</t>
        </is>
      </c>
      <c r="M945" t="inlineStr">
        <is>
          <t>2025TEG-P0181</t>
        </is>
      </c>
      <c r="N945" t="inlineStr">
        <is>
          <t>Katherine Denise Lee Sy</t>
        </is>
      </c>
      <c r="O945" t="inlineStr">
        <is>
          <t>202507300034-Katherine Denise Lee Sy-费用报销 - 副本 - 副本 - 副本-2025-07-30 06:10:00</t>
        </is>
      </c>
      <c r="P945" t="inlineStr">
        <is>
          <t>YES</t>
        </is>
      </c>
      <c r="Q945"/>
      <c r="R945" t="inlineStr">
        <is>
          <t>NO</t>
        </is>
      </c>
      <c r="S945" t="inlineStr">
        <is>
          <t>Outsourced Ushers</t>
        </is>
      </c>
      <c r="T945">
        <v>1</v>
      </c>
      <c r="U945">
        <v>12000</v>
      </c>
      <c r="V945" t="inlineStr">
        <is>
          <t>PHP</t>
        </is>
      </c>
      <c r="W945">
        <v>12000</v>
      </c>
      <c r="X945" s="2" t="str">
        <f>=HYPERLINK("https://www.larksuite.com/approval/admin/previewAttachment?key=PMgxrgIxDATQK83YTib-l_kN0QqiDQ3SShQ-OxIF7euD6KPReyKSlmCpuRoTQXRztGFRVpQSoqCa-_hfe57n2pOPa433s6777ZgvtpQZ5BE-APDv566IyOyBr-MTAAD__w", "2 attachment(s)")</f>
        <v>2 attachment(s)</v>
      </c>
      <c r="Y945" t="inlineStr">
        <is>
          <t>Bank Transfer</t>
        </is>
      </c>
      <c r="Z945" t="inlineStr">
        <is>
          <t>Marc Kevin Serrano</t>
        </is>
      </c>
      <c r="AA945" t="inlineStr">
        <is>
          <t>1519218972</t>
        </is>
      </c>
      <c r="AB945" t="inlineStr">
        <is>
          <t>BPI</t>
        </is>
      </c>
      <c r="AC945" t="inlineStr">
        <is>
          <t>3 Don Guillermo Street, Barangay Holy Spirit, Commonwealth, Quezon City</t>
        </is>
      </c>
      <c r="AD945" s="4">
        <v>45870</v>
      </c>
      <c r="AE945" t="inlineStr">
        <is>
          <t>100% Full Payment - Aug. 15, 2025</t>
        </is>
      </c>
      <c r="AF945" s="2"/>
      <c r="AG945" t="inlineStr">
        <is>
          <t>NzQyNTk5MTgyNzQ4MTg3MDM0MTozNEYzMzhGNC1CRTY1LTQ4MjYtODdFOC04RjIyMUVCMzFFMDAtMTpjMzRiZDQ3MjliNGEyN2Q5NDUwMDM2Y2IzMjM3YTMzOTox</t>
        </is>
      </c>
      <c r="AH945" t="inlineStr">
        <is>
          <t>Marc Kevin Serrano</t>
        </is>
      </c>
      <c r="AI945"/>
      <c r="AJ945"/>
      <c r="AK945"/>
    </row>
    <row r="946" ht="25.5" customHeight="1">
      <c r="A946" s="2" t="str">
        <f>=HYPERLINK("https://applink.larksuite.com/client/mini_program/open?appId=cli_9c7cc8a9a9edd105&amp;mode=appCenter&amp;path_pc=pc/pages/requested/index?instanceId=7537517628303081511&amp;source=bitable&amp;path=pages/detail/index?instanceId=7537517628303081511&amp;source=bitable", "202508120013")</f>
        <v>202508120013</v>
      </c>
      <c r="B946" t="inlineStr">
        <is>
          <t>Approved</t>
        </is>
      </c>
      <c r="C946" t="inlineStr">
        <is>
          <t>Procurement Order</t>
        </is>
      </c>
      <c r="D946" s="3">
        <v>45881.42917824074</v>
      </c>
      <c r="E946" s="3">
        <v>45881.65806712963</v>
      </c>
      <c r="F946" t="inlineStr">
        <is>
          <t>Fatima Kathleen M. FLores</t>
        </is>
      </c>
      <c r="G946" t="inlineStr">
        <is>
          <t>Procurement</t>
        </is>
      </c>
      <c r="H946"/>
      <c r="I946"/>
      <c r="J946" t="inlineStr">
        <is>
          <t>Project</t>
        </is>
      </c>
      <c r="K946" t="inlineStr">
        <is>
          <t>PDEI - Game Marketing</t>
        </is>
      </c>
      <c r="L946" t="inlineStr">
        <is>
          <t>1xbet VEEWISE watch party</t>
        </is>
      </c>
      <c r="M946" t="inlineStr">
        <is>
          <t>2025TEG-P0181</t>
        </is>
      </c>
      <c r="N946" t="inlineStr">
        <is>
          <t>Katherine Denise Lee Sy</t>
        </is>
      </c>
      <c r="O946" t="inlineStr">
        <is>
          <t>202507300033-Katherine Denise Lee Sy-费用报销 - 副本 - 副本 - 副本-2025-07-30 06:08:34</t>
        </is>
      </c>
      <c r="P946" t="inlineStr">
        <is>
          <t>YES</t>
        </is>
      </c>
      <c r="Q946"/>
      <c r="R946" t="inlineStr">
        <is>
          <t>NO</t>
        </is>
      </c>
      <c r="S946" t="inlineStr">
        <is>
          <t>Outsourced Technical Director</t>
        </is>
      </c>
      <c r="T946">
        <v>1</v>
      </c>
      <c r="U946">
        <v>13000</v>
      </c>
      <c r="V946" t="inlineStr">
        <is>
          <t>PHP</t>
        </is>
      </c>
      <c r="W946">
        <v>13000</v>
      </c>
      <c r="X946" s="2" t="str">
        <f>=HYPERLINK("https://www.larksuite.com/approval/admin/previewAttachment?key=PMgxDsJADATAL-2e7Vubz9AQRQQpNEiXym9HoqCdmcTMoM2CF0eBrTAFNUcaDMkgezSlgiiot3O_p6_reh9nvvZ1rOj1fOzbh1EaAzJ3SwC8_d3k7lXT8XN8AwAA__8", "2 attachment(s)")</f>
        <v>2 attachment(s)</v>
      </c>
      <c r="Y946" t="inlineStr">
        <is>
          <t>Bank Transfer</t>
        </is>
      </c>
      <c r="Z946" t="inlineStr">
        <is>
          <t>Allen Bert Araño</t>
        </is>
      </c>
      <c r="AA946" t="inlineStr">
        <is>
          <t>109855637640</t>
        </is>
      </c>
      <c r="AB946" t="inlineStr">
        <is>
          <t>Unionbank</t>
        </is>
      </c>
      <c r="AC946" t="inlineStr">
        <is>
          <t>Marungko, Angat, Bulacan</t>
        </is>
      </c>
      <c r="AD946" s="4">
        <v>45870</v>
      </c>
      <c r="AE946" t="inlineStr">
        <is>
          <t>100% Full Payment - Aug. 15, 2025</t>
        </is>
      </c>
      <c r="AF946" s="2"/>
      <c r="AG946" t="inlineStr">
        <is>
          <t>NzQyNTk5MTgyNzQ4MTg3MDM0MTo1NEM1NkNBMS1GODZELTQ2MTItODNDMy0wMTAyODM4NDE3MDYtMTo1MmNjMmNlYzdlMTY2N2Q1ZDU5ZmNlZTE4OWFlZDVhNTox</t>
        </is>
      </c>
      <c r="AH946" t="inlineStr">
        <is>
          <t>Allen Bert Araño</t>
        </is>
      </c>
      <c r="AI946"/>
      <c r="AJ946"/>
      <c r="AK946"/>
    </row>
    <row r="947" ht="25.5" customHeight="1">
      <c r="A947" s="2" t="str">
        <f>=HYPERLINK("https://applink.larksuite.com/client/mini_program/open?appId=cli_9c7cc8a9a9edd105&amp;mode=appCenter&amp;path_pc=pc/pages/requested/index?instanceId=7537577774937014304&amp;source=bitable&amp;path=pages/detail/index?instanceId=7537577774937014304&amp;source=bitable", "202508120038")</f>
        <v>202508120038</v>
      </c>
      <c r="B947" t="inlineStr">
        <is>
          <t>Approved</t>
        </is>
      </c>
      <c r="C947" t="inlineStr">
        <is>
          <t>Procurement Order</t>
        </is>
      </c>
      <c r="D947" s="3">
        <v>45881.591261574074</v>
      </c>
      <c r="E947" s="3">
        <v>45881.65917824074</v>
      </c>
      <c r="F947" t="inlineStr">
        <is>
          <t>Fatima Kathleen M. FLores</t>
        </is>
      </c>
      <c r="G947" t="inlineStr">
        <is>
          <t>Procurement</t>
        </is>
      </c>
      <c r="H947"/>
      <c r="I947"/>
      <c r="J947" t="inlineStr">
        <is>
          <t>Project</t>
        </is>
      </c>
      <c r="K947" t="inlineStr">
        <is>
          <t>PDEI - Game Marketing</t>
        </is>
      </c>
      <c r="L947" t="inlineStr">
        <is>
          <t>1xbet VEEWISE watch party</t>
        </is>
      </c>
      <c r="M947" t="inlineStr">
        <is>
          <t>2025TEG-P0181</t>
        </is>
      </c>
      <c r="N947" t="inlineStr">
        <is>
          <t>Katherine Denise Lee Sy</t>
        </is>
      </c>
      <c r="O947" t="inlineStr">
        <is>
          <t>202507300073-Katherine Denise Lee Sy-费用报销 - 副本 - 副本 - 副本-2025-07-30 09:18:35</t>
        </is>
      </c>
      <c r="P947" t="inlineStr">
        <is>
          <t>YES</t>
        </is>
      </c>
      <c r="Q947"/>
      <c r="R947" t="inlineStr">
        <is>
          <t>NO</t>
        </is>
      </c>
      <c r="S947" t="inlineStr">
        <is>
          <t>Outsourced Floor Director / Stage Manager</t>
        </is>
      </c>
      <c r="T947">
        <v>1</v>
      </c>
      <c r="U947">
        <v>7000</v>
      </c>
      <c r="V947" t="inlineStr">
        <is>
          <t>PHP</t>
        </is>
      </c>
      <c r="W947">
        <v>7000</v>
      </c>
      <c r="X947" s="2" t="str">
        <f>=HYPERLINK("https://www.larksuite.com/approval/admin/previewAttachment?key=PMgxCkIxEATQK83sTjJ_vYyNIaigjRBtcnbBwvb1g-hHY_aCilHgdks321alQSW0Y9MumIb3eMzz4ox1n8_PiFt7c6_rZY4XWzkCTikPADz9PS2pqgs_xzcAAP__", "2 attachment(s)")</f>
        <v>2 attachment(s)</v>
      </c>
      <c r="Y947" t="inlineStr">
        <is>
          <t>Bank Transfer</t>
        </is>
      </c>
      <c r="Z947" t="inlineStr">
        <is>
          <t>Sandee Garcia</t>
        </is>
      </c>
      <c r="AA947" t="inlineStr">
        <is>
          <t>09289769063</t>
        </is>
      </c>
      <c r="AB947" t="inlineStr">
        <is>
          <t>GCash</t>
        </is>
      </c>
      <c r="AC947" t="inlineStr">
        <is>
          <t>33 Countryside Barangka Ibaba Mandaluyong City</t>
        </is>
      </c>
      <c r="AD947" s="4">
        <v>45870</v>
      </c>
      <c r="AE947" t="inlineStr">
        <is>
          <t>100% Full Payment - Aug. 15, 2025</t>
        </is>
      </c>
      <c r="AF947" s="2"/>
      <c r="AG947" t="inlineStr">
        <is>
          <t>NzQyNTk5MTgyNzQ4MTg3MDM0MTozRTgzOTBCMC1DRjA5LTQ3NUMtQjE5MS03NTcxQTA2QTZCNDQtMToyMDVmYjZhNjMyNDM0MTZlNmQ1YmM3MmQ1NTMyOGI4Mzox</t>
        </is>
      </c>
      <c r="AH947" t="inlineStr">
        <is>
          <t>Sandee Garcia</t>
        </is>
      </c>
      <c r="AI947"/>
      <c r="AJ947"/>
      <c r="AK947"/>
    </row>
    <row r="948" ht="25.5" customHeight="1">
      <c r="A948" s="2" t="str">
        <f>=HYPERLINK("https://applink.larksuite.com/client/mini_program/open?appId=cli_9c7cc8a9a9edd105&amp;mode=appCenter&amp;path_pc=pc/pages/requested/index?instanceId=7537571690000252959&amp;source=bitable&amp;path=pages/detail/index?instanceId=7537571690000252959&amp;source=bitable", "202508120033")</f>
        <v>202508120033</v>
      </c>
      <c r="B948" t="inlineStr">
        <is>
          <t>Approved</t>
        </is>
      </c>
      <c r="C948" t="inlineStr">
        <is>
          <t>Procurement Order</t>
        </is>
      </c>
      <c r="D948" s="3">
        <v>45881.57486111111</v>
      </c>
      <c r="E948" s="3">
        <v>45881.65982638889</v>
      </c>
      <c r="F948" t="inlineStr">
        <is>
          <t>Fatima Kathleen M. FLores</t>
        </is>
      </c>
      <c r="G948" t="inlineStr">
        <is>
          <t>Procurement</t>
        </is>
      </c>
      <c r="H948"/>
      <c r="I948"/>
      <c r="J948" t="inlineStr">
        <is>
          <t>Project</t>
        </is>
      </c>
      <c r="K948" t="inlineStr">
        <is>
          <t>PDEI - Game Marketing</t>
        </is>
      </c>
      <c r="L948" t="inlineStr">
        <is>
          <t>1xbet VEEWISE watch party</t>
        </is>
      </c>
      <c r="M948" t="inlineStr">
        <is>
          <t>2025TEG-P0181</t>
        </is>
      </c>
      <c r="N948" t="inlineStr">
        <is>
          <t>Katherine Denise Lee Sy</t>
        </is>
      </c>
      <c r="O948" t="inlineStr">
        <is>
          <t>202507300052-Katherine Denise Lee Sy-费用报销 - 副本 - 副本 - 副本-2025-07-30 07:13:28</t>
        </is>
      </c>
      <c r="P948" t="inlineStr">
        <is>
          <t>YES</t>
        </is>
      </c>
      <c r="Q948"/>
      <c r="R948" t="inlineStr">
        <is>
          <t>NO</t>
        </is>
      </c>
      <c r="S948" t="inlineStr">
        <is>
          <t>Outsourced Head Referee</t>
        </is>
      </c>
      <c r="T948">
        <v>1</v>
      </c>
      <c r="U948">
        <v>2500</v>
      </c>
      <c r="V948" t="inlineStr">
        <is>
          <t>PHP</t>
        </is>
      </c>
      <c r="W948">
        <v>2500</v>
      </c>
      <c r="X948" s="2" t="str">
        <f>=HYPERLINK("https://www.larksuite.com/approval/admin/previewAttachment?key=PMg9qkIxFATgLc35y2TeZl5jCF702giCxVm7YGH7jWkYsyyGkDIXrFnBog0BgJer1N5GCjSCvc79H-fjto_lUfdjrXe_rpe9nlaiOxiZMQHY38-DmSmNxNfxCQAA__8", "2 attachment(s)")</f>
        <v>2 attachment(s)</v>
      </c>
      <c r="Y948" t="inlineStr">
        <is>
          <t>Bank Transfer</t>
        </is>
      </c>
      <c r="Z948" t="inlineStr">
        <is>
          <t>Juvin Daryl L. Chico</t>
        </is>
      </c>
      <c r="AA948" t="inlineStr">
        <is>
          <t>2486264929</t>
        </is>
      </c>
      <c r="AB948" t="inlineStr">
        <is>
          <t>Landbank</t>
        </is>
      </c>
      <c r="AC948" t="inlineStr">
        <is>
          <t>Blk 1 lot 27 Amethyst st. Saint Francis Homes III. San Pedro laguna</t>
        </is>
      </c>
      <c r="AD948" s="4">
        <v>45870</v>
      </c>
      <c r="AE948" t="inlineStr">
        <is>
          <t>100% Full Payment - Aug. 15, 2025</t>
        </is>
      </c>
      <c r="AF948" s="2"/>
      <c r="AG948" t="inlineStr">
        <is>
          <t>NzQyNTk5MTgyNzQ4MTg3MDM0MTpCN0MxMDhGOC1ENjhELTQ0MjEtODk3RS1DMDVGNTVGQzI5ODctMTo4NjE2ZDlkM2FlZTMzZTY4MGU4YTViN2MxMmViMDU2ZDox</t>
        </is>
      </c>
      <c r="AH948" t="inlineStr">
        <is>
          <t>Juvin Daryl L. Chico</t>
        </is>
      </c>
      <c r="AI948"/>
      <c r="AJ948"/>
      <c r="AK948"/>
    </row>
    <row r="949" ht="25.5" customHeight="1">
      <c r="A949" s="2" t="str">
        <f>=HYPERLINK("https://applink.larksuite.com/client/mini_program/open?appId=cli_9c7cc8a9a9edd105&amp;mode=appCenter&amp;path_pc=pc/pages/requested/index?instanceId=7537594734139719719&amp;source=bitable&amp;path=pages/detail/index?instanceId=7537594734139719719&amp;source=bitable", "202508120051")</f>
        <v>202508120051</v>
      </c>
      <c r="B949" t="inlineStr">
        <is>
          <t>Approved</t>
        </is>
      </c>
      <c r="C949" t="inlineStr">
        <is>
          <t>Procurement Order</t>
        </is>
      </c>
      <c r="D949" s="3">
        <v>45881.63695601852</v>
      </c>
      <c r="E949" s="3">
        <v>45881.744479166664</v>
      </c>
      <c r="F949" t="inlineStr">
        <is>
          <t>Fatima Kathleen M. FLores</t>
        </is>
      </c>
      <c r="G949" t="inlineStr">
        <is>
          <t>Procurement</t>
        </is>
      </c>
      <c r="H949"/>
      <c r="I949"/>
      <c r="J949" t="inlineStr">
        <is>
          <t>Project</t>
        </is>
      </c>
      <c r="K949" t="inlineStr">
        <is>
          <t>PDEI - Game Marketing</t>
        </is>
      </c>
      <c r="L949" t="inlineStr">
        <is>
          <t>1xbet VEEWISE watch party</t>
        </is>
      </c>
      <c r="M949" t="inlineStr">
        <is>
          <t>2025TEG-P0181</t>
        </is>
      </c>
      <c r="N949" t="inlineStr">
        <is>
          <t>Katherine Denise Lee Sy</t>
        </is>
      </c>
      <c r="O949" t="inlineStr">
        <is>
          <t>202508050026-Katherine Denise Lee Sy-费用报销 - 副本 - 副本 - 副本-2025-08-05 04:13:32</t>
        </is>
      </c>
      <c r="P949" t="inlineStr">
        <is>
          <t>NO</t>
        </is>
      </c>
      <c r="Q949"/>
      <c r="R949" t="inlineStr">
        <is>
          <t>NO</t>
        </is>
      </c>
      <c r="S949" t="inlineStr">
        <is>
          <t>Outsourced Producer</t>
        </is>
      </c>
      <c r="T949">
        <v>1</v>
      </c>
      <c r="U949">
        <v>10000</v>
      </c>
      <c r="V949" t="inlineStr">
        <is>
          <t>PHP</t>
        </is>
      </c>
      <c r="W949">
        <v>10000</v>
      </c>
      <c r="X949" s="2" t="str">
        <f>=HYPERLINK("https://www.larksuite.com/approval/admin/previewAttachment?key=PMgxCgIxFATQK83k_2QyXsbGJYiSSgxY5OyixcKrXutE65XRjDSLwa0aqk5FMiz-7LIpGaKgfcxx_azBPp94-D1rWXvdb-N4sVqlQJEZHQAv54cy026J_-MbAAD__w", "2 attachment(s)")</f>
        <v>2 attachment(s)</v>
      </c>
      <c r="Y949" t="inlineStr">
        <is>
          <t>Bank Transfer</t>
        </is>
      </c>
      <c r="Z949" t="inlineStr">
        <is>
          <t>Jessamine Elise C. Sagcal</t>
        </is>
      </c>
      <c r="AA949" t="inlineStr">
        <is>
          <t>2679-1185-63</t>
        </is>
      </c>
      <c r="AB949" t="inlineStr">
        <is>
          <t>BPI</t>
        </is>
      </c>
      <c r="AC949" t="inlineStr">
        <is>
          <t>30 TLR Town Homes, Fast Track St., Moonwalk, Paranaque</t>
        </is>
      </c>
      <c r="AD949" s="4">
        <v>45870</v>
      </c>
      <c r="AE949" t="inlineStr">
        <is>
          <t>100% Full Payment - Aug. 15, 2025</t>
        </is>
      </c>
      <c r="AF949" s="2"/>
      <c r="AG949" t="inlineStr">
        <is>
          <t>NzQyNTk5MTgyNzQ4MTg3MDM0MTo5ODJBODc4OS1ERUM2LTQ1NDMtQjdBRS1CNDlBNjcxRTI5MUUtMTphZjIyZjk3OTgyNzU0YTVkOTE4ZWExMThlZWU3M2E3Yjox</t>
        </is>
      </c>
      <c r="AH949" t="inlineStr">
        <is>
          <t>Jessamine Elise C. Sagcal</t>
        </is>
      </c>
      <c r="AI949"/>
      <c r="AJ949"/>
      <c r="AK949"/>
    </row>
    <row r="950" ht="25.5" customHeight="1">
      <c r="A950" s="2" t="str">
        <f>=HYPERLINK("https://applink.larksuite.com/client/mini_program/open?appId=cli_9c7cc8a9a9edd105&amp;mode=appCenter&amp;path_pc=pc/pages/requested/index?instanceId=7537593269333590047&amp;source=bitable&amp;path=pages/detail/index?instanceId=7537593269333590047&amp;source=bitable", "202508120049")</f>
        <v>202508120049</v>
      </c>
      <c r="B950" t="inlineStr">
        <is>
          <t>Approved</t>
        </is>
      </c>
      <c r="C950" t="inlineStr">
        <is>
          <t>Procurement Order</t>
        </is>
      </c>
      <c r="D950" s="3">
        <v>45881.63300925926</v>
      </c>
      <c r="E950" s="3">
        <v>45881.74554398148</v>
      </c>
      <c r="F950" t="inlineStr">
        <is>
          <t>Fatima Kathleen M. FLores</t>
        </is>
      </c>
      <c r="G950" t="inlineStr">
        <is>
          <t>Procurement</t>
        </is>
      </c>
      <c r="H950"/>
      <c r="I950"/>
      <c r="J950" t="inlineStr">
        <is>
          <t>Project</t>
        </is>
      </c>
      <c r="K950" t="inlineStr">
        <is>
          <t>PDEI - Game Marketing</t>
        </is>
      </c>
      <c r="L950" t="inlineStr">
        <is>
          <t>1xbet VEEWISE watch party</t>
        </is>
      </c>
      <c r="M950" t="inlineStr">
        <is>
          <t>2025TEG-P0181</t>
        </is>
      </c>
      <c r="N950" t="inlineStr">
        <is>
          <t>Katherine Denise Lee Sy</t>
        </is>
      </c>
      <c r="O950" t="inlineStr">
        <is>
          <t>202508010075-Katherine Denise Lee Sy-费用报销 - 副本 - 副本 - 副本-2025-08-01 10:21:04</t>
        </is>
      </c>
      <c r="P950" t="inlineStr">
        <is>
          <t>NO</t>
        </is>
      </c>
      <c r="Q950"/>
      <c r="R950" t="inlineStr">
        <is>
          <t>NO</t>
        </is>
      </c>
      <c r="S950" t="inlineStr">
        <is>
          <t>Outsourced Technical Services</t>
        </is>
      </c>
      <c r="T950">
        <v>1</v>
      </c>
      <c r="U950">
        <v>200000</v>
      </c>
      <c r="V950" t="inlineStr">
        <is>
          <t>PHP</t>
        </is>
      </c>
      <c r="W950">
        <v>200000</v>
      </c>
      <c r="X950" s="2" t="str">
        <f>=HYPERLINK("https://www.larksuite.com/approval/admin/previewAttachment?key=PMgxrgIxEAPQK3nimTj-l_nNriJEoEJaqpwdiYL29RHoo4LdSEczYquoMls3yTKQ2m2HZCgE7fM5_6uOdX_MfF-Ly9rX7ZjnK8pqDWImB4D4-zmVmXZPfB2fAAAA__8", "2 attachment(s)")</f>
        <v>2 attachment(s)</v>
      </c>
      <c r="Y950" t="inlineStr">
        <is>
          <t>Bank Transfer</t>
        </is>
      </c>
      <c r="Z950" t="inlineStr">
        <is>
          <t>XSTATIC EVENT SYSTEM INC.</t>
        </is>
      </c>
      <c r="AA950" t="inlineStr">
        <is>
          <t>011728001773</t>
        </is>
      </c>
      <c r="AB950" t="inlineStr">
        <is>
          <t>BDO</t>
        </is>
      </c>
      <c r="AC950" t="inlineStr">
        <is>
          <t>Blk. 15 Lot 26 BF Martinville Las Piñas City</t>
        </is>
      </c>
      <c r="AD950" s="4">
        <v>45870</v>
      </c>
      <c r="AE950" t="inlineStr">
        <is>
          <t>100% Full Payment upon confirmation</t>
        </is>
      </c>
      <c r="AF950" s="2"/>
      <c r="AG950" t="inlineStr">
        <is>
          <t>NzQyNTk5MTgyNzQ4MTg3MDM0MToxRjc5REFCOC02MTYwLTQ3MEItQjhBQy1BQTFEQzMxMEFBMDYtMToxN2I5MWFhNTRjYzYxMDI0MDlhZWIxYjA2ZTA3NzA5NDox</t>
        </is>
      </c>
      <c r="AH950" t="inlineStr">
        <is>
          <t>XSTATIC EVENT SYSTEM INC.</t>
        </is>
      </c>
      <c r="AI950"/>
      <c r="AJ950"/>
      <c r="AK950"/>
    </row>
    <row r="951" ht="25.5" customHeight="1">
      <c r="A951" s="2" t="str">
        <f>=HYPERLINK("https://applink.larksuite.com/client/mini_program/open?appId=cli_9c7cc8a9a9edd105&amp;mode=appCenter&amp;path_pc=pc/pages/requested/index?instanceId=7537590729464348703&amp;source=bitable&amp;path=pages/detail/index?instanceId=7537590729464348703&amp;source=bitable", "202508120048")</f>
        <v>202508120048</v>
      </c>
      <c r="B951" t="inlineStr">
        <is>
          <t>Approved</t>
        </is>
      </c>
      <c r="C951" t="inlineStr">
        <is>
          <t>Procurement Order</t>
        </is>
      </c>
      <c r="D951" s="3">
        <v>45881.62616898148</v>
      </c>
      <c r="E951" s="3">
        <v>45891.72045138889</v>
      </c>
      <c r="F951" t="inlineStr">
        <is>
          <t>Fatima Kathleen M. FLores</t>
        </is>
      </c>
      <c r="G951" t="inlineStr">
        <is>
          <t>Procurement</t>
        </is>
      </c>
      <c r="H951"/>
      <c r="I951"/>
      <c r="J951" t="inlineStr">
        <is>
          <t>GAE</t>
        </is>
      </c>
      <c r="K951"/>
      <c r="L951"/>
      <c r="M951"/>
      <c r="N951"/>
      <c r="O951" t="inlineStr">
        <is>
          <t>202507140021-Katherine Denise Lee Sy-费用报销 - 副本 - 副本 - 副本-2025-07-14 03:58:50</t>
        </is>
      </c>
      <c r="P951"/>
      <c r="Q951" t="inlineStr">
        <is>
          <t>Project Management</t>
        </is>
      </c>
      <c r="R951"/>
      <c r="S951" t="inlineStr">
        <is>
          <t>Outsourced Japanese Translator</t>
        </is>
      </c>
      <c r="T951">
        <v>1</v>
      </c>
      <c r="U951">
        <v>9000</v>
      </c>
      <c r="V951" t="inlineStr">
        <is>
          <t>PHP</t>
        </is>
      </c>
      <c r="W951">
        <v>9000</v>
      </c>
      <c r="X951" s="2" t="str">
        <f>=HYPERLINK("https://www.larksuite.com/approval/admin/previewAttachment?key=PMg7DsIwEATQK83ujj0eLkNDZCFFqRC_wmdHokj7-gj00aK6QUcasdRKzVCancUh1MoVkqEQtLZjXp_feezeP-Q7Ja7X_Ta3RzQrEyqyBoC4nF4iaXfi7_gFAAD__w", "2 attachment(s)")</f>
        <v>2 attachment(s)</v>
      </c>
      <c r="Y951" t="inlineStr">
        <is>
          <t>Bank Transfer</t>
        </is>
      </c>
      <c r="Z951" t="inlineStr">
        <is>
          <t>Abbiegail Santos</t>
        </is>
      </c>
      <c r="AA951" t="inlineStr">
        <is>
          <t>1093 5625 1739</t>
        </is>
      </c>
      <c r="AB951" t="inlineStr">
        <is>
          <t>Unionbank</t>
        </is>
      </c>
      <c r="AC951" t="inlineStr">
        <is>
          <t>blk 2 lot 2 Tierracon Homes, Brgy Dita, Sta Rosa Laguna</t>
        </is>
      </c>
      <c r="AD951" s="4">
        <v>45853</v>
      </c>
      <c r="AE951" t="inlineStr">
        <is>
          <t>100% Full Payment - July 25, 2025</t>
        </is>
      </c>
      <c r="AF951" s="2"/>
      <c r="AG951" t="inlineStr">
        <is>
          <t>NzQyNTk5MTgyNzQ4MTg3MDM0MTo2OTI0RkQ3Ri1DNTUzLTQzQzgtQjEzNC1CNjhCRjMzOTE4MEItMToyYWY5YjI3YzdjNzBmYjFkMDIwODY4M2NhNjdjNGIzNzox</t>
        </is>
      </c>
      <c r="AH951" t="inlineStr">
        <is>
          <t>Abbiegail Santos</t>
        </is>
      </c>
      <c r="AI951"/>
      <c r="AJ951"/>
      <c r="AK951"/>
    </row>
    <row r="952" ht="25.5" customHeight="1">
      <c r="A952" s="2" t="str">
        <f>=HYPERLINK("https://applink.larksuite.com/client/mini_program/open?appId=cli_9c7cc8a9a9edd105&amp;mode=appCenter&amp;path_pc=pc/pages/requested/index?instanceId=7537587838364155935&amp;source=bitable&amp;path=pages/detail/index?instanceId=7537587838364155935&amp;source=bitable", "202508120047")</f>
        <v>202508120047</v>
      </c>
      <c r="B952" t="inlineStr">
        <is>
          <t>Approved</t>
        </is>
      </c>
      <c r="C952" t="inlineStr">
        <is>
          <t>Procurement Order</t>
        </is>
      </c>
      <c r="D952" s="3">
        <v>45881.61837962963</v>
      </c>
      <c r="E952" s="3">
        <v>45881.74616898148</v>
      </c>
      <c r="F952" t="inlineStr">
        <is>
          <t>Fatima Kathleen M. FLores</t>
        </is>
      </c>
      <c r="G952" t="inlineStr">
        <is>
          <t>Procurement</t>
        </is>
      </c>
      <c r="H952"/>
      <c r="I952"/>
      <c r="J952" t="inlineStr">
        <is>
          <t>Project</t>
        </is>
      </c>
      <c r="K952" t="inlineStr">
        <is>
          <t>PDEI - Game Marketing</t>
        </is>
      </c>
      <c r="L952" t="inlineStr">
        <is>
          <t>1xbet VEEWISE watch party</t>
        </is>
      </c>
      <c r="M952" t="inlineStr">
        <is>
          <t>2025TEG-P0181</t>
        </is>
      </c>
      <c r="N952" t="inlineStr">
        <is>
          <t>Katherine Denise Lee Sy</t>
        </is>
      </c>
      <c r="O952" t="inlineStr">
        <is>
          <t>202507300116-Katherine Denise Lee Sy-费用报销 - 副本 - 副本 - 副本-2025-07-30 15:31:08</t>
        </is>
      </c>
      <c r="P952" t="inlineStr">
        <is>
          <t>YES</t>
        </is>
      </c>
      <c r="Q952"/>
      <c r="R952" t="inlineStr">
        <is>
          <t>NO</t>
        </is>
      </c>
      <c r="S952" t="inlineStr">
        <is>
          <t>Outsourced Registration Staff</t>
        </is>
      </c>
      <c r="T952">
        <v>1</v>
      </c>
      <c r="U952">
        <v>6000</v>
      </c>
      <c r="V952" t="inlineStr">
        <is>
          <t>PHP</t>
        </is>
      </c>
      <c r="W952">
        <v>6000</v>
      </c>
      <c r="X952" s="2" t="str">
        <f>=HYPERLINK("https://www.larksuite.com/approval/admin/previewAttachment?key=PMhNCsJADAXgK71Mfl7iZdw4FKEWBGmLi5xdcNHtFymIdNEoWMkoSNOVnkxNDRP3Uu_RQhYoBHtuy30c-_q1dT-nbufr3cfzscyPeHEMUM00AcjtcqWZVYXh7_gFAAD__w", "2 attachment(s)")</f>
        <v>2 attachment(s)</v>
      </c>
      <c r="Y952" t="inlineStr">
        <is>
          <t>Bank Transfer</t>
        </is>
      </c>
      <c r="Z952" t="inlineStr">
        <is>
          <t>Jhun Aldrin Manes</t>
        </is>
      </c>
      <c r="AA952" t="inlineStr">
        <is>
          <t>09668330217</t>
        </is>
      </c>
      <c r="AB952" t="inlineStr">
        <is>
          <t>GCash</t>
        </is>
      </c>
      <c r="AC952" t="inlineStr">
        <is>
          <t>2042 Candido St. Brgy. Mapulang Lupa. Valenzuela City</t>
        </is>
      </c>
      <c r="AD952" s="4">
        <v>45870</v>
      </c>
      <c r="AE952" t="inlineStr">
        <is>
          <t>100% Full Payment - Aug. 15, 2025</t>
        </is>
      </c>
      <c r="AF952" s="2"/>
      <c r="AG952" t="inlineStr">
        <is>
          <t>NzQyNTk5MTgyNzQ4MTg3MDM0MTo4Njc3RjkyRC1ERDM4LTQwOEQtODg0MS1EQUJERUJBMjhENDMtMTo5NzY3Mjk3OWMwOTIxOGM0OWQwODRjMTJjZjIzODczMzox</t>
        </is>
      </c>
      <c r="AH952" t="inlineStr">
        <is>
          <t>Patrick Adam Peralta</t>
        </is>
      </c>
      <c r="AI952"/>
      <c r="AJ952"/>
      <c r="AK952"/>
    </row>
    <row r="953" ht="25.5" customHeight="1">
      <c r="A953" s="2" t="str">
        <f>=HYPERLINK("https://applink.larksuite.com/client/mini_program/open?appId=cli_9c7cc8a9a9edd105&amp;mode=appCenter&amp;path_pc=pc/pages/requested/index?instanceId=7537585980442755110&amp;source=bitable&amp;path=pages/detail/index?instanceId=7537585980442755110&amp;source=bitable", "202508120046")</f>
        <v>202508120046</v>
      </c>
      <c r="B953" t="inlineStr">
        <is>
          <t>Approved</t>
        </is>
      </c>
      <c r="C953" t="inlineStr">
        <is>
          <t>Procurement Order</t>
        </is>
      </c>
      <c r="D953" s="3">
        <v>45881.61336805556</v>
      </c>
      <c r="E953" s="3">
        <v>45881.74663194444</v>
      </c>
      <c r="F953" t="inlineStr">
        <is>
          <t>Fatima Kathleen M. FLores</t>
        </is>
      </c>
      <c r="G953" t="inlineStr">
        <is>
          <t>Procurement</t>
        </is>
      </c>
      <c r="H953"/>
      <c r="I953"/>
      <c r="J953" t="inlineStr">
        <is>
          <t>Project</t>
        </is>
      </c>
      <c r="K953" t="inlineStr">
        <is>
          <t>PDEI - Game Marketing</t>
        </is>
      </c>
      <c r="L953" t="inlineStr">
        <is>
          <t>1xbet VEEWISE watch party</t>
        </is>
      </c>
      <c r="M953" t="inlineStr">
        <is>
          <t>2025TEG-P0181</t>
        </is>
      </c>
      <c r="N953" t="inlineStr">
        <is>
          <t>Katherine Denise Lee Sy</t>
        </is>
      </c>
      <c r="O953" t="inlineStr">
        <is>
          <t>202507300089-Katherine Denise Lee Sy-费用报销 - 副本 - 副本 - 副本-2025-07-30 10:58:57</t>
        </is>
      </c>
      <c r="P953" t="inlineStr">
        <is>
          <t>YES</t>
        </is>
      </c>
      <c r="Q953"/>
      <c r="R953" t="inlineStr">
        <is>
          <t>NO</t>
        </is>
      </c>
      <c r="S953" t="inlineStr">
        <is>
          <t>Outsourced Broadcast Assistant</t>
        </is>
      </c>
      <c r="T953">
        <v>1</v>
      </c>
      <c r="U953">
        <v>4000</v>
      </c>
      <c r="V953" t="inlineStr">
        <is>
          <t>PHP</t>
        </is>
      </c>
      <c r="W953">
        <v>4000</v>
      </c>
      <c r="X953" s="2" t="str">
        <f>=HYPERLINK("https://www.larksuite.com/approval/admin/previewAttachment?key=PMhBCgIxDAXQK_3fJP2Jl3EzZRC1Ioiz69kFF7N9PYmeQesFL7YCl8IUGZVwb4ogsdqiVBAFrTH3a8T2uH_HzOfbXvNYx23bx4dRag0yd0sAvJxucveq7vg7fgEAAP__", "2 attachment(s)")</f>
        <v>2 attachment(s)</v>
      </c>
      <c r="Y953" t="inlineStr">
        <is>
          <t>Bank Transfer</t>
        </is>
      </c>
      <c r="Z953" t="inlineStr">
        <is>
          <t>Patrick Adam Peralta</t>
        </is>
      </c>
      <c r="AA953" t="inlineStr">
        <is>
          <t>109330391917</t>
        </is>
      </c>
      <c r="AB953" t="inlineStr">
        <is>
          <t>Unionbank</t>
        </is>
      </c>
      <c r="AC953" t="inlineStr">
        <is>
          <t>Blk 71 lot 20 Milflores St Rizal Makati City</t>
        </is>
      </c>
      <c r="AD953" s="4">
        <v>45870</v>
      </c>
      <c r="AE953" t="inlineStr">
        <is>
          <t>100% Full Payment - Aug. 15, 2025</t>
        </is>
      </c>
      <c r="AF953" s="2"/>
      <c r="AG953" t="inlineStr">
        <is>
          <t>NzQyNTk5MTgyNzQ4MTg3MDM0MTo3NTM0Nzc0Ny1CMTU1LTRDOEItODQ3Mi05QjhEMjE3RTMwNjYtMTphZDkyOGUxYjc1NjEwYTE3NzE0ZGYxZWQyYjdmNTk3Zjox</t>
        </is>
      </c>
      <c r="AH953" t="inlineStr">
        <is>
          <t>Patrick Adam Peralta</t>
        </is>
      </c>
      <c r="AI953"/>
      <c r="AJ953"/>
      <c r="AK953"/>
    </row>
    <row r="954" ht="25.5" customHeight="1">
      <c r="A954" s="2" t="str">
        <f>=HYPERLINK("https://applink.larksuite.com/client/mini_program/open?appId=cli_9c7cc8a9a9edd105&amp;mode=appCenter&amp;path_pc=pc/pages/requested/index?instanceId=7537584922685489183&amp;source=bitable&amp;path=pages/detail/index?instanceId=7537584922685489183&amp;source=bitable", "202508120043")</f>
        <v>202508120043</v>
      </c>
      <c r="B954" t="inlineStr">
        <is>
          <t>Approved</t>
        </is>
      </c>
      <c r="C954" t="inlineStr">
        <is>
          <t>Procurement Order</t>
        </is>
      </c>
      <c r="D954" s="3">
        <v>45881.61052083333</v>
      </c>
      <c r="E954" s="3">
        <v>45881.74711805556</v>
      </c>
      <c r="F954" t="inlineStr">
        <is>
          <t>Fatima Kathleen M. FLores</t>
        </is>
      </c>
      <c r="G954" t="inlineStr">
        <is>
          <t>Procurement</t>
        </is>
      </c>
      <c r="H954"/>
      <c r="I954"/>
      <c r="J954" t="inlineStr">
        <is>
          <t>Project</t>
        </is>
      </c>
      <c r="K954" t="inlineStr">
        <is>
          <t>PDEI - Game Marketing</t>
        </is>
      </c>
      <c r="L954" t="inlineStr">
        <is>
          <t>1xbet VEEWISE watch party</t>
        </is>
      </c>
      <c r="M954" t="inlineStr">
        <is>
          <t>2025TEG-P0181</t>
        </is>
      </c>
      <c r="N954" t="inlineStr">
        <is>
          <t>Katherine Denise Lee Sy</t>
        </is>
      </c>
      <c r="O954" t="inlineStr">
        <is>
          <t>202507300089-Katherine Denise Lee Sy-费用报销 - 副本 - 副本 - 副本-2025-07-30 10:58:57</t>
        </is>
      </c>
      <c r="P954" t="inlineStr">
        <is>
          <t>YES</t>
        </is>
      </c>
      <c r="Q954"/>
      <c r="R954" t="inlineStr">
        <is>
          <t>NO</t>
        </is>
      </c>
      <c r="S954" t="inlineStr">
        <is>
          <t>Outsourced Led Operator/Tech</t>
        </is>
      </c>
      <c r="T954">
        <v>1</v>
      </c>
      <c r="U954">
        <v>4400</v>
      </c>
      <c r="V954" t="inlineStr">
        <is>
          <t>PHP</t>
        </is>
      </c>
      <c r="W954">
        <v>4400</v>
      </c>
      <c r="X954" s="2" t="str">
        <f>=HYPERLINK("https://www.larksuite.com/approval/admin/previewAttachment?key=PMgxDsIwDAXQK33bP_k2l2FJVIFEJtRuOTsSQ9fX09CzWfQCy7xgWy3UkuXeszHLMrZvkwoyQXuu4zkjz2sN-9DX-xz7eo1jfq2V3KEgIwHY4_YQyapO_B2_AAAA__8", "2 attachment(s)")</f>
        <v>2 attachment(s)</v>
      </c>
      <c r="Y954" t="inlineStr">
        <is>
          <t>Bank Transfer</t>
        </is>
      </c>
      <c r="Z954" t="inlineStr">
        <is>
          <t>Joshua Vignesh U Narayan</t>
        </is>
      </c>
      <c r="AA954" t="inlineStr">
        <is>
          <t>09686047871</t>
        </is>
      </c>
      <c r="AB954" t="inlineStr">
        <is>
          <t>GCash</t>
        </is>
      </c>
      <c r="AC954" t="inlineStr">
        <is>
          <t>Celadon Park Condominium, Felix Huertas Rd .Santa Cruz Manila</t>
        </is>
      </c>
      <c r="AD954" s="4">
        <v>45870</v>
      </c>
      <c r="AE954" t="inlineStr">
        <is>
          <t>100% Full Payment - Aug. 15, 2025</t>
        </is>
      </c>
      <c r="AF954" s="2"/>
      <c r="AG954" t="inlineStr">
        <is>
          <t>NzQyNTk5MTgyNzQ4MTg3MDM0MToyNzQyMzJCMy1ERTYzLTRBMDctQTJFMC05MUMzM0YyQUI0QUMtMTphYjczZDA3MjAxYjQxMzM2MmU3ODBmMTIzZmUzNGRjMzox</t>
        </is>
      </c>
      <c r="AH954" t="inlineStr">
        <is>
          <t>Joshua Vignesh U Narayan</t>
        </is>
      </c>
      <c r="AI954"/>
      <c r="AJ954"/>
      <c r="AK954"/>
    </row>
    <row r="955" ht="25.5" customHeight="1">
      <c r="A955" s="2" t="str">
        <f>=HYPERLINK("https://applink.larksuite.com/client/mini_program/open?appId=cli_9c7cc8a9a9edd105&amp;mode=appCenter&amp;path_pc=pc/pages/requested/index?instanceId=7537583845982404639&amp;source=bitable&amp;path=pages/detail/index?instanceId=7537583845982404639&amp;source=bitable", "202508120041")</f>
        <v>202508120041</v>
      </c>
      <c r="B955" t="inlineStr">
        <is>
          <t>Approved</t>
        </is>
      </c>
      <c r="C955" t="inlineStr">
        <is>
          <t>Procurement Order</t>
        </is>
      </c>
      <c r="D955" s="3">
        <v>45881.607615740744</v>
      </c>
      <c r="E955" s="3">
        <v>45881.74758101852</v>
      </c>
      <c r="F955" t="inlineStr">
        <is>
          <t>Fatima Kathleen M. FLores</t>
        </is>
      </c>
      <c r="G955" t="inlineStr">
        <is>
          <t>Procurement</t>
        </is>
      </c>
      <c r="H955"/>
      <c r="I955"/>
      <c r="J955" t="inlineStr">
        <is>
          <t>Project</t>
        </is>
      </c>
      <c r="K955" t="inlineStr">
        <is>
          <t>PDEI - Game Marketing</t>
        </is>
      </c>
      <c r="L955" t="inlineStr">
        <is>
          <t>1xbet VEEWISE watch party</t>
        </is>
      </c>
      <c r="M955" t="inlineStr">
        <is>
          <t>2025TEG-P0181</t>
        </is>
      </c>
      <c r="N955" t="inlineStr">
        <is>
          <t>Katherine Denise Lee Sy</t>
        </is>
      </c>
      <c r="O955" t="inlineStr">
        <is>
          <t>202507300089-Katherine Denise Lee Sy-费用报销 - 副本 - 副本 - 副本-2025-07-30 10:58:57</t>
        </is>
      </c>
      <c r="P955" t="inlineStr">
        <is>
          <t>YES</t>
        </is>
      </c>
      <c r="Q955"/>
      <c r="R955" t="inlineStr">
        <is>
          <t>NO</t>
        </is>
      </c>
      <c r="S955" t="inlineStr">
        <is>
          <t>Outsourced Main CG / Teleprompter</t>
        </is>
      </c>
      <c r="T955">
        <v>1</v>
      </c>
      <c r="U955">
        <v>4000</v>
      </c>
      <c r="V955" t="inlineStr">
        <is>
          <t>PHP</t>
        </is>
      </c>
      <c r="W955">
        <v>4000</v>
      </c>
      <c r="X955" s="2" t="str">
        <f>=HYPERLINK("https://www.larksuite.com/approval/admin/previewAttachment?key=PMgxqgJhDATgK03-TDLJu8xrXH5kxUpYq5xdsLD9sgxZYZ4Ntq2GjcIV5cXoWgTTe9aY1JAJmuO5_4vXez9OuukMaK77bR8vi9ZakJNeAOzv5y6S3Ul8HZ8AAAD__w", "2 attachment(s)")</f>
        <v>2 attachment(s)</v>
      </c>
      <c r="Y955" t="inlineStr">
        <is>
          <t>Bank Transfer</t>
        </is>
      </c>
      <c r="Z955" t="inlineStr">
        <is>
          <t>Christian James D. Dagumboy</t>
        </is>
      </c>
      <c r="AA955" t="inlineStr">
        <is>
          <t>09257023784</t>
        </is>
      </c>
      <c r="AB955" t="inlineStr">
        <is>
          <t>GCash</t>
        </is>
      </c>
      <c r="AC955" t="inlineStr">
        <is>
          <t>64 Raja Kalantiao St. Brgy. Daanghari, Navotas City</t>
        </is>
      </c>
      <c r="AD955" s="4">
        <v>45870</v>
      </c>
      <c r="AE955" t="inlineStr">
        <is>
          <t>100% Full Payment - Aug. 15, 2025</t>
        </is>
      </c>
      <c r="AF955" s="2"/>
      <c r="AG955" t="inlineStr">
        <is>
          <t>NzQyNTk5MTgyNzQ4MTg3MDM0MTo4MzFFNDIwOC05MkMzLTREMkEtOEU3OS04RTEwRkM1Qzk5OTctMTpiNTk4MDZiZGVkMzY2MTBmY2YyMTQ1ODViMTk5MDFjMDox</t>
        </is>
      </c>
      <c r="AH955" t="inlineStr">
        <is>
          <t>Christian James D. Dagumboy</t>
        </is>
      </c>
      <c r="AI955"/>
      <c r="AJ955"/>
      <c r="AK955"/>
    </row>
    <row r="956" ht="25.5" customHeight="1">
      <c r="A956" s="2" t="str">
        <f>=HYPERLINK("https://applink.larksuite.com/client/mini_program/open?appId=cli_9c7cc8a9a9edd105&amp;mode=appCenter&amp;path_pc=pc/pages/requested/index?instanceId=7537569894036930598&amp;source=bitable&amp;path=pages/detail/index?instanceId=7537569894036930598&amp;source=bitable", "202508120031")</f>
        <v>202508120031</v>
      </c>
      <c r="B956" t="inlineStr">
        <is>
          <t>Approved</t>
        </is>
      </c>
      <c r="C956" t="inlineStr">
        <is>
          <t>Procurement Order</t>
        </is>
      </c>
      <c r="D956" s="3">
        <v>45881.570023148146</v>
      </c>
      <c r="E956" s="3">
        <v>45881.74821759259</v>
      </c>
      <c r="F956" t="inlineStr">
        <is>
          <t>Fatima Kathleen M. FLores</t>
        </is>
      </c>
      <c r="G956" t="inlineStr">
        <is>
          <t>Procurement</t>
        </is>
      </c>
      <c r="H956"/>
      <c r="I956"/>
      <c r="J956" t="inlineStr">
        <is>
          <t>Project</t>
        </is>
      </c>
      <c r="K956" t="inlineStr">
        <is>
          <t>PDEI - Game Marketing</t>
        </is>
      </c>
      <c r="L956" t="inlineStr">
        <is>
          <t>1xbet VEEWISE watch party</t>
        </is>
      </c>
      <c r="M956" t="inlineStr">
        <is>
          <t>2025TEG-P0181</t>
        </is>
      </c>
      <c r="N956" t="inlineStr">
        <is>
          <t>Katherine Denise Lee Sy</t>
        </is>
      </c>
      <c r="O956" t="inlineStr">
        <is>
          <t>202507300036-Katherine Denise Lee Sy-费用报销 - 副本 - 副本 - 副本-2025-07-30 06:11:03</t>
        </is>
      </c>
      <c r="P956" t="inlineStr">
        <is>
          <t>YES</t>
        </is>
      </c>
      <c r="Q956"/>
      <c r="R956" t="inlineStr">
        <is>
          <t>NO</t>
        </is>
      </c>
      <c r="S956" t="inlineStr">
        <is>
          <t>Outsourced Event/Fabrication Coordinator</t>
        </is>
      </c>
      <c r="T956">
        <v>1</v>
      </c>
      <c r="U956">
        <v>7000</v>
      </c>
      <c r="V956" t="inlineStr">
        <is>
          <t>PHP</t>
        </is>
      </c>
      <c r="W956">
        <v>7000</v>
      </c>
      <c r="X956" s="2" t="str">
        <f>=HYPERLINK("https://www.larksuite.com/approval/admin/previewAttachment?key=PMg7qoIxEAXgLZ3JPM_dzG0MQZA_jSikmLULFrZflCDKRYMwyiCk0zU9WDRoUOGsHi2ZREqiel7rX6_9WLr3y8448_T7flvzKc4cA6lmWgDk7-eaZkaG4ev4BAAA__8", "2 attachment(s)")</f>
        <v>2 attachment(s)</v>
      </c>
      <c r="Y956" t="inlineStr">
        <is>
          <t>Bank Transfer</t>
        </is>
      </c>
      <c r="Z956" t="inlineStr">
        <is>
          <t>Marc Kevin Serrano</t>
        </is>
      </c>
      <c r="AA956" t="inlineStr">
        <is>
          <t>1519218972</t>
        </is>
      </c>
      <c r="AB956" t="inlineStr">
        <is>
          <t>BPI</t>
        </is>
      </c>
      <c r="AC956" t="inlineStr">
        <is>
          <t>3 Don Guillermo Street, Barangay Holy Spirit, Commonwealth, Quezon City</t>
        </is>
      </c>
      <c r="AD956" s="4">
        <v>45870</v>
      </c>
      <c r="AE956" t="inlineStr">
        <is>
          <t>100% Full Payment - Aug. 15, 2025</t>
        </is>
      </c>
      <c r="AF956" s="2"/>
      <c r="AG956" t="inlineStr">
        <is>
          <t>NzQyNTk5MTgyNzQ4MTg3MDM0MTo1M0NENzc0Mi1ERjAyLTRFQjItQjVGQS1FRDAzQUJBQjI1NjMtMTpiNmFmMGNhZGE1NjQyNDIzY2QzNjkyMDMzM2VjNjQwNDox</t>
        </is>
      </c>
      <c r="AH956" t="inlineStr">
        <is>
          <t>Marc Kevin Serrano</t>
        </is>
      </c>
      <c r="AI956"/>
      <c r="AJ956"/>
      <c r="AK956"/>
    </row>
    <row r="957" ht="25.5" customHeight="1">
      <c r="A957" s="2" t="str">
        <f>=HYPERLINK("https://applink.larksuite.com/client/mini_program/open?appId=cli_9c7cc8a9a9edd105&amp;mode=appCenter&amp;path_pc=pc/pages/requested/index?instanceId=7537919171795894303&amp;source=bitable&amp;path=pages/detail/index?instanceId=7537919171795894303&amp;source=bitable", "202508130017")</f>
        <v>202508130017</v>
      </c>
      <c r="B957" t="inlineStr">
        <is>
          <t>Approved</t>
        </is>
      </c>
      <c r="C957" t="inlineStr">
        <is>
          <t>Procurement Order</t>
        </is>
      </c>
      <c r="D957" s="3">
        <v>45882.51125</v>
      </c>
      <c r="E957" s="3">
        <v>45883.76443287037</v>
      </c>
      <c r="F957" t="inlineStr">
        <is>
          <t>Fatima Kathleen M. FLores</t>
        </is>
      </c>
      <c r="G957" t="inlineStr">
        <is>
          <t>Procurement</t>
        </is>
      </c>
      <c r="H957"/>
      <c r="I957"/>
      <c r="J957" t="inlineStr">
        <is>
          <t>Project</t>
        </is>
      </c>
      <c r="K957" t="inlineStr">
        <is>
          <t>PDEI - Game Marketing</t>
        </is>
      </c>
      <c r="L957" t="inlineStr">
        <is>
          <t>Phase 2 - Wargaming Computer Shop Activation</t>
        </is>
      </c>
      <c r="M957" t="inlineStr">
        <is>
          <t>2025TEG-P0207</t>
        </is>
      </c>
      <c r="N957" t="inlineStr">
        <is>
          <t>Clifford Markus Ortiz Martinez</t>
        </is>
      </c>
      <c r="O957" t="inlineStr">
        <is>
          <t>202507160003-Clifford Markus Ortiz Martinez-费用报销 - 副本 - 副本 - 副本-2025-07-16 02:13:55</t>
        </is>
      </c>
      <c r="P957" t="inlineStr">
        <is>
          <t>NO</t>
        </is>
      </c>
      <c r="Q957"/>
      <c r="R957" t="inlineStr">
        <is>
          <t>NO</t>
        </is>
      </c>
      <c r="S957" t="inlineStr">
        <is>
          <t>Monitor Topper (Material: 3mm matte vinyl, sticker on sintra, Size: 11x13 inches, Full Color - 1 Side Print)</t>
        </is>
      </c>
      <c r="T957">
        <v>10</v>
      </c>
      <c r="U957">
        <v>67.2</v>
      </c>
      <c r="V957" t="inlineStr">
        <is>
          <t>PHP</t>
        </is>
      </c>
      <c r="W957">
        <v>672</v>
      </c>
      <c r="X957" s="2"/>
      <c r="Y957" t="inlineStr">
        <is>
          <t>Bank Transfer</t>
        </is>
      </c>
      <c r="Z957" t="inlineStr">
        <is>
          <t>Bescost Digital Marketing Services Inc.</t>
        </is>
      </c>
      <c r="AA957" t="inlineStr">
        <is>
          <t>00000-5674-8951</t>
        </is>
      </c>
      <c r="AB957" t="inlineStr">
        <is>
          <t>Security Bank</t>
        </is>
      </c>
      <c r="AC957" t="inlineStr">
        <is>
          <t>5105-A Sulok St., Brgy. Ugong, Valenzuela City</t>
        </is>
      </c>
      <c r="AD957" s="4">
        <v>45859</v>
      </c>
      <c r="AE957" t="inlineStr">
        <is>
          <t>100% Full Payment - 15 days upon complete delivery</t>
        </is>
      </c>
      <c r="AF957" s="2"/>
      <c r="AG957" t="inlineStr">
        <is>
          <t>NzQyNTk5MTgyNzQ4MTg3MDM0MTozMjAwM0I2Ri1EODA4LTQ0QjMtQTA5OS1FQzdEQjE5NDBGMkItMToyZDEyOGYyZGRiZTFkNTkxMjgwZTM5NTViNDhmNzQ1Njox</t>
        </is>
      </c>
      <c r="AH957" t="inlineStr">
        <is>
          <t>Bescost Digital Marketing Services Inc.</t>
        </is>
      </c>
      <c r="AI957"/>
      <c r="AJ957"/>
      <c r="AK957"/>
    </row>
    <row r="958" ht="25.5" customHeight="1">
      <c r="A958" s="2" t="str">
        <f>=HYPERLINK("https://applink.larksuite.com/client/mini_program/open?appId=cli_9c7cc8a9a9edd105&amp;mode=appCenter&amp;path_pc=pc/pages/requested/index?instanceId=7537919171795894303&amp;source=bitable&amp;path=pages/detail/index?instanceId=7537919171795894303&amp;source=bitable", "202508130017")</f>
        <v>202508130017</v>
      </c>
      <c r="B958" t="inlineStr">
        <is>
          <t>Approved</t>
        </is>
      </c>
      <c r="C958" t="inlineStr">
        <is>
          <t>Procurement Order</t>
        </is>
      </c>
      <c r="D958" s="3">
        <v>45882.51125</v>
      </c>
      <c r="E958" s="3">
        <v>45883.76443287037</v>
      </c>
      <c r="F958" t="inlineStr">
        <is>
          <t>Fatima Kathleen M. FLores</t>
        </is>
      </c>
      <c r="G958" t="inlineStr">
        <is>
          <t>Procurement</t>
        </is>
      </c>
      <c r="H958"/>
      <c r="I958"/>
      <c r="J958" t="inlineStr">
        <is>
          <t>Project</t>
        </is>
      </c>
      <c r="K958" t="inlineStr">
        <is>
          <t>PDEI - Game Marketing</t>
        </is>
      </c>
      <c r="L958" t="inlineStr">
        <is>
          <t>Phase 2 - Wargaming Computer Shop Activation</t>
        </is>
      </c>
      <c r="M958" t="inlineStr">
        <is>
          <t>2025TEG-P0207</t>
        </is>
      </c>
      <c r="N958" t="inlineStr">
        <is>
          <t>Clifford Markus Ortiz Martinez</t>
        </is>
      </c>
      <c r="O958" t="inlineStr">
        <is>
          <t>202507160003-Clifford Markus Ortiz Martinez-费用报销 - 副本 - 副本 - 副本-2025-07-16 02:13:55</t>
        </is>
      </c>
      <c r="P958" t="inlineStr">
        <is>
          <t>NO</t>
        </is>
      </c>
      <c r="Q958"/>
      <c r="R958" t="inlineStr">
        <is>
          <t>NO</t>
        </is>
      </c>
      <c r="S958" t="inlineStr">
        <is>
          <t>Counter Topper (Material: 3mm matte vinyl, sticker on sintra Size: A4 (8.3x11.7 inches)Full Color - 1 Side Print)</t>
        </is>
      </c>
      <c r="T958">
        <v>2</v>
      </c>
      <c r="U958">
        <v>108.64</v>
      </c>
      <c r="V958" t="inlineStr">
        <is>
          <t>PHP</t>
        </is>
      </c>
      <c r="W958">
        <v>217.28</v>
      </c>
      <c r="X958" s="2"/>
      <c r="Y958"/>
      <c r="Z958"/>
      <c r="AA958"/>
      <c r="AB958"/>
      <c r="AC958"/>
      <c r="AD958" s="4"/>
      <c r="AE958"/>
      <c r="AF958" s="2"/>
      <c r="AG958" t="inlineStr">
        <is>
          <t>NzQyNTk5MTgyNzQ4MTg3MDM0MTozMjAwM0I2Ri1EODA4LTQ0QjMtQTA5OS1FQzdEQjE5NDBGMkItMjowNTAzNGM5ZGI3NDRiMDMzNGNhMWMzZGQ0YjY3ODhhYTox</t>
        </is>
      </c>
      <c r="AH958"/>
      <c r="AI958"/>
      <c r="AJ958"/>
      <c r="AK958"/>
    </row>
    <row r="959" ht="25.5" customHeight="1">
      <c r="A959" s="2" t="str">
        <f>=HYPERLINK("https://applink.larksuite.com/client/mini_program/open?appId=cli_9c7cc8a9a9edd105&amp;mode=appCenter&amp;path_pc=pc/pages/requested/index?instanceId=7537919171795894303&amp;source=bitable&amp;path=pages/detail/index?instanceId=7537919171795894303&amp;source=bitable", "202508130017")</f>
        <v>202508130017</v>
      </c>
      <c r="B959" t="inlineStr">
        <is>
          <t>Approved</t>
        </is>
      </c>
      <c r="C959" t="inlineStr">
        <is>
          <t>Procurement Order</t>
        </is>
      </c>
      <c r="D959" s="3">
        <v>45882.51125</v>
      </c>
      <c r="E959" s="3">
        <v>45883.76443287037</v>
      </c>
      <c r="F959" t="inlineStr">
        <is>
          <t>Fatima Kathleen M. FLores</t>
        </is>
      </c>
      <c r="G959" t="inlineStr">
        <is>
          <t>Procurement</t>
        </is>
      </c>
      <c r="H959"/>
      <c r="I959"/>
      <c r="J959" t="inlineStr">
        <is>
          <t>Project</t>
        </is>
      </c>
      <c r="K959" t="inlineStr">
        <is>
          <t>PDEI - Game Marketing</t>
        </is>
      </c>
      <c r="L959" t="inlineStr">
        <is>
          <t>Phase 2 - Wargaming Computer Shop Activation</t>
        </is>
      </c>
      <c r="M959" t="inlineStr">
        <is>
          <t>2025TEG-P0207</t>
        </is>
      </c>
      <c r="N959" t="inlineStr">
        <is>
          <t>Clifford Markus Ortiz Martinez</t>
        </is>
      </c>
      <c r="O959" t="inlineStr">
        <is>
          <t>202507160003-Clifford Markus Ortiz Martinez-费用报销 - 副本 - 副本 - 副本-2025-07-16 02:13:55</t>
        </is>
      </c>
      <c r="P959" t="inlineStr">
        <is>
          <t>NO</t>
        </is>
      </c>
      <c r="Q959"/>
      <c r="R959" t="inlineStr">
        <is>
          <t>NO</t>
        </is>
      </c>
      <c r="S959" t="inlineStr">
        <is>
          <t>Rush Fee</t>
        </is>
      </c>
      <c r="T959">
        <v>1</v>
      </c>
      <c r="U959">
        <v>560</v>
      </c>
      <c r="V959" t="inlineStr">
        <is>
          <t>PHP</t>
        </is>
      </c>
      <c r="W959">
        <v>560</v>
      </c>
      <c r="X959" s="2" t="str">
        <f>=HYPERLINK("https://www.larksuite.com/approval/admin/previewAttachment?key=PMgxDgIxEAPAL9m7mzjmMzScIiiuQkS6Im9HoqCdPog-GrMbZYbBrZYyTVFuw5XIHZuSIQpjH-e8f655LuWKa7bF117PxzzebFYElFU5APD291RV2b3w8_gGAAD__w", "2 attachment(s)")</f>
        <v>2 attachment(s)</v>
      </c>
      <c r="Y959"/>
      <c r="Z959"/>
      <c r="AA959"/>
      <c r="AB959"/>
      <c r="AC959"/>
      <c r="AD959" s="4"/>
      <c r="AE959"/>
      <c r="AF959" s="2"/>
      <c r="AG959" t="inlineStr">
        <is>
          <t>NzQyNTk5MTgyNzQ4MTg3MDM0MTozMjAwM0I2Ri1EODA4LTQ0QjMtQTA5OS1FQzdEQjE5NDBGMkItMzpjNzk3ZGVlYzQwNThjY2Q1ZDdlMGZjMTQyYzYyZTcyZjox</t>
        </is>
      </c>
      <c r="AH959"/>
      <c r="AI959"/>
      <c r="AJ959"/>
      <c r="AK959"/>
    </row>
    <row r="960" ht="25.5" customHeight="1">
      <c r="A960" s="2" t="str">
        <f>=HYPERLINK("https://applink.larksuite.com/client/mini_program/open?appId=cli_9c7cc8a9a9edd105&amp;mode=appCenter&amp;path_pc=pc/pages/requested/index?instanceId=7537922155376312351&amp;source=bitable&amp;path=pages/detail/index?instanceId=7537922155376312351&amp;source=bitable", "202508130021")</f>
        <v>202508130021</v>
      </c>
      <c r="B960" t="inlineStr">
        <is>
          <t>Approved</t>
        </is>
      </c>
      <c r="C960" t="inlineStr">
        <is>
          <t>Procurement Order</t>
        </is>
      </c>
      <c r="D960" s="3">
        <v>45882.51929398148</v>
      </c>
      <c r="E960" s="3">
        <v>45883.76363425926</v>
      </c>
      <c r="F960" t="inlineStr">
        <is>
          <t>Fatima Kathleen M. FLores</t>
        </is>
      </c>
      <c r="G960" t="inlineStr">
        <is>
          <t>Procurement</t>
        </is>
      </c>
      <c r="H960"/>
      <c r="I960"/>
      <c r="J960" t="inlineStr">
        <is>
          <t>Project</t>
        </is>
      </c>
      <c r="K960" t="inlineStr">
        <is>
          <t>PDEI - Game Marketing</t>
        </is>
      </c>
      <c r="L960" t="inlineStr">
        <is>
          <t>Musso Philippines x PGDX Outpost by Mineski</t>
        </is>
      </c>
      <c r="M960" t="inlineStr">
        <is>
          <t>2025TEG-P0217</t>
        </is>
      </c>
      <c r="N960" t="inlineStr">
        <is>
          <t>Katherine Denise Lee Sy</t>
        </is>
      </c>
      <c r="O960" t="inlineStr">
        <is>
          <t>202507230075-Katherine Denise Lee Sy-费用报销 - 副本 - 副本 - 副本-2025-07-23 08:43:24</t>
        </is>
      </c>
      <c r="P960" t="inlineStr">
        <is>
          <t>NO</t>
        </is>
      </c>
      <c r="Q960"/>
      <c r="R960" t="inlineStr">
        <is>
          <t>NO</t>
        </is>
      </c>
      <c r="S960" t="inlineStr">
        <is>
          <t>Trifold Brochure (Material: C2S120 (170 gsm) / Size: 37.5cm x 20.5cm / Single page is 12.5 x 20.5cm, tri- folded / Back to back print)</t>
        </is>
      </c>
      <c r="T960">
        <v>300</v>
      </c>
      <c r="U960">
        <v>56</v>
      </c>
      <c r="V960" t="inlineStr">
        <is>
          <t>PHP</t>
        </is>
      </c>
      <c r="W960">
        <v>16800</v>
      </c>
      <c r="X960" s="2"/>
      <c r="Y960" t="inlineStr">
        <is>
          <t>Bank Transfer</t>
        </is>
      </c>
      <c r="Z960" t="inlineStr">
        <is>
          <t>Bescost Digital Marketing Services Inc.</t>
        </is>
      </c>
      <c r="AA960" t="inlineStr">
        <is>
          <t>00000-5674-8951</t>
        </is>
      </c>
      <c r="AB960" t="inlineStr">
        <is>
          <t>Security Bank</t>
        </is>
      </c>
      <c r="AC960" t="inlineStr">
        <is>
          <t>5105-A Sulok St., Brgy. Ugong, Valenzuela City</t>
        </is>
      </c>
      <c r="AD960" s="4">
        <v>45861</v>
      </c>
      <c r="AE960" t="inlineStr">
        <is>
          <t>100% Full Payment - 15 days upon complete delivery</t>
        </is>
      </c>
      <c r="AF960" s="2"/>
      <c r="AG960" t="inlineStr">
        <is>
          <t>NzQyNTk5MTgyNzQ4MTg3MDM0MTpFNjgzNzY2Qi0wRUU5LTRDQTMtODY3MC0wNzQzNUQ5QUNCMDctMTo3OThhYTk3NGIwMWRhNDdkNTQ5NTYxNmU3ZThiODU2NDox</t>
        </is>
      </c>
      <c r="AH960" t="inlineStr">
        <is>
          <t>Bescost Digital Marketing Services Inc.</t>
        </is>
      </c>
      <c r="AI960"/>
      <c r="AJ960"/>
      <c r="AK960"/>
    </row>
    <row r="961" ht="25.5" customHeight="1">
      <c r="A961" s="2" t="str">
        <f>=HYPERLINK("https://applink.larksuite.com/client/mini_program/open?appId=cli_9c7cc8a9a9edd105&amp;mode=appCenter&amp;path_pc=pc/pages/requested/index?instanceId=7537922155376312351&amp;source=bitable&amp;path=pages/detail/index?instanceId=7537922155376312351&amp;source=bitable", "202508130021")</f>
        <v>202508130021</v>
      </c>
      <c r="B961" t="inlineStr">
        <is>
          <t>Approved</t>
        </is>
      </c>
      <c r="C961" t="inlineStr">
        <is>
          <t>Procurement Order</t>
        </is>
      </c>
      <c r="D961" s="3">
        <v>45882.51929398148</v>
      </c>
      <c r="E961" s="3">
        <v>45883.76363425926</v>
      </c>
      <c r="F961" t="inlineStr">
        <is>
          <t>Fatima Kathleen M. FLores</t>
        </is>
      </c>
      <c r="G961" t="inlineStr">
        <is>
          <t>Procurement</t>
        </is>
      </c>
      <c r="H961"/>
      <c r="I961"/>
      <c r="J961" t="inlineStr">
        <is>
          <t>Project</t>
        </is>
      </c>
      <c r="K961" t="inlineStr">
        <is>
          <t>PDEI - Game Marketing</t>
        </is>
      </c>
      <c r="L961" t="inlineStr">
        <is>
          <t>Musso Philippines x PGDX Outpost by Mineski</t>
        </is>
      </c>
      <c r="M961" t="inlineStr">
        <is>
          <t>2025TEG-P0217</t>
        </is>
      </c>
      <c r="N961" t="inlineStr">
        <is>
          <t>Katherine Denise Lee Sy</t>
        </is>
      </c>
      <c r="O961" t="inlineStr">
        <is>
          <t>202507230075-Katherine Denise Lee Sy-费用报销 - 副本 - 副本 - 副本-2025-07-23 08:43:24</t>
        </is>
      </c>
      <c r="P961" t="inlineStr">
        <is>
          <t>NO</t>
        </is>
      </c>
      <c r="Q961"/>
      <c r="R961" t="inlineStr">
        <is>
          <t>NO</t>
        </is>
      </c>
      <c r="S961" t="inlineStr">
        <is>
          <t>Rush Fee</t>
        </is>
      </c>
      <c r="T961">
        <v>1</v>
      </c>
      <c r="U961">
        <v>1680</v>
      </c>
      <c r="V961" t="inlineStr">
        <is>
          <t>PHP</t>
        </is>
      </c>
      <c r="W961">
        <v>1680</v>
      </c>
      <c r="X961" s="2" t="str">
        <f>=HYPERLINK("https://www.larksuite.com/approval/admin/previewAttachment?key=PMg9ikJBEATgK1X1z1T3XmaTeQwiKoL4sjm7YGD6jSJGJX00omkNbqWrzZjpGk7z5LZNqSEKtY_7-p_vmorHqtv1qTP2eZnreDFbZpBHeAHg389dEdE9Al_nJwAA__8", "2 attachment(s)")</f>
        <v>2 attachment(s)</v>
      </c>
      <c r="Y961"/>
      <c r="Z961"/>
      <c r="AA961"/>
      <c r="AB961"/>
      <c r="AC961"/>
      <c r="AD961" s="4"/>
      <c r="AE961"/>
      <c r="AF961" s="2"/>
      <c r="AG961" t="inlineStr">
        <is>
          <t>NzQyNTk5MTgyNzQ4MTg3MDM0MTpFNjgzNzY2Qi0wRUU5LTRDQTMtODY3MC0wNzQzNUQ5QUNCMDctMjo3NTcxNmZhNTY3NTg5YTU0ZmJjMjMyYmNmYjllYWE5ZDox</t>
        </is>
      </c>
      <c r="AH961"/>
      <c r="AI961"/>
      <c r="AJ961"/>
      <c r="AK961"/>
    </row>
    <row r="962" ht="25.5" customHeight="1">
      <c r="A962" s="2" t="str">
        <f>=HYPERLINK("https://applink.larksuite.com/client/mini_program/open?appId=cli_9c7cc8a9a9edd105&amp;mode=appCenter&amp;path_pc=pc/pages/requested/index?instanceId=7537910390592700448&amp;source=bitable&amp;path=pages/detail/index?instanceId=7537910390592700448&amp;source=bitable", "202508130013")</f>
        <v>202508130013</v>
      </c>
      <c r="B962" t="inlineStr">
        <is>
          <t>Approved</t>
        </is>
      </c>
      <c r="C962" t="inlineStr">
        <is>
          <t>Procurement Order</t>
        </is>
      </c>
      <c r="D962" s="3">
        <v>45882.487592592595</v>
      </c>
      <c r="E962" s="3">
        <v>45882.64969907407</v>
      </c>
      <c r="F962" t="inlineStr">
        <is>
          <t>Fatima Kathleen M. FLores</t>
        </is>
      </c>
      <c r="G962" t="inlineStr">
        <is>
          <t>Procurement</t>
        </is>
      </c>
      <c r="H962"/>
      <c r="I962"/>
      <c r="J962" t="inlineStr">
        <is>
          <t>Project</t>
        </is>
      </c>
      <c r="K962" t="inlineStr">
        <is>
          <t>PDEI - Game Marketing</t>
        </is>
      </c>
      <c r="L962" t="inlineStr">
        <is>
          <t>BuzzOne - C-Vitt Brand Activation</t>
        </is>
      </c>
      <c r="M962" t="inlineStr">
        <is>
          <t>2025TEG-P0135</t>
        </is>
      </c>
      <c r="N962" t="inlineStr">
        <is>
          <t>Carla Andrea Calma Crespo</t>
        </is>
      </c>
      <c r="O962" t="inlineStr">
        <is>
          <t>202506040022-Carla Andrea Calma Crespo-费用报销 - 副本 - 副本 - 副本-2025-06-04 03:41:15</t>
        </is>
      </c>
      <c r="P962" t="inlineStr">
        <is>
          <t>NO</t>
        </is>
      </c>
      <c r="Q962"/>
      <c r="R962" t="inlineStr">
        <is>
          <t>YES</t>
        </is>
      </c>
      <c r="S962" t="inlineStr">
        <is>
          <t>Venue Rental (2 days / Robinsons Galleria)</t>
        </is>
      </c>
      <c r="T962">
        <v>1</v>
      </c>
      <c r="U962">
        <v>139402</v>
      </c>
      <c r="V962" t="inlineStr">
        <is>
          <t>PHP</t>
        </is>
      </c>
      <c r="W962">
        <v>139402</v>
      </c>
      <c r="X962" s="2" t="str">
        <f>=HYPERLINK("https://www.larksuite.com/approval/admin/previewAttachment?key=PMgxDsIwFAPQK_nnO3HMZVgaRYDaCYFgyNmRGLq-1gOt18hm0FGMWKopB9KoLgLIvsoKyVAIfY1jXh_H2OPF--c7q_dtvW_bHM-oVilQktkBxOX0FEm7EX_HLwAA__8", "3 attachment(s)")</f>
        <v>3 attachment(s)</v>
      </c>
      <c r="Y962" t="inlineStr">
        <is>
          <t>Bank Transfer</t>
        </is>
      </c>
      <c r="Z962" t="inlineStr">
        <is>
          <t>Robinsons Land Corporation</t>
        </is>
      </c>
      <c r="AA962" t="inlineStr">
        <is>
          <t>100-23-000-853-2</t>
        </is>
      </c>
      <c r="AB962" t="inlineStr">
        <is>
          <t>Robinsons Bank Corporation</t>
        </is>
      </c>
      <c r="AC962" t="inlineStr">
        <is>
          <t>Level 2, Galleria Corporate Center, Robinsons Galleria, Edsa Corner, Ortigas Ave., Quezon City</t>
        </is>
      </c>
      <c r="AD962" s="4">
        <v>45885</v>
      </c>
      <c r="AE962" t="inlineStr">
        <is>
          <t>100% Full Payment before ingress</t>
        </is>
      </c>
      <c r="AF962" s="2"/>
      <c r="AG962" t="inlineStr">
        <is>
          <t>NzQyNTk5MTgyNzQ4MTg3MDM0MTo1ODBFMEIwNy1CNUEzLTQ0N0ItQjcwQS01MkU4OUQ2NDI2NkMtMToxZGI0YjIzNzFjY2NmNmJmOTQ1M2E4ZmE1ZGMyMDY4Yzox</t>
        </is>
      </c>
      <c r="AH962" t="inlineStr">
        <is>
          <t>Robinsons Land Corp.</t>
        </is>
      </c>
      <c r="AI962"/>
      <c r="AJ962"/>
      <c r="AK962"/>
    </row>
    <row r="963" ht="25.5" customHeight="1">
      <c r="A963" s="2" t="str">
        <f>=HYPERLINK("https://applink.larksuite.com/client/mini_program/open?appId=cli_9c7cc8a9a9edd105&amp;mode=appCenter&amp;path_pc=pc/pages/requested/index?instanceId=7537983831916183590&amp;source=bitable&amp;path=pages/detail/index?instanceId=7537983831916183590&amp;source=bitable", "202508130056")</f>
        <v>202508130056</v>
      </c>
      <c r="B963" t="inlineStr">
        <is>
          <t>Approved</t>
        </is>
      </c>
      <c r="C963" t="inlineStr">
        <is>
          <t>Procurement Order</t>
        </is>
      </c>
      <c r="D963" s="3">
        <v>45882.68549768518</v>
      </c>
      <c r="E963" s="3">
        <v>45883.74549768519</v>
      </c>
      <c r="F963" t="inlineStr">
        <is>
          <t>Fatima Kathleen M. FLores</t>
        </is>
      </c>
      <c r="G963" t="inlineStr">
        <is>
          <t>Procurement</t>
        </is>
      </c>
      <c r="H963"/>
      <c r="I963"/>
      <c r="J963" t="inlineStr">
        <is>
          <t>Project</t>
        </is>
      </c>
      <c r="K963" t="inlineStr">
        <is>
          <t>PDEI - Event Service</t>
        </is>
      </c>
      <c r="L963" t="inlineStr">
        <is>
          <t>MPL PH S16 Media Day</t>
        </is>
      </c>
      <c r="M963" t="inlineStr">
        <is>
          <t>2025TEG-P0194</t>
        </is>
      </c>
      <c r="N963" t="inlineStr">
        <is>
          <t>Jessica Jane Lor Felicilda</t>
        </is>
      </c>
      <c r="O963" t="inlineStr">
        <is>
          <t>202507310027-Jessica Jane Lor Felicilda-费用报销 - 副本 - 副本 - 副本-2025-07-31 03:53:38</t>
        </is>
      </c>
      <c r="P963" t="inlineStr">
        <is>
          <t>NO</t>
        </is>
      </c>
      <c r="Q963"/>
      <c r="R963" t="inlineStr">
        <is>
          <t>NO</t>
        </is>
      </c>
      <c r="S963" t="inlineStr">
        <is>
          <t>Outsourced Safety Officer (2 days)</t>
        </is>
      </c>
      <c r="T963">
        <v>1</v>
      </c>
      <c r="U963">
        <v>5000</v>
      </c>
      <c r="V963" t="inlineStr">
        <is>
          <t>PHP</t>
        </is>
      </c>
      <c r="W963">
        <v>5000</v>
      </c>
      <c r="X963" s="2"/>
      <c r="Y963" t="inlineStr">
        <is>
          <t>Bank Transfer</t>
        </is>
      </c>
      <c r="Z963" t="inlineStr">
        <is>
          <t>JEROME T. CAPOQUIAN</t>
        </is>
      </c>
      <c r="AA963" t="inlineStr">
        <is>
          <t>9599094366</t>
        </is>
      </c>
      <c r="AB963" t="inlineStr">
        <is>
          <t>BPI</t>
        </is>
      </c>
      <c r="AC963" t="inlineStr">
        <is>
          <t>BLOCK 5 LOT 7 PHASE 2 SHINEVILL MAMBUGAN ANTIPOLO CITY</t>
        </is>
      </c>
      <c r="AD963" s="4">
        <v>45877</v>
      </c>
      <c r="AE963" t="inlineStr">
        <is>
          <t>50% Down payment upon confirmation
50% Final Payment upon completion of services</t>
        </is>
      </c>
      <c r="AF963" s="2"/>
      <c r="AG963" t="inlineStr">
        <is>
          <t>NzQyNTk5MTgyNzQ4MTg3MDM0MTo0QTA2MTkzNi0yRjgwLTQ1MjgtOTVBMC01Nzg4Qjk4OEMyQ0YtMTo0N2VkZmRjOGNmZjcxYjVjM2RjNzRmNTA4YzY5ZWUwNjox</t>
        </is>
      </c>
      <c r="AH963" t="inlineStr">
        <is>
          <t>JEROME T. CAPOQUIAN</t>
        </is>
      </c>
      <c r="AI963"/>
      <c r="AJ963"/>
      <c r="AK963"/>
    </row>
    <row r="964" ht="25.5" customHeight="1">
      <c r="A964" s="2" t="str">
        <f>=HYPERLINK("https://applink.larksuite.com/client/mini_program/open?appId=cli_9c7cc8a9a9edd105&amp;mode=appCenter&amp;path_pc=pc/pages/requested/index?instanceId=7537983831916183590&amp;source=bitable&amp;path=pages/detail/index?instanceId=7537983831916183590&amp;source=bitable", "202508130056")</f>
        <v>202508130056</v>
      </c>
      <c r="B964" t="inlineStr">
        <is>
          <t>Approved</t>
        </is>
      </c>
      <c r="C964" t="inlineStr">
        <is>
          <t>Procurement Order</t>
        </is>
      </c>
      <c r="D964" s="3">
        <v>45882.68549768518</v>
      </c>
      <c r="E964" s="3">
        <v>45883.74549768519</v>
      </c>
      <c r="F964" t="inlineStr">
        <is>
          <t>Fatima Kathleen M. FLores</t>
        </is>
      </c>
      <c r="G964" t="inlineStr">
        <is>
          <t>Procurement</t>
        </is>
      </c>
      <c r="H964"/>
      <c r="I964"/>
      <c r="J964" t="inlineStr">
        <is>
          <t>Project</t>
        </is>
      </c>
      <c r="K964" t="inlineStr">
        <is>
          <t>PDEI - Event Service</t>
        </is>
      </c>
      <c r="L964" t="inlineStr">
        <is>
          <t>MPL PH S16 Media Day</t>
        </is>
      </c>
      <c r="M964" t="inlineStr">
        <is>
          <t>2025TEG-P0194</t>
        </is>
      </c>
      <c r="N964" t="inlineStr">
        <is>
          <t>Jessica Jane Lor Felicilda</t>
        </is>
      </c>
      <c r="O964" t="inlineStr">
        <is>
          <t>202507310027-Jessica Jane Lor Felicilda-费用报销 - 副本 - 副本 - 副本-2025-07-31 03:53:38</t>
        </is>
      </c>
      <c r="P964" t="inlineStr">
        <is>
          <t>NO</t>
        </is>
      </c>
      <c r="Q964"/>
      <c r="R964" t="inlineStr">
        <is>
          <t>NO</t>
        </is>
      </c>
      <c r="S964" t="inlineStr">
        <is>
          <t>Outsourced Medical Personnel (2 days)</t>
        </is>
      </c>
      <c r="T964">
        <v>1</v>
      </c>
      <c r="U964">
        <v>4000</v>
      </c>
      <c r="V964" t="inlineStr">
        <is>
          <t>PHP</t>
        </is>
      </c>
      <c r="W964">
        <v>4000</v>
      </c>
      <c r="X964" s="2"/>
      <c r="Y964"/>
      <c r="Z964"/>
      <c r="AA964"/>
      <c r="AB964"/>
      <c r="AC964"/>
      <c r="AD964" s="4"/>
      <c r="AE964"/>
      <c r="AF964" s="2"/>
      <c r="AG964" t="inlineStr">
        <is>
          <t>NzQyNTk5MTgyNzQ4MTg3MDM0MTo0QTA2MTkzNi0yRjgwLTQ1MjgtOTVBMC01Nzg4Qjk4OEMyQ0YtMjo3MTdmMDYyZWQwOGJjNWYyMTZhOGU1MDY3MTMyMTdkNTox</t>
        </is>
      </c>
      <c r="AH964"/>
      <c r="AI964"/>
      <c r="AJ964"/>
      <c r="AK964"/>
    </row>
    <row r="965" ht="25.5" customHeight="1">
      <c r="A965" s="2" t="str">
        <f>=HYPERLINK("https://applink.larksuite.com/client/mini_program/open?appId=cli_9c7cc8a9a9edd105&amp;mode=appCenter&amp;path_pc=pc/pages/requested/index?instanceId=7537983831916183590&amp;source=bitable&amp;path=pages/detail/index?instanceId=7537983831916183590&amp;source=bitable", "202508130056")</f>
        <v>202508130056</v>
      </c>
      <c r="B965" t="inlineStr">
        <is>
          <t>Approved</t>
        </is>
      </c>
      <c r="C965" t="inlineStr">
        <is>
          <t>Procurement Order</t>
        </is>
      </c>
      <c r="D965" s="3">
        <v>45882.68549768518</v>
      </c>
      <c r="E965" s="3">
        <v>45883.74549768519</v>
      </c>
      <c r="F965" t="inlineStr">
        <is>
          <t>Fatima Kathleen M. FLores</t>
        </is>
      </c>
      <c r="G965" t="inlineStr">
        <is>
          <t>Procurement</t>
        </is>
      </c>
      <c r="H965"/>
      <c r="I965"/>
      <c r="J965" t="inlineStr">
        <is>
          <t>Project</t>
        </is>
      </c>
      <c r="K965" t="inlineStr">
        <is>
          <t>PDEI - Event Service</t>
        </is>
      </c>
      <c r="L965" t="inlineStr">
        <is>
          <t>MPL PH S16 Media Day</t>
        </is>
      </c>
      <c r="M965" t="inlineStr">
        <is>
          <t>2025TEG-P0194</t>
        </is>
      </c>
      <c r="N965" t="inlineStr">
        <is>
          <t>Jessica Jane Lor Felicilda</t>
        </is>
      </c>
      <c r="O965" t="inlineStr">
        <is>
          <t>202507310027-Jessica Jane Lor Felicilda-费用报销 - 副本 - 副本 - 副本-2025-07-31 03:53:38</t>
        </is>
      </c>
      <c r="P965" t="inlineStr">
        <is>
          <t>NO</t>
        </is>
      </c>
      <c r="Q965"/>
      <c r="R965" t="inlineStr">
        <is>
          <t>NO</t>
        </is>
      </c>
      <c r="S965" t="inlineStr">
        <is>
          <t>Outsourced Event Marshals (2 days)</t>
        </is>
      </c>
      <c r="T965">
        <v>4</v>
      </c>
      <c r="U965">
        <v>3000</v>
      </c>
      <c r="V965" t="inlineStr">
        <is>
          <t>PHP</t>
        </is>
      </c>
      <c r="W965">
        <v>12000</v>
      </c>
      <c r="X965" s="2" t="str">
        <f>=HYPERLINK("https://www.larksuite.com/approval/admin/previewAttachment?key=PMgxCgJBDAXQK_2fZCb5XsbGYRF0txGWbXJ2wcL2zSJmDfoUQjSBncNT5eUUJ8uH0NbMFJKJ6rVv9_dYexzHK_2067I-n49tfTiUZkiP8ALA2989I0KagZ_bNwAA__8", "2 attachment(s)")</f>
        <v>2 attachment(s)</v>
      </c>
      <c r="Y965"/>
      <c r="Z965"/>
      <c r="AA965"/>
      <c r="AB965"/>
      <c r="AC965"/>
      <c r="AD965" s="4"/>
      <c r="AE965"/>
      <c r="AF965" s="2"/>
      <c r="AG965" t="inlineStr">
        <is>
          <t>NzQyNTk5MTgyNzQ4MTg3MDM0MTo0QTA2MTkzNi0yRjgwLTQ1MjgtOTVBMC01Nzg4Qjk4OEMyQ0YtMzo2MTY4ODBmNTcyMDkzODllNWQyYjNlNDM4MzNjOTY5YTox</t>
        </is>
      </c>
      <c r="AH965"/>
      <c r="AI965"/>
      <c r="AJ965"/>
      <c r="AK965"/>
    </row>
    <row r="966" ht="25.5" customHeight="1">
      <c r="A966" s="2" t="str">
        <f>=HYPERLINK("https://applink.larksuite.com/client/mini_program/open?appId=cli_9c7cc8a9a9edd105&amp;mode=appCenter&amp;path_pc=pc/pages/requested/index?instanceId=7537979767593779239&amp;source=bitable&amp;path=pages/detail/index?instanceId=7537979767593779239&amp;source=bitable", "202508130048")</f>
        <v>202508130048</v>
      </c>
      <c r="B966" t="inlineStr">
        <is>
          <t>Approved</t>
        </is>
      </c>
      <c r="C966" t="inlineStr">
        <is>
          <t>Procurement Order</t>
        </is>
      </c>
      <c r="D966" s="3">
        <v>45882.67454861111</v>
      </c>
      <c r="E966" s="3">
        <v>45883.74626157407</v>
      </c>
      <c r="F966" t="inlineStr">
        <is>
          <t>Fatima Kathleen M. FLores</t>
        </is>
      </c>
      <c r="G966" t="inlineStr">
        <is>
          <t>Procurement</t>
        </is>
      </c>
      <c r="H966"/>
      <c r="I966"/>
      <c r="J966" t="inlineStr">
        <is>
          <t>Project</t>
        </is>
      </c>
      <c r="K966" t="inlineStr">
        <is>
          <t>PDEI - Event Service</t>
        </is>
      </c>
      <c r="L966" t="inlineStr">
        <is>
          <t>MPL PH S16 Media Day</t>
        </is>
      </c>
      <c r="M966" t="inlineStr">
        <is>
          <t>2025TEG-P0194</t>
        </is>
      </c>
      <c r="N966" t="inlineStr">
        <is>
          <t>Jessica Jane Lor Felicilda</t>
        </is>
      </c>
      <c r="O966" t="inlineStr">
        <is>
          <t>202507310023-Jessica Jane Lor Felicilda-费用报销 - 副本 - 副本 - 副本-2025-07-31 03:39:25</t>
        </is>
      </c>
      <c r="P966" t="inlineStr">
        <is>
          <t>YES</t>
        </is>
      </c>
      <c r="Q966"/>
      <c r="R966" t="inlineStr">
        <is>
          <t>NO</t>
        </is>
      </c>
      <c r="S966" t="inlineStr">
        <is>
          <t>Outsourced Logistics Associate</t>
        </is>
      </c>
      <c r="T966">
        <v>1</v>
      </c>
      <c r="U966">
        <v>6000</v>
      </c>
      <c r="V966" t="inlineStr">
        <is>
          <t>PHP</t>
        </is>
      </c>
      <c r="W966">
        <v>6000</v>
      </c>
      <c r="X966" s="2" t="str">
        <f>=HYPERLINK("https://www.larksuite.com/approval/admin/previewAttachment?key=PMg9CsJAEAXgK73Z-Xn7vIxNQhDiVkK0mbMLFrZfTUPNNC8hZEOwZjpFsZhyUsPVo40UaMTsfR33zO1cn_fT136dYl-P7dhfluIYoEf4BGC3vzsjQqrAz_ENAAD__w", "2 attachment(s)")</f>
        <v>2 attachment(s)</v>
      </c>
      <c r="Y966" t="inlineStr">
        <is>
          <t>Bank Transfer</t>
        </is>
      </c>
      <c r="Z966" t="inlineStr">
        <is>
          <t>RIC JACA</t>
        </is>
      </c>
      <c r="AA966" t="inlineStr">
        <is>
          <t>09509516216</t>
        </is>
      </c>
      <c r="AB966" t="inlineStr">
        <is>
          <t>GCash</t>
        </is>
      </c>
      <c r="AC966" t="inlineStr">
        <is>
          <t>321 Sitio Langhaya Brgy. Dela Paz Antipolo Rizal</t>
        </is>
      </c>
      <c r="AD966" s="4">
        <v>45877</v>
      </c>
      <c r="AE966" t="inlineStr">
        <is>
          <t>100% Full Payment - Aug. 22, 2025</t>
        </is>
      </c>
      <c r="AF966" s="2"/>
      <c r="AG966" t="inlineStr">
        <is>
          <t>NzQyNTk5MTgyNzQ4MTg3MDM0MTpGMUREQUExMi0zNUQ3LTQ0N0EtQTdCOC01OEM0REVGNDg1NjctMTowNDViZDdjNjI2OGQ2YjJjYTY5ZTM1ZmVmYTE4YTg2Zjox</t>
        </is>
      </c>
      <c r="AH966" t="inlineStr">
        <is>
          <t>RIC JACA</t>
        </is>
      </c>
      <c r="AI966"/>
      <c r="AJ966"/>
      <c r="AK966"/>
    </row>
    <row r="967" ht="25.5" customHeight="1">
      <c r="A967" s="2" t="str">
        <f>=HYPERLINK("https://applink.larksuite.com/client/mini_program/open?appId=cli_9c7cc8a9a9edd105&amp;mode=appCenter&amp;path_pc=pc/pages/requested/index?instanceId=7537974451166593055&amp;source=bitable&amp;path=pages/detail/index?instanceId=7537974451166593055&amp;source=bitable", "202508130045")</f>
        <v>202508130045</v>
      </c>
      <c r="B967" t="inlineStr">
        <is>
          <t>Approved</t>
        </is>
      </c>
      <c r="C967" t="inlineStr">
        <is>
          <t>Procurement Order</t>
        </is>
      </c>
      <c r="D967" s="3">
        <v>45882.660219907404</v>
      </c>
      <c r="E967" s="3">
        <v>45883.75293981482</v>
      </c>
      <c r="F967" t="inlineStr">
        <is>
          <t>Fatima Kathleen M. FLores</t>
        </is>
      </c>
      <c r="G967" t="inlineStr">
        <is>
          <t>Procurement</t>
        </is>
      </c>
      <c r="H967"/>
      <c r="I967"/>
      <c r="J967" t="inlineStr">
        <is>
          <t>Project</t>
        </is>
      </c>
      <c r="K967" t="inlineStr">
        <is>
          <t>PDEI - Event Service</t>
        </is>
      </c>
      <c r="L967" t="inlineStr">
        <is>
          <t>MPL PH S16 Media Day</t>
        </is>
      </c>
      <c r="M967" t="inlineStr">
        <is>
          <t>2025TEG-P0194</t>
        </is>
      </c>
      <c r="N967" t="inlineStr">
        <is>
          <t>Jessica Jane Lor Felicilda</t>
        </is>
      </c>
      <c r="O967" t="inlineStr">
        <is>
          <t>202507310022-Jessica Jane Lor Felicilda-费用报销 - 副本 - 副本 - 副本-2025-07-31 03:34:05</t>
        </is>
      </c>
      <c r="P967" t="inlineStr">
        <is>
          <t>YES</t>
        </is>
      </c>
      <c r="Q967"/>
      <c r="R967" t="inlineStr">
        <is>
          <t>NO</t>
        </is>
      </c>
      <c r="S967" t="inlineStr">
        <is>
          <t>Outsourced Team Liaison Officer</t>
        </is>
      </c>
      <c r="T967">
        <v>1</v>
      </c>
      <c r="U967">
        <v>3000</v>
      </c>
      <c r="V967" t="inlineStr">
        <is>
          <t>PHP</t>
        </is>
      </c>
      <c r="W967">
        <v>3000</v>
      </c>
      <c r="X967" s="2" t="str">
        <f>=HYPERLINK("https://www.larksuite.com/approval/admin/previewAttachment?key=PMg9CgIxFATgK828v8nzMjYuQRRBEAIWObtgse1Xg6iR9GpE0xrcSlcrIsmqbEfmtk2pIQpjH695_a5Je5jea2boudf9No8Ps2UGeYQPALyc7oqI7gr8Hb8AAAD__w", "2 attachment(s)")</f>
        <v>2 attachment(s)</v>
      </c>
      <c r="Y967" t="inlineStr">
        <is>
          <t>Bank Transfer</t>
        </is>
      </c>
      <c r="Z967" t="inlineStr">
        <is>
          <t>Kyne-kyne Lalaine S. Lao</t>
        </is>
      </c>
      <c r="AA967" t="inlineStr">
        <is>
          <t>0626081293</t>
        </is>
      </c>
      <c r="AB967" t="inlineStr">
        <is>
          <t>BPI</t>
        </is>
      </c>
      <c r="AC967" t="inlineStr">
        <is>
          <t>117 Pacheco St. Tondo Manila</t>
        </is>
      </c>
      <c r="AD967" s="4">
        <v>45877</v>
      </c>
      <c r="AE967" t="inlineStr">
        <is>
          <t>100% Full Payment - Aug. 22, 2025</t>
        </is>
      </c>
      <c r="AF967" s="2"/>
      <c r="AG967" t="inlineStr">
        <is>
          <t>NzQyNTk5MTgyNzQ4MTg3MDM0MTpEOUMwOEQzOC0xN0E1LTQxRUQtQjZFRC1GNjdFOEJFMTZCN0MtMTplN2QzODg5NTdkNzk2MzQ5ODI2ZTZiMzViNDAxMmMyMjox</t>
        </is>
      </c>
      <c r="AH967" t="inlineStr">
        <is>
          <t>Kyne-kyne Lalaine S. Lao</t>
        </is>
      </c>
      <c r="AI967"/>
      <c r="AJ967"/>
      <c r="AK967"/>
    </row>
    <row r="968" ht="25.5" customHeight="1">
      <c r="A968" s="2" t="str">
        <f>=HYPERLINK("https://applink.larksuite.com/client/mini_program/open?appId=cli_9c7cc8a9a9edd105&amp;mode=appCenter&amp;path_pc=pc/pages/requested/index?instanceId=7537973673257402407&amp;source=bitable&amp;path=pages/detail/index?instanceId=7537973673257402407&amp;source=bitable", "202508130043")</f>
        <v>202508130043</v>
      </c>
      <c r="B968" t="inlineStr">
        <is>
          <t>Approved</t>
        </is>
      </c>
      <c r="C968" t="inlineStr">
        <is>
          <t>Procurement Order</t>
        </is>
      </c>
      <c r="D968" s="3">
        <v>45882.658125</v>
      </c>
      <c r="E968" s="3">
        <v>45883.753229166665</v>
      </c>
      <c r="F968" t="inlineStr">
        <is>
          <t>Fatima Kathleen M. FLores</t>
        </is>
      </c>
      <c r="G968" t="inlineStr">
        <is>
          <t>Procurement</t>
        </is>
      </c>
      <c r="H968"/>
      <c r="I968"/>
      <c r="J968" t="inlineStr">
        <is>
          <t>Project</t>
        </is>
      </c>
      <c r="K968" t="inlineStr">
        <is>
          <t>PDEI - Event Service</t>
        </is>
      </c>
      <c r="L968" t="inlineStr">
        <is>
          <t>MPL PH S16 Media Day</t>
        </is>
      </c>
      <c r="M968" t="inlineStr">
        <is>
          <t>2025TEG-P0194</t>
        </is>
      </c>
      <c r="N968" t="inlineStr">
        <is>
          <t>Jessica Jane Lor Felicilda</t>
        </is>
      </c>
      <c r="O968" t="inlineStr">
        <is>
          <t>202507310022-Jessica Jane Lor Felicilda-费用报销 - 副本 - 副本 - 副本-2025-07-31 03:34:05</t>
        </is>
      </c>
      <c r="P968" t="inlineStr">
        <is>
          <t>YES</t>
        </is>
      </c>
      <c r="Q968"/>
      <c r="R968" t="inlineStr">
        <is>
          <t>NO</t>
        </is>
      </c>
      <c r="S968" t="inlineStr">
        <is>
          <t>Outsourced Team Liaison Officer</t>
        </is>
      </c>
      <c r="T968">
        <v>1</v>
      </c>
      <c r="U968">
        <v>3000</v>
      </c>
      <c r="V968" t="inlineStr">
        <is>
          <t>PHP</t>
        </is>
      </c>
      <c r="W968">
        <v>3000</v>
      </c>
      <c r="X968" s="2" t="str">
        <f>=HYPERLINK("https://www.larksuite.com/approval/admin/previewAttachment?key=PMgxCkJBDATQK02S2Z3Ey9i4LCpoI3yxyNkFC9s30zBzWMwCy7xgrREqxVT4EOGE2tukgkzIXo99Th7vT-zb5j2fa_Rxvez1slFyh4KMBGCnv4dIVk3i5_gGAAD__w", "2 attachment(s)")</f>
        <v>2 attachment(s)</v>
      </c>
      <c r="Y968" t="inlineStr">
        <is>
          <t>Bank Transfer</t>
        </is>
      </c>
      <c r="Z968" t="inlineStr">
        <is>
          <t>Justine Cerezo</t>
        </is>
      </c>
      <c r="AA968" t="inlineStr">
        <is>
          <t>4856020938</t>
        </is>
      </c>
      <c r="AB968" t="inlineStr">
        <is>
          <t>Landbank</t>
        </is>
      </c>
      <c r="AC968" t="inlineStr">
        <is>
          <t>7a Sto Tomas St Bagumbayan Quezon City</t>
        </is>
      </c>
      <c r="AD968" s="4">
        <v>45856</v>
      </c>
      <c r="AE968" t="inlineStr">
        <is>
          <t>100% Full Payment - Aug. 22, 2025</t>
        </is>
      </c>
      <c r="AF968" s="2"/>
      <c r="AG968" t="inlineStr">
        <is>
          <t>NzQyNTk5MTgyNzQ4MTg3MDM0MTpCQzJBQTU0Ri0yOTQwLTQ1ODMtQTE2Ni0zMTQzNTBEMUFEODMtMTpjYzc1ZjkzZjQ0NDM2MDQxZGRhYWUzZWVlZGZjZmZkNDox</t>
        </is>
      </c>
      <c r="AH968" t="inlineStr">
        <is>
          <t>Justine Cerezo</t>
        </is>
      </c>
      <c r="AI968"/>
      <c r="AJ968"/>
      <c r="AK968"/>
    </row>
    <row r="969" ht="25.5" customHeight="1">
      <c r="A969" s="2" t="str">
        <f>=HYPERLINK("https://applink.larksuite.com/client/mini_program/open?appId=cli_9c7cc8a9a9edd105&amp;mode=appCenter&amp;path_pc=pc/pages/requested/index?instanceId=7537972008081014823&amp;source=bitable&amp;path=pages/detail/index?instanceId=7537972008081014823&amp;source=bitable", "202508130042")</f>
        <v>202508130042</v>
      </c>
      <c r="B969" t="inlineStr">
        <is>
          <t>Approved</t>
        </is>
      </c>
      <c r="C969" t="inlineStr">
        <is>
          <t>Procurement Order</t>
        </is>
      </c>
      <c r="D969" s="3">
        <v>45882.65363425926</v>
      </c>
      <c r="E969" s="3">
        <v>45883.62399305555</v>
      </c>
      <c r="F969" t="inlineStr">
        <is>
          <t>Fatima Kathleen M. FLores</t>
        </is>
      </c>
      <c r="G969" t="inlineStr">
        <is>
          <t>Procurement</t>
        </is>
      </c>
      <c r="H969"/>
      <c r="I969"/>
      <c r="J969" t="inlineStr">
        <is>
          <t>Project</t>
        </is>
      </c>
      <c r="K969" t="inlineStr">
        <is>
          <t>PDEI - Event Service</t>
        </is>
      </c>
      <c r="L969" t="inlineStr">
        <is>
          <t>MPL PH S16 Media Day</t>
        </is>
      </c>
      <c r="M969" t="inlineStr">
        <is>
          <t>2025TEG-P0194</t>
        </is>
      </c>
      <c r="N969" t="inlineStr">
        <is>
          <t>Jessica Jane Lor Felicilda</t>
        </is>
      </c>
      <c r="O969" t="inlineStr">
        <is>
          <t>202507310020-Jessica Jane Lor Felicilda-费用报销 - 副本 - 副本 - 副本-2025-07-31 03:30:37</t>
        </is>
      </c>
      <c r="P969" t="inlineStr">
        <is>
          <t>YES</t>
        </is>
      </c>
      <c r="Q969"/>
      <c r="R969" t="inlineStr">
        <is>
          <t>NO</t>
        </is>
      </c>
      <c r="S969" t="inlineStr">
        <is>
          <t>Outsourced Project Manager</t>
        </is>
      </c>
      <c r="T969">
        <v>1</v>
      </c>
      <c r="U969">
        <v>20000</v>
      </c>
      <c r="V969" t="inlineStr">
        <is>
          <t>PHP</t>
        </is>
      </c>
      <c r="W969">
        <v>20000</v>
      </c>
      <c r="X969" s="2" t="str">
        <f>=HYPERLINK("https://www.larksuite.com/approval/admin/previewAttachment?key=PMg9CkJBDATgK02S2Z3Ey9j4WBT0IYg_Tc4uWNh-Mw0zh8UssMwL1hqhkgOJNBjTo71NKsiE7O22jgiuz_NyrfXmvt_7dT6t7WGj5A4FGQnADn8PkayaxM_xDQAA__8", "2 attachment(s)")</f>
        <v>2 attachment(s)</v>
      </c>
      <c r="Y969" t="inlineStr">
        <is>
          <t>Bank Transfer</t>
        </is>
      </c>
      <c r="Z969" t="inlineStr">
        <is>
          <t>Juan Angelo B. Masongsong</t>
        </is>
      </c>
      <c r="AA969" t="inlineStr">
        <is>
          <t>0068 4024 9688</t>
        </is>
      </c>
      <c r="AB969" t="inlineStr">
        <is>
          <t>BDO</t>
        </is>
      </c>
      <c r="AC969" t="inlineStr">
        <is>
          <t>Munsayac Street, Barangay Calantipay, Baliwag Bulacan</t>
        </is>
      </c>
      <c r="AD969" s="4">
        <v>45856</v>
      </c>
      <c r="AE969" t="inlineStr">
        <is>
          <t>1st Payment - Aug. 15, 2025
Final Payment - Aug. 29, 2025</t>
        </is>
      </c>
      <c r="AF969" s="2"/>
      <c r="AG969" t="inlineStr">
        <is>
          <t>NzQyNTk5MTgyNzQ4MTg3MDM0MTo2NjJDM0FEMS04NjI3LTQ2MTktQTI2My00MEJFNkY4OUU3RjUtMTplNGVlZGFiZDRhNmI3ZjkwZjFlYmJlZTExMGI0MTg0NTox</t>
        </is>
      </c>
      <c r="AH969" t="inlineStr">
        <is>
          <t>Juan Angelo B. Masongsong</t>
        </is>
      </c>
      <c r="AI969"/>
      <c r="AJ969"/>
      <c r="AK969"/>
    </row>
    <row r="970" ht="25.5" customHeight="1">
      <c r="A970" s="2" t="str">
        <f>=HYPERLINK("https://applink.larksuite.com/client/mini_program/open?appId=cli_9c7cc8a9a9edd105&amp;mode=appCenter&amp;path_pc=pc/pages/requested/index?instanceId=7537970031141945375&amp;source=bitable&amp;path=pages/detail/index?instanceId=7537970031141945375&amp;source=bitable", "202508130040")</f>
        <v>202508130040</v>
      </c>
      <c r="B970" t="inlineStr">
        <is>
          <t>Approved</t>
        </is>
      </c>
      <c r="C970" t="inlineStr">
        <is>
          <t>Procurement Order</t>
        </is>
      </c>
      <c r="D970" s="3">
        <v>45882.648310185185</v>
      </c>
      <c r="E970" s="3">
        <v>45883.75378472222</v>
      </c>
      <c r="F970" t="inlineStr">
        <is>
          <t>Fatima Kathleen M. FLores</t>
        </is>
      </c>
      <c r="G970" t="inlineStr">
        <is>
          <t>Procurement</t>
        </is>
      </c>
      <c r="H970"/>
      <c r="I970"/>
      <c r="J970" t="inlineStr">
        <is>
          <t>Project</t>
        </is>
      </c>
      <c r="K970" t="inlineStr">
        <is>
          <t>PDEI - Event Service</t>
        </is>
      </c>
      <c r="L970" t="inlineStr">
        <is>
          <t>MPL PH S16 Media Day</t>
        </is>
      </c>
      <c r="M970" t="inlineStr">
        <is>
          <t>2025TEG-P0194</t>
        </is>
      </c>
      <c r="N970" t="inlineStr">
        <is>
          <t>Jessica Jane Lor Felicilda</t>
        </is>
      </c>
      <c r="O970" t="inlineStr">
        <is>
          <t>202507310013-Jessica Jane Lor Felicilda-费用报销 - 副本 - 副本 - 副本-2025-07-31 03:01:06</t>
        </is>
      </c>
      <c r="P970" t="inlineStr">
        <is>
          <t>YES</t>
        </is>
      </c>
      <c r="Q970"/>
      <c r="R970" t="inlineStr">
        <is>
          <t>NO</t>
        </is>
      </c>
      <c r="S970" t="inlineStr">
        <is>
          <t>Outsourced Editor / VFX</t>
        </is>
      </c>
      <c r="T970">
        <v>1</v>
      </c>
      <c r="U970">
        <v>15000</v>
      </c>
      <c r="V970" t="inlineStr">
        <is>
          <t>PHP</t>
        </is>
      </c>
      <c r="W970">
        <v>15000</v>
      </c>
      <c r="X970" s="2" t="str">
        <f>=HYPERLINK("https://www.larksuite.com/approval/admin/previewAttachment?key=PMhBqgIxEATQK1Wlu1Opf5m_cQgyOCCIjpucXXDh9vVB9FGMbqTZDC5VyAKCTDorVKstSoYojLUd89_7cfJ9ZzzPud9qva6XuT1YVmtQZMYAwL-fhzLT7omv4xMAAP__", "2 attachment(s)")</f>
        <v>2 attachment(s)</v>
      </c>
      <c r="Y970" t="inlineStr">
        <is>
          <t>Bank Transfer</t>
        </is>
      </c>
      <c r="Z970" t="inlineStr">
        <is>
          <t>Mc Kenneth R. Esteban</t>
        </is>
      </c>
      <c r="AA970" t="inlineStr">
        <is>
          <t>9619212212</t>
        </is>
      </c>
      <c r="AB970" t="inlineStr">
        <is>
          <t>BPI</t>
        </is>
      </c>
      <c r="AC970" t="inlineStr">
        <is>
          <t>10 Kasoy St. Pasong Tamo Quezon City</t>
        </is>
      </c>
      <c r="AD970" s="4">
        <v>45877</v>
      </c>
      <c r="AE970" t="inlineStr">
        <is>
          <t>100% Full Payment - Aug. 22, 2025</t>
        </is>
      </c>
      <c r="AF970" s="2"/>
      <c r="AG970" t="inlineStr">
        <is>
          <t>NzQyNTk5MTgyNzQ4MTg3MDM0MToxRTQ4NUVCMy1CNENCLTQ5NDQtOEZDQS04NjY4OERFMTM0N0EtMToyZDk3ZWZmMDliY2I2M2VmOTk0NTZmZTBiMzRmNzFiMzox</t>
        </is>
      </c>
      <c r="AH970" t="inlineStr">
        <is>
          <t>Mc Kenneth R. Esteban</t>
        </is>
      </c>
      <c r="AI970"/>
      <c r="AJ970"/>
      <c r="AK970"/>
    </row>
    <row r="971" ht="25.5" customHeight="1">
      <c r="A971" s="2" t="str">
        <f>=HYPERLINK("https://applink.larksuite.com/client/mini_program/open?appId=cli_9c7cc8a9a9edd105&amp;mode=appCenter&amp;path_pc=pc/pages/requested/index?instanceId=7537988027168063526&amp;source=bitable&amp;path=pages/detail/index?instanceId=7537988027168063526&amp;source=bitable", "202508130061")</f>
        <v>202508130061</v>
      </c>
      <c r="B971" t="inlineStr">
        <is>
          <t>Approved</t>
        </is>
      </c>
      <c r="C971" t="inlineStr">
        <is>
          <t>Procurement Order</t>
        </is>
      </c>
      <c r="D971" s="3">
        <v>45882.696805555555</v>
      </c>
      <c r="E971" s="3">
        <v>45883.7415625</v>
      </c>
      <c r="F971" t="inlineStr">
        <is>
          <t>Fatima Kathleen M. FLores</t>
        </is>
      </c>
      <c r="G971" t="inlineStr">
        <is>
          <t>Procurement</t>
        </is>
      </c>
      <c r="H971"/>
      <c r="I971"/>
      <c r="J971" t="inlineStr">
        <is>
          <t>Project</t>
        </is>
      </c>
      <c r="K971" t="inlineStr">
        <is>
          <t>PDEI - Game Marketing</t>
        </is>
      </c>
      <c r="L971" t="inlineStr">
        <is>
          <t>1xbet VEEWISE watch party</t>
        </is>
      </c>
      <c r="M971" t="inlineStr">
        <is>
          <t>2025TEG-P0181</t>
        </is>
      </c>
      <c r="N971" t="inlineStr">
        <is>
          <t>Katherine Denise Lee Sy</t>
        </is>
      </c>
      <c r="O971" t="inlineStr">
        <is>
          <t>202507310033-Katherine Denise Lee Sy-费用报销 - 副本 - 副本 - 副本-2025-07-31 04:27:07</t>
        </is>
      </c>
      <c r="P971" t="inlineStr">
        <is>
          <t>NO</t>
        </is>
      </c>
      <c r="Q971"/>
      <c r="R971" t="inlineStr">
        <is>
          <t>NO</t>
        </is>
      </c>
      <c r="S971" t="inlineStr">
        <is>
          <t>Snacks (Aug. 1 &amp; 2, 2025)</t>
        </is>
      </c>
      <c r="T971">
        <v>1</v>
      </c>
      <c r="U971">
        <v>67500</v>
      </c>
      <c r="V971" t="inlineStr">
        <is>
          <t>PHP</t>
        </is>
      </c>
      <c r="W971">
        <v>67500</v>
      </c>
      <c r="X971" s="2"/>
      <c r="Y971" t="inlineStr">
        <is>
          <t>Bank Transfer</t>
        </is>
      </c>
      <c r="Z971" t="inlineStr">
        <is>
          <t>Michelle Francine G. Manuntag</t>
        </is>
      </c>
      <c r="AA971" t="inlineStr">
        <is>
          <t>000170292002</t>
        </is>
      </c>
      <c r="AB971" t="inlineStr">
        <is>
          <t>BDO</t>
        </is>
      </c>
      <c r="AC971" t="inlineStr">
        <is>
          <t>Makati City</t>
        </is>
      </c>
      <c r="AD971" s="4">
        <v>45870</v>
      </c>
      <c r="AE971" t="inlineStr">
        <is>
          <t>50% Down Payment upon confirmation
50% Final payment upon completion of services</t>
        </is>
      </c>
      <c r="AF971" s="2"/>
      <c r="AG971" t="inlineStr">
        <is>
          <t>NzQyNTk5MTgyNzQ4MTg3MDM0MTpEMURFOTk3Ri0yOUNBLTQ1RjUtOEFCOC03MDAxMzI2QzMwMjktMTphNWNlYzU3OWExZjk1YjgyOGYxM2YyYWI0YjlhMGNjNTox</t>
        </is>
      </c>
      <c r="AH971" t="inlineStr">
        <is>
          <t>Michelle Francine G. Manuntag</t>
        </is>
      </c>
      <c r="AI971"/>
      <c r="AJ971"/>
      <c r="AK971"/>
    </row>
    <row r="972" ht="25.5" customHeight="1">
      <c r="A972" s="2" t="str">
        <f>=HYPERLINK("https://applink.larksuite.com/client/mini_program/open?appId=cli_9c7cc8a9a9edd105&amp;mode=appCenter&amp;path_pc=pc/pages/requested/index?instanceId=7537988027168063526&amp;source=bitable&amp;path=pages/detail/index?instanceId=7537988027168063526&amp;source=bitable", "202508130061")</f>
        <v>202508130061</v>
      </c>
      <c r="B972" t="inlineStr">
        <is>
          <t>Approved</t>
        </is>
      </c>
      <c r="C972" t="inlineStr">
        <is>
          <t>Procurement Order</t>
        </is>
      </c>
      <c r="D972" s="3">
        <v>45882.696805555555</v>
      </c>
      <c r="E972" s="3">
        <v>45883.7415625</v>
      </c>
      <c r="F972" t="inlineStr">
        <is>
          <t>Fatima Kathleen M. FLores</t>
        </is>
      </c>
      <c r="G972" t="inlineStr">
        <is>
          <t>Procurement</t>
        </is>
      </c>
      <c r="H972"/>
      <c r="I972"/>
      <c r="J972" t="inlineStr">
        <is>
          <t>Project</t>
        </is>
      </c>
      <c r="K972" t="inlineStr">
        <is>
          <t>PDEI - Game Marketing</t>
        </is>
      </c>
      <c r="L972" t="inlineStr">
        <is>
          <t>1xbet VEEWISE watch party</t>
        </is>
      </c>
      <c r="M972" t="inlineStr">
        <is>
          <t>2025TEG-P0181</t>
        </is>
      </c>
      <c r="N972" t="inlineStr">
        <is>
          <t>Katherine Denise Lee Sy</t>
        </is>
      </c>
      <c r="O972" t="inlineStr">
        <is>
          <t>202507310033-Katherine Denise Lee Sy-费用报销 - 副本 - 副本 - 副本-2025-07-31 04:27:07</t>
        </is>
      </c>
      <c r="P972" t="inlineStr">
        <is>
          <t>NO</t>
        </is>
      </c>
      <c r="Q972"/>
      <c r="R972" t="inlineStr">
        <is>
          <t>NO</t>
        </is>
      </c>
      <c r="S972" t="inlineStr">
        <is>
          <t>Crew Meals (Aug. 1 &amp; 2, 2025)</t>
        </is>
      </c>
      <c r="T972">
        <v>1</v>
      </c>
      <c r="U972">
        <v>30475</v>
      </c>
      <c r="V972" t="inlineStr">
        <is>
          <t>PHP</t>
        </is>
      </c>
      <c r="W972">
        <v>30475</v>
      </c>
      <c r="X972" s="2" t="str">
        <f>=HYPERLINK("https://www.larksuite.com/approval/admin/previewAttachment?key=PMhJCgJBDAXQK_0MlZ94GTddNE4FgiC6yNkFF719kYLIIRYFL9GCNIexMqGUSIQNjdYWskAhsufaz7c1H991vY-Pmj23fl-2fb5kFFVBc7cEIKfDje5eFY6_yy8AAP__", "2 attachment(s)")</f>
        <v>2 attachment(s)</v>
      </c>
      <c r="Y972"/>
      <c r="Z972"/>
      <c r="AA972"/>
      <c r="AB972"/>
      <c r="AC972"/>
      <c r="AD972" s="4"/>
      <c r="AE972"/>
      <c r="AF972" s="2"/>
      <c r="AG972" t="inlineStr">
        <is>
          <t>NzQyNTk5MTgyNzQ4MTg3MDM0MTpEMURFOTk3Ri0yOUNBLTQ1RjUtOEFCOC03MDAxMzI2QzMwMjktMjoxNDQ5ZDdkYjUwZTFjNTU1NzVkYmE1NzdlYzljMDNhMTox</t>
        </is>
      </c>
      <c r="AH972"/>
      <c r="AI972"/>
      <c r="AJ972"/>
      <c r="AK972"/>
    </row>
    <row r="973" ht="25.5" customHeight="1">
      <c r="A973" s="2" t="str">
        <f>=HYPERLINK("https://applink.larksuite.com/client/mini_program/open?appId=cli_9c7cc8a9a9edd105&amp;mode=appCenter&amp;path_pc=pc/pages/requested/index?instanceId=7537985545268412448&amp;source=bitable&amp;path=pages/detail/index?instanceId=7537985545268412448&amp;source=bitable", "202508130059")</f>
        <v>202508130059</v>
      </c>
      <c r="B973" t="inlineStr">
        <is>
          <t>Approved</t>
        </is>
      </c>
      <c r="C973" t="inlineStr">
        <is>
          <t>Procurement Order</t>
        </is>
      </c>
      <c r="D973" s="3">
        <v>45882.69011574074</v>
      </c>
      <c r="E973" s="3">
        <v>45883.75481481481</v>
      </c>
      <c r="F973" t="inlineStr">
        <is>
          <t>Fatima Kathleen M. FLores</t>
        </is>
      </c>
      <c r="G973" t="inlineStr">
        <is>
          <t>Procurement</t>
        </is>
      </c>
      <c r="H973"/>
      <c r="I973"/>
      <c r="J973" t="inlineStr">
        <is>
          <t>Project</t>
        </is>
      </c>
      <c r="K973" t="inlineStr">
        <is>
          <t>PDEI - Event Service</t>
        </is>
      </c>
      <c r="L973" t="inlineStr">
        <is>
          <t>MPL PH S16 Media Day</t>
        </is>
      </c>
      <c r="M973" t="inlineStr">
        <is>
          <t>2025TEG-P0194</t>
        </is>
      </c>
      <c r="N973" t="inlineStr">
        <is>
          <t>Jessica Jane Lor Felicilda</t>
        </is>
      </c>
      <c r="O973" t="inlineStr">
        <is>
          <t>202507310029-Jessica Jane Lor Felicilda-费用报销 - 副本 - 副本 - 副本-2025-07-31 03:59:07</t>
        </is>
      </c>
      <c r="P973" t="inlineStr">
        <is>
          <t>NO</t>
        </is>
      </c>
      <c r="Q973"/>
      <c r="R973" t="inlineStr">
        <is>
          <t>NO</t>
        </is>
      </c>
      <c r="S973" t="inlineStr">
        <is>
          <t>Outsourced HMUA</t>
        </is>
      </c>
      <c r="T973">
        <v>1</v>
      </c>
      <c r="U973">
        <v>55000</v>
      </c>
      <c r="V973" t="inlineStr">
        <is>
          <t>PHP</t>
        </is>
      </c>
      <c r="W973">
        <v>55000</v>
      </c>
      <c r="X973" s="2" t="str">
        <f>=HYPERLINK("https://www.larksuite.com/approval/admin/previewAttachment?key=PMixjQJRDATQlsb2-I99zVyyXysClgRB5tqRCEjfKsOqtFgNtnnDRhnqymT6KpqTNT4mNWRCzb7O_x312sc95Rf0yHnfjnM_LVvuUJBRAOzv5yGS3Yv4Oj4BAAD__w", "2 attachment(s)")</f>
        <v>2 attachment(s)</v>
      </c>
      <c r="Y973" t="inlineStr">
        <is>
          <t>Bank Transfer</t>
        </is>
      </c>
      <c r="Z973" t="inlineStr">
        <is>
          <t>Grace Filomeno</t>
        </is>
      </c>
      <c r="AA973" t="inlineStr">
        <is>
          <t>007340484415</t>
        </is>
      </c>
      <c r="AB973" t="inlineStr">
        <is>
          <t>BDO</t>
        </is>
      </c>
      <c r="AC973" t="inlineStr">
        <is>
          <t>89 T Santos St. San Jose, Rodriguez, Rizal</t>
        </is>
      </c>
      <c r="AD973" s="4">
        <v>45877</v>
      </c>
      <c r="AE973" t="inlineStr">
        <is>
          <t>1st Payment - Aug. 22, 2025
Final Payment - Sept. 5, 2025</t>
        </is>
      </c>
      <c r="AF973" s="2"/>
      <c r="AG973" t="inlineStr">
        <is>
          <t>NzQyNTk5MTgyNzQ4MTg3MDM0MTpCOUU1QUI1Ny1DNjcxLTQ0QTgtODRBOC0zQjc4OTQ1NUFCQ0ItMTpkYTE4ZDcxNDliMWQxYWRmNDNjYzhkZTEwMGFhYmNiZjox</t>
        </is>
      </c>
      <c r="AH973" t="inlineStr">
        <is>
          <t>Grace Filomeno</t>
        </is>
      </c>
      <c r="AI973"/>
      <c r="AJ973"/>
      <c r="AK973"/>
    </row>
    <row r="974" ht="25.5" customHeight="1">
      <c r="A974" s="2" t="str">
        <f>=HYPERLINK("https://applink.larksuite.com/client/mini_program/open?appId=cli_9c7cc8a9a9edd105&amp;mode=appCenter&amp;path_pc=pc/pages/requested/index?instanceId=7538000769069367334&amp;source=bitable&amp;path=pages/detail/index?instanceId=7538000769069367334&amp;source=bitable", "202508130068")</f>
        <v>202508130068</v>
      </c>
      <c r="B974" t="inlineStr">
        <is>
          <t>Approved</t>
        </is>
      </c>
      <c r="C974" t="inlineStr">
        <is>
          <t>Procurement Order</t>
        </is>
      </c>
      <c r="D974" s="3">
        <v>45882.731145833335</v>
      </c>
      <c r="E974" s="3">
        <v>45883.68859953704</v>
      </c>
      <c r="F974" t="inlineStr">
        <is>
          <t>Fatima Kathleen M. FLores</t>
        </is>
      </c>
      <c r="G974" t="inlineStr">
        <is>
          <t>Procurement</t>
        </is>
      </c>
      <c r="H974"/>
      <c r="I974"/>
      <c r="J974" t="inlineStr">
        <is>
          <t>Project</t>
        </is>
      </c>
      <c r="K974" t="inlineStr">
        <is>
          <t>PDEI - Event Service</t>
        </is>
      </c>
      <c r="L974" t="inlineStr">
        <is>
          <t>MDL PH S6 - Media Day</t>
        </is>
      </c>
      <c r="M974" t="inlineStr">
        <is>
          <t>2025TEG-P0196</t>
        </is>
      </c>
      <c r="N974" t="inlineStr">
        <is>
          <t>Kervin</t>
        </is>
      </c>
      <c r="O974" t="inlineStr">
        <is>
          <t>202508060112-Kervin-费用报销 - 副本 - 副本 - 副本-2025-08-06 14:43:46</t>
        </is>
      </c>
      <c r="P974" t="inlineStr">
        <is>
          <t>NO</t>
        </is>
      </c>
      <c r="Q974"/>
      <c r="R974" t="inlineStr">
        <is>
          <t>NO</t>
        </is>
      </c>
      <c r="S974" t="inlineStr">
        <is>
          <t>Outsourced Photo Team</t>
        </is>
      </c>
      <c r="T974">
        <v>1</v>
      </c>
      <c r="U974">
        <v>44450</v>
      </c>
      <c r="V974" t="inlineStr">
        <is>
          <t>PHP</t>
        </is>
      </c>
      <c r="W974">
        <v>44450</v>
      </c>
      <c r="X974" s="2" t="str">
        <f>=HYPERLINK("https://www.larksuite.com/approval/admin/previewAttachment?key=PMwxCgJBDAXQK_1MMvn5XsZmh0WQFUG0y9mFLbZ9xcsyZE3zFEI2BGtOLwBMIeVJ9-jRRgo0onod-33O7XnU8u_7xRXev8e2r49NcQzQI87Dbpc7I0LKwOn4BwAA__8", "3 attachment(s)")</f>
        <v>3 attachment(s)</v>
      </c>
      <c r="Y974" t="inlineStr">
        <is>
          <t>Bank Transfer</t>
        </is>
      </c>
      <c r="Z974" t="inlineStr">
        <is>
          <t>Harold Lance Pialda</t>
        </is>
      </c>
      <c r="AA974" t="inlineStr">
        <is>
          <t>0000050859073</t>
        </is>
      </c>
      <c r="AB974" t="inlineStr">
        <is>
          <t>Security Bank</t>
        </is>
      </c>
      <c r="AC974" t="inlineStr">
        <is>
          <t>Unit 6 M Gabriel Compound Fairview Quezon City</t>
        </is>
      </c>
      <c r="AD974" s="4">
        <v>45879</v>
      </c>
      <c r="AE974" t="inlineStr">
        <is>
          <t>1st Payment - Aug. 15, 2025
Final Payment - Aug. 22, 2025</t>
        </is>
      </c>
      <c r="AF974" s="2"/>
      <c r="AG974" t="inlineStr">
        <is>
          <t>NzQyNTk5MTgyNzQ4MTg3MDM0MTo0MjdEOTUyMi0yMkJELTQ1QjEtQjAwQS1ERDg4NzE1NzIxNUUtMTo1MTMxNTcwNTJlZjYxMTUzZWUwNTQ1NzczOGM0ODRlMDox</t>
        </is>
      </c>
      <c r="AH974" t="inlineStr">
        <is>
          <t>Istorya at Larawan</t>
        </is>
      </c>
      <c r="AI974"/>
      <c r="AJ974"/>
      <c r="AK974"/>
    </row>
    <row r="975" ht="25.5" customHeight="1">
      <c r="A975" s="2" t="str">
        <f>=HYPERLINK("https://applink.larksuite.com/client/mini_program/open?appId=cli_9c7cc8a9a9edd105&amp;mode=appCenter&amp;path_pc=pc/pages/requested/index?instanceId=7538004327181320224&amp;source=bitable&amp;path=pages/detail/index?instanceId=7538004327181320224&amp;source=bitable", "202508130070")</f>
        <v>202508130070</v>
      </c>
      <c r="B975" t="inlineStr">
        <is>
          <t>Approved</t>
        </is>
      </c>
      <c r="C975" t="inlineStr">
        <is>
          <t>Procurement Order</t>
        </is>
      </c>
      <c r="D975" s="3">
        <v>45882.74072916667</v>
      </c>
      <c r="E975" s="3">
        <v>45883.689930555556</v>
      </c>
      <c r="F975" t="inlineStr">
        <is>
          <t>Fatima Kathleen M. FLores</t>
        </is>
      </c>
      <c r="G975" t="inlineStr">
        <is>
          <t>Procurement</t>
        </is>
      </c>
      <c r="H975"/>
      <c r="I975"/>
      <c r="J975" t="inlineStr">
        <is>
          <t>Project</t>
        </is>
      </c>
      <c r="K975" t="inlineStr">
        <is>
          <t>PDEI - Event Service</t>
        </is>
      </c>
      <c r="L975" t="inlineStr">
        <is>
          <t>MDL PH S6 - Media Day</t>
        </is>
      </c>
      <c r="M975" t="inlineStr">
        <is>
          <t>2025TEG-P0196</t>
        </is>
      </c>
      <c r="N975" t="inlineStr">
        <is>
          <t>Kervin</t>
        </is>
      </c>
      <c r="O975" t="inlineStr">
        <is>
          <t>202508060115-Kervin-费用报销 - 副本 - 副本 - 副本-2025-08-06 14:47:15</t>
        </is>
      </c>
      <c r="P975" t="inlineStr">
        <is>
          <t>NO</t>
        </is>
      </c>
      <c r="Q975"/>
      <c r="R975" t="inlineStr">
        <is>
          <t>NO</t>
        </is>
      </c>
      <c r="S975" t="inlineStr">
        <is>
          <t>Outsourced Liaison Officer</t>
        </is>
      </c>
      <c r="T975">
        <v>1</v>
      </c>
      <c r="U975">
        <v>1650</v>
      </c>
      <c r="V975" t="inlineStr">
        <is>
          <t>PHP</t>
        </is>
      </c>
      <c r="W975">
        <v>1650</v>
      </c>
      <c r="X975" s="2" t="str">
        <f>=HYPERLINK("https://www.larksuite.com/approval/admin/previewAttachment?key=PMwxCgJBDAXQK_2fZCaJl7HZYZDFkQVxwSJnFy1sX_F6ED0atScsKQmWNw3AVJxBFYhYSdE94XREjTWv-xr39-M456Fre-113rY5nmzpInA1-x7g5e_qZpbZDT_HJwAA__8", "2 attachment(s)")</f>
        <v>2 attachment(s)</v>
      </c>
      <c r="Y975" t="inlineStr">
        <is>
          <t>Bank Transfer</t>
        </is>
      </c>
      <c r="Z975" t="inlineStr">
        <is>
          <t>Bryan Ivan M. Reyes</t>
        </is>
      </c>
      <c r="AA975" t="inlineStr">
        <is>
          <t>09914553898</t>
        </is>
      </c>
      <c r="AB975" t="inlineStr">
        <is>
          <t>PayMaya Wallet</t>
        </is>
      </c>
      <c r="AC975" t="inlineStr">
        <is>
          <t>388 H. Lopez Balut, Tondo Manila</t>
        </is>
      </c>
      <c r="AD975" s="4">
        <v>45879</v>
      </c>
      <c r="AE975" t="inlineStr">
        <is>
          <t>100% Full Payment - Aug. 22, 2025</t>
        </is>
      </c>
      <c r="AF975" s="2"/>
      <c r="AG975" t="inlineStr">
        <is>
          <t>NzQyNTk5MTgyNzQ4MTg3MDM0MTo4NTg1MkM5Ny1BNTI2LTQ5MTMtOUU4Qy1DMkQ0NzRGNEQ4ODgtMTo5ZDU3YjQ5OTI1ZDI4NWZlNmJkOWZlYTZjMmI5ZjMzNTox</t>
        </is>
      </c>
      <c r="AH975" t="inlineStr">
        <is>
          <t>Bryan Ivan M. Reyes</t>
        </is>
      </c>
      <c r="AI975"/>
      <c r="AJ975"/>
      <c r="AK975"/>
    </row>
    <row r="976" ht="25.5" customHeight="1">
      <c r="A976" s="2" t="str">
        <f>=HYPERLINK("https://applink.larksuite.com/client/mini_program/open?appId=cli_9c7cc8a9a9edd105&amp;mode=appCenter&amp;path_pc=pc/pages/requested/index?instanceId=7538009516139348006&amp;source=bitable&amp;path=pages/detail/index?instanceId=7538009516139348006&amp;source=bitable", "202508130076")</f>
        <v>202508130076</v>
      </c>
      <c r="B976" t="inlineStr">
        <is>
          <t>Approved</t>
        </is>
      </c>
      <c r="C976" t="inlineStr">
        <is>
          <t>Procurement Order</t>
        </is>
      </c>
      <c r="D976" s="3">
        <v>45882.75471064815</v>
      </c>
      <c r="E976" s="3">
        <v>45883.69118055556</v>
      </c>
      <c r="F976" t="inlineStr">
        <is>
          <t>Fatima Kathleen M. FLores</t>
        </is>
      </c>
      <c r="G976" t="inlineStr">
        <is>
          <t>Procurement</t>
        </is>
      </c>
      <c r="H976"/>
      <c r="I976"/>
      <c r="J976" t="inlineStr">
        <is>
          <t>Project</t>
        </is>
      </c>
      <c r="K976" t="inlineStr">
        <is>
          <t>PDEI - Event Service</t>
        </is>
      </c>
      <c r="L976" t="inlineStr">
        <is>
          <t>MDL PH S6 - Media Day</t>
        </is>
      </c>
      <c r="M976" t="inlineStr">
        <is>
          <t>2025TEG-P0196</t>
        </is>
      </c>
      <c r="N976" t="inlineStr">
        <is>
          <t>Kervin</t>
        </is>
      </c>
      <c r="O976" t="inlineStr">
        <is>
          <t>202508060117-Kervin-费用报销 - 副本 - 副本 - 副本-2025-08-06 14:48:21</t>
        </is>
      </c>
      <c r="P976" t="inlineStr">
        <is>
          <t>NO</t>
        </is>
      </c>
      <c r="Q976"/>
      <c r="R976" t="inlineStr">
        <is>
          <t>NO</t>
        </is>
      </c>
      <c r="S976" t="inlineStr">
        <is>
          <t>Outsourced Hospitality Lead</t>
        </is>
      </c>
      <c r="T976">
        <v>1</v>
      </c>
      <c r="U976">
        <v>2000</v>
      </c>
      <c r="V976" t="inlineStr">
        <is>
          <t>PHP</t>
        </is>
      </c>
      <c r="W976">
        <v>2000</v>
      </c>
      <c r="X976" s="2" t="str">
        <f>=HYPERLINK("https://www.larksuite.com/approval/admin/previewAttachment?key=PMwxDsJADATAL-2efbaXz9BcFCEkKkQUCr8dQUE7xUQRUZMWgotDYOe0AjQZNJkXED2amUIyUb099ut61TJ7457nMU_v47b27cmpHANp7t8DvPzd0t2lcPwcnwAAAP__", "2 attachment(s)")</f>
        <v>2 attachment(s)</v>
      </c>
      <c r="Y976" t="inlineStr">
        <is>
          <t>Bank Transfer</t>
        </is>
      </c>
      <c r="Z976" t="inlineStr">
        <is>
          <t>Kyne-kyne Lalaine S. Lao</t>
        </is>
      </c>
      <c r="AA976" t="inlineStr">
        <is>
          <t>0626081293</t>
        </is>
      </c>
      <c r="AB976" t="inlineStr">
        <is>
          <t>BPI</t>
        </is>
      </c>
      <c r="AC976" t="inlineStr">
        <is>
          <t>117 Pacheco St. Tondo Manila</t>
        </is>
      </c>
      <c r="AD976" s="4">
        <v>45879</v>
      </c>
      <c r="AE976" t="inlineStr">
        <is>
          <t>100% Full Payment - Aug. 22, 2025</t>
        </is>
      </c>
      <c r="AF976" s="2"/>
      <c r="AG976" t="inlineStr">
        <is>
          <t>NzQyNTk5MTgyNzQ4MTg3MDM0MTpGQ0M4NDM5QS02QzQxLTQxQUMtOTI5Qi1CNjgyQzg1MTE0NEYtMTo3YmE3N2I2M2U3NTgzYmVmMjY5MTljMDAzNWIxZWYxYTox</t>
        </is>
      </c>
      <c r="AH976" t="inlineStr">
        <is>
          <t>Kyne-kyne Lalaine S. Lao</t>
        </is>
      </c>
      <c r="AI976"/>
      <c r="AJ976"/>
      <c r="AK976"/>
    </row>
    <row r="977" ht="25.5" customHeight="1">
      <c r="A977" s="2" t="str">
        <f>=HYPERLINK("https://applink.larksuite.com/client/mini_program/open?appId=cli_9c7cc8a9a9edd105&amp;mode=appCenter&amp;path_pc=pc/pages/requested/index?instanceId=7538007389446963232&amp;source=bitable&amp;path=pages/detail/index?instanceId=7538007389446963232&amp;source=bitable", "202508130074")</f>
        <v>202508130074</v>
      </c>
      <c r="B977" t="inlineStr">
        <is>
          <t>Approved</t>
        </is>
      </c>
      <c r="C977" t="inlineStr">
        <is>
          <t>Procurement Order</t>
        </is>
      </c>
      <c r="D977" s="3">
        <v>45882.74898148148</v>
      </c>
      <c r="E977" s="3">
        <v>45883.69201388889</v>
      </c>
      <c r="F977" t="inlineStr">
        <is>
          <t>Fatima Kathleen M. FLores</t>
        </is>
      </c>
      <c r="G977" t="inlineStr">
        <is>
          <t>Procurement</t>
        </is>
      </c>
      <c r="H977"/>
      <c r="I977"/>
      <c r="J977" t="inlineStr">
        <is>
          <t>Project</t>
        </is>
      </c>
      <c r="K977" t="inlineStr">
        <is>
          <t>PDEI - Event Service</t>
        </is>
      </c>
      <c r="L977" t="inlineStr">
        <is>
          <t>MDL PH S6 - Media Day</t>
        </is>
      </c>
      <c r="M977" t="inlineStr">
        <is>
          <t>2025TEG-P0196</t>
        </is>
      </c>
      <c r="N977" t="inlineStr">
        <is>
          <t>Kervin</t>
        </is>
      </c>
      <c r="O977" t="inlineStr">
        <is>
          <t>202508060116-Kervin-费用报销 - 副本 - 副本 - 副本-2025-08-06 14:47:54</t>
        </is>
      </c>
      <c r="P977" t="inlineStr">
        <is>
          <t>NO</t>
        </is>
      </c>
      <c r="Q977"/>
      <c r="R977" t="inlineStr">
        <is>
          <t>NO</t>
        </is>
      </c>
      <c r="S977" t="inlineStr">
        <is>
          <t>Outsourced HMUA</t>
        </is>
      </c>
      <c r="T977">
        <v>1</v>
      </c>
      <c r="U977">
        <v>72000</v>
      </c>
      <c r="V977" t="inlineStr">
        <is>
          <t>PHP</t>
        </is>
      </c>
      <c r="W977">
        <v>72000</v>
      </c>
      <c r="X977" s="2" t="str">
        <f>=HYPERLINK("https://www.larksuite.com/approval/admin/previewAttachment?key=PMw7CgJBEATQK1V_pmvKy5i4DILsJoJr0mcXDUxf8Goaag6LElLmgjVHTIAxlVmq8PD2NlKgEbO3fV1jPx7ne2DJifPo1_22tqcN0R2MzO8Bu_w9mJlSJX6OTwAAAP__", "2 attachment(s)")</f>
        <v>2 attachment(s)</v>
      </c>
      <c r="Y977" t="inlineStr">
        <is>
          <t>Bank Transfer</t>
        </is>
      </c>
      <c r="Z977" t="inlineStr">
        <is>
          <t>Grace Filomeno</t>
        </is>
      </c>
      <c r="AA977" t="inlineStr">
        <is>
          <t>007340484415</t>
        </is>
      </c>
      <c r="AB977" t="inlineStr">
        <is>
          <t>BDO</t>
        </is>
      </c>
      <c r="AC977" t="inlineStr">
        <is>
          <t>89 T Santos St. San Jose, Rodriguez, Rizal</t>
        </is>
      </c>
      <c r="AD977" s="4">
        <v>45879</v>
      </c>
      <c r="AE977" t="inlineStr">
        <is>
          <t>1st Payment - Aug. 22, 2025
2nd Payment - Sept. 5, 2025
Final Payment - Sept. 19, 2025</t>
        </is>
      </c>
      <c r="AF977" s="2"/>
      <c r="AG977" t="inlineStr">
        <is>
          <t>NzQyNTk5MTgyNzQ4MTg3MDM0MTo5QThFQTdGRS1DRUNGLTQyODMtQUM1MC1CQTAyQkU3OTI2OTEtMTphZmMyZWI4YWFkN2NkNjcyNDY5NzRkMWUyOTI5YzgyNzox</t>
        </is>
      </c>
      <c r="AH977" t="inlineStr">
        <is>
          <t>Grace Filomeno</t>
        </is>
      </c>
      <c r="AI977"/>
      <c r="AJ977"/>
      <c r="AK977"/>
    </row>
    <row r="978" ht="25.5" customHeight="1">
      <c r="A978" s="2" t="str">
        <f>=HYPERLINK("https://applink.larksuite.com/client/mini_program/open?appId=cli_9c7cc8a9a9edd105&amp;mode=appCenter&amp;path_pc=pc/pages/requested/index?instanceId=7538005970761367591&amp;source=bitable&amp;path=pages/detail/index?instanceId=7538005970761367591&amp;source=bitable", "202508130072")</f>
        <v>202508130072</v>
      </c>
      <c r="B978" t="inlineStr">
        <is>
          <t>Approved</t>
        </is>
      </c>
      <c r="C978" t="inlineStr">
        <is>
          <t>Procurement Order</t>
        </is>
      </c>
      <c r="D978" s="3">
        <v>45882.745162037034</v>
      </c>
      <c r="E978" s="3">
        <v>45883.69399305555</v>
      </c>
      <c r="F978" t="inlineStr">
        <is>
          <t>Fatima Kathleen M. FLores</t>
        </is>
      </c>
      <c r="G978" t="inlineStr">
        <is>
          <t>Procurement</t>
        </is>
      </c>
      <c r="H978"/>
      <c r="I978"/>
      <c r="J978" t="inlineStr">
        <is>
          <t>Project</t>
        </is>
      </c>
      <c r="K978" t="inlineStr">
        <is>
          <t>PDEI - Event Service</t>
        </is>
      </c>
      <c r="L978" t="inlineStr">
        <is>
          <t>MDL PH S6 - Media Day</t>
        </is>
      </c>
      <c r="M978" t="inlineStr">
        <is>
          <t>2025TEG-P0196</t>
        </is>
      </c>
      <c r="N978" t="inlineStr">
        <is>
          <t>Kervin</t>
        </is>
      </c>
      <c r="O978" t="inlineStr">
        <is>
          <t>202508060115-Kervin-费用报销 - 副本 - 副本 - 副本-2025-08-06 14:47:15</t>
        </is>
      </c>
      <c r="P978" t="inlineStr">
        <is>
          <t>NO</t>
        </is>
      </c>
      <c r="Q978"/>
      <c r="R978" t="inlineStr">
        <is>
          <t>NO</t>
        </is>
      </c>
      <c r="S978" t="inlineStr">
        <is>
          <t>Outsourced Liaison Officer</t>
        </is>
      </c>
      <c r="T978">
        <v>1</v>
      </c>
      <c r="U978">
        <v>1650</v>
      </c>
      <c r="V978" t="inlineStr">
        <is>
          <t>PHP</t>
        </is>
      </c>
      <c r="W978">
        <v>1650</v>
      </c>
      <c r="X978" s="2" t="str">
        <f>=HYPERLINK("https://www.larksuite.com/approval/admin/previewAttachment?key=PMwxikJBEATQK1XNdHd17WU2cfiIYCRfTObsooHpC141UZ2cZYQ5DG7lbCAtqDhLae6xKRmi0Hvdj_81-1wp8_Zqn7mf18uxHkxrDGhGfA7w7-dTEWFX4Ot4BwAA__8", "2 attachment(s)")</f>
        <v>2 attachment(s)</v>
      </c>
      <c r="Y978" t="inlineStr">
        <is>
          <t>Bank Transfer</t>
        </is>
      </c>
      <c r="Z978" t="inlineStr">
        <is>
          <t>Justine Cerezo</t>
        </is>
      </c>
      <c r="AA978" t="inlineStr">
        <is>
          <t>4856020938</t>
        </is>
      </c>
      <c r="AB978" t="inlineStr">
        <is>
          <t>Landbank</t>
        </is>
      </c>
      <c r="AC978" t="inlineStr">
        <is>
          <t>7a Sto Tomas St Bagumbayan Quezon City</t>
        </is>
      </c>
      <c r="AD978" s="4">
        <v>45879</v>
      </c>
      <c r="AE978" t="inlineStr">
        <is>
          <t>100% Full Payment - Aug. 22, 2025</t>
        </is>
      </c>
      <c r="AF978" s="2"/>
      <c r="AG978" t="inlineStr">
        <is>
          <t>NzQyNTk5MTgyNzQ4MTg3MDM0MToyRTk4QTMwOS00NTEyLTRBQjktQURGNi00OEUwQ0RBN0NBOEQtMTpmN2ZiOGRlY2I4MjU1MGJlNzNiMjg4YjYyOTEwZmMxOTox</t>
        </is>
      </c>
      <c r="AH978" t="inlineStr">
        <is>
          <t>Justine Cerezo</t>
        </is>
      </c>
      <c r="AI978"/>
      <c r="AJ978"/>
      <c r="AK978"/>
    </row>
    <row r="979" ht="25.5" customHeight="1">
      <c r="A979" s="2" t="str">
        <f>=HYPERLINK("https://applink.larksuite.com/client/mini_program/open?appId=cli_9c7cc8a9a9edd105&amp;mode=appCenter&amp;path_pc=pc/pages/requested/index?instanceId=7538005266407620640&amp;source=bitable&amp;path=pages/detail/index?instanceId=7538005266407620640&amp;source=bitable", "202508130071")</f>
        <v>202508130071</v>
      </c>
      <c r="B979" t="inlineStr">
        <is>
          <t>Approved</t>
        </is>
      </c>
      <c r="C979" t="inlineStr">
        <is>
          <t>Procurement Order</t>
        </is>
      </c>
      <c r="D979" s="3">
        <v>45882.743263888886</v>
      </c>
      <c r="E979" s="3">
        <v>45883.694710648146</v>
      </c>
      <c r="F979" t="inlineStr">
        <is>
          <t>Fatima Kathleen M. FLores</t>
        </is>
      </c>
      <c r="G979" t="inlineStr">
        <is>
          <t>Procurement</t>
        </is>
      </c>
      <c r="H979"/>
      <c r="I979"/>
      <c r="J979" t="inlineStr">
        <is>
          <t>Project</t>
        </is>
      </c>
      <c r="K979" t="inlineStr">
        <is>
          <t>PDEI - Event Service</t>
        </is>
      </c>
      <c r="L979" t="inlineStr">
        <is>
          <t>MDL PH S6 - Media Day</t>
        </is>
      </c>
      <c r="M979" t="inlineStr">
        <is>
          <t>2025TEG-P0196</t>
        </is>
      </c>
      <c r="N979" t="inlineStr">
        <is>
          <t>Kervin</t>
        </is>
      </c>
      <c r="O979" t="inlineStr">
        <is>
          <t>202508060115-Kervin-费用报销 - 副本 - 副本 - 副本-2025-08-06 14:47:15</t>
        </is>
      </c>
      <c r="P979" t="inlineStr">
        <is>
          <t>NO</t>
        </is>
      </c>
      <c r="Q979"/>
      <c r="R979" t="inlineStr">
        <is>
          <t>NO</t>
        </is>
      </c>
      <c r="S979" t="inlineStr">
        <is>
          <t>Outsourced Liaison Officer</t>
        </is>
      </c>
      <c r="T979">
        <v>1</v>
      </c>
      <c r="U979">
        <v>1650</v>
      </c>
      <c r="V979" t="inlineStr">
        <is>
          <t>PHP</t>
        </is>
      </c>
      <c r="W979">
        <v>1650</v>
      </c>
      <c r="X979" s="2" t="str">
        <f>=HYPERLINK("https://www.larksuite.com/approval/admin/previewAttachment?key=PMwxDsIwDAXQK307P_4xl2EhqqiqsiClk8-OYGB9w4thiNGtRYJpnrBSbwPoHkEoHEGUl0kJmTBqntu9na_j0rGva0-uWev52ObbesodauT3gN3-3kQyM4if4xMAAP__", "2 attachment(s)")</f>
        <v>2 attachment(s)</v>
      </c>
      <c r="Y979" t="inlineStr">
        <is>
          <t>Bank Transfer</t>
        </is>
      </c>
      <c r="Z979" t="inlineStr">
        <is>
          <t>Honey Jane Vertudes</t>
        </is>
      </c>
      <c r="AA979" t="inlineStr">
        <is>
          <t>109324861046</t>
        </is>
      </c>
      <c r="AB979" t="inlineStr">
        <is>
          <t>Union Bank</t>
        </is>
      </c>
      <c r="AC979" t="inlineStr">
        <is>
          <t>9 sto.thomas street bagumbayan Quezon City</t>
        </is>
      </c>
      <c r="AD979" s="4">
        <v>45879</v>
      </c>
      <c r="AE979" t="inlineStr">
        <is>
          <t>100% Full Payment - Aug. 22, 2025</t>
        </is>
      </c>
      <c r="AF979" s="2"/>
      <c r="AG979" t="inlineStr">
        <is>
          <t>NzQyNTk5MTgyNzQ4MTg3MDM0MTowODk5MjRCRC02QUZDLTQ2NEQtQUFERS1GRDg1N0Q3OTJDNkYtMTo5OGRiNjBhZmFhMDg5ZTVjNGY0OTI5YmYzOGQyOTUzNDox</t>
        </is>
      </c>
      <c r="AH979" t="inlineStr">
        <is>
          <t>Honey Jane Vertudes</t>
        </is>
      </c>
      <c r="AI979"/>
      <c r="AJ979"/>
      <c r="AK979"/>
    </row>
    <row r="980" ht="25.5" customHeight="1">
      <c r="A980" s="2" t="str">
        <f>=HYPERLINK("https://applink.larksuite.com/client/mini_program/open?appId=cli_9c7cc8a9a9edd105&amp;mode=appCenter&amp;path_pc=pc/pages/requested/index?instanceId=7538011526712623136&amp;source=bitable&amp;path=pages/detail/index?instanceId=7538011526712623136&amp;source=bitable", "202508130077")</f>
        <v>202508130077</v>
      </c>
      <c r="B980" t="inlineStr">
        <is>
          <t>Approved</t>
        </is>
      </c>
      <c r="C980" t="inlineStr">
        <is>
          <t>Procurement Order</t>
        </is>
      </c>
      <c r="D980" s="3">
        <v>45882.76012731482</v>
      </c>
      <c r="E980" s="3">
        <v>45883.69548611111</v>
      </c>
      <c r="F980" t="inlineStr">
        <is>
          <t>Fatima Kathleen M. FLores</t>
        </is>
      </c>
      <c r="G980" t="inlineStr">
        <is>
          <t>Procurement</t>
        </is>
      </c>
      <c r="H980"/>
      <c r="I980"/>
      <c r="J980" t="inlineStr">
        <is>
          <t>Project</t>
        </is>
      </c>
      <c r="K980" t="inlineStr">
        <is>
          <t>PDEI - Event Service</t>
        </is>
      </c>
      <c r="L980" t="inlineStr">
        <is>
          <t>MDL PH S6 - Media Day</t>
        </is>
      </c>
      <c r="M980" t="inlineStr">
        <is>
          <t>2025TEG-P0196</t>
        </is>
      </c>
      <c r="N980" t="inlineStr">
        <is>
          <t>Kervin</t>
        </is>
      </c>
      <c r="O980" t="inlineStr">
        <is>
          <t>202508060119-Kervin-费用报销 - 副本 - 副本 - 副本-2025-08-06 14:51:07</t>
        </is>
      </c>
      <c r="P980" t="inlineStr">
        <is>
          <t>NO</t>
        </is>
      </c>
      <c r="Q980"/>
      <c r="R980" t="inlineStr">
        <is>
          <t>NO</t>
        </is>
      </c>
      <c r="S980" t="inlineStr">
        <is>
          <t>Outsourced Safety Officer (1 day)</t>
        </is>
      </c>
      <c r="T980">
        <v>1</v>
      </c>
      <c r="U980">
        <v>2500</v>
      </c>
      <c r="V980" t="inlineStr">
        <is>
          <t>PHP</t>
        </is>
      </c>
      <c r="W980">
        <v>2500</v>
      </c>
      <c r="X980" s="2"/>
      <c r="Y980" t="inlineStr">
        <is>
          <t>Bank Transfer</t>
        </is>
      </c>
      <c r="Z980" t="inlineStr">
        <is>
          <t>JEROME T. CAPOQUIAN</t>
        </is>
      </c>
      <c r="AA980" t="inlineStr">
        <is>
          <t>9599094366</t>
        </is>
      </c>
      <c r="AB980" t="inlineStr">
        <is>
          <t>BPI</t>
        </is>
      </c>
      <c r="AC980" t="inlineStr">
        <is>
          <t>BLOCK 5 LOT 7 PHASE 2 SHINEVILL MAMBUGAN ANTIPOLO CITY</t>
        </is>
      </c>
      <c r="AD980" s="4">
        <v>45879</v>
      </c>
      <c r="AE980" t="inlineStr">
        <is>
          <t>100% Full Payment upon completion of services</t>
        </is>
      </c>
      <c r="AF980" s="2"/>
      <c r="AG980" t="inlineStr">
        <is>
          <t>NzQyNTk5MTgyNzQ4MTg3MDM0MToxNDE1RTEzNi03Qzc1LTQ3RDMtOTZFNy1CNzdCMEUxQTA0OTctMTo4YTcyMjhjMGVlZDQxNTRmYjVjODE2ZGJkZTQ0NjMzMzox</t>
        </is>
      </c>
      <c r="AH980" t="inlineStr">
        <is>
          <t>JEROME T. CAPOQUIAN</t>
        </is>
      </c>
      <c r="AI980"/>
      <c r="AJ980"/>
      <c r="AK980"/>
    </row>
    <row r="981" ht="25.5" customHeight="1">
      <c r="A981" s="2" t="str">
        <f>=HYPERLINK("https://applink.larksuite.com/client/mini_program/open?appId=cli_9c7cc8a9a9edd105&amp;mode=appCenter&amp;path_pc=pc/pages/requested/index?instanceId=7538011526712623136&amp;source=bitable&amp;path=pages/detail/index?instanceId=7538011526712623136&amp;source=bitable", "202508130077")</f>
        <v>202508130077</v>
      </c>
      <c r="B981" t="inlineStr">
        <is>
          <t>Approved</t>
        </is>
      </c>
      <c r="C981" t="inlineStr">
        <is>
          <t>Procurement Order</t>
        </is>
      </c>
      <c r="D981" s="3">
        <v>45882.76012731482</v>
      </c>
      <c r="E981" s="3">
        <v>45883.69548611111</v>
      </c>
      <c r="F981" t="inlineStr">
        <is>
          <t>Fatima Kathleen M. FLores</t>
        </is>
      </c>
      <c r="G981" t="inlineStr">
        <is>
          <t>Procurement</t>
        </is>
      </c>
      <c r="H981"/>
      <c r="I981"/>
      <c r="J981" t="inlineStr">
        <is>
          <t>Project</t>
        </is>
      </c>
      <c r="K981" t="inlineStr">
        <is>
          <t>PDEI - Event Service</t>
        </is>
      </c>
      <c r="L981" t="inlineStr">
        <is>
          <t>MDL PH S6 - Media Day</t>
        </is>
      </c>
      <c r="M981" t="inlineStr">
        <is>
          <t>2025TEG-P0196</t>
        </is>
      </c>
      <c r="N981" t="inlineStr">
        <is>
          <t>Kervin</t>
        </is>
      </c>
      <c r="O981" t="inlineStr">
        <is>
          <t>202508060119-Kervin-费用报销 - 副本 - 副本 - 副本-2025-08-06 14:51:07</t>
        </is>
      </c>
      <c r="P981" t="inlineStr">
        <is>
          <t>NO</t>
        </is>
      </c>
      <c r="Q981"/>
      <c r="R981" t="inlineStr">
        <is>
          <t>NO</t>
        </is>
      </c>
      <c r="S981" t="inlineStr">
        <is>
          <t>Outsourced Medical Personnel (1 day)</t>
        </is>
      </c>
      <c r="T981">
        <v>1</v>
      </c>
      <c r="U981">
        <v>2000</v>
      </c>
      <c r="V981" t="inlineStr">
        <is>
          <t>PHP</t>
        </is>
      </c>
      <c r="W981">
        <v>2000</v>
      </c>
      <c r="X981" s="2"/>
      <c r="Y981"/>
      <c r="Z981"/>
      <c r="AA981"/>
      <c r="AB981"/>
      <c r="AC981"/>
      <c r="AD981" s="4"/>
      <c r="AE981"/>
      <c r="AF981" s="2"/>
      <c r="AG981" t="inlineStr">
        <is>
          <t>NzQyNTk5MTgyNzQ4MTg3MDM0MToxNDE1RTEzNi03Qzc1LTQ3RDMtOTZFNy1CNzdCMEUxQTA0OTctMjo1M2I1ZjA3Y2YyMTU0ZmUyOGNlYmNlN2IwOGJlOThmZjox</t>
        </is>
      </c>
      <c r="AH981"/>
      <c r="AI981"/>
      <c r="AJ981"/>
      <c r="AK981"/>
    </row>
    <row r="982" ht="25.5" customHeight="1">
      <c r="A982" s="2" t="str">
        <f>=HYPERLINK("https://applink.larksuite.com/client/mini_program/open?appId=cli_9c7cc8a9a9edd105&amp;mode=appCenter&amp;path_pc=pc/pages/requested/index?instanceId=7538011526712623136&amp;source=bitable&amp;path=pages/detail/index?instanceId=7538011526712623136&amp;source=bitable", "202508130077")</f>
        <v>202508130077</v>
      </c>
      <c r="B982" t="inlineStr">
        <is>
          <t>Approved</t>
        </is>
      </c>
      <c r="C982" t="inlineStr">
        <is>
          <t>Procurement Order</t>
        </is>
      </c>
      <c r="D982" s="3">
        <v>45882.76012731482</v>
      </c>
      <c r="E982" s="3">
        <v>45883.69548611111</v>
      </c>
      <c r="F982" t="inlineStr">
        <is>
          <t>Fatima Kathleen M. FLores</t>
        </is>
      </c>
      <c r="G982" t="inlineStr">
        <is>
          <t>Procurement</t>
        </is>
      </c>
      <c r="H982"/>
      <c r="I982"/>
      <c r="J982" t="inlineStr">
        <is>
          <t>Project</t>
        </is>
      </c>
      <c r="K982" t="inlineStr">
        <is>
          <t>PDEI - Event Service</t>
        </is>
      </c>
      <c r="L982" t="inlineStr">
        <is>
          <t>MDL PH S6 - Media Day</t>
        </is>
      </c>
      <c r="M982" t="inlineStr">
        <is>
          <t>2025TEG-P0196</t>
        </is>
      </c>
      <c r="N982" t="inlineStr">
        <is>
          <t>Kervin</t>
        </is>
      </c>
      <c r="O982" t="inlineStr">
        <is>
          <t>202508060119-Kervin-费用报销 - 副本 - 副本 - 副本-2025-08-06 14:51:07</t>
        </is>
      </c>
      <c r="P982" t="inlineStr">
        <is>
          <t>NO</t>
        </is>
      </c>
      <c r="Q982"/>
      <c r="R982" t="inlineStr">
        <is>
          <t>NO</t>
        </is>
      </c>
      <c r="S982" t="inlineStr">
        <is>
          <t>Outsourced Event Marshals (1 day)</t>
        </is>
      </c>
      <c r="T982">
        <v>3</v>
      </c>
      <c r="U982">
        <v>1500</v>
      </c>
      <c r="V982" t="inlineStr">
        <is>
          <t>PHP</t>
        </is>
      </c>
      <c r="W982">
        <v>4500</v>
      </c>
      <c r="X982" s="2" t="str">
        <f>=HYPERLINK("https://www.larksuite.com/approval/admin/previewAttachment?key=PMi7CYJBEATglmb2vTZj4vEjiCCIhwZbu2Bg-kURUU6NhjWlwUnXAukSSQlRaowMMxvJRM26H2fZr9tab3wg5Q-ffb0c60nvFEGqmRYAnv6uaWbdYfi5fAMAAP__", "2 attachment(s)")</f>
        <v>2 attachment(s)</v>
      </c>
      <c r="Y982"/>
      <c r="Z982"/>
      <c r="AA982"/>
      <c r="AB982"/>
      <c r="AC982"/>
      <c r="AD982" s="4"/>
      <c r="AE982"/>
      <c r="AF982" s="2"/>
      <c r="AG982" t="inlineStr">
        <is>
          <t>NzQyNTk5MTgyNzQ4MTg3MDM0MToxNDE1RTEzNi03Qzc1LTQ3RDMtOTZFNy1CNzdCMEUxQTA0OTctMzo1ODZjMzhmMTYzNjQxODFhMDUxMWE3ZjFkMGJiNzJjZjox</t>
        </is>
      </c>
      <c r="AH982"/>
      <c r="AI982"/>
      <c r="AJ982"/>
      <c r="AK982"/>
    </row>
    <row r="983" ht="25.5" customHeight="1">
      <c r="A983" s="2" t="str">
        <f>=HYPERLINK("https://applink.larksuite.com/client/mini_program/open?appId=cli_9c7cc8a9a9edd105&amp;mode=appCenter&amp;path_pc=pc/pages/requested/index?instanceId=7538295147424120863&amp;source=bitable&amp;path=pages/detail/index?instanceId=7538295147424120863&amp;source=bitable", "202508140019")</f>
        <v>202508140019</v>
      </c>
      <c r="B983" t="inlineStr">
        <is>
          <t>Approved</t>
        </is>
      </c>
      <c r="C983" t="inlineStr">
        <is>
          <t>Procurement Order</t>
        </is>
      </c>
      <c r="D983" s="3">
        <v>45883.52443287037</v>
      </c>
      <c r="E983" s="3">
        <v>45883.739699074074</v>
      </c>
      <c r="F983" t="inlineStr">
        <is>
          <t>Fatima Kathleen M. FLores</t>
        </is>
      </c>
      <c r="G983" t="inlineStr">
        <is>
          <t>Procurement</t>
        </is>
      </c>
      <c r="H983"/>
      <c r="I983"/>
      <c r="J983" t="inlineStr">
        <is>
          <t>Project</t>
        </is>
      </c>
      <c r="K983" t="inlineStr">
        <is>
          <t>PDEI - Game Marketing</t>
        </is>
      </c>
      <c r="L983" t="inlineStr">
        <is>
          <t>1xbet VEEWISE watch party</t>
        </is>
      </c>
      <c r="M983" t="inlineStr">
        <is>
          <t>2025TEG-P0181</t>
        </is>
      </c>
      <c r="N983" t="inlineStr">
        <is>
          <t>Katherine Denise Lee Sy</t>
        </is>
      </c>
      <c r="O983" t="inlineStr">
        <is>
          <t>202507280020-Katherine Denise Lee Sy-费用报销 - 副本 - 副本 - 副本-2025-07-28 03:26:20</t>
        </is>
      </c>
      <c r="P983" t="inlineStr">
        <is>
          <t>NO</t>
        </is>
      </c>
      <c r="Q983"/>
      <c r="R983" t="inlineStr">
        <is>
          <t>NO</t>
        </is>
      </c>
      <c r="S983" t="inlineStr">
        <is>
          <t>Studio Rental - Extension (Aug. 2, 2025)</t>
        </is>
      </c>
      <c r="T983">
        <v>1</v>
      </c>
      <c r="U983">
        <v>7840</v>
      </c>
      <c r="V983" t="inlineStr">
        <is>
          <t>PHP</t>
        </is>
      </c>
      <c r="W983">
        <v>7840</v>
      </c>
      <c r="X983" s="2" t="str">
        <f>=HYPERLINK("https://www.larksuite.com/approval/admin/previewAttachment?key=PMgxCkJBDATQK80ks5vEy9j4WWw-COJqk7MLFrZvJjFz0GdBRSuwY3haDSpkoiGntzUjCsFA9nGuK1zr3HU81n6_Pt77flvHk6PCDOGSJwBe_u4hqWoKP8c3AAD__w", "2 attachment(s)")</f>
        <v>2 attachment(s)</v>
      </c>
      <c r="Y983" t="inlineStr">
        <is>
          <t>Bank Transfer</t>
        </is>
      </c>
      <c r="Z983" t="inlineStr">
        <is>
          <t>Baked Studio Inc.</t>
        </is>
      </c>
      <c r="AA983" t="inlineStr">
        <is>
          <t>004 288 028 051</t>
        </is>
      </c>
      <c r="AB983" t="inlineStr">
        <is>
          <t>BDO</t>
        </is>
      </c>
      <c r="AC983" t="inlineStr">
        <is>
          <t>Warehouse B, 7452 Yakal Street Barangay San Antonio Village, Makati</t>
        </is>
      </c>
      <c r="AD983" s="4">
        <v>45871</v>
      </c>
      <c r="AE983" t="inlineStr">
        <is>
          <t>100% Full Payment</t>
        </is>
      </c>
      <c r="AF983" s="2"/>
      <c r="AG983" t="inlineStr">
        <is>
          <t>NzQyNTk5MTgyNzQ4MTg3MDM0MTo3RjJBMkI1Ri00QzVELTQ0NEUtQkU1Qy1BOUE5RDIzOUQ1OUMtMTpiMTI4YTllNzBjZjQ4ZjZmMjU4N2NhNzE5NzVkMWFhODox</t>
        </is>
      </c>
      <c r="AH983" t="inlineStr">
        <is>
          <t>Baked Studio Inc.</t>
        </is>
      </c>
      <c r="AI983"/>
      <c r="AJ983"/>
      <c r="AK983"/>
    </row>
    <row r="984" ht="25.5" customHeight="1">
      <c r="A984" s="2" t="str">
        <f>=HYPERLINK("https://applink.larksuite.com/client/mini_program/open?appId=cli_9c7cc8a9a9edd105&amp;mode=appCenter&amp;path_pc=pc/pages/requested/index?instanceId=7538341838047035430&amp;source=bitable&amp;path=pages/detail/index?instanceId=7538341838047035430&amp;source=bitable", "202508140051")</f>
        <v>202508140051</v>
      </c>
      <c r="B984" t="inlineStr">
        <is>
          <t>Approved</t>
        </is>
      </c>
      <c r="C984" t="inlineStr">
        <is>
          <t>Procurement Order</t>
        </is>
      </c>
      <c r="D984" s="3">
        <v>45883.65025462963</v>
      </c>
      <c r="E984" s="3">
        <v>45888.774722222224</v>
      </c>
      <c r="F984" t="inlineStr">
        <is>
          <t>Fatima Kathleen M. FLores</t>
        </is>
      </c>
      <c r="G984" t="inlineStr">
        <is>
          <t>Procurement</t>
        </is>
      </c>
      <c r="H984"/>
      <c r="I984"/>
      <c r="J984" t="inlineStr">
        <is>
          <t>Project</t>
        </is>
      </c>
      <c r="K984" t="inlineStr">
        <is>
          <t>PDEI - Game Marketing</t>
        </is>
      </c>
      <c r="L984" t="inlineStr">
        <is>
          <t>Samsung Galaxy Gaming Academy - Content Seeding</t>
        </is>
      </c>
      <c r="M984" t="inlineStr">
        <is>
          <t>2025TEG-P0075</t>
        </is>
      </c>
      <c r="N984" t="inlineStr">
        <is>
          <t>Diana Lou Perocho Gosamo</t>
        </is>
      </c>
      <c r="O984" t="inlineStr">
        <is>
          <t>202507040050-Diana Lou Perocho Gosamo-费用报销 - 副本 - 副本 - 副本-2025-07-04 08:33:20</t>
        </is>
      </c>
      <c r="P984" t="inlineStr">
        <is>
          <t>YES</t>
        </is>
      </c>
      <c r="Q984"/>
      <c r="R984" t="inlineStr">
        <is>
          <t>YES</t>
        </is>
      </c>
      <c r="S984" t="inlineStr">
        <is>
          <t>Collegiate Social Media Posting (LG Esports)</t>
        </is>
      </c>
      <c r="T984">
        <v>1</v>
      </c>
      <c r="U984">
        <v>5102.04</v>
      </c>
      <c r="V984" t="inlineStr">
        <is>
          <t>PHP</t>
        </is>
      </c>
      <c r="W984">
        <v>5102.04</v>
      </c>
      <c r="X984" s="2" t="str">
        <f>=HYPERLINK("https://www.larksuite.com/approval/admin/previewAttachment?key=PMhBqoIxDATgK8000yZ5l3mb_vwo2iKI7nJ2wYXbbwQxotNGQsmWYHm3MDEsIId1GaoV3RNOR9Sxzv_5irn37f5Y17XZ6n2Z5_FkT28NbpIFAP793FxS5hC-jk8AAAD__w", "3 attachment(s)")</f>
        <v>3 attachment(s)</v>
      </c>
      <c r="Y984" t="inlineStr">
        <is>
          <t>Bank Transfer</t>
        </is>
      </c>
      <c r="Z984" t="inlineStr">
        <is>
          <t>B. R. Alej John F. Reposar</t>
        </is>
      </c>
      <c r="AA984" t="inlineStr">
        <is>
          <t>13128167413</t>
        </is>
      </c>
      <c r="AB984" t="inlineStr">
        <is>
          <t>Seabank Philippines</t>
        </is>
      </c>
      <c r="AC984" t="inlineStr">
        <is>
          <t>Ateneo de Manila University, Katipunan Avenue, Loyola Heights, 1108 Quezon City</t>
        </is>
      </c>
      <c r="AD984" s="4">
        <v>45762</v>
      </c>
      <c r="AE984" t="inlineStr">
        <is>
          <t>100% Full Payment</t>
        </is>
      </c>
      <c r="AF984" s="2"/>
      <c r="AG984" t="inlineStr">
        <is>
          <t>NzQyNTk5MTgyNzQ4MTg3MDM0MTo5M0U5RkYxMS03NkZDLTRBQzQtQUZGMS0wNUYyQ0VBMzg0NkItMTo3OTQ3NGRkYTdjNTU1YzAzNjY5N2I5YzM5YjJiZGY1ODox</t>
        </is>
      </c>
      <c r="AH984" t="inlineStr">
        <is>
          <t>LG ESPORTS</t>
        </is>
      </c>
      <c r="AI984"/>
      <c r="AJ984"/>
      <c r="AK984"/>
    </row>
    <row r="985" ht="25.5" customHeight="1">
      <c r="A985" s="2" t="str">
        <f>=HYPERLINK("https://applink.larksuite.com/client/mini_program/open?appId=cli_9c7cc8a9a9edd105&amp;mode=appCenter&amp;path_pc=pc/pages/requested/index?instanceId=7538340820106182687&amp;source=bitable&amp;path=pages/detail/index?instanceId=7538340820106182687&amp;source=bitable", "202508140050")</f>
        <v>202508140050</v>
      </c>
      <c r="B985" t="inlineStr">
        <is>
          <t>Approved</t>
        </is>
      </c>
      <c r="C985" t="inlineStr">
        <is>
          <t>Procurement Order</t>
        </is>
      </c>
      <c r="D985" s="3">
        <v>45883.647511574076</v>
      </c>
      <c r="E985" s="3">
        <v>45888.773252314815</v>
      </c>
      <c r="F985" t="inlineStr">
        <is>
          <t>Fatima Kathleen M. FLores</t>
        </is>
      </c>
      <c r="G985" t="inlineStr">
        <is>
          <t>Procurement</t>
        </is>
      </c>
      <c r="H985"/>
      <c r="I985"/>
      <c r="J985" t="inlineStr">
        <is>
          <t>Project</t>
        </is>
      </c>
      <c r="K985" t="inlineStr">
        <is>
          <t>PDEI - Game Marketing</t>
        </is>
      </c>
      <c r="L985" t="inlineStr">
        <is>
          <t>Samsung Galaxy Gaming Academy - Content Seeding</t>
        </is>
      </c>
      <c r="M985" t="inlineStr">
        <is>
          <t>2025TEG-P0075</t>
        </is>
      </c>
      <c r="N985" t="inlineStr">
        <is>
          <t>Diana Lou Perocho Gosamo</t>
        </is>
      </c>
      <c r="O985" t="inlineStr">
        <is>
          <t>202507040050-Diana Lou Perocho Gosamo-费用报销 - 副本 - 副本 - 副本-2025-07-04 08:33:20</t>
        </is>
      </c>
      <c r="P985" t="inlineStr">
        <is>
          <t>YES</t>
        </is>
      </c>
      <c r="Q985"/>
      <c r="R985" t="inlineStr">
        <is>
          <t>YES</t>
        </is>
      </c>
      <c r="S985" t="inlineStr">
        <is>
          <t>Collegiate Social Media Posting (ADU)</t>
        </is>
      </c>
      <c r="T985">
        <v>1</v>
      </c>
      <c r="U985">
        <v>5102.04</v>
      </c>
      <c r="V985" t="inlineStr">
        <is>
          <t>PHP</t>
        </is>
      </c>
      <c r="W985">
        <v>5102.04</v>
      </c>
      <c r="X985" s="2" t="str">
        <f>=HYPERLINK("https://www.larksuite.com/approval/admin/previewAttachment?key=PMgxqkJRDATQLU2SuZnkb-Y373ER1EpQm6xdsLA9WYasZZENtnnDRisqiHIY0sqzND4mNWRCzXnf_2sdV3K_bx0vtOZ5Ofb5sNVyh4KMAmB_Pw-R7E7i6_gEAAD__w", "3 attachment(s)")</f>
        <v>3 attachment(s)</v>
      </c>
      <c r="Y985" t="inlineStr">
        <is>
          <t>Bank Transfer</t>
        </is>
      </c>
      <c r="Z985" t="inlineStr">
        <is>
          <t>Kleopatricia Mae Bernardo Muyot</t>
        </is>
      </c>
      <c r="AA985" t="inlineStr">
        <is>
          <t>8189408014</t>
        </is>
      </c>
      <c r="AB985" t="inlineStr">
        <is>
          <t>BPI</t>
        </is>
      </c>
      <c r="AC985" t="inlineStr">
        <is>
          <t>900 San Marcelino St, Ermita, Manila</t>
        </is>
      </c>
      <c r="AD985" s="4">
        <v>45762</v>
      </c>
      <c r="AE985" t="inlineStr">
        <is>
          <t>100% Full Payment</t>
        </is>
      </c>
      <c r="AF985" s="2"/>
      <c r="AG985" t="inlineStr">
        <is>
          <t>NzQyNTk5MTgyNzQ4MTg3MDM0MTo1MTZFN0YzMi0wREE0LTRDREEtODUxOS0yQjVFMzdFNzhENkQtMToxMWVmYTYzNjdkYjViOTg5MTc3ZjUwOGU4N2IxZjE1Yjox</t>
        </is>
      </c>
      <c r="AH985" t="inlineStr">
        <is>
          <t>Adamson University Guild of Animation Makers and Esports</t>
        </is>
      </c>
      <c r="AI985"/>
      <c r="AJ985"/>
      <c r="AK985"/>
    </row>
    <row r="986" ht="25.5" customHeight="1">
      <c r="A986" s="2" t="str">
        <f>=HYPERLINK("https://applink.larksuite.com/client/mini_program/open?appId=cli_9c7cc8a9a9edd105&amp;mode=appCenter&amp;path_pc=pc/pages/requested/index?instanceId=7517133354173661223&amp;source=bitable&amp;path=pages/detail/index?instanceId=7517133354173661223&amp;source=bitable", "202506180014")</f>
        <v>202506180014</v>
      </c>
      <c r="B986" t="inlineStr">
        <is>
          <t>Approved</t>
        </is>
      </c>
      <c r="C986" t="inlineStr">
        <is>
          <t>Procurement Order</t>
        </is>
      </c>
      <c r="D986" s="3">
        <v>45826.49765046296</v>
      </c>
      <c r="E986" s="3">
        <v>45833.75892361111</v>
      </c>
      <c r="F986" t="inlineStr">
        <is>
          <t>Fatima Kathleen M. FLores</t>
        </is>
      </c>
      <c r="G986" t="inlineStr">
        <is>
          <t>Procurement</t>
        </is>
      </c>
      <c r="H986"/>
      <c r="I986"/>
      <c r="J986" t="inlineStr">
        <is>
          <t>Project</t>
        </is>
      </c>
      <c r="K986" t="inlineStr">
        <is>
          <t>PDEI - Event Service</t>
        </is>
      </c>
      <c r="L986" t="inlineStr">
        <is>
          <t>MPL PH S15 Addendum</t>
        </is>
      </c>
      <c r="M986" t="inlineStr">
        <is>
          <t>2025TEG-P0071</t>
        </is>
      </c>
      <c r="N986" t="inlineStr">
        <is>
          <t>Tiny</t>
        </is>
      </c>
      <c r="O986" t="inlineStr">
        <is>
          <t>202505210141-Tiny-费用报销 - 副本 - 副本 - 副本-2025-05-21 10:40:28</t>
        </is>
      </c>
      <c r="P986" t="inlineStr">
        <is>
          <t>YES</t>
        </is>
      </c>
      <c r="Q986"/>
      <c r="R986" t="inlineStr">
        <is>
          <t>YES</t>
        </is>
      </c>
      <c r="S986" t="inlineStr">
        <is>
          <t>Outsourced Show Director/Scriptwriter</t>
        </is>
      </c>
      <c r="T986">
        <v>1</v>
      </c>
      <c r="U986">
        <v>17500</v>
      </c>
      <c r="V986" t="inlineStr">
        <is>
          <t>PHP</t>
        </is>
      </c>
      <c r="W986">
        <v>17500</v>
      </c>
      <c r="X986" s="2" t="str">
        <f>=HYPERLINK("https://www.larksuite.com/approval/admin/previewAttachment?key=PMi5DQJRDATQlmY8Pr5phoTVFwkR4khcOxLBpi8XkSuobHjTGpwKFiWFs5RJM40NqxrFAud47GvE6tf-aNl3h2ve99s-nowuM5TctQDwcrrK3bvT8Xf8AgAA__8", "2 attachment(s)")</f>
        <v>2 attachment(s)</v>
      </c>
      <c r="Y986" t="inlineStr">
        <is>
          <t>Bank Transfer</t>
        </is>
      </c>
      <c r="Z986" t="inlineStr">
        <is>
          <t>PAOLO LUIS NAVARRO</t>
        </is>
      </c>
      <c r="AA986" t="inlineStr">
        <is>
          <t>1669371663</t>
        </is>
      </c>
      <c r="AB986" t="inlineStr">
        <is>
          <t>BPI</t>
        </is>
      </c>
      <c r="AC986" t="inlineStr">
        <is>
          <t>GOODWILL HOMES 1, QUEZON CITY</t>
        </is>
      </c>
      <c r="AD986" s="4">
        <v>45803</v>
      </c>
      <c r="AE986" t="inlineStr">
        <is>
          <t>100% Full Payment - June 20, 2025</t>
        </is>
      </c>
      <c r="AF986" s="2"/>
      <c r="AG986" t="inlineStr">
        <is>
          <t>NzQyNTk5MTgyNzQ4MTg3MDM0MTo3NTBBNDI3NS00MDVGLTQ5NjYtODI5Qi0xNDY5NjJGRjM3OTQtMTo0MzgwNjk1NzEzNzQyYjQxOTY3ODY5MzI0MTlmNzE3MDox</t>
        </is>
      </c>
      <c r="AH986"/>
      <c r="AI986"/>
      <c r="AJ986"/>
      <c r="AK986"/>
    </row>
    <row r="987" ht="25.5" customHeight="1">
      <c r="A987" s="2" t="str">
        <f>=HYPERLINK("https://applink.larksuite.com/client/mini_program/open?appId=cli_9c7cc8a9a9edd105&amp;mode=appCenter&amp;path_pc=pc/pages/requested/index?instanceId=7517136155477835808&amp;source=bitable&amp;path=pages/detail/index?instanceId=7517136155477835808&amp;source=bitable", "202506180018")</f>
        <v>202506180018</v>
      </c>
      <c r="B987" t="inlineStr">
        <is>
          <t>Approved</t>
        </is>
      </c>
      <c r="C987" t="inlineStr">
        <is>
          <t>Procurement Order</t>
        </is>
      </c>
      <c r="D987" s="3">
        <v>45826.50519675926</v>
      </c>
      <c r="E987" s="3">
        <v>45833.7596875</v>
      </c>
      <c r="F987" t="inlineStr">
        <is>
          <t>Fatima Kathleen M. FLores</t>
        </is>
      </c>
      <c r="G987" t="inlineStr">
        <is>
          <t>Procurement</t>
        </is>
      </c>
      <c r="H987"/>
      <c r="I987"/>
      <c r="J987" t="inlineStr">
        <is>
          <t>Project</t>
        </is>
      </c>
      <c r="K987" t="inlineStr">
        <is>
          <t>PDEI - Event Service</t>
        </is>
      </c>
      <c r="L987" t="inlineStr">
        <is>
          <t>MPL PH S15 Addendum</t>
        </is>
      </c>
      <c r="M987" t="inlineStr">
        <is>
          <t>2025TEG-P0071</t>
        </is>
      </c>
      <c r="N987" t="inlineStr">
        <is>
          <t>Tiny</t>
        </is>
      </c>
      <c r="O987" t="inlineStr">
        <is>
          <t>202505210141-Tiny-费用报销 - 副本 - 副本 - 副本-2025-05-21 10:40:28</t>
        </is>
      </c>
      <c r="P987" t="inlineStr">
        <is>
          <t>YES</t>
        </is>
      </c>
      <c r="Q987"/>
      <c r="R987" t="inlineStr">
        <is>
          <t>YES</t>
        </is>
      </c>
      <c r="S987" t="inlineStr">
        <is>
          <t>Outsourced Lakas ng Pinas Music Arranger</t>
        </is>
      </c>
      <c r="T987">
        <v>1</v>
      </c>
      <c r="U987">
        <v>45000</v>
      </c>
      <c r="V987" t="inlineStr">
        <is>
          <t>PHP</t>
        </is>
      </c>
      <c r="W987">
        <v>45000</v>
      </c>
      <c r="X987" s="2" t="str">
        <f>=HYPERLINK("https://www.larksuite.com/approval/admin/previewAttachment?key=PMixDQJBDATAlnbP9q1NMyT_OgGCCAGfuHYkAtKZScwM2ix4cRTYCoo2GeFSWiSyR1MqiAJ7f6xzem7HfVu6vo7bR_2-bGt_MkpjQOZuCYCnv5vcvWo6fo5vAAAA__8", "2 attachment(s)")</f>
        <v>2 attachment(s)</v>
      </c>
      <c r="Y987" t="inlineStr">
        <is>
          <t>Bank Transfer</t>
        </is>
      </c>
      <c r="Z987" t="inlineStr">
        <is>
          <t>Kevin Yadao</t>
        </is>
      </c>
      <c r="AA987" t="inlineStr">
        <is>
          <t>0259350158</t>
        </is>
      </c>
      <c r="AB987" t="inlineStr">
        <is>
          <t>BPI</t>
        </is>
      </c>
      <c r="AC987" t="inlineStr">
        <is>
          <t>2882 Orion St. Brgy. 208 Dist. 2 Zone 19 Tondo Manila</t>
        </is>
      </c>
      <c r="AD987" s="4">
        <v>45776</v>
      </c>
      <c r="AE987" t="inlineStr">
        <is>
          <t>100% Full Payment - June 20, 2025</t>
        </is>
      </c>
      <c r="AF987" s="2"/>
      <c r="AG987" t="inlineStr">
        <is>
          <t>NzQyNTk5MTgyNzQ4MTg3MDM0MTo2RTM5NDdBOS05RTY0LTQxQzYtOEY4NC1FM0U0MTNCNDUwNkQtMTphZTNhNjc3YTI2ZWExOGI0ZGJiZWUxMTYwMjNlNjRhZjox</t>
        </is>
      </c>
      <c r="AH987"/>
      <c r="AI987"/>
      <c r="AJ987"/>
      <c r="AK987"/>
    </row>
    <row r="988" ht="25.5" customHeight="1">
      <c r="A988" s="2" t="str">
        <f>=HYPERLINK("https://applink.larksuite.com/client/mini_program/open?appId=cli_9c7cc8a9a9edd105&amp;mode=appCenter&amp;path_pc=pc/pages/requested/index?instanceId=7517209046307373094&amp;source=bitable&amp;path=pages/detail/index?instanceId=7517209046307373094&amp;source=bitable", "202506180076")</f>
        <v>202506180076</v>
      </c>
      <c r="B988" t="inlineStr">
        <is>
          <t>Approved</t>
        </is>
      </c>
      <c r="C988" t="inlineStr">
        <is>
          <t>Procurement Order</t>
        </is>
      </c>
      <c r="D988" s="3">
        <v>45826.70162037037</v>
      </c>
      <c r="E988" s="3">
        <v>45834.43255787037</v>
      </c>
      <c r="F988" t="inlineStr">
        <is>
          <t>Fatima Kathleen M. FLores</t>
        </is>
      </c>
      <c r="G988" t="inlineStr">
        <is>
          <t>Procurement</t>
        </is>
      </c>
      <c r="H988"/>
      <c r="I988"/>
      <c r="J988" t="inlineStr">
        <is>
          <t>Project</t>
        </is>
      </c>
      <c r="K988" t="inlineStr">
        <is>
          <t>PDEI - Event Service</t>
        </is>
      </c>
      <c r="L988" t="inlineStr">
        <is>
          <t>MPL PH S15 Addendum</t>
        </is>
      </c>
      <c r="M988" t="inlineStr">
        <is>
          <t>2025TEG-P0071</t>
        </is>
      </c>
      <c r="N988" t="inlineStr">
        <is>
          <t>Tiny</t>
        </is>
      </c>
      <c r="O988" t="inlineStr">
        <is>
          <t>202505210160-Tiny-费用报销 - 副本 - 副本 - 副本-2025-05-21 11:21:39</t>
        </is>
      </c>
      <c r="P988" t="inlineStr">
        <is>
          <t>YES</t>
        </is>
      </c>
      <c r="Q988"/>
      <c r="R988" t="inlineStr">
        <is>
          <t>YES</t>
        </is>
      </c>
      <c r="S988" t="inlineStr">
        <is>
          <t>Outsourced Game Testers</t>
        </is>
      </c>
      <c r="T988">
        <v>1</v>
      </c>
      <c r="U988">
        <v>4000</v>
      </c>
      <c r="V988" t="inlineStr">
        <is>
          <t>PHP</t>
        </is>
      </c>
      <c r="W988">
        <v>4000</v>
      </c>
      <c r="X988" s="2" t="str">
        <f>=HYPERLINK("https://www.larksuite.com/approval/admin/previewAttachment?key=PMgxCgIwFAPQKyX9v03jZVwsRYSCIAgO_-yCg-sbkxizM4aRZjNY6lSDkSOgUMBZrSgZosBaZ1_9mHh-9vFxrNXrfb_t9WK3WoMiMyYAXv4eykx7JH6ObwAAAP__", "2 attachment(s)")</f>
        <v>2 attachment(s)</v>
      </c>
      <c r="Y988" t="inlineStr">
        <is>
          <t>Bank Transfer</t>
        </is>
      </c>
      <c r="Z988" t="inlineStr">
        <is>
          <t>Marc Kevin Serrano</t>
        </is>
      </c>
      <c r="AA988" t="inlineStr">
        <is>
          <t>1519218972</t>
        </is>
      </c>
      <c r="AB988" t="inlineStr">
        <is>
          <t>BPI</t>
        </is>
      </c>
      <c r="AC988" t="inlineStr">
        <is>
          <t>3 Don Guillermo Street, Barangay Holy Spirit, Commonwealth, Quezon City</t>
        </is>
      </c>
      <c r="AD988" s="4">
        <v>45757</v>
      </c>
      <c r="AE988" t="inlineStr">
        <is>
          <t>100% Full Payment - June 20, 2025</t>
        </is>
      </c>
      <c r="AF988" s="2"/>
      <c r="AG988" t="inlineStr">
        <is>
          <t>NzQyNTk5MTgyNzQ4MTg3MDM0MTozOUIwQzJEMi0zOUU2LTQ4NzItQUUwMS1BOTA1MDcxNjE4ODEtMTo1ZjE3OWMyNDljNjYyNzk4ZjYwNTU5YzI0MTkzYzM3Yjox</t>
        </is>
      </c>
      <c r="AH988"/>
      <c r="AI988"/>
      <c r="AJ988"/>
      <c r="AK988"/>
    </row>
    <row r="989" ht="25.5" customHeight="1">
      <c r="A989" s="2" t="str">
        <f>=HYPERLINK("https://applink.larksuite.com/client/mini_program/open?appId=cli_9c7cc8a9a9edd105&amp;mode=appCenter&amp;path_pc=pc/pages/requested/index?instanceId=7517149939856752678&amp;source=bitable&amp;path=pages/detail/index?instanceId=7517149939856752678&amp;source=bitable", "202506180031")</f>
        <v>202506180031</v>
      </c>
      <c r="B989" t="inlineStr">
        <is>
          <t>Approved</t>
        </is>
      </c>
      <c r="C989" t="inlineStr">
        <is>
          <t>Procurement Order</t>
        </is>
      </c>
      <c r="D989" s="3">
        <v>45826.542349537034</v>
      </c>
      <c r="E989" s="3">
        <v>45834.42810185185</v>
      </c>
      <c r="F989" t="inlineStr">
        <is>
          <t>Fatima Kathleen M. FLores</t>
        </is>
      </c>
      <c r="G989" t="inlineStr">
        <is>
          <t>Procurement</t>
        </is>
      </c>
      <c r="H989"/>
      <c r="I989"/>
      <c r="J989" t="inlineStr">
        <is>
          <t>Project</t>
        </is>
      </c>
      <c r="K989" t="inlineStr">
        <is>
          <t>PDEI - Event Service</t>
        </is>
      </c>
      <c r="L989" t="inlineStr">
        <is>
          <t>realme Cup</t>
        </is>
      </c>
      <c r="M989" t="inlineStr">
        <is>
          <t>2025TEG-P0094</t>
        </is>
      </c>
      <c r="N989" t="inlineStr">
        <is>
          <t>Anteaus Villena</t>
        </is>
      </c>
      <c r="O989" t="inlineStr">
        <is>
          <t>202505180012-Anteaus Villena-费用报销 - 副本 - 副本 - 副本-2025-05-18 10:53:06</t>
        </is>
      </c>
      <c r="P989" t="inlineStr">
        <is>
          <t>NO</t>
        </is>
      </c>
      <c r="Q989"/>
      <c r="R989" t="inlineStr">
        <is>
          <t>YES</t>
        </is>
      </c>
      <c r="S989" t="inlineStr">
        <is>
          <t>Crew Meals (Ingress, Event Days, Egress)</t>
        </is>
      </c>
      <c r="T989">
        <v>505</v>
      </c>
      <c r="U989">
        <v>115</v>
      </c>
      <c r="V989" t="inlineStr">
        <is>
          <t>PHP</t>
        </is>
      </c>
      <c r="W989">
        <v>58075</v>
      </c>
      <c r="X989" s="2"/>
      <c r="Y989" t="inlineStr">
        <is>
          <t>Bank Transfer</t>
        </is>
      </c>
      <c r="Z989" t="inlineStr">
        <is>
          <t>Michelle Francine G. Manuntag</t>
        </is>
      </c>
      <c r="AA989" t="inlineStr">
        <is>
          <t>000170292002</t>
        </is>
      </c>
      <c r="AB989" t="inlineStr">
        <is>
          <t>BDO</t>
        </is>
      </c>
      <c r="AC989" t="inlineStr">
        <is>
          <t>Makati City</t>
        </is>
      </c>
      <c r="AD989" s="4">
        <v>45815</v>
      </c>
      <c r="AE989" t="inlineStr">
        <is>
          <t>100% Full Payment upon completion of services</t>
        </is>
      </c>
      <c r="AF989" s="2"/>
      <c r="AG989" t="inlineStr">
        <is>
          <t>NzQyNTk5MTgyNzQ4MTg3MDM0MTowM0YxNzRGNS04RDIyLTQwRTUtOTNDQS01MTNBNUZCRDNGQTEtMTo0ZjY3YThkOWY3MTI1ZGZiNjE2OWJmNDEyYzEzNzE3ODox</t>
        </is>
      </c>
      <c r="AH989"/>
      <c r="AI989"/>
      <c r="AJ989"/>
      <c r="AK989"/>
    </row>
    <row r="990" ht="25.5" customHeight="1">
      <c r="A990" s="2" t="str">
        <f>=HYPERLINK("https://applink.larksuite.com/client/mini_program/open?appId=cli_9c7cc8a9a9edd105&amp;mode=appCenter&amp;path_pc=pc/pages/requested/index?instanceId=7517149939856752678&amp;source=bitable&amp;path=pages/detail/index?instanceId=7517149939856752678&amp;source=bitable", "202506180031")</f>
        <v>202506180031</v>
      </c>
      <c r="B990" t="inlineStr">
        <is>
          <t>Approved</t>
        </is>
      </c>
      <c r="C990" t="inlineStr">
        <is>
          <t>Procurement Order</t>
        </is>
      </c>
      <c r="D990" s="3">
        <v>45826.542349537034</v>
      </c>
      <c r="E990" s="3">
        <v>45834.42810185185</v>
      </c>
      <c r="F990" t="inlineStr">
        <is>
          <t>Fatima Kathleen M. FLores</t>
        </is>
      </c>
      <c r="G990" t="inlineStr">
        <is>
          <t>Procurement</t>
        </is>
      </c>
      <c r="H990"/>
      <c r="I990"/>
      <c r="J990" t="inlineStr">
        <is>
          <t>Project</t>
        </is>
      </c>
      <c r="K990" t="inlineStr">
        <is>
          <t>PDEI - Event Service</t>
        </is>
      </c>
      <c r="L990" t="inlineStr">
        <is>
          <t>realme Cup</t>
        </is>
      </c>
      <c r="M990" t="inlineStr">
        <is>
          <t>2025TEG-P0094</t>
        </is>
      </c>
      <c r="N990" t="inlineStr">
        <is>
          <t>Anteaus Villena</t>
        </is>
      </c>
      <c r="O990" t="inlineStr">
        <is>
          <t>202505180012-Anteaus Villena-费用报销 - 副本 - 副本 - 副本-2025-05-18 10:53:06</t>
        </is>
      </c>
      <c r="P990" t="inlineStr">
        <is>
          <t>NO</t>
        </is>
      </c>
      <c r="Q990"/>
      <c r="R990" t="inlineStr">
        <is>
          <t>YES</t>
        </is>
      </c>
      <c r="S990" t="inlineStr">
        <is>
          <t>Delivery Fees</t>
        </is>
      </c>
      <c r="T990">
        <v>1</v>
      </c>
      <c r="U990">
        <v>2059</v>
      </c>
      <c r="V990" t="inlineStr">
        <is>
          <t>PHP</t>
        </is>
      </c>
      <c r="W990">
        <v>2059</v>
      </c>
      <c r="X990" s="2" t="str">
        <f>=HYPERLINK("https://www.larksuite.com/approval/admin/previewAttachment?key=PMg9igJBFATgK716f9W1l9lkmkaRmUTQqM8uGJh-PWA9CtGyFFyGzQKRUmhUs7w5tm-QMoKGPc_1P8Pf57xq3R_gdezX7VjziRLdjZEZw8zw9_NgZkqd9nV8AgAA__8", "2 attachment(s)")</f>
        <v>2 attachment(s)</v>
      </c>
      <c r="Y990"/>
      <c r="Z990"/>
      <c r="AA990"/>
      <c r="AB990"/>
      <c r="AC990"/>
      <c r="AD990" s="4"/>
      <c r="AE990"/>
      <c r="AF990" s="2"/>
      <c r="AG990" t="inlineStr">
        <is>
          <t>NzQyNTk5MTgyNzQ4MTg3MDM0MTowM0YxNzRGNS04RDIyLTQwRTUtOTNDQS01MTNBNUZCRDNGQTEtMjo4YjVjNjA0NDk3ODlkZjJkODdhNjVjNGEzZWFjZWQ1MTox</t>
        </is>
      </c>
      <c r="AH990"/>
      <c r="AI990"/>
      <c r="AJ990"/>
      <c r="AK990"/>
    </row>
    <row r="991" ht="25.5" customHeight="1">
      <c r="A991" s="2" t="str">
        <f>=HYPERLINK("https://applink.larksuite.com/client/mini_program/open?appId=cli_9c7cc8a9a9edd105&amp;mode=appCenter&amp;path_pc=pc/pages/requested/index?instanceId=7519787193615794207&amp;source=bitable&amp;path=pages/detail/index?instanceId=7519787193615794207&amp;source=bitable", "202506250103")</f>
        <v>202506250103</v>
      </c>
      <c r="B991" t="inlineStr">
        <is>
          <t>Approved</t>
        </is>
      </c>
      <c r="C991" t="inlineStr">
        <is>
          <t>Procurement Order</t>
        </is>
      </c>
      <c r="D991" s="3">
        <v>45833.64921296296</v>
      </c>
      <c r="E991" s="3">
        <v>45834.47857638889</v>
      </c>
      <c r="F991" t="inlineStr">
        <is>
          <t>Fatima Kathleen M. FLores</t>
        </is>
      </c>
      <c r="G991" t="inlineStr">
        <is>
          <t>Procurement</t>
        </is>
      </c>
      <c r="H991"/>
      <c r="I991"/>
      <c r="J991" t="inlineStr">
        <is>
          <t>Project</t>
        </is>
      </c>
      <c r="K991" t="inlineStr">
        <is>
          <t>PDEI - Event Service</t>
        </is>
      </c>
      <c r="L991" t="inlineStr">
        <is>
          <t>MPL PH S15 Addendum 2</t>
        </is>
      </c>
      <c r="M991" t="inlineStr">
        <is>
          <t>2025TEG-P0153</t>
        </is>
      </c>
      <c r="N991" t="inlineStr">
        <is>
          <t>Tiny</t>
        </is>
      </c>
      <c r="O991" t="inlineStr">
        <is>
          <t>202506200089-Tiny-费用报销 - 副本 - 副本 - 副本-2025-06-20 11:42:32</t>
        </is>
      </c>
      <c r="P991" t="inlineStr">
        <is>
          <t>YES</t>
        </is>
      </c>
      <c r="Q991"/>
      <c r="R991" t="inlineStr">
        <is>
          <t>NO</t>
        </is>
      </c>
      <c r="S991" t="inlineStr">
        <is>
          <t>Outsourced HMUA</t>
        </is>
      </c>
      <c r="T991">
        <v>1</v>
      </c>
      <c r="U991">
        <v>14400</v>
      </c>
      <c r="V991" t="inlineStr">
        <is>
          <t>PHP</t>
        </is>
      </c>
      <c r="W991">
        <v>14400</v>
      </c>
      <c r="X991" s="2" t="str">
        <f>=HYPERLINK("https://www.larksuite.com/approval/admin/previewAttachment?key=PMgxCkIxEATQK80km8yOl7ExfORrKkGrPbtgYftmEjMH-zTCbAZLg1aK7pNDjgZVK0qGKLDWPq4ZeW7FeqzzmZ9R7_vtWC8OqzWoR_QEwMvfuyLCnoGf4xsAAP__", "2 attachment(s)")</f>
        <v>2 attachment(s)</v>
      </c>
      <c r="Y991" t="inlineStr">
        <is>
          <t>Bank Transfer</t>
        </is>
      </c>
      <c r="Z991" t="inlineStr">
        <is>
          <t>Grace Filomeno</t>
        </is>
      </c>
      <c r="AA991" t="inlineStr">
        <is>
          <t>007340484415</t>
        </is>
      </c>
      <c r="AB991" t="inlineStr">
        <is>
          <t>BDO</t>
        </is>
      </c>
      <c r="AC991" t="inlineStr">
        <is>
          <t>89 T Santos St. San Jose, Rodriguez, Rizal</t>
        </is>
      </c>
      <c r="AD991" s="4">
        <v>45809</v>
      </c>
      <c r="AE991" t="inlineStr">
        <is>
          <t>100% Full Payment - June 20, 2025</t>
        </is>
      </c>
      <c r="AF991" s="2"/>
      <c r="AG991" t="inlineStr">
        <is>
          <t>NzQyNTk5MTgyNzQ4MTg3MDM0MToyN0I3NkIzOC03MERFLTQwQkQtQUQ4NC03QTc2MEU0MTg0QUUtMTo4YjkxMDE0ZTNlM2ZmOGMyNmZiMTlmNzYwZTk5MzZkNzox</t>
        </is>
      </c>
      <c r="AH991"/>
      <c r="AI991"/>
      <c r="AJ991"/>
      <c r="AK991"/>
    </row>
    <row r="992" ht="25.5" customHeight="1">
      <c r="A992" s="2" t="str">
        <f>=HYPERLINK("https://applink.larksuite.com/client/mini_program/open?appId=cli_9c7cc8a9a9edd105&amp;mode=appCenter&amp;path_pc=pc/pages/requested/index?instanceId=7519784957716348960&amp;source=bitable&amp;path=pages/detail/index?instanceId=7519784957716348960&amp;source=bitable", "202506250101")</f>
        <v>202506250101</v>
      </c>
      <c r="B992" t="inlineStr">
        <is>
          <t>Approved</t>
        </is>
      </c>
      <c r="C992" t="inlineStr">
        <is>
          <t>Procurement Order</t>
        </is>
      </c>
      <c r="D992" s="3">
        <v>45833.64319444444</v>
      </c>
      <c r="E992" s="3">
        <v>45833.74236111111</v>
      </c>
      <c r="F992" t="inlineStr">
        <is>
          <t>Fatima Kathleen M. FLores</t>
        </is>
      </c>
      <c r="G992" t="inlineStr">
        <is>
          <t>Procurement</t>
        </is>
      </c>
      <c r="H992"/>
      <c r="I992"/>
      <c r="J992" t="inlineStr">
        <is>
          <t>Project</t>
        </is>
      </c>
      <c r="K992" t="inlineStr">
        <is>
          <t>PDEI - Event Service</t>
        </is>
      </c>
      <c r="L992" t="inlineStr">
        <is>
          <t>GTCC Summer Showdown - Food Addendum</t>
        </is>
      </c>
      <c r="M992" t="inlineStr">
        <is>
          <t>2025TEG-P0156</t>
        </is>
      </c>
      <c r="N992" t="inlineStr">
        <is>
          <t>Frances Angelita Arreglado</t>
        </is>
      </c>
      <c r="O992" t="inlineStr">
        <is>
          <t>202506050115-Frances Angelita Arreglado-费用报销 - 副本 - 副本 - 副本-2025-06-05 12:37:11</t>
        </is>
      </c>
      <c r="P992" t="inlineStr">
        <is>
          <t>NO</t>
        </is>
      </c>
      <c r="Q992"/>
      <c r="R992" t="inlineStr">
        <is>
          <t>NO</t>
        </is>
      </c>
      <c r="S992" t="inlineStr">
        <is>
          <t>Crew Meals (Ingress, Event Days, Egress)</t>
        </is>
      </c>
      <c r="T992">
        <v>2950</v>
      </c>
      <c r="U992">
        <v>115</v>
      </c>
      <c r="V992" t="inlineStr">
        <is>
          <t>PHP</t>
        </is>
      </c>
      <c r="W992">
        <v>339250</v>
      </c>
      <c r="X992" s="2"/>
      <c r="Y992" t="inlineStr">
        <is>
          <t>Bank Transfer</t>
        </is>
      </c>
      <c r="Z992" t="inlineStr">
        <is>
          <t>Michelle Francine G. Manuntag</t>
        </is>
      </c>
      <c r="AA992" t="inlineStr">
        <is>
          <t>000170292002</t>
        </is>
      </c>
      <c r="AB992" t="inlineStr">
        <is>
          <t>BDO</t>
        </is>
      </c>
      <c r="AC992" t="inlineStr">
        <is>
          <t>Makati City</t>
        </is>
      </c>
      <c r="AD992" s="4">
        <v>45817</v>
      </c>
      <c r="AE992" t="inlineStr">
        <is>
          <t>100% Full Payment upon completion of services</t>
        </is>
      </c>
      <c r="AF992" s="2"/>
      <c r="AG992" t="inlineStr">
        <is>
          <t>NzQyNTk5MTgyNzQ4MTg3MDM0MTpEREJFNTgyOS0zRDlGLTREOEItQUFDNC0zQUZDQzU5MDYzOEEtMTo5Y2EwNzUzNjk4MDZmMmIzOWU4NGU5YzJjMjI3ZDdhYjox</t>
        </is>
      </c>
      <c r="AH992"/>
      <c r="AI992"/>
      <c r="AJ992"/>
      <c r="AK992"/>
    </row>
    <row r="993" ht="25.5" customHeight="1">
      <c r="A993" s="2" t="str">
        <f>=HYPERLINK("https://applink.larksuite.com/client/mini_program/open?appId=cli_9c7cc8a9a9edd105&amp;mode=appCenter&amp;path_pc=pc/pages/requested/index?instanceId=7519784957716348960&amp;source=bitable&amp;path=pages/detail/index?instanceId=7519784957716348960&amp;source=bitable", "202506250101")</f>
        <v>202506250101</v>
      </c>
      <c r="B993" t="inlineStr">
        <is>
          <t>Approved</t>
        </is>
      </c>
      <c r="C993" t="inlineStr">
        <is>
          <t>Procurement Order</t>
        </is>
      </c>
      <c r="D993" s="3">
        <v>45833.64319444444</v>
      </c>
      <c r="E993" s="3">
        <v>45833.74236111111</v>
      </c>
      <c r="F993" t="inlineStr">
        <is>
          <t>Fatima Kathleen M. FLores</t>
        </is>
      </c>
      <c r="G993" t="inlineStr">
        <is>
          <t>Procurement</t>
        </is>
      </c>
      <c r="H993"/>
      <c r="I993"/>
      <c r="J993" t="inlineStr">
        <is>
          <t>Project</t>
        </is>
      </c>
      <c r="K993" t="inlineStr">
        <is>
          <t>PDEI - Event Service</t>
        </is>
      </c>
      <c r="L993" t="inlineStr">
        <is>
          <t>GTCC Summer Showdown - Food Addendum</t>
        </is>
      </c>
      <c r="M993" t="inlineStr">
        <is>
          <t>2025TEG-P0156</t>
        </is>
      </c>
      <c r="N993" t="inlineStr">
        <is>
          <t>Frances Angelita Arreglado</t>
        </is>
      </c>
      <c r="O993" t="inlineStr">
        <is>
          <t>202506050115-Frances Angelita Arreglado-费用报销 - 副本 - 副本 - 副本-2025-06-05 12:37:11</t>
        </is>
      </c>
      <c r="P993" t="inlineStr">
        <is>
          <t>NO</t>
        </is>
      </c>
      <c r="Q993"/>
      <c r="R993" t="inlineStr">
        <is>
          <t>NO</t>
        </is>
      </c>
      <c r="S993" t="inlineStr">
        <is>
          <t>Delivery Fees</t>
        </is>
      </c>
      <c r="T993">
        <v>1</v>
      </c>
      <c r="U993">
        <v>8140</v>
      </c>
      <c r="V993" t="inlineStr">
        <is>
          <t>PHP</t>
        </is>
      </c>
      <c r="W993">
        <v>8140</v>
      </c>
      <c r="X993" s="2" t="str">
        <f>=HYPERLINK("https://www.larksuite.com/approval/admin/previewAttachment?key=PMgxqsMwEATQK81Iq52df5nf2Jg0BkOIiAudPZAi7csisgZ7GmE2g0uDVoWHxOxRTqy2KBmiwLWfx3-bdb6v2_d8Xdt2rfnYjv3JYbUG9YheAPj3866IsDPwdX4CAAD__w", "2 attachment(s)")</f>
        <v>2 attachment(s)</v>
      </c>
      <c r="Y993"/>
      <c r="Z993"/>
      <c r="AA993"/>
      <c r="AB993"/>
      <c r="AC993"/>
      <c r="AD993" s="4"/>
      <c r="AE993"/>
      <c r="AF993" s="2"/>
      <c r="AG993" t="inlineStr">
        <is>
          <t>NzQyNTk5MTgyNzQ4MTg3MDM0MTpEREJFNTgyOS0zRDlGLTREOEItQUFDNC0zQUZDQzU5MDYzOEEtMjo0NjViN2YyNDYyM2YzNjIzYmZlMzA3ZDZlMjZmOTU3MTox</t>
        </is>
      </c>
      <c r="AH993"/>
      <c r="AI993"/>
      <c r="AJ993"/>
      <c r="AK993"/>
    </row>
    <row r="994" ht="25.5" customHeight="1">
      <c r="A994" s="2" t="str">
        <f>=HYPERLINK("https://applink.larksuite.com/client/mini_program/open?appId=cli_9c7cc8a9a9edd105&amp;mode=appCenter&amp;path_pc=pc/pages/requested/index?instanceId=7519783935690276902&amp;source=bitable&amp;path=pages/detail/index?instanceId=7519783935690276902&amp;source=bitable", "202506250100")</f>
        <v>202506250100</v>
      </c>
      <c r="B994" t="inlineStr">
        <is>
          <t>Approved</t>
        </is>
      </c>
      <c r="C994" t="inlineStr">
        <is>
          <t>Procurement Order</t>
        </is>
      </c>
      <c r="D994" s="3">
        <v>45833.640439814815</v>
      </c>
      <c r="E994" s="3">
        <v>45834.478125</v>
      </c>
      <c r="F994" t="inlineStr">
        <is>
          <t>Fatima Kathleen M. FLores</t>
        </is>
      </c>
      <c r="G994" t="inlineStr">
        <is>
          <t>Procurement</t>
        </is>
      </c>
      <c r="H994"/>
      <c r="I994"/>
      <c r="J994" t="inlineStr">
        <is>
          <t>Project</t>
        </is>
      </c>
      <c r="K994" t="inlineStr">
        <is>
          <t>PDEI - Event Service</t>
        </is>
      </c>
      <c r="L994" t="inlineStr">
        <is>
          <t>MPL PH S15 Addendum 2</t>
        </is>
      </c>
      <c r="M994" t="inlineStr">
        <is>
          <t>2025TEG-P0153</t>
        </is>
      </c>
      <c r="N994" t="inlineStr">
        <is>
          <t>Tiny</t>
        </is>
      </c>
      <c r="O994" t="inlineStr">
        <is>
          <t>202506200089-Tiny-费用报销 - 副本 - 副本 - 副本-2025-06-20 11:42:32</t>
        </is>
      </c>
      <c r="P994" t="inlineStr">
        <is>
          <t>YES</t>
        </is>
      </c>
      <c r="Q994"/>
      <c r="R994" t="inlineStr">
        <is>
          <t>NO</t>
        </is>
      </c>
      <c r="S994" t="inlineStr">
        <is>
          <t>Outsourced Talent Performers (MNL48)</t>
        </is>
      </c>
      <c r="T994">
        <v>1</v>
      </c>
      <c r="U994">
        <v>60000</v>
      </c>
      <c r="V994" t="inlineStr">
        <is>
          <t>PHP</t>
        </is>
      </c>
      <c r="W994">
        <v>60000</v>
      </c>
      <c r="X994" s="2" t="str">
        <f>=HYPERLINK("https://www.larksuite.com/approval/admin/previewAttachment?key=PMgxCgIxFATQK83k_2QyXsbGZXEVF0HYYJGzixY2r3itE61XRjPSLAanKq0ejtqMoi-zTEqGKHAuj_W8Hbdt3cf7mWPwvs_jelmXF6tVChSZ0QHw9P9QZtot8Xt8AgAA__8", "2 attachment(s)")</f>
        <v>2 attachment(s)</v>
      </c>
      <c r="Y994" t="inlineStr">
        <is>
          <t>Bank Transfer</t>
        </is>
      </c>
      <c r="Z994" t="inlineStr">
        <is>
          <t>LiveBuzz Productions Inc.</t>
        </is>
      </c>
      <c r="AA994" t="inlineStr">
        <is>
          <t>7591346043</t>
        </is>
      </c>
      <c r="AB994" t="inlineStr">
        <is>
          <t>RCBC</t>
        </is>
      </c>
      <c r="AC994" t="inlineStr">
        <is>
          <t>2N The Symphony Tower 2, Sgt. Esguerra Avenue, corner Timog Ave, Quezon City</t>
        </is>
      </c>
      <c r="AD994" s="4">
        <v>45808</v>
      </c>
      <c r="AE994" t="inlineStr">
        <is>
          <t>100% Full Payment  - June 20, 2025</t>
        </is>
      </c>
      <c r="AF994" s="2"/>
      <c r="AG994" t="inlineStr">
        <is>
          <t>NzQyNTk5MTgyNzQ4MTg3MDM0MTowNjdEMjhCQi0xQzAzLTQzRUMtODBBOS0wRjI0QzIzNUQwM0EtMTo1ZGUxZmIyMmU4MzVjYjEwMzI1ODlmMGJlNGFlODRjMjox</t>
        </is>
      </c>
      <c r="AH994"/>
      <c r="AI994"/>
      <c r="AJ994"/>
      <c r="AK994"/>
    </row>
    <row r="995" ht="25.5" customHeight="1">
      <c r="A995" s="2" t="str">
        <f>=HYPERLINK("https://applink.larksuite.com/client/mini_program/open?appId=cli_9c7cc8a9a9edd105&amp;mode=appCenter&amp;path_pc=pc/pages/requested/index?instanceId=7519768801630519335&amp;source=bitable&amp;path=pages/detail/index?instanceId=7519768801630519335&amp;source=bitable", "202506250070")</f>
        <v>202506250070</v>
      </c>
      <c r="B995" t="inlineStr">
        <is>
          <t>Approved</t>
        </is>
      </c>
      <c r="C995" t="inlineStr">
        <is>
          <t>Procurement Order</t>
        </is>
      </c>
      <c r="D995" s="3">
        <v>45833.599652777775</v>
      </c>
      <c r="E995" s="3">
        <v>45834.662083333336</v>
      </c>
      <c r="F995" t="inlineStr">
        <is>
          <t>Fatima Kathleen M. FLores</t>
        </is>
      </c>
      <c r="G995" t="inlineStr">
        <is>
          <t>Procurement</t>
        </is>
      </c>
      <c r="H995"/>
      <c r="I995"/>
      <c r="J995" t="inlineStr">
        <is>
          <t>Project</t>
        </is>
      </c>
      <c r="K995" t="inlineStr">
        <is>
          <t>PDEI - Game Marketing</t>
        </is>
      </c>
      <c r="L995" t="inlineStr">
        <is>
          <t>BuzzOne - C-Vitt Brand Activation</t>
        </is>
      </c>
      <c r="M995" t="inlineStr">
        <is>
          <t>2025TEG-P0135</t>
        </is>
      </c>
      <c r="N995" t="inlineStr">
        <is>
          <t>Carla Andrea Calma Crespo</t>
        </is>
      </c>
      <c r="O995" t="inlineStr">
        <is>
          <t>202506230091-Carla Andrea Calma Crespo-费用报销 - 副本 - 副本 - 副本-2025-06-23 09:51:03</t>
        </is>
      </c>
      <c r="P995" t="inlineStr">
        <is>
          <t>NO</t>
        </is>
      </c>
      <c r="Q995"/>
      <c r="R995" t="inlineStr">
        <is>
          <t>YES</t>
        </is>
      </c>
      <c r="S995" t="inlineStr">
        <is>
          <t>QR POSTER (Material: 3mm sintra board, matte vinyl sticker / Size: A41 Side Print / NO LAM)</t>
        </is>
      </c>
      <c r="T995">
        <v>3</v>
      </c>
      <c r="U995">
        <v>163.145</v>
      </c>
      <c r="V995" t="inlineStr">
        <is>
          <t>PHP</t>
        </is>
      </c>
      <c r="W995">
        <v>489.435</v>
      </c>
      <c r="X995" s="2"/>
      <c r="Y995" t="inlineStr">
        <is>
          <t>Bank Transfer</t>
        </is>
      </c>
      <c r="Z995" t="inlineStr">
        <is>
          <t>Bescost Digital Marketing Services Inc.</t>
        </is>
      </c>
      <c r="AA995" t="inlineStr">
        <is>
          <t>00000-5674-8951</t>
        </is>
      </c>
      <c r="AB995" t="inlineStr">
        <is>
          <t>Security Bank</t>
        </is>
      </c>
      <c r="AC995" t="inlineStr">
        <is>
          <t>5105-A Sulok St., Brgy. Ugong, Valenzuela City</t>
        </is>
      </c>
      <c r="AD995" s="4">
        <v>45840</v>
      </c>
      <c r="AE995" t="inlineStr">
        <is>
          <t>100% Full Payment - 15 days upon complete delivery</t>
        </is>
      </c>
      <c r="AF995" s="2"/>
      <c r="AG995" t="inlineStr">
        <is>
          <t>NzQyNTk5MTgyNzQ4MTg3MDM0MTo0RDNFMjg1Ny1EQkRGLTQzNjUtQUNEMC1FMjk0QjZFNkI4QjEtMTpmYjg0MjhiYzJhMWQyYjZmMWFlNzk4Y2Y2ZTYzYjcyNTox</t>
        </is>
      </c>
      <c r="AH995"/>
      <c r="AI995"/>
      <c r="AJ995"/>
      <c r="AK995"/>
    </row>
    <row r="996" ht="25.5" customHeight="1">
      <c r="A996" s="2" t="str">
        <f>=HYPERLINK("https://applink.larksuite.com/client/mini_program/open?appId=cli_9c7cc8a9a9edd105&amp;mode=appCenter&amp;path_pc=pc/pages/requested/index?instanceId=7519768801630519335&amp;source=bitable&amp;path=pages/detail/index?instanceId=7519768801630519335&amp;source=bitable", "202506250070")</f>
        <v>202506250070</v>
      </c>
      <c r="B996" t="inlineStr">
        <is>
          <t>Approved</t>
        </is>
      </c>
      <c r="C996" t="inlineStr">
        <is>
          <t>Procurement Order</t>
        </is>
      </c>
      <c r="D996" s="3">
        <v>45833.599652777775</v>
      </c>
      <c r="E996" s="3">
        <v>45834.662083333336</v>
      </c>
      <c r="F996" t="inlineStr">
        <is>
          <t>Fatima Kathleen M. FLores</t>
        </is>
      </c>
      <c r="G996" t="inlineStr">
        <is>
          <t>Procurement</t>
        </is>
      </c>
      <c r="H996"/>
      <c r="I996"/>
      <c r="J996" t="inlineStr">
        <is>
          <t>Project</t>
        </is>
      </c>
      <c r="K996" t="inlineStr">
        <is>
          <t>PDEI - Game Marketing</t>
        </is>
      </c>
      <c r="L996" t="inlineStr">
        <is>
          <t>BuzzOne - C-Vitt Brand Activation</t>
        </is>
      </c>
      <c r="M996" t="inlineStr">
        <is>
          <t>2025TEG-P0135</t>
        </is>
      </c>
      <c r="N996" t="inlineStr">
        <is>
          <t>Carla Andrea Calma Crespo</t>
        </is>
      </c>
      <c r="O996" t="inlineStr">
        <is>
          <t>202506230091-Carla Andrea Calma Crespo-费用报销 - 副本 - 副本 - 副本-2025-06-23 09:51:03</t>
        </is>
      </c>
      <c r="P996" t="inlineStr">
        <is>
          <t>NO</t>
        </is>
      </c>
      <c r="Q996"/>
      <c r="R996" t="inlineStr">
        <is>
          <t>YES</t>
        </is>
      </c>
      <c r="S996" t="inlineStr">
        <is>
          <t>ONSITE POSTER (Material: 3mm sintra board, matte vinyl sticker / Size: A41 Side Print / NO LAM)</t>
        </is>
      </c>
      <c r="T996">
        <v>7</v>
      </c>
      <c r="U996">
        <v>163.145</v>
      </c>
      <c r="V996" t="inlineStr">
        <is>
          <t>PHP</t>
        </is>
      </c>
      <c r="W996">
        <v>1142.015</v>
      </c>
      <c r="X996" s="2" t="str">
        <f>=HYPERLINK("https://www.larksuite.com/approval/admin/previewAttachment?key=PMg7CoIxEATgK81k317GJj9BhdiIisWeXbCw_TwJT6N4QYujwA5jhWeCLjCWiPVoRhSCAfax13k-93V9pt1z17i9-3WZ63jQKsZAiKokAJ7-LqGqVa74Ob8BAAD__w", "2 attachment(s)")</f>
        <v>2 attachment(s)</v>
      </c>
      <c r="Y996"/>
      <c r="Z996"/>
      <c r="AA996"/>
      <c r="AB996"/>
      <c r="AC996"/>
      <c r="AD996" s="4"/>
      <c r="AE996"/>
      <c r="AF996" s="2"/>
      <c r="AG996" t="inlineStr">
        <is>
          <t>NzQyNTk5MTgyNzQ4MTg3MDM0MTo0RDNFMjg1Ny1EQkRGLTQzNjUtQUNEMC1FMjk0QjZFNkI4QjEtMjo4OGU0NmVmMjNiM2ViZDExNjdhYWM4MWQxNzZkNDRmYjox</t>
        </is>
      </c>
      <c r="AH996"/>
      <c r="AI996"/>
      <c r="AJ996"/>
      <c r="AK996"/>
    </row>
    <row r="997" ht="25.5" customHeight="1">
      <c r="A997" s="2" t="str">
        <f>=HYPERLINK("https://applink.larksuite.com/client/mini_program/open?appId=cli_9c7cc8a9a9edd105&amp;mode=appCenter&amp;path_pc=pc/pages/requested/index?instanceId=7519827283373342752&amp;source=bitable&amp;path=pages/detail/index?instanceId=7519827283373342752&amp;source=bitable", "202506250154")</f>
        <v>202506250154</v>
      </c>
      <c r="B997" t="inlineStr">
        <is>
          <t>Approved</t>
        </is>
      </c>
      <c r="C997" t="inlineStr">
        <is>
          <t>Procurement Order</t>
        </is>
      </c>
      <c r="D997" s="3">
        <v>45833.75724537037</v>
      </c>
      <c r="E997" s="3">
        <v>45834.40908564815</v>
      </c>
      <c r="F997" t="inlineStr">
        <is>
          <t>Fatima Kathleen M. FLores</t>
        </is>
      </c>
      <c r="G997" t="inlineStr">
        <is>
          <t>Procurement</t>
        </is>
      </c>
      <c r="H997"/>
      <c r="I997"/>
      <c r="J997" t="inlineStr">
        <is>
          <t>Project</t>
        </is>
      </c>
      <c r="K997" t="inlineStr">
        <is>
          <t>PDEI - Game Marketing</t>
        </is>
      </c>
      <c r="L997" t="inlineStr">
        <is>
          <t>SM Cyberzone Gamefest 2025 - Talents [SM Seaside City Cebu &amp; SM Lanang Premier]</t>
        </is>
      </c>
      <c r="M997" t="inlineStr">
        <is>
          <t>2025TEG-P0139</t>
        </is>
      </c>
      <c r="N997" t="inlineStr">
        <is>
          <t>Anteaus Villena</t>
        </is>
      </c>
      <c r="O997" t="inlineStr">
        <is>
          <t>202506040029-Anteaus Villena-费用报销 - 副本 - 副本 - 副本-2025-06-04 04:30:28</t>
        </is>
      </c>
      <c r="P997" t="inlineStr">
        <is>
          <t>YES</t>
        </is>
      </c>
      <c r="Q997"/>
      <c r="R997" t="inlineStr">
        <is>
          <t>NO</t>
        </is>
      </c>
      <c r="S997" t="inlineStr">
        <is>
          <t>Outsourced Talent / Host (The Human)</t>
        </is>
      </c>
      <c r="T997">
        <v>1</v>
      </c>
      <c r="U997">
        <v>9000</v>
      </c>
      <c r="V997" t="inlineStr">
        <is>
          <t>PHP</t>
        </is>
      </c>
      <c r="W997">
        <v>9000</v>
      </c>
      <c r="X997" s="2" t="str">
        <f>=HYPERLINK("https://www.larksuite.com/approval/admin/previewAttachment?key=PMg9qkIxFATgLc35y2TeZl5juChcQRCizVm7YGH7jWkYsyyGkDIXrFmm6fQZwYh0lre3kQKNsF734_-s87Yfb235q2L1vl6O9bQS3cHIjAnA_n4ezExpJL6OTwAAAP__", "2 attachment(s)")</f>
        <v>2 attachment(s)</v>
      </c>
      <c r="Y997" t="inlineStr">
        <is>
          <t>Bank Transfer</t>
        </is>
      </c>
      <c r="Z997" t="inlineStr">
        <is>
          <t>Christian Yu</t>
        </is>
      </c>
      <c r="AA997" t="inlineStr">
        <is>
          <t>09398600480</t>
        </is>
      </c>
      <c r="AB997" t="inlineStr">
        <is>
          <t>GCash</t>
        </is>
      </c>
      <c r="AC997" t="inlineStr">
        <is>
          <t>Durian St., Matina, Davao City</t>
        </is>
      </c>
      <c r="AD997" s="4">
        <v>45801</v>
      </c>
      <c r="AE997" t="inlineStr">
        <is>
          <t>100% Full Payment - July 11, 2025</t>
        </is>
      </c>
      <c r="AF997" s="2"/>
      <c r="AG997" t="inlineStr">
        <is>
          <t>NzQyNTk5MTgyNzQ4MTg3MDM0MTpGMzBENjRFNi01NDU1LTRERDgtOUQyMS05OUQ3QzU2NDA5Q0EtMTpjNDBhZTg5OGYxYjY5OWY3ZThiNDhjMDVjNTZmMGFkYjox</t>
        </is>
      </c>
      <c r="AH997"/>
      <c r="AI997"/>
      <c r="AJ997"/>
      <c r="AK997"/>
    </row>
    <row r="998" ht="25.5" customHeight="1">
      <c r="A998" s="2" t="str">
        <f>=HYPERLINK("https://applink.larksuite.com/client/mini_program/open?appId=cli_9c7cc8a9a9edd105&amp;mode=appCenter&amp;path_pc=pc/pages/requested/index?instanceId=7519824807773388838&amp;source=bitable&amp;path=pages/detail/index?instanceId=7519824807773388838&amp;source=bitable", "202506250150")</f>
        <v>202506250150</v>
      </c>
      <c r="B998" t="inlineStr">
        <is>
          <t>Approved</t>
        </is>
      </c>
      <c r="C998" t="inlineStr">
        <is>
          <t>Procurement Order</t>
        </is>
      </c>
      <c r="D998" s="3">
        <v>45833.7505787037</v>
      </c>
      <c r="E998" s="3">
        <v>45834.40998842593</v>
      </c>
      <c r="F998" t="inlineStr">
        <is>
          <t>Fatima Kathleen M. FLores</t>
        </is>
      </c>
      <c r="G998" t="inlineStr">
        <is>
          <t>Procurement</t>
        </is>
      </c>
      <c r="H998"/>
      <c r="I998"/>
      <c r="J998" t="inlineStr">
        <is>
          <t>Project</t>
        </is>
      </c>
      <c r="K998" t="inlineStr">
        <is>
          <t>PDEI - Game Marketing</t>
        </is>
      </c>
      <c r="L998" t="inlineStr">
        <is>
          <t>SM Cyberzone Gamefest 2025 - Talents [SM Seaside City Cebu &amp; SM Lanang Premier]</t>
        </is>
      </c>
      <c r="M998" t="inlineStr">
        <is>
          <t>2025TEG-P0139</t>
        </is>
      </c>
      <c r="N998" t="inlineStr">
        <is>
          <t>Anteaus Villena</t>
        </is>
      </c>
      <c r="O998" t="inlineStr">
        <is>
          <t>202506040029-Anteaus Villena-费用报销 - 副本 - 副本 - 副本-2025-06-04 04:30:28</t>
        </is>
      </c>
      <c r="P998" t="inlineStr">
        <is>
          <t>YES</t>
        </is>
      </c>
      <c r="Q998"/>
      <c r="R998" t="inlineStr">
        <is>
          <t>NO</t>
        </is>
      </c>
      <c r="S998" t="inlineStr">
        <is>
          <t>Outsourced Talent / Host (Phaister)</t>
        </is>
      </c>
      <c r="T998">
        <v>1</v>
      </c>
      <c r="U998">
        <v>93888.89</v>
      </c>
      <c r="V998" t="inlineStr">
        <is>
          <t>PHP</t>
        </is>
      </c>
      <c r="W998">
        <v>93888.89</v>
      </c>
      <c r="X998" s="2" t="str">
        <f>=HYPERLINK("https://www.larksuite.com/approval/admin/previewAttachment?key=PMhBCgIxDAXQK_00af-Pl3EzQ1FQEaQDLnJ2wcVs35BhqJuPRKS1hBW7pVoIJN0luaqVkQkaYbU_53V9tV5rAvF4H9u9jts294_1ZGugR7gA2OV0Z0RkjsDf8QsAAP__", "2 attachment(s)")</f>
        <v>2 attachment(s)</v>
      </c>
      <c r="Y998" t="inlineStr">
        <is>
          <t>Bank Transfer</t>
        </is>
      </c>
      <c r="Z998" t="inlineStr">
        <is>
          <t>Nona Sibayan</t>
        </is>
      </c>
      <c r="AA998" t="inlineStr">
        <is>
          <t>109485313471</t>
        </is>
      </c>
      <c r="AB998" t="inlineStr">
        <is>
          <t>Unionbank</t>
        </is>
      </c>
      <c r="AC998" t="inlineStr">
        <is>
          <t>Blk. 8 Lt. 18 Gen lim st. Soldiers Hills 2, LPC</t>
        </is>
      </c>
      <c r="AD998" s="4">
        <v>45794</v>
      </c>
      <c r="AE998" t="inlineStr">
        <is>
          <t>1st Payment - July 4, 2025
Final Payment - July 11, 2025</t>
        </is>
      </c>
      <c r="AF998" s="2"/>
      <c r="AG998" t="inlineStr">
        <is>
          <t>NzQyNTk5MTgyNzQ4MTg3MDM0MTpFRDg3RTBFNC0zQjcwLTQxMDEtOUVFRC1EOTVGMEQxMDQwRUUtMTowMDQ2MjlkN2ZhMzNiNTVjNjgxYjU2NzBkNzViMTk5ODox</t>
        </is>
      </c>
      <c r="AH998"/>
      <c r="AI998"/>
      <c r="AJ998"/>
      <c r="AK998"/>
    </row>
    <row r="999" ht="25.5" customHeight="1">
      <c r="A999" s="2" t="str">
        <f>=HYPERLINK("https://applink.larksuite.com/client/mini_program/open?appId=cli_9c7cc8a9a9edd105&amp;mode=appCenter&amp;path_pc=pc/pages/requested/index?instanceId=7519815763503398951&amp;source=bitable&amp;path=pages/detail/index?instanceId=7519815763503398951&amp;source=bitable", "202506250136")</f>
        <v>202506250136</v>
      </c>
      <c r="B999" t="inlineStr">
        <is>
          <t>Approved</t>
        </is>
      </c>
      <c r="C999" t="inlineStr">
        <is>
          <t>Procurement Order</t>
        </is>
      </c>
      <c r="D999" s="3">
        <v>45833.72620370371</v>
      </c>
      <c r="E999" s="3">
        <v>45834.46078703704</v>
      </c>
      <c r="F999" t="inlineStr">
        <is>
          <t>Fatima Kathleen M. FLores</t>
        </is>
      </c>
      <c r="G999" t="inlineStr">
        <is>
          <t>Procurement</t>
        </is>
      </c>
      <c r="H999"/>
      <c r="I999"/>
      <c r="J999" t="inlineStr">
        <is>
          <t>Project</t>
        </is>
      </c>
      <c r="K999" t="inlineStr">
        <is>
          <t>PDEI - Game Marketing</t>
        </is>
      </c>
      <c r="L999" t="inlineStr">
        <is>
          <t>The Ragnarok Phase 9</t>
        </is>
      </c>
      <c r="M999" t="inlineStr">
        <is>
          <t>2025TEG-P0161</t>
        </is>
      </c>
      <c r="N999" t="inlineStr">
        <is>
          <t>Anteaus Villena</t>
        </is>
      </c>
      <c r="O999" t="inlineStr">
        <is>
          <t>202506180036-Anteaus Villena-费用报销 - 副本 - 副本 - 副本-2025-06-18 05:33:13</t>
        </is>
      </c>
      <c r="P999" t="inlineStr">
        <is>
          <t>YES</t>
        </is>
      </c>
      <c r="Q999"/>
      <c r="R999" t="inlineStr">
        <is>
          <t>NO</t>
        </is>
      </c>
      <c r="S999" t="inlineStr">
        <is>
          <t>Outsourced Talent Streamer (MBGG)</t>
        </is>
      </c>
      <c r="T999">
        <v>1</v>
      </c>
      <c r="U999">
        <v>75525</v>
      </c>
      <c r="V999" t="inlineStr">
        <is>
          <t>PHP</t>
        </is>
      </c>
      <c r="W999">
        <v>75525</v>
      </c>
      <c r="X999" s="2" t="str">
        <f>=HYPERLINK("https://www.larksuite.com/approval/admin/previewAttachment?key=PMgxDsJQDAPQK9nfyU_MZVhaVSydEFWXf3YkBtY3m5id1DTCHAZXJd3MmkpIbifXWKwyigWu_Tye4-rzvsW4temT63ptx_5musZAKUINgI-_qyLCnoGf4xsAAP__", "2 attachment(s)")</f>
        <v>2 attachment(s)</v>
      </c>
      <c r="Y999" t="inlineStr">
        <is>
          <t>Bank Transfer</t>
        </is>
      </c>
      <c r="Z999" t="inlineStr">
        <is>
          <t>Mario Bienavel C. Gementiza</t>
        </is>
      </c>
      <c r="AA999" t="inlineStr">
        <is>
          <t>006910004573</t>
        </is>
      </c>
      <c r="AB999" t="inlineStr">
        <is>
          <t>BDO</t>
        </is>
      </c>
      <c r="AC999" t="inlineStr">
        <is>
          <t>Circulo Verde, Calle Industria, Brgy. Bagumbayan, Libis, Quezon City</t>
        </is>
      </c>
      <c r="AD999" s="4">
        <v>45815</v>
      </c>
      <c r="AE999" t="inlineStr">
        <is>
          <t>1st Payment - Aug. 22, 2025
Final Payment - Sept. 5, 2025</t>
        </is>
      </c>
      <c r="AF999" s="2"/>
      <c r="AG999" t="inlineStr">
        <is>
          <t>NzQyNTk5MTgyNzQ4MTg3MDM0MTo3NzUxMThDQi0zRURFLTQxQzgtOUQyNC1EQTZCNjlDRUY2RTktMTo4MzllY2ViMzhiNGExNGQwZmZlNjU1Y2EzYzVkMjk3ODox</t>
        </is>
      </c>
      <c r="AH999"/>
      <c r="AI999"/>
      <c r="AJ999"/>
      <c r="AK999"/>
    </row>
    <row r="1000" ht="25.5" customHeight="1">
      <c r="A1000" s="2" t="str">
        <f>=HYPERLINK("https://applink.larksuite.com/client/mini_program/open?appId=cli_9c7cc8a9a9edd105&amp;mode=appCenter&amp;path_pc=pc/pages/requested/index?instanceId=7519828337129242655&amp;source=bitable&amp;path=pages/detail/index?instanceId=7519828337129242655&amp;source=bitable", "202506250155")</f>
        <v>202506250155</v>
      </c>
      <c r="B1000" t="inlineStr">
        <is>
          <t>Approved</t>
        </is>
      </c>
      <c r="C1000" t="inlineStr">
        <is>
          <t>Procurement Order</t>
        </is>
      </c>
      <c r="D1000" s="3">
        <v>45833.760092592594</v>
      </c>
      <c r="E1000" s="3">
        <v>45834.41237268518</v>
      </c>
      <c r="F1000" t="inlineStr">
        <is>
          <t>Fatima Kathleen M. FLores</t>
        </is>
      </c>
      <c r="G1000" t="inlineStr">
        <is>
          <t>Procurement</t>
        </is>
      </c>
      <c r="H1000"/>
      <c r="I1000"/>
      <c r="J1000" t="inlineStr">
        <is>
          <t>Project</t>
        </is>
      </c>
      <c r="K1000" t="inlineStr">
        <is>
          <t>PDEI - Game Marketing</t>
        </is>
      </c>
      <c r="L1000" t="inlineStr">
        <is>
          <t>SM Cyberzone Gamefest 2025 - Talents [SM Seaside City Cebu &amp; SM Lanang Premier]</t>
        </is>
      </c>
      <c r="M1000" t="inlineStr">
        <is>
          <t>2025TEG-P0139</t>
        </is>
      </c>
      <c r="N1000" t="inlineStr">
        <is>
          <t>Anteaus Villena</t>
        </is>
      </c>
      <c r="O1000" t="inlineStr">
        <is>
          <t>202506040029-Anteaus Villena-费用报销 - 副本 - 副本 - 副本-2025-06-04 04:30:28</t>
        </is>
      </c>
      <c r="P1000" t="inlineStr">
        <is>
          <t>YES</t>
        </is>
      </c>
      <c r="Q1000"/>
      <c r="R1000" t="inlineStr">
        <is>
          <t>NO</t>
        </is>
      </c>
      <c r="S1000" t="inlineStr">
        <is>
          <t>Outsourced Talent / Host (AB)</t>
        </is>
      </c>
      <c r="T1000">
        <v>1</v>
      </c>
      <c r="U1000">
        <v>5000</v>
      </c>
      <c r="V1000" t="inlineStr">
        <is>
          <t>PHP</t>
        </is>
      </c>
      <c r="W1000">
        <v>5000</v>
      </c>
      <c r="X1000" s="2" t="str">
        <f>=HYPERLINK("https://www.larksuite.com/approval/admin/previewAttachment?key=PMg9igJBEAXgK71X_7WX2cRhELEjYbCDOrtgYPpFEVFOjYY1pcFJZ5eUalJaTMJ9ZJjZSCY4xzr_dZXo3o9a1_O991z323m86J0iSDXTAsC_n2uaWXcYvo5PAAAA__8", "2 attachment(s)")</f>
        <v>2 attachment(s)</v>
      </c>
      <c r="Y1000" t="inlineStr">
        <is>
          <t>Bank Transfer</t>
        </is>
      </c>
      <c r="Z1000" t="inlineStr">
        <is>
          <t>Joselito A. Lagon Jr.</t>
        </is>
      </c>
      <c r="AA1000" t="inlineStr">
        <is>
          <t>09923958056</t>
        </is>
      </c>
      <c r="AB1000" t="inlineStr">
        <is>
          <t>Maya</t>
        </is>
      </c>
      <c r="AC1000" t="inlineStr">
        <is>
          <t>#10 Atis Cor. Luisa Sts., Juna Subd., Brgy. Matina Crossing, Davao City</t>
        </is>
      </c>
      <c r="AD1000" s="4">
        <v>45802</v>
      </c>
      <c r="AE1000" t="inlineStr">
        <is>
          <t>100% Full Payment - July 11, 2025</t>
        </is>
      </c>
      <c r="AF1000" s="2"/>
      <c r="AG1000" t="inlineStr">
        <is>
          <t>NzQyNTk5MTgyNzQ4MTg3MDM0MTo0RjBDNzBGMy01ODZGLTQ3MEUtQUIxQS1GMTRCMkY4RDA2MDctMTplMzY0NGJkOTNjYmQzNzFjZTZmNDUzODM3NDQyMmQyZDox</t>
        </is>
      </c>
      <c r="AH1000"/>
      <c r="AI1000"/>
      <c r="AJ1000"/>
      <c r="AK1000"/>
    </row>
    <row r="1001" ht="25.5" customHeight="1">
      <c r="A1001" s="2" t="str">
        <f>=HYPERLINK("https://applink.larksuite.com/client/mini_program/open?appId=cli_9c7cc8a9a9edd105&amp;mode=appCenter&amp;path_pc=pc/pages/requested/index?instanceId=7519813221570707487&amp;source=bitable&amp;path=pages/detail/index?instanceId=7519813221570707487&amp;source=bitable", "202506250131")</f>
        <v>202506250131</v>
      </c>
      <c r="B1001" t="inlineStr">
        <is>
          <t>Approved</t>
        </is>
      </c>
      <c r="C1001" t="inlineStr">
        <is>
          <t>Procurement Order</t>
        </is>
      </c>
      <c r="D1001" s="3">
        <v>45833.719351851854</v>
      </c>
      <c r="E1001" s="3">
        <v>45834.507152777776</v>
      </c>
      <c r="F1001" t="inlineStr">
        <is>
          <t>Fatima Kathleen M. FLores</t>
        </is>
      </c>
      <c r="G1001" t="inlineStr">
        <is>
          <t>Procurement</t>
        </is>
      </c>
      <c r="H1001"/>
      <c r="I1001"/>
      <c r="J1001" t="inlineStr">
        <is>
          <t>Project</t>
        </is>
      </c>
      <c r="K1001" t="inlineStr">
        <is>
          <t>PDEI - Game Marketing</t>
        </is>
      </c>
      <c r="L1001" t="inlineStr">
        <is>
          <t>SEC July Display Plan (APEX)</t>
        </is>
      </c>
      <c r="M1001" t="inlineStr">
        <is>
          <t>2025TEG-P0146</t>
        </is>
      </c>
      <c r="N1001" t="inlineStr">
        <is>
          <t>Nadine Nora</t>
        </is>
      </c>
      <c r="O1001" t="inlineStr">
        <is>
          <t>202506110003-Nadine Nora-费用报销 - 副本 - 副本 - 副本-2025-06-11 01:32:00</t>
        </is>
      </c>
      <c r="P1001" t="inlineStr">
        <is>
          <t>YES</t>
        </is>
      </c>
      <c r="Q1001"/>
      <c r="R1001" t="inlineStr">
        <is>
          <t>NO</t>
        </is>
      </c>
      <c r="S1001" t="inlineStr">
        <is>
          <t>Outsourced 3D Artist</t>
        </is>
      </c>
      <c r="T1001">
        <v>1</v>
      </c>
      <c r="U1001">
        <v>30000</v>
      </c>
      <c r="V1001" t="inlineStr">
        <is>
          <t>PHP</t>
        </is>
      </c>
      <c r="W1001">
        <v>30000</v>
      </c>
      <c r="X1001" s="2" t="str">
        <f>=HYPERLINK("https://www.larksuite.com/approval/admin/previewAttachment?key=PMgxCgJBDAXQK_2fSeYnXsbGZZGFqQRhipxdsNj2zSRmBscseNEKbAUrOcwYgiBPtTWlgiiwj3U-0_NaG_tK7rWjv-_XeXwYJTNouI8EwMftQ-5eNR1_xy8AAP__", "2 attachment(s)")</f>
        <v>2 attachment(s)</v>
      </c>
      <c r="Y1001" t="inlineStr">
        <is>
          <t>Bank Transfer</t>
        </is>
      </c>
      <c r="Z1001" t="inlineStr">
        <is>
          <t>Jeric Angelo C. Asinas</t>
        </is>
      </c>
      <c r="AA1001" t="inlineStr">
        <is>
          <t>4519301747</t>
        </is>
      </c>
      <c r="AB1001" t="inlineStr">
        <is>
          <t>BPI</t>
        </is>
      </c>
      <c r="AC1001" t="inlineStr">
        <is>
          <t>1723 Lirio St. Camarin, Brgy 174 Caloocan City</t>
        </is>
      </c>
      <c r="AD1001" s="4">
        <v>45817</v>
      </c>
      <c r="AE1001" t="inlineStr">
        <is>
          <t>1st Payment - July 4, 2025
Final Payment - July 18, 2025</t>
        </is>
      </c>
      <c r="AF1001" s="2"/>
      <c r="AG1001" t="inlineStr">
        <is>
          <t>NzQyNTk5MTgyNzQ4MTg3MDM0MTo0NEU4N0NEOC03NTM3LTQzNUMtOTZBNi1FODBDNDFEQ0VFRUItMTowMWRjMzYxZjgwYzMxZGJlZDg1NWYyNGJhMGQxMWYyYjox</t>
        </is>
      </c>
      <c r="AH1001"/>
      <c r="AI1001"/>
      <c r="AJ1001"/>
      <c r="AK1001"/>
    </row>
    <row r="1002" ht="25.5" customHeight="1">
      <c r="A1002" s="2" t="str">
        <f>=HYPERLINK("https://applink.larksuite.com/client/mini_program/open?appId=cli_9c7cc8a9a9edd105&amp;mode=appCenter&amp;path_pc=pc/pages/requested/index?instanceId=7519838072599527456&amp;source=bitable&amp;path=pages/detail/index?instanceId=7519838072599527456&amp;source=bitable", "202506250176")</f>
        <v>202506250176</v>
      </c>
      <c r="B1002" t="inlineStr">
        <is>
          <t>Approved</t>
        </is>
      </c>
      <c r="C1002" t="inlineStr">
        <is>
          <t>Procurement Order</t>
        </is>
      </c>
      <c r="D1002" s="3">
        <v>45833.78631944444</v>
      </c>
      <c r="E1002" s="3">
        <v>45834.41358796296</v>
      </c>
      <c r="F1002" t="inlineStr">
        <is>
          <t>Fatima Kathleen M. FLores</t>
        </is>
      </c>
      <c r="G1002" t="inlineStr">
        <is>
          <t>Procurement</t>
        </is>
      </c>
      <c r="H1002"/>
      <c r="I1002"/>
      <c r="J1002" t="inlineStr">
        <is>
          <t>Project</t>
        </is>
      </c>
      <c r="K1002" t="inlineStr">
        <is>
          <t>PDEI - Game Marketing</t>
        </is>
      </c>
      <c r="L1002" t="inlineStr">
        <is>
          <t>SM Cyberzone Gamefest 2025 - Talents [SM Seaside City Cebu &amp; SM Lanang Premier]</t>
        </is>
      </c>
      <c r="M1002" t="inlineStr">
        <is>
          <t>2025TEG-P0139</t>
        </is>
      </c>
      <c r="N1002" t="inlineStr">
        <is>
          <t>Anteaus Villena</t>
        </is>
      </c>
      <c r="O1002" t="inlineStr">
        <is>
          <t>202506040029-Anteaus Villena-费用报销 - 副本 - 副本 - 副本-2025-06-04 04:30:28</t>
        </is>
      </c>
      <c r="P1002" t="inlineStr">
        <is>
          <t>YES</t>
        </is>
      </c>
      <c r="Q1002"/>
      <c r="R1002" t="inlineStr">
        <is>
          <t>NO</t>
        </is>
      </c>
      <c r="S1002" t="inlineStr">
        <is>
          <t>Outsourced Talent / Host (Dr. B)</t>
        </is>
      </c>
      <c r="T1002">
        <v>1</v>
      </c>
      <c r="U1002">
        <v>5000</v>
      </c>
      <c r="V1002" t="inlineStr">
        <is>
          <t>PHP</t>
        </is>
      </c>
      <c r="W1002">
        <v>5000</v>
      </c>
      <c r="X1002" s="2" t="str">
        <f>=HYPERLINK("https://www.larksuite.com/approval/admin/previewAttachment?key=PMhBCsJADAXQK_2fSeZPvIwby2CVSkGobnJ2wUW3rw-ij2DrCU9agqVgjjYgi8wwefSyopQQBdayzet6PFb77F_t2-TzVcf9Npc3I2UGNfc2APByepO7Z3bH3_ELAAD__w", "2 attachment(s)")</f>
        <v>2 attachment(s)</v>
      </c>
      <c r="Y1002" t="inlineStr">
        <is>
          <t>Bank Transfer</t>
        </is>
      </c>
      <c r="Z1002" t="inlineStr">
        <is>
          <t>Szhan Moises Rie Espra</t>
        </is>
      </c>
      <c r="AA1002" t="inlineStr">
        <is>
          <t>09688631215</t>
        </is>
      </c>
      <c r="AB1002" t="inlineStr">
        <is>
          <t>GCash</t>
        </is>
      </c>
      <c r="AC1002" t="inlineStr">
        <is>
          <t>Casili, Mandaue City</t>
        </is>
      </c>
      <c r="AD1002" s="4">
        <v>45795</v>
      </c>
      <c r="AE1002" t="inlineStr">
        <is>
          <t>100% Full Payment - July 4, 2025</t>
        </is>
      </c>
      <c r="AF1002" s="2"/>
      <c r="AG1002" t="inlineStr">
        <is>
          <t>NzQyNTk5MTgyNzQ4MTg3MDM0MTo0NDZCRUNEMC1EQ0FDLTRBODQtQUY3NC1CRURFNzNGMjE2OTctMTpmMmExYTA2MjA0ZTkzZjA1Nzg5NWNiZDA4NmY3NjBmZTox</t>
        </is>
      </c>
      <c r="AH1002"/>
      <c r="AI1002"/>
      <c r="AJ1002"/>
      <c r="AK1002"/>
    </row>
    <row r="1003" ht="25.5" customHeight="1">
      <c r="A1003" s="2" t="str">
        <f>=HYPERLINK("https://applink.larksuite.com/client/mini_program/open?appId=cli_9c7cc8a9a9edd105&amp;mode=appCenter&amp;path_pc=pc/pages/requested/index?instanceId=7519837126209306655&amp;source=bitable&amp;path=pages/detail/index?instanceId=7519837126209306655&amp;source=bitable", "202506250174")</f>
        <v>202506250174</v>
      </c>
      <c r="B1003" t="inlineStr">
        <is>
          <t>Approved</t>
        </is>
      </c>
      <c r="C1003" t="inlineStr">
        <is>
          <t>Procurement Order</t>
        </is>
      </c>
      <c r="D1003" s="3">
        <v>45833.78377314815</v>
      </c>
      <c r="E1003" s="3">
        <v>45834.414618055554</v>
      </c>
      <c r="F1003" t="inlineStr">
        <is>
          <t>Fatima Kathleen M. FLores</t>
        </is>
      </c>
      <c r="G1003" t="inlineStr">
        <is>
          <t>Procurement</t>
        </is>
      </c>
      <c r="H1003"/>
      <c r="I1003"/>
      <c r="J1003" t="inlineStr">
        <is>
          <t>Project</t>
        </is>
      </c>
      <c r="K1003" t="inlineStr">
        <is>
          <t>PDEI - Game Marketing</t>
        </is>
      </c>
      <c r="L1003" t="inlineStr">
        <is>
          <t>SM Cyberzone Gamefest 2025 - Talents [SM Seaside City Cebu &amp; SM Lanang Premier]</t>
        </is>
      </c>
      <c r="M1003" t="inlineStr">
        <is>
          <t>2025TEG-P0139</t>
        </is>
      </c>
      <c r="N1003" t="inlineStr">
        <is>
          <t>Anteaus Villena</t>
        </is>
      </c>
      <c r="O1003" t="inlineStr">
        <is>
          <t>202506040029-Anteaus Villena-费用报销 - 副本 - 副本 - 副本-2025-06-04 04:30:28</t>
        </is>
      </c>
      <c r="P1003" t="inlineStr">
        <is>
          <t>YES</t>
        </is>
      </c>
      <c r="Q1003"/>
      <c r="R1003" t="inlineStr">
        <is>
          <t>NO</t>
        </is>
      </c>
      <c r="S1003" t="inlineStr">
        <is>
          <t>Outsourced Talent / Host (OHKO)</t>
        </is>
      </c>
      <c r="T1003">
        <v>1</v>
      </c>
      <c r="U1003">
        <v>10000</v>
      </c>
      <c r="V1003" t="inlineStr">
        <is>
          <t>PHP</t>
        </is>
      </c>
      <c r="W1003">
        <v>10000</v>
      </c>
      <c r="X1003" s="2" t="str">
        <f>=HYPERLINK("https://www.larksuite.com/approval/admin/previewAttachment?key=PMg7CsJAGATgK838zx0vY5MQXFAbQUyxZxcsbL8aRI2klxCiCVyd1PCmlUGOqsxli91Cs8G1P45r5jjn83PqPmNuvt637dhfTLUZ2iN8AODl794RIVXg5_gGAAD__w", "2 attachment(s)")</f>
        <v>2 attachment(s)</v>
      </c>
      <c r="Y1003" t="inlineStr">
        <is>
          <t>Bank Transfer</t>
        </is>
      </c>
      <c r="Z1003" t="inlineStr">
        <is>
          <t>Dakin Clint Sia</t>
        </is>
      </c>
      <c r="AA1003" t="inlineStr">
        <is>
          <t>200045112089</t>
        </is>
      </c>
      <c r="AB1003" t="inlineStr">
        <is>
          <t>Eastwest Bank</t>
        </is>
      </c>
      <c r="AC1003" t="inlineStr">
        <is>
          <t>Bldg 5, Urban Deca Homes, Hernan Cortez, Mandaue City, Cebu</t>
        </is>
      </c>
      <c r="AD1003" s="4">
        <v>45794</v>
      </c>
      <c r="AE1003" t="inlineStr">
        <is>
          <t>100% Full Payment - July 4, 2025</t>
        </is>
      </c>
      <c r="AF1003" s="2"/>
      <c r="AG1003" t="inlineStr">
        <is>
          <t>NzQyNTk5MTgyNzQ4MTg3MDM0MTozRjIyQTEzRi05NEE5LTQ2REQtODM5RC02NjM1RTNDMDFEOEItMTpiYjliNmY5ZGFhMThiOGYwYzdjZmE0NTJlZmM4YzliMzox</t>
        </is>
      </c>
      <c r="AH1003"/>
      <c r="AI1003"/>
      <c r="AJ1003"/>
      <c r="AK1003"/>
    </row>
    <row r="1004" ht="25.5" customHeight="1">
      <c r="A1004" s="2" t="str">
        <f>=HYPERLINK("https://applink.larksuite.com/client/mini_program/open?appId=cli_9c7cc8a9a9edd105&amp;mode=appCenter&amp;path_pc=pc/pages/requested/index?instanceId=7519836405149810720&amp;source=bitable&amp;path=pages/detail/index?instanceId=7519836405149810720&amp;source=bitable", "202506250171")</f>
        <v>202506250171</v>
      </c>
      <c r="B1004" t="inlineStr">
        <is>
          <t>Approved</t>
        </is>
      </c>
      <c r="C1004" t="inlineStr">
        <is>
          <t>Procurement Order</t>
        </is>
      </c>
      <c r="D1004" s="3">
        <v>45833.7818287037</v>
      </c>
      <c r="E1004" s="3">
        <v>45834.41806712963</v>
      </c>
      <c r="F1004" t="inlineStr">
        <is>
          <t>Fatima Kathleen M. FLores</t>
        </is>
      </c>
      <c r="G1004" t="inlineStr">
        <is>
          <t>Procurement</t>
        </is>
      </c>
      <c r="H1004"/>
      <c r="I1004"/>
      <c r="J1004" t="inlineStr">
        <is>
          <t>Project</t>
        </is>
      </c>
      <c r="K1004" t="inlineStr">
        <is>
          <t>PDEI - Game Marketing</t>
        </is>
      </c>
      <c r="L1004" t="inlineStr">
        <is>
          <t>SM Cyberzone Gamefest 2025 - Talents [SM Seaside City Cebu &amp; SM Lanang Premier]</t>
        </is>
      </c>
      <c r="M1004" t="inlineStr">
        <is>
          <t>2025TEG-P0139</t>
        </is>
      </c>
      <c r="N1004" t="inlineStr">
        <is>
          <t>Anteaus Villena</t>
        </is>
      </c>
      <c r="O1004" t="inlineStr">
        <is>
          <t>202506040029-Anteaus Villena-费用报销 - 副本 - 副本 - 副本-2025-06-04 04:30:28</t>
        </is>
      </c>
      <c r="P1004" t="inlineStr">
        <is>
          <t>YES</t>
        </is>
      </c>
      <c r="Q1004"/>
      <c r="R1004" t="inlineStr">
        <is>
          <t>NO</t>
        </is>
      </c>
      <c r="S1004" t="inlineStr">
        <is>
          <t>Outsourced Talent / Host (Novadi)</t>
        </is>
      </c>
      <c r="T1004">
        <v>1</v>
      </c>
      <c r="U1004">
        <v>10000</v>
      </c>
      <c r="V1004" t="inlineStr">
        <is>
          <t>PHP</t>
        </is>
      </c>
      <c r="W1004">
        <v>10000</v>
      </c>
      <c r="X1004" s="2" t="str">
        <f>=HYPERLINK("https://www.larksuite.com/approval/admin/previewAttachment?key=PMg5CgJBFATQK1V119-8jInD4IKRTKPBP7tgYPo8CU_j9IKKo8AOY-V0wahKIgZ6NCMKwQB7e-7nVN5vx0OLH70P63W97NuLVjEGYkozAfD09xmSqlz4Ob4BAAD__w", "2 attachment(s)")</f>
        <v>2 attachment(s)</v>
      </c>
      <c r="Y1004" t="inlineStr">
        <is>
          <t>Bank Transfer</t>
        </is>
      </c>
      <c r="Z1004" t="inlineStr">
        <is>
          <t>Casey Andre Ligan Borja</t>
        </is>
      </c>
      <c r="AA1004" t="inlineStr">
        <is>
          <t>629679002</t>
        </is>
      </c>
      <c r="AB1004" t="inlineStr">
        <is>
          <t>BPI</t>
        </is>
      </c>
      <c r="AC1004" t="inlineStr">
        <is>
          <t>Sudtunggan, Basak, Lapu-Lapu City</t>
        </is>
      </c>
      <c r="AD1004" s="4">
        <v>45794</v>
      </c>
      <c r="AE1004" t="inlineStr">
        <is>
          <t>100% Full Payment - July 4, 2025</t>
        </is>
      </c>
      <c r="AF1004" s="2"/>
      <c r="AG1004" t="inlineStr">
        <is>
          <t>NzQyNTk5MTgyNzQ4MTg3MDM0MTo4QUM5NkREQS1FMEM5LTRENkQtQTU3NS03REZDOTFFQzM4NTYtMTplNWY1Y2M0MDczMzE1MDhkMWQwMTc1MGY0YmViNTM5NDox</t>
        </is>
      </c>
      <c r="AH1004"/>
      <c r="AI1004"/>
      <c r="AJ1004"/>
      <c r="AK1004"/>
    </row>
    <row r="1005" ht="25.5" customHeight="1">
      <c r="A1005" s="2" t="str">
        <f>=HYPERLINK("https://applink.larksuite.com/client/mini_program/open?appId=cli_9c7cc8a9a9edd105&amp;mode=appCenter&amp;path_pc=pc/pages/requested/index?instanceId=7519835371807539239&amp;source=bitable&amp;path=pages/detail/index?instanceId=7519835371807539239&amp;source=bitable", "202506250170")</f>
        <v>202506250170</v>
      </c>
      <c r="B1005" t="inlineStr">
        <is>
          <t>Approved</t>
        </is>
      </c>
      <c r="C1005" t="inlineStr">
        <is>
          <t>Procurement Order</t>
        </is>
      </c>
      <c r="D1005" s="3">
        <v>45833.77903935185</v>
      </c>
      <c r="E1005" s="3">
        <v>45834.41849537037</v>
      </c>
      <c r="F1005" t="inlineStr">
        <is>
          <t>Fatima Kathleen M. FLores</t>
        </is>
      </c>
      <c r="G1005" t="inlineStr">
        <is>
          <t>Procurement</t>
        </is>
      </c>
      <c r="H1005"/>
      <c r="I1005"/>
      <c r="J1005" t="inlineStr">
        <is>
          <t>Project</t>
        </is>
      </c>
      <c r="K1005" t="inlineStr">
        <is>
          <t>PDEI - Game Marketing</t>
        </is>
      </c>
      <c r="L1005" t="inlineStr">
        <is>
          <t>SM Cyberzone Gamefest 2025 - Talents [SM Seaside City Cebu &amp; SM Lanang Premier]</t>
        </is>
      </c>
      <c r="M1005" t="inlineStr">
        <is>
          <t>2025TEG-P0139</t>
        </is>
      </c>
      <c r="N1005" t="inlineStr">
        <is>
          <t>Anteaus Villena</t>
        </is>
      </c>
      <c r="O1005" t="inlineStr">
        <is>
          <t>202506040029-Anteaus Villena-费用报销 - 副本 - 副本 - 副本-2025-06-04 04:30:28</t>
        </is>
      </c>
      <c r="P1005" t="inlineStr">
        <is>
          <t>YES</t>
        </is>
      </c>
      <c r="Q1005"/>
      <c r="R1005" t="inlineStr">
        <is>
          <t>NO</t>
        </is>
      </c>
      <c r="S1005" t="inlineStr">
        <is>
          <t>Outsourced Talent / Host (Deeyawn)</t>
        </is>
      </c>
      <c r="T1005">
        <v>1</v>
      </c>
      <c r="U1005">
        <v>10000</v>
      </c>
      <c r="V1005" t="inlineStr">
        <is>
          <t>PHP</t>
        </is>
      </c>
      <c r="W1005">
        <v>10000</v>
      </c>
      <c r="X1005" s="2" t="str">
        <f>=HYPERLINK("https://www.larksuite.com/approval/admin/previewAttachment?key=PMhBqsJAEATQK1VN90xN_cv8jSEIGhAkA1n02QUXbt-YxJidMYw0m8FSp2f0ECfUwy1crSgZosDajv3_WufzlWfY1_LxqHW_7dub3WoNisyYAPj381Bm2iPxdXwCAAD__w", "2 attachment(s)")</f>
        <v>2 attachment(s)</v>
      </c>
      <c r="Y1005" t="inlineStr">
        <is>
          <t>Bank Transfer</t>
        </is>
      </c>
      <c r="Z1005" t="inlineStr">
        <is>
          <t>Allan Douglas Fiel</t>
        </is>
      </c>
      <c r="AA1005" t="inlineStr">
        <is>
          <t>1393139806159</t>
        </is>
      </c>
      <c r="AB1005" t="inlineStr">
        <is>
          <t>Metrobank</t>
        </is>
      </c>
      <c r="AC1005" t="inlineStr">
        <is>
          <t>Fiel's Compound Ormoc City Leyte</t>
        </is>
      </c>
      <c r="AD1005" s="4">
        <v>45794</v>
      </c>
      <c r="AE1005" t="inlineStr">
        <is>
          <t>100% Full Payment - July 4, 2025</t>
        </is>
      </c>
      <c r="AF1005" s="2"/>
      <c r="AG1005" t="inlineStr">
        <is>
          <t>NzQyNTk5MTgyNzQ4MTg3MDM0MTo4MzM1QzVBMy1DREYxLTQyOTUtOTM2Ri04RkJBQ0E4M0ZFNkMtMTo1MzU2ZmM5ZTY0N2NkNWE0ZTQ3MjI4YmZhNjExZjQ1NTox</t>
        </is>
      </c>
      <c r="AH1005"/>
      <c r="AI1005"/>
      <c r="AJ1005"/>
      <c r="AK1005"/>
    </row>
    <row r="1006" ht="25.5" customHeight="1">
      <c r="A1006" s="2" t="str">
        <f>=HYPERLINK("https://applink.larksuite.com/client/mini_program/open?appId=cli_9c7cc8a9a9edd105&amp;mode=appCenter&amp;path_pc=pc/pages/requested/index?instanceId=7519834157627736096&amp;source=bitable&amp;path=pages/detail/index?instanceId=7519834157627736096&amp;source=bitable", "202506250166")</f>
        <v>202506250166</v>
      </c>
      <c r="B1006" t="inlineStr">
        <is>
          <t>Approved</t>
        </is>
      </c>
      <c r="C1006" t="inlineStr">
        <is>
          <t>Procurement Order</t>
        </is>
      </c>
      <c r="D1006" s="3">
        <v>45833.775775462964</v>
      </c>
      <c r="E1006" s="3">
        <v>45834.418900462966</v>
      </c>
      <c r="F1006" t="inlineStr">
        <is>
          <t>Fatima Kathleen M. FLores</t>
        </is>
      </c>
      <c r="G1006" t="inlineStr">
        <is>
          <t>Procurement</t>
        </is>
      </c>
      <c r="H1006"/>
      <c r="I1006"/>
      <c r="J1006" t="inlineStr">
        <is>
          <t>Project</t>
        </is>
      </c>
      <c r="K1006" t="inlineStr">
        <is>
          <t>PDEI - Game Marketing</t>
        </is>
      </c>
      <c r="L1006" t="inlineStr">
        <is>
          <t>SM Cyberzone Gamefest 2025 - Talents [SM Seaside City Cebu &amp; SM Lanang Premier]</t>
        </is>
      </c>
      <c r="M1006" t="inlineStr">
        <is>
          <t>2025TEG-P0139</t>
        </is>
      </c>
      <c r="N1006" t="inlineStr">
        <is>
          <t>Anteaus Villena</t>
        </is>
      </c>
      <c r="O1006" t="inlineStr">
        <is>
          <t>202506040029-Anteaus Villena-费用报销 - 副本 - 副本 - 副本-2025-06-04 04:30:28</t>
        </is>
      </c>
      <c r="P1006" t="inlineStr">
        <is>
          <t>YES</t>
        </is>
      </c>
      <c r="Q1006"/>
      <c r="R1006" t="inlineStr">
        <is>
          <t>NO</t>
        </is>
      </c>
      <c r="S1006" t="inlineStr">
        <is>
          <t>Outsourced Talent / Host (Sashiiimeee)</t>
        </is>
      </c>
      <c r="T1006">
        <v>1</v>
      </c>
      <c r="U1006">
        <v>4500</v>
      </c>
      <c r="V1006" t="inlineStr">
        <is>
          <t>PHP</t>
        </is>
      </c>
      <c r="W1006">
        <v>4500</v>
      </c>
      <c r="X1006" s="2" t="str">
        <f>=HYPERLINK("https://www.larksuite.com/approval/admin/previewAttachment?key=PMgxCkJBDATQK80k2UziZWxcPsoiCKJgsWcXLGxfFpE16NmIpjW4NdjlwaE0yROd2zalhihwz_txXva6fR6lWct89X5fL8d8crTMII_wAsDT310R0Z2Bn-MbAAD__w", "2 attachment(s)")</f>
        <v>2 attachment(s)</v>
      </c>
      <c r="Y1006" t="inlineStr">
        <is>
          <t>Bank Transfer</t>
        </is>
      </c>
      <c r="Z1006" t="inlineStr">
        <is>
          <t>Sahara Shiela T. Dela Cerna</t>
        </is>
      </c>
      <c r="AA1006" t="inlineStr">
        <is>
          <t>109810767442</t>
        </is>
      </c>
      <c r="AB1006" t="inlineStr">
        <is>
          <t>Unionbank</t>
        </is>
      </c>
      <c r="AC1006" t="inlineStr">
        <is>
          <t>Bacaca Rd., Brgy. 19-B, Davao City</t>
        </is>
      </c>
      <c r="AD1006" s="4">
        <v>45801</v>
      </c>
      <c r="AE1006" t="inlineStr">
        <is>
          <t>100% Full Payment - July 11, 2025</t>
        </is>
      </c>
      <c r="AF1006" s="2"/>
      <c r="AG1006" t="inlineStr">
        <is>
          <t>NzQyNTk5MTgyNzQ4MTg3MDM0MTo4MjhCN0YwOS0zODQ0LTRFNzItOTVDRC1FM0M1RDg5NjM3OUQtMTowZmExMTI0M2RmZjE2MTFlNmM5YTY5OWExMzhhOWU5ODox</t>
        </is>
      </c>
      <c r="AH1006"/>
      <c r="AI1006"/>
      <c r="AJ1006"/>
      <c r="AK1006"/>
    </row>
    <row r="1007" ht="25.5" customHeight="1">
      <c r="A1007" s="2" t="str">
        <f>=HYPERLINK("https://applink.larksuite.com/client/mini_program/open?appId=cli_9c7cc8a9a9edd105&amp;mode=appCenter&amp;path_pc=pc/pages/requested/index?instanceId=7519833120309248031&amp;source=bitable&amp;path=pages/detail/index?instanceId=7519833120309248031&amp;source=bitable", "202506250162")</f>
        <v>202506250162</v>
      </c>
      <c r="B1007" t="inlineStr">
        <is>
          <t>Approved</t>
        </is>
      </c>
      <c r="C1007" t="inlineStr">
        <is>
          <t>Procurement Order</t>
        </is>
      </c>
      <c r="D1007" s="3">
        <v>45833.77297453704</v>
      </c>
      <c r="E1007" s="3">
        <v>45834.41935185185</v>
      </c>
      <c r="F1007" t="inlineStr">
        <is>
          <t>Fatima Kathleen M. FLores</t>
        </is>
      </c>
      <c r="G1007" t="inlineStr">
        <is>
          <t>Procurement</t>
        </is>
      </c>
      <c r="H1007"/>
      <c r="I1007"/>
      <c r="J1007" t="inlineStr">
        <is>
          <t>Project</t>
        </is>
      </c>
      <c r="K1007" t="inlineStr">
        <is>
          <t>PDEI - Game Marketing</t>
        </is>
      </c>
      <c r="L1007" t="inlineStr">
        <is>
          <t>SM Cyberzone Gamefest 2025 - Talents [SM Seaside City Cebu &amp; SM Lanang Premier]</t>
        </is>
      </c>
      <c r="M1007" t="inlineStr">
        <is>
          <t>2025TEG-P0139</t>
        </is>
      </c>
      <c r="N1007" t="inlineStr">
        <is>
          <t>Anteaus Villena</t>
        </is>
      </c>
      <c r="O1007" t="inlineStr">
        <is>
          <t>202506040029-Anteaus Villena-费用报销 - 副本 - 副本 - 副本-2025-06-04 04:30:28</t>
        </is>
      </c>
      <c r="P1007" t="inlineStr">
        <is>
          <t>YES</t>
        </is>
      </c>
      <c r="Q1007"/>
      <c r="R1007" t="inlineStr">
        <is>
          <t>NO</t>
        </is>
      </c>
      <c r="S1007" t="inlineStr">
        <is>
          <t>Outsourced Talent / Host (ANDZDAVE)</t>
        </is>
      </c>
      <c r="T1007">
        <v>1</v>
      </c>
      <c r="U1007">
        <v>4500</v>
      </c>
      <c r="V1007" t="inlineStr">
        <is>
          <t>PHP</t>
        </is>
      </c>
      <c r="W1007">
        <v>4500</v>
      </c>
      <c r="X1007" s="2" t="str">
        <f>=HYPERLINK("https://www.larksuite.com/approval/admin/previewAttachment?key=PMgxCgJBDAXQK_2fZCb5XsZml0VWrGSELXJ2wcL2zSJmDfoUQjSBnYMqdxocsig425qZQjLB3l_HfV21HPv51LmubfTnsR37m0NphvQILwC8_d0zIqQZ-Dm-AQAA__8", "2 attachment(s)")</f>
        <v>2 attachment(s)</v>
      </c>
      <c r="Y1007" t="inlineStr">
        <is>
          <t>Bank Transfer</t>
        </is>
      </c>
      <c r="Z1007" t="inlineStr">
        <is>
          <t>Nervin Dave Andrin</t>
        </is>
      </c>
      <c r="AA1007" t="inlineStr">
        <is>
          <t>9439133772</t>
        </is>
      </c>
      <c r="AB1007" t="inlineStr">
        <is>
          <t>BPI</t>
        </is>
      </c>
      <c r="AC1007" t="inlineStr">
        <is>
          <t>Blk 2 Lot 2 Every Hilld Subd., Brgy 5-A, Bangkerohan, Davao City</t>
        </is>
      </c>
      <c r="AD1007" s="4">
        <v>45801</v>
      </c>
      <c r="AE1007" t="inlineStr">
        <is>
          <t>100% Full Payment - July 11, 2025</t>
        </is>
      </c>
      <c r="AF1007" s="2"/>
      <c r="AG1007" t="inlineStr">
        <is>
          <t>NzQyNTk5MTgyNzQ4MTg3MDM0MTpENDE3OUY0MS0xMzkwLTRGRDctOTk0Ny0yQjg1MEQ4Mjc5RTctMTozOTA0OTk5MjdjOTE1MDU1M2JkYWNlMmE5NTIxMjY5YTox</t>
        </is>
      </c>
      <c r="AH1007"/>
      <c r="AI1007"/>
      <c r="AJ1007"/>
      <c r="AK1007"/>
    </row>
    <row r="1008" ht="25.5" customHeight="1">
      <c r="A1008" s="2" t="str">
        <f>=HYPERLINK("https://applink.larksuite.com/client/mini_program/open?appId=cli_9c7cc8a9a9edd105&amp;mode=appCenter&amp;path_pc=pc/pages/requested/index?instanceId=7519832129610530848&amp;source=bitable&amp;path=pages/detail/index?instanceId=7519832129610530848&amp;source=bitable", "202506250159")</f>
        <v>202506250159</v>
      </c>
      <c r="B1008" t="inlineStr">
        <is>
          <t>Approved</t>
        </is>
      </c>
      <c r="C1008" t="inlineStr">
        <is>
          <t>Procurement Order</t>
        </is>
      </c>
      <c r="D1008" s="3">
        <v>45833.7703125</v>
      </c>
      <c r="E1008" s="3">
        <v>45834.42119212963</v>
      </c>
      <c r="F1008" t="inlineStr">
        <is>
          <t>Fatima Kathleen M. FLores</t>
        </is>
      </c>
      <c r="G1008" t="inlineStr">
        <is>
          <t>Procurement</t>
        </is>
      </c>
      <c r="H1008"/>
      <c r="I1008"/>
      <c r="J1008" t="inlineStr">
        <is>
          <t>Project</t>
        </is>
      </c>
      <c r="K1008" t="inlineStr">
        <is>
          <t>PDEI - Game Marketing</t>
        </is>
      </c>
      <c r="L1008" t="inlineStr">
        <is>
          <t>SM Cyberzone Gamefest 2025 - Talents [SM Seaside City Cebu &amp; SM Lanang Premier]</t>
        </is>
      </c>
      <c r="M1008" t="inlineStr">
        <is>
          <t>2025TEG-P0139</t>
        </is>
      </c>
      <c r="N1008" t="inlineStr">
        <is>
          <t>Anteaus Villena</t>
        </is>
      </c>
      <c r="O1008" t="inlineStr">
        <is>
          <t>202506040029-Anteaus Villena-费用报销 - 副本 - 副本 - 副本-2025-06-04 04:30:28</t>
        </is>
      </c>
      <c r="P1008" t="inlineStr">
        <is>
          <t>YES</t>
        </is>
      </c>
      <c r="Q1008"/>
      <c r="R1008" t="inlineStr">
        <is>
          <t>NO</t>
        </is>
      </c>
      <c r="S1008" t="inlineStr">
        <is>
          <t>Outsourced Talent / Host (Hakandee)</t>
        </is>
      </c>
      <c r="T1008">
        <v>1</v>
      </c>
      <c r="U1008">
        <v>9000</v>
      </c>
      <c r="V1008" t="inlineStr">
        <is>
          <t>PHP</t>
        </is>
      </c>
      <c r="W1008">
        <v>9000</v>
      </c>
      <c r="X1008" s="2" t="str">
        <f>=HYPERLINK("https://www.larksuite.com/approval/admin/previewAttachment?key=PMgxDsJADATAL-3avrOXz9AkipCO0CCRym9HoqCdWcSsQZ9CiCawc1DlRtMkhqOi2pqZQjLB3s_jfoXrWvE6F7YnVn8e27G_OZRmSI_wAsDb3z0jQpqBn-MbAAD__w", "2 attachment(s)")</f>
        <v>2 attachment(s)</v>
      </c>
      <c r="Y1008" t="inlineStr">
        <is>
          <t>Bank Transfer</t>
        </is>
      </c>
      <c r="Z1008" t="inlineStr">
        <is>
          <t>Justin Delfinado</t>
        </is>
      </c>
      <c r="AA1008" t="inlineStr">
        <is>
          <t>09171204584</t>
        </is>
      </c>
      <c r="AB1008" t="inlineStr">
        <is>
          <t>GCash</t>
        </is>
      </c>
      <c r="AC1008" t="inlineStr">
        <is>
          <t>Quirante 1 St., corner National Hwy, Tagum City</t>
        </is>
      </c>
      <c r="AD1008" s="4">
        <v>45801</v>
      </c>
      <c r="AE1008" t="inlineStr">
        <is>
          <t>100% Full Payment - July 11, 2025</t>
        </is>
      </c>
      <c r="AF1008" s="2"/>
      <c r="AG1008" t="inlineStr">
        <is>
          <t>NzQyNTk5MTgyNzQ4MTg3MDM0MTo4QzlFQkM3OC1FMUZGLTQ2QTQtQUJBRC04QUJGQzc5NUVBMUMtMTo3MDk3YmJkMjcyZjczZTQ3ZjdiYWQ5MDRkNzNhOGEzZjox</t>
        </is>
      </c>
      <c r="AH1008"/>
      <c r="AI1008"/>
      <c r="AJ1008"/>
      <c r="AK1008"/>
    </row>
    <row r="1009" ht="25.5" customHeight="1">
      <c r="A1009" s="2" t="str">
        <f>=HYPERLINK("https://applink.larksuite.com/client/mini_program/open?appId=cli_9c7cc8a9a9edd105&amp;mode=appCenter&amp;path_pc=pc/pages/requested/index?instanceId=7519830036489289759&amp;source=bitable&amp;path=pages/detail/index?instanceId=7519830036489289759&amp;source=bitable", "202506250157")</f>
        <v>202506250157</v>
      </c>
      <c r="B1009" t="inlineStr">
        <is>
          <t>Approved</t>
        </is>
      </c>
      <c r="C1009" t="inlineStr">
        <is>
          <t>Procurement Order</t>
        </is>
      </c>
      <c r="D1009" s="3">
        <v>45833.76466435185</v>
      </c>
      <c r="E1009" s="3">
        <v>45834.41423611111</v>
      </c>
      <c r="F1009" t="inlineStr">
        <is>
          <t>Fatima Kathleen M. FLores</t>
        </is>
      </c>
      <c r="G1009" t="inlineStr">
        <is>
          <t>Procurement</t>
        </is>
      </c>
      <c r="H1009"/>
      <c r="I1009"/>
      <c r="J1009" t="inlineStr">
        <is>
          <t>Project</t>
        </is>
      </c>
      <c r="K1009" t="inlineStr">
        <is>
          <t>PDEI - Game Marketing</t>
        </is>
      </c>
      <c r="L1009" t="inlineStr">
        <is>
          <t>SM Cyberzone Gamefest 2025 - Talents [SM Seaside City Cebu &amp; SM Lanang Premier]</t>
        </is>
      </c>
      <c r="M1009" t="inlineStr">
        <is>
          <t>2025TEG-P0139</t>
        </is>
      </c>
      <c r="N1009" t="inlineStr">
        <is>
          <t>Anteaus Villena</t>
        </is>
      </c>
      <c r="O1009" t="inlineStr">
        <is>
          <t>202506040029-Anteaus Villena-费用报销 - 副本 - 副本 - 副本-2025-06-04 04:30:28</t>
        </is>
      </c>
      <c r="P1009" t="inlineStr">
        <is>
          <t>YES</t>
        </is>
      </c>
      <c r="Q1009"/>
      <c r="R1009" t="inlineStr">
        <is>
          <t>NO</t>
        </is>
      </c>
      <c r="S1009" t="inlineStr">
        <is>
          <t>Outsourced Talent / Host (Earl)</t>
        </is>
      </c>
      <c r="T1009">
        <v>1</v>
      </c>
      <c r="U1009">
        <v>4500</v>
      </c>
      <c r="V1009" t="inlineStr">
        <is>
          <t>PHP</t>
        </is>
      </c>
      <c r="W1009">
        <v>4500</v>
      </c>
      <c r="X1009" s="2" t="str">
        <f>=HYPERLINK("https://www.larksuite.com/approval/admin/previewAttachment?key=PMhBikJBDATQK1Ul6U5qLjMbP40IXwSh0UXOLrhw-2YRswZ9CiGawM5BlQM-o2SlHGprZgrJBPs41__j5ue73BCvfV-79_WyjieH0gzpEV4A-Pdzz4iQZuDr-AQAAP__", "2 attachment(s)")</f>
        <v>2 attachment(s)</v>
      </c>
      <c r="Y1009" t="inlineStr">
        <is>
          <t>Bank Transfer</t>
        </is>
      </c>
      <c r="Z1009" t="inlineStr">
        <is>
          <t>Earl Jan C. Lastimado</t>
        </is>
      </c>
      <c r="AA1009" t="inlineStr">
        <is>
          <t>09684012867</t>
        </is>
      </c>
      <c r="AB1009" t="inlineStr">
        <is>
          <t>GCash</t>
        </is>
      </c>
      <c r="AC1009" t="inlineStr">
        <is>
          <t>Ihwa, Rosalina Village, Toril, Davao City</t>
        </is>
      </c>
      <c r="AD1009" s="4">
        <v>45802</v>
      </c>
      <c r="AE1009" t="inlineStr">
        <is>
          <t>100% Full Payment - July 11, 2025</t>
        </is>
      </c>
      <c r="AF1009" s="2"/>
      <c r="AG1009" t="inlineStr">
        <is>
          <t>NzQyNTk5MTgyNzQ4MTg3MDM0MTpFOERENjY0Ri0yRjQ5LTQyQ0MtQThFOC1DRTQ3RTFFQ0U2RTktMToxODc4ODBkMTZlNjYzMTNmOTU5YzUzOGY1MGM2NjI2ODox</t>
        </is>
      </c>
      <c r="AH1009"/>
      <c r="AI1009"/>
      <c r="AJ1009"/>
      <c r="AK1009"/>
    </row>
    <row r="1010" ht="25.5" customHeight="1">
      <c r="A1010" s="2" t="str">
        <f>=HYPERLINK("https://applink.larksuite.com/client/mini_program/open?appId=cli_9c7cc8a9a9edd105&amp;mode=appCenter&amp;path_pc=pc/pages/requested/index?instanceId=7519818996191887399&amp;source=bitable&amp;path=pages/detail/index?instanceId=7519818996191887399&amp;source=bitable", "202506250143")</f>
        <v>202506250143</v>
      </c>
      <c r="B1010" t="inlineStr">
        <is>
          <t>Approved</t>
        </is>
      </c>
      <c r="C1010" t="inlineStr">
        <is>
          <t>Procurement Order</t>
        </is>
      </c>
      <c r="D1010" s="3">
        <v>45833.734918981485</v>
      </c>
      <c r="E1010" s="3">
        <v>45835.73527777778</v>
      </c>
      <c r="F1010" t="inlineStr">
        <is>
          <t>Fatima Kathleen M. FLores</t>
        </is>
      </c>
      <c r="G1010" t="inlineStr">
        <is>
          <t>Procurement</t>
        </is>
      </c>
      <c r="H1010"/>
      <c r="I1010"/>
      <c r="J1010" t="inlineStr">
        <is>
          <t>Project</t>
        </is>
      </c>
      <c r="K1010" t="inlineStr">
        <is>
          <t>PDEI - Event Service</t>
        </is>
      </c>
      <c r="L1010" t="inlineStr">
        <is>
          <t>MPL PH S15 Addendum</t>
        </is>
      </c>
      <c r="M1010" t="inlineStr">
        <is>
          <t>2025TEG-P0071</t>
        </is>
      </c>
      <c r="N1010" t="inlineStr">
        <is>
          <t>Tiny</t>
        </is>
      </c>
      <c r="O1010" t="inlineStr">
        <is>
          <t>202506090120-Tiny-费用报销 - 副本 - 副本 - 副本-2025-06-09 13:07:52</t>
        </is>
      </c>
      <c r="P1010" t="inlineStr">
        <is>
          <t>YES</t>
        </is>
      </c>
      <c r="Q1010"/>
      <c r="R1010" t="inlineStr">
        <is>
          <t>YES</t>
        </is>
      </c>
      <c r="S1010" t="inlineStr">
        <is>
          <t>Outsourced Logistics Associate (Ingress)</t>
        </is>
      </c>
      <c r="T1010">
        <v>1</v>
      </c>
      <c r="U1010">
        <v>22500</v>
      </c>
      <c r="V1010" t="inlineStr">
        <is>
          <t>PHP</t>
        </is>
      </c>
      <c r="W1010">
        <v>22500</v>
      </c>
      <c r="X1010" s="2" t="str">
        <f>=HYPERLINK("https://www.larksuite.com/approval/admin/previewAttachment?key=PMgxCgJBDAXQK_0_yST5XsZml0WUWQRBsMjZBQvbF0VETVoILg6BnZMqlhQUq9KkHs1MIZlg7-u4Pu-2Picfy8654ej3bTv2F6dyDKS5WwHg5e-W7i6F4-f4BgAA__8", "2 attachment(s)")</f>
        <v>2 attachment(s)</v>
      </c>
      <c r="Y1010" t="inlineStr">
        <is>
          <t>Bank Transfer</t>
        </is>
      </c>
      <c r="Z1010" t="inlineStr">
        <is>
          <t>Rizel John Obong</t>
        </is>
      </c>
      <c r="AA1010" t="inlineStr">
        <is>
          <t>09709731174</t>
        </is>
      </c>
      <c r="AB1010" t="inlineStr">
        <is>
          <t>GCash</t>
        </is>
      </c>
      <c r="AC1010" t="inlineStr">
        <is>
          <t>Blk 1j Lot 31 Phase 3 E-1 Dagat Dagatan Caloocan City</t>
        </is>
      </c>
      <c r="AD1010" s="4">
        <v>45799</v>
      </c>
      <c r="AE1010" t="inlineStr">
        <is>
          <t>1st Payment - June 27, 2025
Final Payment - July 4, 2025</t>
        </is>
      </c>
      <c r="AF1010" s="2"/>
      <c r="AG1010" t="inlineStr">
        <is>
          <t>NzQyNTk5MTgyNzQ4MTg3MDM0MToxMTE5OTlEOC03RkI5LTRGODAtOTEwMy05MTdDNEQ4OTgxMTQtMTpiZTExZTRhMDE1MTQ4MmZhY2U5Yzc1MmViOTZkODFjZTox</t>
        </is>
      </c>
      <c r="AH1010"/>
      <c r="AI1010"/>
      <c r="AJ1010"/>
      <c r="AK1010"/>
    </row>
    <row r="1011" ht="25.5" customHeight="1">
      <c r="A1011" s="2" t="str">
        <f>=HYPERLINK("https://applink.larksuite.com/client/mini_program/open?appId=cli_9c7cc8a9a9edd105&amp;mode=appCenter&amp;path_pc=pc/pages/requested/index?instanceId=7519818996191887399&amp;source=bitable&amp;path=pages/detail/index?instanceId=7519818996191887399&amp;source=bitable", "202506250143")</f>
        <v>202506250143</v>
      </c>
      <c r="B1011" t="inlineStr">
        <is>
          <t>Approved</t>
        </is>
      </c>
      <c r="C1011" t="inlineStr">
        <is>
          <t>Procurement Order</t>
        </is>
      </c>
      <c r="D1011" s="3">
        <v>45833.734918981485</v>
      </c>
      <c r="E1011" s="3">
        <v>45835.73527777778</v>
      </c>
      <c r="F1011" t="inlineStr">
        <is>
          <t>Fatima Kathleen M. FLores</t>
        </is>
      </c>
      <c r="G1011" t="inlineStr">
        <is>
          <t>Procurement</t>
        </is>
      </c>
      <c r="H1011"/>
      <c r="I1011"/>
      <c r="J1011" t="inlineStr">
        <is>
          <t>Project</t>
        </is>
      </c>
      <c r="K1011" t="inlineStr">
        <is>
          <t>PDEI - Event Service</t>
        </is>
      </c>
      <c r="L1011" t="inlineStr">
        <is>
          <t>MPL PH S15 Addendum</t>
        </is>
      </c>
      <c r="M1011" t="inlineStr">
        <is>
          <t>2025TEG-P0071</t>
        </is>
      </c>
      <c r="N1011" t="inlineStr">
        <is>
          <t>Tiny</t>
        </is>
      </c>
      <c r="O1011" t="inlineStr">
        <is>
          <t>202506090120-Tiny-费用报销 - 副本 - 副本 - 副本-2025-06-09 13:07:52</t>
        </is>
      </c>
      <c r="P1011" t="inlineStr">
        <is>
          <t>YES</t>
        </is>
      </c>
      <c r="Q1011"/>
      <c r="R1011" t="inlineStr">
        <is>
          <t>YES</t>
        </is>
      </c>
      <c r="S1011" t="inlineStr">
        <is>
          <t>Outsourced Logistics Associate (Ingress)</t>
        </is>
      </c>
      <c r="T1011">
        <v>1</v>
      </c>
      <c r="U1011">
        <v>22500</v>
      </c>
      <c r="V1011" t="inlineStr">
        <is>
          <t>PHP</t>
        </is>
      </c>
      <c r="W1011">
        <v>22500</v>
      </c>
      <c r="X1011" s="2" t="str">
        <f>=HYPERLINK("https://www.larksuite.com/approval/admin/previewAttachment?key=PMgxCgJBDAXQK_0_yST5XsZml0WUWQRBsMjZBQvbF0VETVoILg6BnZMqlhQUq9KkHs1MIZlg7-u4Pu-2Picfy8654ej3bTv2F6dyDKS5WwHg5e-W7i6F4-f8BgAA__8", "1 attachment(s)")</f>
        <v>1 attachment(s)</v>
      </c>
      <c r="Y1011"/>
      <c r="Z1011"/>
      <c r="AA1011"/>
      <c r="AB1011"/>
      <c r="AC1011"/>
      <c r="AD1011" s="4"/>
      <c r="AE1011"/>
      <c r="AF1011" s="2"/>
      <c r="AG1011" t="inlineStr">
        <is>
          <t>NzQyNTk5MTgyNzQ4MTg3MDM0MToxMTE5OTlEOC03RkI5LTRGODAtOTEwMy05MTdDNEQ4OTgxMTQtMjo5ZjM0NjQxY2FmMjI2MmE4MmI0NWRmYTIxN2E5NjliZDox</t>
        </is>
      </c>
      <c r="AH1011"/>
      <c r="AI1011"/>
      <c r="AJ1011"/>
      <c r="AK1011"/>
    </row>
    <row r="1012" ht="25.5" customHeight="1">
      <c r="A1012" s="2" t="str">
        <f>=HYPERLINK("https://applink.larksuite.com/client/mini_program/open?appId=cli_9c7cc8a9a9edd105&amp;mode=appCenter&amp;path_pc=pc/pages/requested/index?instanceId=7520133718678208544&amp;source=bitable&amp;path=pages/detail/index?instanceId=7520133718678208544&amp;source=bitable", "202506260050")</f>
        <v>202506260050</v>
      </c>
      <c r="B1012" t="inlineStr">
        <is>
          <t>Approved</t>
        </is>
      </c>
      <c r="C1012" t="inlineStr">
        <is>
          <t>Procurement Order</t>
        </is>
      </c>
      <c r="D1012" s="3">
        <v>45834.583032407405</v>
      </c>
      <c r="E1012" s="3">
        <v>45834.614594907405</v>
      </c>
      <c r="F1012" t="inlineStr">
        <is>
          <t>Fatima Kathleen M. FLores</t>
        </is>
      </c>
      <c r="G1012" t="inlineStr">
        <is>
          <t>Procurement</t>
        </is>
      </c>
      <c r="H1012"/>
      <c r="I1012"/>
      <c r="J1012" t="inlineStr">
        <is>
          <t>Project</t>
        </is>
      </c>
      <c r="K1012" t="inlineStr">
        <is>
          <t>PDEI - Event Service</t>
        </is>
      </c>
      <c r="L1012" t="inlineStr">
        <is>
          <t>GTCC Summer Showdown</t>
        </is>
      </c>
      <c r="M1012" t="inlineStr">
        <is>
          <t>2025TEG-P0040</t>
        </is>
      </c>
      <c r="N1012" t="inlineStr">
        <is>
          <t>Frances Angelita Arreglado</t>
        </is>
      </c>
      <c r="O1012" t="inlineStr">
        <is>
          <t>202506060024-Frances Angelita Arreglado-费用报销 - 副本 - 副本 - 副本-2025-06-06 10:20:29</t>
        </is>
      </c>
      <c r="P1012" t="inlineStr">
        <is>
          <t>YES</t>
        </is>
      </c>
      <c r="Q1012"/>
      <c r="R1012" t="inlineStr">
        <is>
          <t>NO</t>
        </is>
      </c>
      <c r="S1012" t="inlineStr">
        <is>
          <t>Outsourced Referee</t>
        </is>
      </c>
      <c r="T1012">
        <v>1</v>
      </c>
      <c r="U1012">
        <v>3000</v>
      </c>
      <c r="V1012" t="inlineStr">
        <is>
          <t>PHP</t>
        </is>
      </c>
      <c r="W1012">
        <v>3000</v>
      </c>
      <c r="X1012" s="2" t="str">
        <f>=HYPERLINK("https://www.larksuite.com/approval/admin/previewAttachment?key=PMg9CgJRDATgK83k503iZWxcFhsrYeUVObtgYfutIlYlfTWiaQ2O0kB3sZbKUBkxNpQaosA5Xuc9s7Z_LK-9D1FzPR_n8Wa2zCCP8ALA299dEdG9Aj_HNwAA__8", "2 attachment(s)")</f>
        <v>2 attachment(s)</v>
      </c>
      <c r="Y1012" t="inlineStr">
        <is>
          <t>Bank Transfer</t>
        </is>
      </c>
      <c r="Z1012" t="inlineStr">
        <is>
          <t>Jose Mari Lim</t>
        </is>
      </c>
      <c r="AA1012" t="inlineStr">
        <is>
          <t>014732060341</t>
        </is>
      </c>
      <c r="AB1012" t="inlineStr">
        <is>
          <t>GoTyme</t>
        </is>
      </c>
      <c r="AC1012" t="inlineStr">
        <is>
          <t>4 Lauan, Project 3, Quezon City, 1102 Metro Manila</t>
        </is>
      </c>
      <c r="AD1012" s="4">
        <v>45820</v>
      </c>
      <c r="AE1012" t="inlineStr">
        <is>
          <t>100% Full Payment - June 27, 2025</t>
        </is>
      </c>
      <c r="AF1012" s="2"/>
      <c r="AG1012" t="inlineStr">
        <is>
          <t>NzQyNTk5MTgyNzQ4MTg3MDM0MTo1QzVBNzdCQy04RjNDLTRDNDAtOUM0RC0yRTEzOUI2QUE3QTktMTplZTU5YTdmMmRhZDIxN2Q3OGVhOTBiMGEwMzQ2MjBjNjox</t>
        </is>
      </c>
      <c r="AH1012"/>
      <c r="AI1012"/>
      <c r="AJ1012"/>
      <c r="AK1012"/>
    </row>
    <row r="1013" ht="25.5" customHeight="1">
      <c r="A1013" s="2" t="str">
        <f>=HYPERLINK("https://applink.larksuite.com/client/mini_program/open?appId=cli_9c7cc8a9a9edd105&amp;mode=appCenter&amp;path_pc=pc/pages/requested/index?instanceId=7520131197020667935&amp;source=bitable&amp;path=pages/detail/index?instanceId=7520131197020667935&amp;source=bitable", "202506260044")</f>
        <v>202506260044</v>
      </c>
      <c r="B1013" t="inlineStr">
        <is>
          <t>Approved</t>
        </is>
      </c>
      <c r="C1013" t="inlineStr">
        <is>
          <t>Procurement Order</t>
        </is>
      </c>
      <c r="D1013" s="3">
        <v>45834.57623842593</v>
      </c>
      <c r="E1013" s="3">
        <v>45835.53693287037</v>
      </c>
      <c r="F1013" t="inlineStr">
        <is>
          <t>Fatima Kathleen M. FLores</t>
        </is>
      </c>
      <c r="G1013" t="inlineStr">
        <is>
          <t>Procurement</t>
        </is>
      </c>
      <c r="H1013"/>
      <c r="I1013"/>
      <c r="J1013" t="inlineStr">
        <is>
          <t>Project</t>
        </is>
      </c>
      <c r="K1013" t="inlineStr">
        <is>
          <t>PDEI - Event Service</t>
        </is>
      </c>
      <c r="L1013" t="inlineStr">
        <is>
          <t>GTCC Summer Showdown</t>
        </is>
      </c>
      <c r="M1013" t="inlineStr">
        <is>
          <t>2025TEG-P0040</t>
        </is>
      </c>
      <c r="N1013" t="inlineStr">
        <is>
          <t>Frances Angelita Arreglado</t>
        </is>
      </c>
      <c r="O1013" t="inlineStr">
        <is>
          <t>202506060024-Frances Angelita Arreglado-费用报销 - 副本 - 副本 - 副本-2025-06-06 10:20:29</t>
        </is>
      </c>
      <c r="P1013" t="inlineStr">
        <is>
          <t>YES</t>
        </is>
      </c>
      <c r="Q1013"/>
      <c r="R1013" t="inlineStr">
        <is>
          <t>YES</t>
        </is>
      </c>
      <c r="S1013" t="inlineStr">
        <is>
          <t>Outsourced Hospitality Head</t>
        </is>
      </c>
      <c r="T1013">
        <v>1</v>
      </c>
      <c r="U1013">
        <v>11000</v>
      </c>
      <c r="V1013" t="inlineStr">
        <is>
          <t>PHP</t>
        </is>
      </c>
      <c r="W1013">
        <v>11000</v>
      </c>
      <c r="X1013" s="2" t="str">
        <f>=HYPERLINK("https://www.larksuite.com/approval/admin/previewAttachment?key=PMg9CgIxEAXgK703vxkvY7MhKERYEBYs5uyChe0Xg4jh1ChYUQrsdAGVrIQgIku9pZlZSCbY87Xu2_fzsL0-a15-nn09jjXf9EoRpJrpAMDb3zXNrCoMP8c3AAD__w", "2 attachment(s)")</f>
        <v>2 attachment(s)</v>
      </c>
      <c r="Y1013" t="inlineStr">
        <is>
          <t>Bank Transfer</t>
        </is>
      </c>
      <c r="Z1013" t="inlineStr">
        <is>
          <t>Cloe Giether F Salitrero</t>
        </is>
      </c>
      <c r="AA1013" t="inlineStr">
        <is>
          <t>0636459617</t>
        </is>
      </c>
      <c r="AB1013" t="inlineStr">
        <is>
          <t>BPI</t>
        </is>
      </c>
      <c r="AC1013" t="inlineStr">
        <is>
          <t>51-C Justice Lourdes Paredes San Diego Avenue Brgy Socorro QC</t>
        </is>
      </c>
      <c r="AD1013" s="4">
        <v>45820</v>
      </c>
      <c r="AE1013" t="inlineStr">
        <is>
          <t>100% Full Payment - June 27, 2025</t>
        </is>
      </c>
      <c r="AF1013" s="2"/>
      <c r="AG1013" t="inlineStr">
        <is>
          <t>NzQyNTk5MTgyNzQ4MTg3MDM0MTo0RjA5OUNFQS01N0ZGLTQ4NTEtQTY5Mi1EODJCOUQyQUNFNDQtMTo4MmMyMjk2YTEwZmY2OGE2ZDFhY2E0YjZjMjdjNDBiODox</t>
        </is>
      </c>
      <c r="AH1013"/>
      <c r="AI1013"/>
      <c r="AJ1013"/>
      <c r="AK1013"/>
    </row>
    <row r="1014" ht="25.5" customHeight="1">
      <c r="A1014" s="2" t="str">
        <f>=HYPERLINK("https://applink.larksuite.com/client/mini_program/open?appId=cli_9c7cc8a9a9edd105&amp;mode=appCenter&amp;path_pc=pc/pages/requested/index?instanceId=7519840419933339679&amp;source=bitable&amp;path=pages/detail/index?instanceId=7519840419933339679&amp;source=bitable", "202506250179")</f>
        <v>202506250179</v>
      </c>
      <c r="B1014" t="inlineStr">
        <is>
          <t>Approved</t>
        </is>
      </c>
      <c r="C1014" t="inlineStr">
        <is>
          <t>Procurement Order</t>
        </is>
      </c>
      <c r="D1014" s="3">
        <v>45833.792650462965</v>
      </c>
      <c r="E1014" s="3">
        <v>45835.53802083333</v>
      </c>
      <c r="F1014" t="inlineStr">
        <is>
          <t>Fatima Kathleen M. FLores</t>
        </is>
      </c>
      <c r="G1014" t="inlineStr">
        <is>
          <t>Procurement</t>
        </is>
      </c>
      <c r="H1014"/>
      <c r="I1014"/>
      <c r="J1014" t="inlineStr">
        <is>
          <t>Project</t>
        </is>
      </c>
      <c r="K1014" t="inlineStr">
        <is>
          <t>PDEI - Event Service</t>
        </is>
      </c>
      <c r="L1014" t="inlineStr">
        <is>
          <t>GTCC Summer Showdown</t>
        </is>
      </c>
      <c r="M1014" t="inlineStr">
        <is>
          <t>2025TEG-P0040</t>
        </is>
      </c>
      <c r="N1014" t="inlineStr">
        <is>
          <t>Frances Angelita Arreglado</t>
        </is>
      </c>
      <c r="O1014" t="inlineStr">
        <is>
          <t>202506200051-Frances Angelita Arreglado-费用报销 - 副本 - 副本 - 副本-2025-06-20 07:14:51</t>
        </is>
      </c>
      <c r="P1014" t="inlineStr">
        <is>
          <t>YES</t>
        </is>
      </c>
      <c r="Q1014"/>
      <c r="R1014" t="inlineStr">
        <is>
          <t>YES</t>
        </is>
      </c>
      <c r="S1014" t="inlineStr">
        <is>
          <t>Outsourced Camera Highlights Operator</t>
        </is>
      </c>
      <c r="T1014">
        <v>1</v>
      </c>
      <c r="U1014">
        <v>9000</v>
      </c>
      <c r="V1014" t="inlineStr">
        <is>
          <t>PHP</t>
        </is>
      </c>
      <c r="W1014">
        <v>9000</v>
      </c>
      <c r="X1014" s="2" t="str">
        <f>=HYPERLINK("https://www.larksuite.com/approval/admin/previewAttachment?key=PMgxCgIxFATQK83k_2T-eBkbl-C6CoIgWOTsgoXtG0WM6oxhpNkMLnW6Ekk7IsJDXm1RMkSBa3vMc2Xd9rjvR8zj-dF6Xy9ze7FbrUGRGQWAp7-HMtMeiZ_jGwAA__8", "2 attachment(s)")</f>
        <v>2 attachment(s)</v>
      </c>
      <c r="Y1014" t="inlineStr">
        <is>
          <t>Bank Transfer</t>
        </is>
      </c>
      <c r="Z1014" t="inlineStr">
        <is>
          <t>Rafhael Garcia</t>
        </is>
      </c>
      <c r="AA1014" t="inlineStr">
        <is>
          <t>09982550669</t>
        </is>
      </c>
      <c r="AB1014" t="inlineStr">
        <is>
          <t>GCash</t>
        </is>
      </c>
      <c r="AC1014" t="inlineStr">
        <is>
          <t>2817 Beata St. Pandacan Manila</t>
        </is>
      </c>
      <c r="AD1014" s="4">
        <v>45819</v>
      </c>
      <c r="AE1014" t="inlineStr">
        <is>
          <t>100% Full Payment - June 27, 2025</t>
        </is>
      </c>
      <c r="AF1014" s="2"/>
      <c r="AG1014" t="inlineStr">
        <is>
          <t>NzQyNTk5MTgyNzQ4MTg3MDM0MTo3OEEzNTgxRC1GM0IxLTQ4QjMtQjAxNS01ODVFRkI2MTQ1NDYtMToyNjZjOWM0ZGVjMjkwMmI4MjdkMmY5ZDUyYTM1ODBlOTox</t>
        </is>
      </c>
      <c r="AH1014"/>
      <c r="AI1014"/>
      <c r="AJ1014"/>
      <c r="AK1014"/>
    </row>
    <row r="1015" ht="25.5" customHeight="1">
      <c r="A1015" s="2" t="str">
        <f>=HYPERLINK("https://applink.larksuite.com/client/mini_program/open?appId=cli_9c7cc8a9a9edd105&amp;mode=appCenter&amp;path_pc=pc/pages/requested/index?instanceId=7520153109704835104&amp;source=bitable&amp;path=pages/detail/index?instanceId=7520153109704835104&amp;source=bitable", "202506260069")</f>
        <v>202506260069</v>
      </c>
      <c r="B1015" t="inlineStr">
        <is>
          <t>Approved</t>
        </is>
      </c>
      <c r="C1015" t="inlineStr">
        <is>
          <t>Procurement Order</t>
        </is>
      </c>
      <c r="D1015" s="3">
        <v>45834.63528935185</v>
      </c>
      <c r="E1015" s="3">
        <v>45835.5390625</v>
      </c>
      <c r="F1015" t="inlineStr">
        <is>
          <t>Fatima Kathleen M. FLores</t>
        </is>
      </c>
      <c r="G1015" t="inlineStr">
        <is>
          <t>Procurement</t>
        </is>
      </c>
      <c r="H1015"/>
      <c r="I1015"/>
      <c r="J1015" t="inlineStr">
        <is>
          <t>Project</t>
        </is>
      </c>
      <c r="K1015" t="inlineStr">
        <is>
          <t>PDEI - Event Service</t>
        </is>
      </c>
      <c r="L1015" t="inlineStr">
        <is>
          <t>MPL PH S15 Addendum</t>
        </is>
      </c>
      <c r="M1015" t="inlineStr">
        <is>
          <t>2025TEG-P0071</t>
        </is>
      </c>
      <c r="N1015" t="inlineStr">
        <is>
          <t>Tiny</t>
        </is>
      </c>
      <c r="O1015" t="inlineStr">
        <is>
          <t>202506100064-Tiny-费用报销 - 副本 - 副本 - 副本-2025-06-10 05:45:52</t>
        </is>
      </c>
      <c r="P1015" t="inlineStr">
        <is>
          <t>YES</t>
        </is>
      </c>
      <c r="Q1015"/>
      <c r="R1015" t="inlineStr">
        <is>
          <t>YES</t>
        </is>
      </c>
      <c r="S1015" t="inlineStr">
        <is>
          <t>Outsourced Talent</t>
        </is>
      </c>
      <c r="T1015">
        <v>1</v>
      </c>
      <c r="U1015">
        <v>29000</v>
      </c>
      <c r="V1015" t="inlineStr">
        <is>
          <t>PHP</t>
        </is>
      </c>
      <c r="W1015">
        <v>29000</v>
      </c>
      <c r="X1015" s="2" t="str">
        <f>=HYPERLINK("https://www.larksuite.com/approval/admin/previewAttachment?key=PMixjQJRDATQlmbs8bd9zVzyVysEIkJs5tqRCEjfKmJV0FdDTWtwMgwMJzqh8iA0NsxsJBOc43n-21VxF_cuej3ec932ebwYnWZIl7wA8O_nnpK6l_B1fAIAAP__", "2 attachment(s)")</f>
        <v>2 attachment(s)</v>
      </c>
      <c r="Y1015" t="inlineStr">
        <is>
          <t>Bank Transfer</t>
        </is>
      </c>
      <c r="Z1015" t="inlineStr">
        <is>
          <t>Marjosh Amiel A. Valdez</t>
        </is>
      </c>
      <c r="AA1015" t="inlineStr">
        <is>
          <t>109327570004</t>
        </is>
      </c>
      <c r="AB1015" t="inlineStr">
        <is>
          <t>Union Bank</t>
        </is>
      </c>
      <c r="AC1015" t="inlineStr">
        <is>
          <t>Metropolitan Ave Bankers Vil 1 Bagumbong Caloocan City</t>
        </is>
      </c>
      <c r="AD1015" s="4">
        <v>45804</v>
      </c>
      <c r="AE1015" t="inlineStr">
        <is>
          <t>100% Full Payment - June 20, 2025</t>
        </is>
      </c>
      <c r="AF1015" s="2"/>
      <c r="AG1015" t="inlineStr">
        <is>
          <t>NzQyNTk5MTgyNzQ4MTg3MDM0MTo2MjRERjc1RS03NEUwLTRBRjAtOTA2Qi02NEE5MDYxRjUwNTgtMTo0YTU4MDhkMjI3NmZlMTI5NGEwMWZjMTc1MGFmNTZmYjox</t>
        </is>
      </c>
      <c r="AH1015"/>
      <c r="AI1015"/>
      <c r="AJ1015"/>
      <c r="AK1015"/>
    </row>
    <row r="1016" ht="25.5" customHeight="1">
      <c r="A1016" s="2" t="str">
        <f>=HYPERLINK("https://applink.larksuite.com/client/mini_program/open?appId=cli_9c7cc8a9a9edd105&amp;mode=appCenter&amp;path_pc=pc/pages/requested/index?instanceId=7520215790868512799&amp;source=bitable&amp;path=pages/detail/index?instanceId=7520215790868512799&amp;source=bitable", "202506260120")</f>
        <v>202506260120</v>
      </c>
      <c r="B1016" t="inlineStr">
        <is>
          <t>Approved</t>
        </is>
      </c>
      <c r="C1016" t="inlineStr">
        <is>
          <t>Procurement Order</t>
        </is>
      </c>
      <c r="D1016" s="3">
        <v>45834.80420138889</v>
      </c>
      <c r="E1016" s="3">
        <v>45835.53616898148</v>
      </c>
      <c r="F1016" t="inlineStr">
        <is>
          <t>Fatima Kathleen M. FLores</t>
        </is>
      </c>
      <c r="G1016" t="inlineStr">
        <is>
          <t>Procurement</t>
        </is>
      </c>
      <c r="H1016"/>
      <c r="I1016"/>
      <c r="J1016" t="inlineStr">
        <is>
          <t>Project</t>
        </is>
      </c>
      <c r="K1016" t="inlineStr">
        <is>
          <t>PDEI - Event Service</t>
        </is>
      </c>
      <c r="L1016" t="inlineStr">
        <is>
          <t>GTCC Summer Showdown</t>
        </is>
      </c>
      <c r="M1016" t="inlineStr">
        <is>
          <t>2025TEG-P0040</t>
        </is>
      </c>
      <c r="N1016" t="inlineStr">
        <is>
          <t>Frances Angelita Arreglado</t>
        </is>
      </c>
      <c r="O1016" t="inlineStr">
        <is>
          <t>202506060024-Frances Angelita Arreglado-费用报销 - 副本 - 副本 - 副本-2025-06-06 10:20:29</t>
        </is>
      </c>
      <c r="P1016" t="inlineStr">
        <is>
          <t>YES</t>
        </is>
      </c>
      <c r="Q1016"/>
      <c r="R1016" t="inlineStr">
        <is>
          <t>NO</t>
        </is>
      </c>
      <c r="S1016" t="inlineStr">
        <is>
          <t>Outsourced Referee</t>
        </is>
      </c>
      <c r="T1016">
        <v>1</v>
      </c>
      <c r="U1016">
        <v>6000</v>
      </c>
      <c r="V1016" t="inlineStr">
        <is>
          <t>PHP</t>
        </is>
      </c>
      <c r="W1016">
        <v>6000</v>
      </c>
      <c r="X1016" s="2" t="str">
        <f>=HYPERLINK("https://www.larksuite.com/approval/admin/previewAttachment?key=PMk9CsJgEATQK83-fbPjZWwMQRDTSOz27KKF7XurDavLYgkpc8GG5XArCv0tpzQ-Rgo0wmZ77tfOPs6zH2dE-VHzvt_27WUluoORGQ3ALn8PZqa0Ej_HJwAA__8", "2 attachment(s)")</f>
        <v>2 attachment(s)</v>
      </c>
      <c r="Y1016" t="inlineStr">
        <is>
          <t>Bank Transfer</t>
        </is>
      </c>
      <c r="Z1016" t="inlineStr">
        <is>
          <t>Christian James D. Dagumboy</t>
        </is>
      </c>
      <c r="AA1016" t="inlineStr">
        <is>
          <t>09257023784</t>
        </is>
      </c>
      <c r="AB1016" t="inlineStr">
        <is>
          <t>GCash</t>
        </is>
      </c>
      <c r="AC1016" t="inlineStr">
        <is>
          <t>64 Raja Kalantiao St. Brgy. Daanghari, Navotas City</t>
        </is>
      </c>
      <c r="AD1016" s="4">
        <v>45820</v>
      </c>
      <c r="AE1016" t="inlineStr">
        <is>
          <t>100% Full Payment - June 27, 2025</t>
        </is>
      </c>
      <c r="AF1016" s="2"/>
      <c r="AG1016" t="inlineStr">
        <is>
          <t>NzQyNTk5MTgyNzQ4MTg3MDM0MToxRjk2M0ZGQi1GM0RGLTRBMzAtOTJGMi0xQTI3Q0MzQTY3MjYtMTplNWNmZGI0YWQ0ODRkOWQ0MGIwMWM4YzI3OTc0YjNkYjox</t>
        </is>
      </c>
      <c r="AH1016"/>
      <c r="AI1016"/>
      <c r="AJ1016"/>
      <c r="AK1016"/>
    </row>
    <row r="1017" ht="25.5" customHeight="1">
      <c r="A1017" s="2" t="str">
        <f>=HYPERLINK("https://applink.larksuite.com/client/mini_program/open?appId=cli_9c7cc8a9a9edd105&amp;mode=appCenter&amp;path_pc=pc/pages/requested/index?instanceId=7520140563010551840&amp;source=bitable&amp;path=pages/detail/index?instanceId=7520140563010551840&amp;source=bitable", "202506260057")</f>
        <v>202506260057</v>
      </c>
      <c r="B1017" t="inlineStr">
        <is>
          <t>Approved</t>
        </is>
      </c>
      <c r="C1017" t="inlineStr">
        <is>
          <t>Procurement Order</t>
        </is>
      </c>
      <c r="D1017" s="3">
        <v>45834.60146990741</v>
      </c>
      <c r="E1017" s="3">
        <v>45835.7384375</v>
      </c>
      <c r="F1017" t="inlineStr">
        <is>
          <t>Fatima Kathleen M. FLores</t>
        </is>
      </c>
      <c r="G1017" t="inlineStr">
        <is>
          <t>Procurement</t>
        </is>
      </c>
      <c r="H1017"/>
      <c r="I1017"/>
      <c r="J1017" t="inlineStr">
        <is>
          <t>Project</t>
        </is>
      </c>
      <c r="K1017" t="inlineStr">
        <is>
          <t>PDEI - Event Service</t>
        </is>
      </c>
      <c r="L1017" t="inlineStr">
        <is>
          <t>MPL PH S15 Addendum</t>
        </is>
      </c>
      <c r="M1017" t="inlineStr">
        <is>
          <t>2025TEG-P0071</t>
        </is>
      </c>
      <c r="N1017" t="inlineStr">
        <is>
          <t>Tiny</t>
        </is>
      </c>
      <c r="O1017" t="inlineStr">
        <is>
          <t>202506100058-Tiny-费用报销 - 副本 - 副本 - 副本-2025-06-10 05:25:23</t>
        </is>
      </c>
      <c r="P1017" t="inlineStr">
        <is>
          <t>YES</t>
        </is>
      </c>
      <c r="Q1017"/>
      <c r="R1017" t="inlineStr">
        <is>
          <t>YES</t>
        </is>
      </c>
      <c r="S1017" t="inlineStr">
        <is>
          <t>Outsourced Egress Manpower</t>
        </is>
      </c>
      <c r="T1017">
        <v>1</v>
      </c>
      <c r="U1017">
        <v>22500</v>
      </c>
      <c r="V1017" t="inlineStr">
        <is>
          <t>PHP</t>
        </is>
      </c>
      <c r="W1017">
        <v>22500</v>
      </c>
      <c r="X1017" s="2" t="str">
        <f>=HYPERLINK("https://www.larksuite.com/approval/admin/previewAttachment?key=PMhBqgJBDATQK1V1Kp3kX-ZvHAaZRmgQ3eXsggu3byYx02mzoOIosMMHKPg0EO5MoUczohAMsI_H-Z_Ka12b67X3stXv--08nvSKMRAmWQLg388tJFVN4ev4BAAA__8", "2 attachment(s)")</f>
        <v>2 attachment(s)</v>
      </c>
      <c r="Y1017" t="inlineStr">
        <is>
          <t>Bank Transfer</t>
        </is>
      </c>
      <c r="Z1017" t="inlineStr">
        <is>
          <t>Nordan Burabo</t>
        </is>
      </c>
      <c r="AA1017" t="inlineStr">
        <is>
          <t>09636201512</t>
        </is>
      </c>
      <c r="AB1017" t="inlineStr">
        <is>
          <t>GCash</t>
        </is>
      </c>
      <c r="AC1017" t="inlineStr">
        <is>
          <t>Blk 1 Lot 23 Agoncillo St. Sta Lucia Novaliches, QC</t>
        </is>
      </c>
      <c r="AD1017" s="4">
        <v>45809</v>
      </c>
      <c r="AE1017" t="inlineStr">
        <is>
          <t>1st Payment - June 20, 2025
Final Payment - June 27, 2025</t>
        </is>
      </c>
      <c r="AF1017" s="2"/>
      <c r="AG1017" t="inlineStr">
        <is>
          <t>NzQyNTk5MTgyNzQ4MTg3MDM0MTo3NjAyQTlFQi01MTNELTRFMjktODA2RC1DMDdBODAwRTAxRjEtMToyNTMyMTMxOTAyOWViYzI1ZDRjMjA0ODViZWNhZGIxMTox</t>
        </is>
      </c>
      <c r="AH1017"/>
      <c r="AI1017"/>
      <c r="AJ1017"/>
      <c r="AK1017"/>
    </row>
    <row r="1018" ht="25.5" customHeight="1">
      <c r="A1018" s="2" t="str">
        <f>=HYPERLINK("https://applink.larksuite.com/client/mini_program/open?appId=cli_9c7cc8a9a9edd105&amp;mode=appCenter&amp;path_pc=pc/pages/requested/index?instanceId=7520144751035908135&amp;source=bitable&amp;path=pages/detail/index?instanceId=7520144751035908135&amp;source=bitable", "202506260064")</f>
        <v>202506260064</v>
      </c>
      <c r="B1018" t="inlineStr">
        <is>
          <t>Approved</t>
        </is>
      </c>
      <c r="C1018" t="inlineStr">
        <is>
          <t>Procurement Order</t>
        </is>
      </c>
      <c r="D1018" s="3">
        <v>45834.61275462963</v>
      </c>
      <c r="E1018" s="3">
        <v>45835.73405092592</v>
      </c>
      <c r="F1018" t="inlineStr">
        <is>
          <t>Fatima Kathleen M. FLores</t>
        </is>
      </c>
      <c r="G1018" t="inlineStr">
        <is>
          <t>Procurement</t>
        </is>
      </c>
      <c r="H1018"/>
      <c r="I1018"/>
      <c r="J1018" t="inlineStr">
        <is>
          <t>Project</t>
        </is>
      </c>
      <c r="K1018" t="inlineStr">
        <is>
          <t>PDEI - Event Service</t>
        </is>
      </c>
      <c r="L1018" t="inlineStr">
        <is>
          <t>MPL PH S15 Addendum</t>
        </is>
      </c>
      <c r="M1018" t="inlineStr">
        <is>
          <t>2025TEG-P0071</t>
        </is>
      </c>
      <c r="N1018" t="inlineStr">
        <is>
          <t>Tiny</t>
        </is>
      </c>
      <c r="O1018" t="inlineStr">
        <is>
          <t>202506100058-Tiny-费用报销 - 副本 - 副本 - 副本-2025-06-10 05:25:23</t>
        </is>
      </c>
      <c r="P1018" t="inlineStr">
        <is>
          <t>YES</t>
        </is>
      </c>
      <c r="Q1018"/>
      <c r="R1018" t="inlineStr">
        <is>
          <t>YES</t>
        </is>
      </c>
      <c r="S1018" t="inlineStr">
        <is>
          <t>Outsourced Egress Manpower</t>
        </is>
      </c>
      <c r="T1018">
        <v>1</v>
      </c>
      <c r="U1018">
        <v>30000</v>
      </c>
      <c r="V1018" t="inlineStr">
        <is>
          <t>PHP</t>
        </is>
      </c>
      <c r="W1018">
        <v>30000</v>
      </c>
      <c r="X1018" s="2" t="str">
        <f>=HYPERLINK("https://www.larksuite.com/approval/admin/previewAttachment?key=PMgxDgIxDATAL-3a6zjmMzQXRTRXIQ5R-O1IFLQzJjFm0EdBRSuwMwyUMgiPwqRHWzOzkEyw17nvEfPjWgdeb9vn1dfj2OvJqDRDuuQTAG9_95RUNYSf4xsAAP__", "2 attachment(s)")</f>
        <v>2 attachment(s)</v>
      </c>
      <c r="Y1018" t="inlineStr">
        <is>
          <t>Bank Transfer</t>
        </is>
      </c>
      <c r="Z1018" t="inlineStr">
        <is>
          <t>RIC JACA</t>
        </is>
      </c>
      <c r="AA1018" t="inlineStr">
        <is>
          <t>09509516216</t>
        </is>
      </c>
      <c r="AB1018" t="inlineStr">
        <is>
          <t>GCash</t>
        </is>
      </c>
      <c r="AC1018" t="inlineStr">
        <is>
          <t>321 Sitio Langhaya Brgy. Dela Paz Antipolo Rizal</t>
        </is>
      </c>
      <c r="AD1018" s="4">
        <v>45809</v>
      </c>
      <c r="AE1018" t="inlineStr">
        <is>
          <t>1st Payment - June 20, 2025
Final Payment - June 27, 2025</t>
        </is>
      </c>
      <c r="AF1018" s="2"/>
      <c r="AG1018" t="inlineStr">
        <is>
          <t>NzQyNTk5MTgyNzQ4MTg3MDM0MTpFNDQ5MzM2MS01MDlDLTQ1ODctODE3OC1FOTE2NTc2QjQ2REUtMTpkZmVmMTdmODU4Nzc0MDAxN2NmYjExYmRiZDZmOTIzNjox</t>
        </is>
      </c>
      <c r="AH1018"/>
      <c r="AI1018"/>
      <c r="AJ1018"/>
      <c r="AK1018"/>
    </row>
    <row r="1019" ht="25.5" customHeight="1">
      <c r="A1019" s="2" t="str">
        <f>=HYPERLINK("https://applink.larksuite.com/client/mini_program/open?appId=cli_9c7cc8a9a9edd105&amp;mode=appCenter&amp;path_pc=pc/pages/requested/index?instanceId=7520465265201659943&amp;source=bitable&amp;path=pages/detail/index?instanceId=7520465265201659943&amp;source=bitable", "202506270020")</f>
        <v>202506270020</v>
      </c>
      <c r="B1019" t="inlineStr">
        <is>
          <t>Approved</t>
        </is>
      </c>
      <c r="C1019" t="inlineStr">
        <is>
          <t>Procurement Order</t>
        </is>
      </c>
      <c r="D1019" s="3">
        <v>45835.476481481484</v>
      </c>
      <c r="E1019" s="3">
        <v>45835.73641203704</v>
      </c>
      <c r="F1019" t="inlineStr">
        <is>
          <t>Fatima Kathleen M. FLores</t>
        </is>
      </c>
      <c r="G1019" t="inlineStr">
        <is>
          <t>Procurement</t>
        </is>
      </c>
      <c r="H1019"/>
      <c r="I1019"/>
      <c r="J1019" t="inlineStr">
        <is>
          <t>Project</t>
        </is>
      </c>
      <c r="K1019" t="inlineStr">
        <is>
          <t>PDEI - Event Service</t>
        </is>
      </c>
      <c r="L1019" t="inlineStr">
        <is>
          <t>HOK Invitational S3 Addendum</t>
        </is>
      </c>
      <c r="M1019" t="inlineStr">
        <is>
          <t>2025TEG-P0090</t>
        </is>
      </c>
      <c r="N1019" t="inlineStr">
        <is>
          <t>Duane Aaron Baret Cadangan</t>
        </is>
      </c>
      <c r="O1019" t="inlineStr">
        <is>
          <t>202506100111-Duane Aaron Baret Cadangan-费用报销 - 副本 - 副本 - 副本-2025-06-10 08:42:56</t>
        </is>
      </c>
      <c r="P1019" t="inlineStr">
        <is>
          <t>NO</t>
        </is>
      </c>
      <c r="Q1019"/>
      <c r="R1019" t="inlineStr">
        <is>
          <t>NO</t>
        </is>
      </c>
      <c r="S1019" t="inlineStr">
        <is>
          <t>CHROME POSTERS (Material: C2S#200 / Size: 22 x 28)</t>
        </is>
      </c>
      <c r="T1019">
        <v>10</v>
      </c>
      <c r="U1019">
        <v>689.92</v>
      </c>
      <c r="V1019" t="inlineStr">
        <is>
          <t>PHP</t>
        </is>
      </c>
      <c r="W1019">
        <v>6899.2</v>
      </c>
      <c r="X1019" s="2"/>
      <c r="Y1019" t="inlineStr">
        <is>
          <t>Bank Transfer</t>
        </is>
      </c>
      <c r="Z1019" t="inlineStr">
        <is>
          <t>Bescost Digital Marketing Services Inc.</t>
        </is>
      </c>
      <c r="AA1019" t="inlineStr">
        <is>
          <t>00000-5674-8951</t>
        </is>
      </c>
      <c r="AB1019" t="inlineStr">
        <is>
          <t>Security Bank</t>
        </is>
      </c>
      <c r="AC1019" t="inlineStr">
        <is>
          <t>5105-A Sulok St., Brgy. Ugong, Valenuela City</t>
        </is>
      </c>
      <c r="AD1019" s="4">
        <v>45646</v>
      </c>
      <c r="AE1019" t="inlineStr">
        <is>
          <t>100% Full Payment - 15 days upon complete delivery.</t>
        </is>
      </c>
      <c r="AF1019" s="2"/>
      <c r="AG1019" t="inlineStr">
        <is>
          <t>NzQyNTk5MTgyNzQ4MTg3MDM0MTpEQTdBMDRFOS01MEEwLTQ5RTQtQkNGOS0yQ0FEOTNBOTkwOUYtMTphZWJlMmIyOGQ4Njk1NDNjNzI3OGZjZmM4NmQ1NGJhMjox</t>
        </is>
      </c>
      <c r="AH1019"/>
      <c r="AI1019"/>
      <c r="AJ1019"/>
      <c r="AK1019"/>
    </row>
    <row r="1020" ht="25.5" customHeight="1">
      <c r="A1020" s="2" t="str">
        <f>=HYPERLINK("https://applink.larksuite.com/client/mini_program/open?appId=cli_9c7cc8a9a9edd105&amp;mode=appCenter&amp;path_pc=pc/pages/requested/index?instanceId=7520465265201659943&amp;source=bitable&amp;path=pages/detail/index?instanceId=7520465265201659943&amp;source=bitable", "202506270020")</f>
        <v>202506270020</v>
      </c>
      <c r="B1020" t="inlineStr">
        <is>
          <t>Approved</t>
        </is>
      </c>
      <c r="C1020" t="inlineStr">
        <is>
          <t>Procurement Order</t>
        </is>
      </c>
      <c r="D1020" s="3">
        <v>45835.476481481484</v>
      </c>
      <c r="E1020" s="3">
        <v>45835.73641203704</v>
      </c>
      <c r="F1020" t="inlineStr">
        <is>
          <t>Fatima Kathleen M. FLores</t>
        </is>
      </c>
      <c r="G1020" t="inlineStr">
        <is>
          <t>Procurement</t>
        </is>
      </c>
      <c r="H1020"/>
      <c r="I1020"/>
      <c r="J1020" t="inlineStr">
        <is>
          <t>Project</t>
        </is>
      </c>
      <c r="K1020" t="inlineStr">
        <is>
          <t>PDEI - Event Service</t>
        </is>
      </c>
      <c r="L1020" t="inlineStr">
        <is>
          <t>HOK Invitational S3 Addendum</t>
        </is>
      </c>
      <c r="M1020" t="inlineStr">
        <is>
          <t>2025TEG-P0090</t>
        </is>
      </c>
      <c r="N1020" t="inlineStr">
        <is>
          <t>Duane Aaron Baret Cadangan</t>
        </is>
      </c>
      <c r="O1020" t="inlineStr">
        <is>
          <t>202506100111-Duane Aaron Baret Cadangan-费用报销 - 副本 - 副本 - 副本-2025-06-10 08:42:56</t>
        </is>
      </c>
      <c r="P1020" t="inlineStr">
        <is>
          <t>NO</t>
        </is>
      </c>
      <c r="Q1020"/>
      <c r="R1020" t="inlineStr">
        <is>
          <t>NO</t>
        </is>
      </c>
      <c r="S1020" t="inlineStr">
        <is>
          <t>ACRYLIC CARD INSERT (Material: C2S#200 / Size: 22in x 88in)</t>
        </is>
      </c>
      <c r="T1020">
        <v>5</v>
      </c>
      <c r="U1020">
        <v>2168.32</v>
      </c>
      <c r="V1020" t="inlineStr">
        <is>
          <t>PHP</t>
        </is>
      </c>
      <c r="W1020">
        <v>10841.6</v>
      </c>
      <c r="X1020" s="2"/>
      <c r="Y1020"/>
      <c r="Z1020"/>
      <c r="AA1020"/>
      <c r="AB1020"/>
      <c r="AC1020"/>
      <c r="AD1020" s="4"/>
      <c r="AE1020"/>
      <c r="AF1020" s="2"/>
      <c r="AG1020" t="inlineStr">
        <is>
          <t>NzQyNTk5MTgyNzQ4MTg3MDM0MTpEQTdBMDRFOS01MEEwLTQ5RTQtQkNGOS0yQ0FEOTNBOTkwOUYtMjpjYmI4OTBmN2YxYWJkNDM0ZjI2ZWE1ZGEzNzVkMTg2Nzox</t>
        </is>
      </c>
      <c r="AH1020"/>
      <c r="AI1020"/>
      <c r="AJ1020"/>
      <c r="AK1020"/>
    </row>
    <row r="1021" ht="25.5" customHeight="1">
      <c r="A1021" s="2" t="str">
        <f>=HYPERLINK("https://applink.larksuite.com/client/mini_program/open?appId=cli_9c7cc8a9a9edd105&amp;mode=appCenter&amp;path_pc=pc/pages/requested/index?instanceId=7520465265201659943&amp;source=bitable&amp;path=pages/detail/index?instanceId=7520465265201659943&amp;source=bitable", "202506270020")</f>
        <v>202506270020</v>
      </c>
      <c r="B1021" t="inlineStr">
        <is>
          <t>Approved</t>
        </is>
      </c>
      <c r="C1021" t="inlineStr">
        <is>
          <t>Procurement Order</t>
        </is>
      </c>
      <c r="D1021" s="3">
        <v>45835.476481481484</v>
      </c>
      <c r="E1021" s="3">
        <v>45835.73641203704</v>
      </c>
      <c r="F1021" t="inlineStr">
        <is>
          <t>Fatima Kathleen M. FLores</t>
        </is>
      </c>
      <c r="G1021" t="inlineStr">
        <is>
          <t>Procurement</t>
        </is>
      </c>
      <c r="H1021"/>
      <c r="I1021"/>
      <c r="J1021" t="inlineStr">
        <is>
          <t>Project</t>
        </is>
      </c>
      <c r="K1021" t="inlineStr">
        <is>
          <t>PDEI - Event Service</t>
        </is>
      </c>
      <c r="L1021" t="inlineStr">
        <is>
          <t>HOK Invitational S3 Addendum</t>
        </is>
      </c>
      <c r="M1021" t="inlineStr">
        <is>
          <t>2025TEG-P0090</t>
        </is>
      </c>
      <c r="N1021" t="inlineStr">
        <is>
          <t>Duane Aaron Baret Cadangan</t>
        </is>
      </c>
      <c r="O1021" t="inlineStr">
        <is>
          <t>202506100111-Duane Aaron Baret Cadangan-费用报销 - 副本 - 副本 - 副本-2025-06-10 08:42:56</t>
        </is>
      </c>
      <c r="P1021" t="inlineStr">
        <is>
          <t>NO</t>
        </is>
      </c>
      <c r="Q1021"/>
      <c r="R1021" t="inlineStr">
        <is>
          <t>NO</t>
        </is>
      </c>
      <c r="S1021" t="inlineStr">
        <is>
          <t>CREATIVE STAND (Material: Tarpaulin 12oz / Size: 36x72inch)</t>
        </is>
      </c>
      <c r="T1021">
        <v>2</v>
      </c>
      <c r="U1021">
        <v>504</v>
      </c>
      <c r="V1021" t="inlineStr">
        <is>
          <t>PHP</t>
        </is>
      </c>
      <c r="W1021">
        <v>1008</v>
      </c>
      <c r="X1021" s="2"/>
      <c r="Y1021"/>
      <c r="Z1021"/>
      <c r="AA1021"/>
      <c r="AB1021"/>
      <c r="AC1021"/>
      <c r="AD1021" s="4"/>
      <c r="AE1021"/>
      <c r="AF1021" s="2"/>
      <c r="AG1021" t="inlineStr">
        <is>
          <t>NzQyNTk5MTgyNzQ4MTg3MDM0MTpEQTdBMDRFOS01MEEwLTQ5RTQtQkNGOS0yQ0FEOTNBOTkwOUYtMzpmYTRkZDczYjhkNjZlMDQ2NzhjMGUwMjY4ZGIxNmEzMjox</t>
        </is>
      </c>
      <c r="AH1021"/>
      <c r="AI1021"/>
      <c r="AJ1021"/>
      <c r="AK1021"/>
    </row>
    <row r="1022" ht="25.5" customHeight="1">
      <c r="A1022" s="2" t="str">
        <f>=HYPERLINK("https://applink.larksuite.com/client/mini_program/open?appId=cli_9c7cc8a9a9edd105&amp;mode=appCenter&amp;path_pc=pc/pages/requested/index?instanceId=7520465265201659943&amp;source=bitable&amp;path=pages/detail/index?instanceId=7520465265201659943&amp;source=bitable", "202506270020")</f>
        <v>202506270020</v>
      </c>
      <c r="B1022" t="inlineStr">
        <is>
          <t>Approved</t>
        </is>
      </c>
      <c r="C1022" t="inlineStr">
        <is>
          <t>Procurement Order</t>
        </is>
      </c>
      <c r="D1022" s="3">
        <v>45835.476481481484</v>
      </c>
      <c r="E1022" s="3">
        <v>45835.73641203704</v>
      </c>
      <c r="F1022" t="inlineStr">
        <is>
          <t>Fatima Kathleen M. FLores</t>
        </is>
      </c>
      <c r="G1022" t="inlineStr">
        <is>
          <t>Procurement</t>
        </is>
      </c>
      <c r="H1022"/>
      <c r="I1022"/>
      <c r="J1022" t="inlineStr">
        <is>
          <t>Project</t>
        </is>
      </c>
      <c r="K1022" t="inlineStr">
        <is>
          <t>PDEI - Event Service</t>
        </is>
      </c>
      <c r="L1022" t="inlineStr">
        <is>
          <t>HOK Invitational S3 Addendum</t>
        </is>
      </c>
      <c r="M1022" t="inlineStr">
        <is>
          <t>2025TEG-P0090</t>
        </is>
      </c>
      <c r="N1022" t="inlineStr">
        <is>
          <t>Duane Aaron Baret Cadangan</t>
        </is>
      </c>
      <c r="O1022" t="inlineStr">
        <is>
          <t>202506100111-Duane Aaron Baret Cadangan-费用报销 - 副本 - 副本 - 副本-2025-06-10 08:42:56</t>
        </is>
      </c>
      <c r="P1022" t="inlineStr">
        <is>
          <t>NO</t>
        </is>
      </c>
      <c r="Q1022"/>
      <c r="R1022" t="inlineStr">
        <is>
          <t>NO</t>
        </is>
      </c>
      <c r="S1022" t="inlineStr">
        <is>
          <t>RUSH FEE</t>
        </is>
      </c>
      <c r="T1022">
        <v>1</v>
      </c>
      <c r="U1022">
        <v>1874.88</v>
      </c>
      <c r="V1022" t="inlineStr">
        <is>
          <t>PHP</t>
        </is>
      </c>
      <c r="W1022">
        <v>1874.88</v>
      </c>
      <c r="X1022" s="2" t="str">
        <f>=HYPERLINK("https://www.larksuite.com/approval/admin/previewAttachment?key=PMgxCgJBDAXQK_0kP8l8L2OzyyIDU4lazdkFC9tXw1AjLUqgzAXbnQ5WeqXDKiXG9m3dQlvD9rmu-1z6dMQSZxyvud-P4zqflmp3dJAxANjt79EkpSJ-Ht8AAAD__w", "2 attachment(s)")</f>
        <v>2 attachment(s)</v>
      </c>
      <c r="Y1022"/>
      <c r="Z1022"/>
      <c r="AA1022"/>
      <c r="AB1022"/>
      <c r="AC1022"/>
      <c r="AD1022" s="4"/>
      <c r="AE1022"/>
      <c r="AF1022" s="2"/>
      <c r="AG1022" t="inlineStr">
        <is>
          <t>NzQyNTk5MTgyNzQ4MTg3MDM0MTpEQTdBMDRFOS01MEEwLTQ5RTQtQkNGOS0yQ0FEOTNBOTkwOUYtNDoxZjFiMmVlM2Q0ZTI0YzlmNGRiN2NhOThhNDU3MjE5Nzox</t>
        </is>
      </c>
      <c r="AH1022"/>
      <c r="AI1022"/>
      <c r="AJ1022"/>
      <c r="AK1022"/>
    </row>
    <row r="1023" ht="25.5" customHeight="1">
      <c r="A1023" s="2" t="str">
        <f>=HYPERLINK("https://applink.larksuite.com/client/mini_program/open?appId=cli_9c7cc8a9a9edd105&amp;mode=appCenter&amp;path_pc=pc/pages/requested/index?instanceId=7521591966434394150&amp;source=bitable&amp;path=pages/detail/index?instanceId=7521591966434394150&amp;source=bitable", "202506300019")</f>
        <v>202506300019</v>
      </c>
      <c r="B1023" t="inlineStr">
        <is>
          <t>Approved</t>
        </is>
      </c>
      <c r="C1023" t="inlineStr">
        <is>
          <t>Procurement Order</t>
        </is>
      </c>
      <c r="D1023" s="3">
        <v>45838.512708333335</v>
      </c>
      <c r="E1023" s="3">
        <v>45840.43362268519</v>
      </c>
      <c r="F1023" t="inlineStr">
        <is>
          <t>Fatima Kathleen M. FLores</t>
        </is>
      </c>
      <c r="G1023" t="inlineStr">
        <is>
          <t>Procurement</t>
        </is>
      </c>
      <c r="H1023"/>
      <c r="I1023"/>
      <c r="J1023" t="inlineStr">
        <is>
          <t>Project</t>
        </is>
      </c>
      <c r="K1023" t="inlineStr">
        <is>
          <t>PDEI - Game Marketing</t>
        </is>
      </c>
      <c r="L1023" t="inlineStr">
        <is>
          <t>Tookitaki Ambassadors &amp; Logistics</t>
        </is>
      </c>
      <c r="M1023" t="inlineStr">
        <is>
          <t>2025TEG-P0158</t>
        </is>
      </c>
      <c r="N1023" t="inlineStr">
        <is>
          <t>Alessandra Mae Villanueva Boado</t>
        </is>
      </c>
      <c r="O1023" t="inlineStr">
        <is>
          <t>202506160077-Alessandra Mae Villanueva Boado-费用报销 - 副本 - 副本 - 副本-2025-06-16 07:39:15</t>
        </is>
      </c>
      <c r="P1023" t="inlineStr">
        <is>
          <t>YES</t>
        </is>
      </c>
      <c r="Q1023"/>
      <c r="R1023" t="inlineStr">
        <is>
          <t>NO</t>
        </is>
      </c>
      <c r="S1023" t="inlineStr">
        <is>
          <t>Outsourced Talent / Ambassador</t>
        </is>
      </c>
      <c r="T1023">
        <v>1</v>
      </c>
      <c r="U1023">
        <v>5555.55</v>
      </c>
      <c r="V1023" t="inlineStr">
        <is>
          <t>PHP</t>
        </is>
      </c>
      <c r="W1023">
        <v>5555.55</v>
      </c>
      <c r="X1023" s="2" t="str">
        <f>=HYPERLINK("https://www.larksuite.com/approval/admin/previewAttachment?key=PMgxCsJQEATQK838nd3942VsDEHQVGLA4p9dsLB9NYmayShD5jC4OgfTdJVCYTGxxmK30Wxwbcd-PfmQnu_MD5M61nm_7duL6R4DHVJMALz8PVqSXcLP8Q0AAP__", "2 attachment(s)")</f>
        <v>2 attachment(s)</v>
      </c>
      <c r="Y1023" t="inlineStr">
        <is>
          <t>Bank Transfer</t>
        </is>
      </c>
      <c r="Z1023" t="inlineStr">
        <is>
          <t>Richard Arma</t>
        </is>
      </c>
      <c r="AA1023" t="inlineStr">
        <is>
          <t>1409102639</t>
        </is>
      </c>
      <c r="AB1023" t="inlineStr">
        <is>
          <t>BPI</t>
        </is>
      </c>
      <c r="AC1023" t="inlineStr">
        <is>
          <t>Block 11 Lot 24 Lores Country Club Antipolo City</t>
        </is>
      </c>
      <c r="AD1023" s="4">
        <v>45846</v>
      </c>
      <c r="AE1023" t="inlineStr">
        <is>
          <t>100% Full Payment - July 18, 2025</t>
        </is>
      </c>
      <c r="AF1023" s="2"/>
      <c r="AG1023" t="inlineStr">
        <is>
          <t>NzQyNTk5MTgyNzQ4MTg3MDM0MTowNTdBQ0FBNC0zRUE4LTQ3NkEtOTFDNC1CQTM0OUVCQUFERjUtMTozZDJkYTEzMDg3MmNiMDZkM2NlZmZlMDM2MDhmMWZkMDox</t>
        </is>
      </c>
      <c r="AH1023"/>
      <c r="AI1023"/>
      <c r="AJ1023"/>
      <c r="AK1023"/>
    </row>
    <row r="1024" ht="25.5" customHeight="1">
      <c r="A1024" s="2" t="str">
        <f>=HYPERLINK("https://applink.larksuite.com/client/mini_program/open?appId=cli_9c7cc8a9a9edd105&amp;mode=appCenter&amp;path_pc=pc/pages/requested/index?instanceId=7521587343850078240&amp;source=bitable&amp;path=pages/detail/index?instanceId=7521587343850078240&amp;source=bitable", "202506300013")</f>
        <v>202506300013</v>
      </c>
      <c r="B1024" t="inlineStr">
        <is>
          <t>Approved</t>
        </is>
      </c>
      <c r="C1024" t="inlineStr">
        <is>
          <t>Procurement Order</t>
        </is>
      </c>
      <c r="D1024" s="3">
        <v>45838.50025462963</v>
      </c>
      <c r="E1024" s="3">
        <v>45838.68486111111</v>
      </c>
      <c r="F1024" t="inlineStr">
        <is>
          <t>Fatima Kathleen M. FLores</t>
        </is>
      </c>
      <c r="G1024" t="inlineStr">
        <is>
          <t>Procurement</t>
        </is>
      </c>
      <c r="H1024"/>
      <c r="I1024"/>
      <c r="J1024" t="inlineStr">
        <is>
          <t>Project</t>
        </is>
      </c>
      <c r="K1024" t="inlineStr">
        <is>
          <t>PDEI - Event Service</t>
        </is>
      </c>
      <c r="L1024" t="inlineStr">
        <is>
          <t>MDL PH S5 - Playoffs</t>
        </is>
      </c>
      <c r="M1024" t="inlineStr">
        <is>
          <t>2025TEG-P0004</t>
        </is>
      </c>
      <c r="N1024" t="inlineStr">
        <is>
          <t>Kervin</t>
        </is>
      </c>
      <c r="O1024" t="inlineStr">
        <is>
          <t>202506230054-Kervin-费用报销 - 副本 - 副本 - 副本-2025-06-23 06:01:39</t>
        </is>
      </c>
      <c r="P1024" t="inlineStr">
        <is>
          <t>YES</t>
        </is>
      </c>
      <c r="Q1024"/>
      <c r="R1024" t="inlineStr">
        <is>
          <t>YES</t>
        </is>
      </c>
      <c r="S1024" t="inlineStr">
        <is>
          <t>Outsourced HMUA (Additional)</t>
        </is>
      </c>
      <c r="T1024">
        <v>1</v>
      </c>
      <c r="U1024">
        <v>7200</v>
      </c>
      <c r="V1024" t="inlineStr">
        <is>
          <t>PHP</t>
        </is>
      </c>
      <c r="W1024">
        <v>7200</v>
      </c>
      <c r="X1024" s="2" t="str">
        <f>=HYPERLINK("https://www.larksuite.com/approval/admin/previewAttachment?key=PMg9CsJAEAXgK7352zfjZWwSgqArgrjYzNkFi7TfSMHIEBsFL9GCNEMlkuaWATDV0dpCFiiE9D6PKyznfGyfte7Pb7x63bZjf0sUVUFztwQgl9ON7l41HH_HLwAA__8", "2 attachment(s)")</f>
        <v>2 attachment(s)</v>
      </c>
      <c r="Y1024" t="inlineStr">
        <is>
          <t>Bank Transfer</t>
        </is>
      </c>
      <c r="Z1024" t="inlineStr">
        <is>
          <t>Grace Filomeno</t>
        </is>
      </c>
      <c r="AA1024" t="inlineStr">
        <is>
          <t>007340484415</t>
        </is>
      </c>
      <c r="AB1024" t="inlineStr">
        <is>
          <t>BDO</t>
        </is>
      </c>
      <c r="AC1024" t="inlineStr">
        <is>
          <t>89 T Santos St. San Jose, Rodriguez, Rizal</t>
        </is>
      </c>
      <c r="AD1024" s="4">
        <v>45794</v>
      </c>
      <c r="AE1024" t="inlineStr">
        <is>
          <t>100% Full Payment - July 4, 2025</t>
        </is>
      </c>
      <c r="AF1024" s="2"/>
      <c r="AG1024" t="inlineStr">
        <is>
          <t>NzQyNTk5MTgyNzQ4MTg3MDM0MTpCMUI2MzM4NC02RDk5LTRFNDEtOUQxQy02OTNGMDkxMEVFNjMtMToyZmJhZTZiODE5OWNiZmYzMzVkNWZmMTNjYzNhNGRjNDox</t>
        </is>
      </c>
      <c r="AH1024"/>
      <c r="AI1024"/>
      <c r="AJ1024"/>
      <c r="AK1024"/>
    </row>
    <row r="1025" ht="25.5" customHeight="1">
      <c r="A1025" s="2" t="str">
        <f>=HYPERLINK("https://applink.larksuite.com/client/mini_program/open?appId=cli_9c7cc8a9a9edd105&amp;mode=appCenter&amp;path_pc=pc/pages/requested/index?instanceId=7521593890109980704&amp;source=bitable&amp;path=pages/detail/index?instanceId=7521593890109980704&amp;source=bitable", "202506300021")</f>
        <v>202506300021</v>
      </c>
      <c r="B1025" t="inlineStr">
        <is>
          <t>Approved</t>
        </is>
      </c>
      <c r="C1025" t="inlineStr">
        <is>
          <t>Procurement Order</t>
        </is>
      </c>
      <c r="D1025" s="3">
        <v>45838.51789351852</v>
      </c>
      <c r="E1025" s="3">
        <v>45840.43456018518</v>
      </c>
      <c r="F1025" t="inlineStr">
        <is>
          <t>Fatima Kathleen M. FLores</t>
        </is>
      </c>
      <c r="G1025" t="inlineStr">
        <is>
          <t>Procurement</t>
        </is>
      </c>
      <c r="H1025"/>
      <c r="I1025"/>
      <c r="J1025" t="inlineStr">
        <is>
          <t>Project</t>
        </is>
      </c>
      <c r="K1025" t="inlineStr">
        <is>
          <t>PDEI - Game Marketing</t>
        </is>
      </c>
      <c r="L1025" t="inlineStr">
        <is>
          <t>Tookitaki Ambassadors &amp; Logistics</t>
        </is>
      </c>
      <c r="M1025" t="inlineStr">
        <is>
          <t>2025TEG-P0158</t>
        </is>
      </c>
      <c r="N1025" t="inlineStr">
        <is>
          <t>Alessandra Mae Villanueva Boado</t>
        </is>
      </c>
      <c r="O1025" t="inlineStr">
        <is>
          <t>202506160077-Alessandra Mae Villanueva Boado-费用报销 - 副本 - 副本 - 副本-2025-06-16 07:39:15</t>
        </is>
      </c>
      <c r="P1025" t="inlineStr">
        <is>
          <t>YES</t>
        </is>
      </c>
      <c r="Q1025"/>
      <c r="R1025" t="inlineStr">
        <is>
          <t>NO</t>
        </is>
      </c>
      <c r="S1025" t="inlineStr">
        <is>
          <t>Outsourced Talent / Ambassador</t>
        </is>
      </c>
      <c r="T1025">
        <v>1</v>
      </c>
      <c r="U1025">
        <v>9999.99</v>
      </c>
      <c r="V1025" t="inlineStr">
        <is>
          <t>PHP</t>
        </is>
      </c>
      <c r="W1025">
        <v>9999.99</v>
      </c>
      <c r="X1025" s="2" t="str">
        <f>=HYPERLINK("https://www.larksuite.com/approval/admin/previewAttachment?key=PMgxCsJQEATQK83sn_93x8vYGIJBTCNotWcXLGzfKmLV5FiGzDDYOYPTowzCLiTU0cw0kono7blfS3Weh6vE-Tke_b7f9u3F6YxADmkUAF7-PlKSvYSf4xsAAP__", "2 attachment(s)")</f>
        <v>2 attachment(s)</v>
      </c>
      <c r="Y1025" t="inlineStr">
        <is>
          <t>Bank Transfer</t>
        </is>
      </c>
      <c r="Z1025" t="inlineStr">
        <is>
          <t>John Eric Olmedo</t>
        </is>
      </c>
      <c r="AA1025" t="inlineStr">
        <is>
          <t>006320310498</t>
        </is>
      </c>
      <c r="AB1025" t="inlineStr">
        <is>
          <t>BDO</t>
        </is>
      </c>
      <c r="AC1025" t="inlineStr">
        <is>
          <t>155 San Antonio St. Brgy. San Antonio Quezon City</t>
        </is>
      </c>
      <c r="AD1025" s="4">
        <v>45835</v>
      </c>
      <c r="AE1025" t="inlineStr">
        <is>
          <t>1st Payment - July 11, 2025
Final Payment - July 18, 2025</t>
        </is>
      </c>
      <c r="AF1025" s="2"/>
      <c r="AG1025" t="inlineStr">
        <is>
          <t>NzQyNTk5MTgyNzQ4MTg3MDM0MTowNjMxOUM0OS1BQjZFLTQ0ODctOTVDNC04ODBBREI5NDI4M0MtMTo4OWE0ZjY0NjAyOTI1YWFhYWIyMjU0MmE0MDI3ZThhZDox</t>
        </is>
      </c>
      <c r="AH1025"/>
      <c r="AI1025"/>
      <c r="AJ1025"/>
      <c r="AK1025"/>
    </row>
    <row r="1026" ht="25.5" customHeight="1">
      <c r="A1026" s="2" t="str">
        <f>=HYPERLINK("https://applink.larksuite.com/client/mini_program/open?appId=cli_9c7cc8a9a9edd105&amp;mode=appCenter&amp;path_pc=pc/pages/requested/index?instanceId=7521628433915379744&amp;source=bitable&amp;path=pages/detail/index?instanceId=7521628433915379744&amp;source=bitable", "202506300045")</f>
        <v>202506300045</v>
      </c>
      <c r="B1026" t="inlineStr">
        <is>
          <t>Approved</t>
        </is>
      </c>
      <c r="C1026" t="inlineStr">
        <is>
          <t>Procurement Order</t>
        </is>
      </c>
      <c r="D1026" s="3">
        <v>45838.610983796294</v>
      </c>
      <c r="E1026" s="3">
        <v>45838.682534722226</v>
      </c>
      <c r="F1026" t="inlineStr">
        <is>
          <t>Fatima Kathleen M. FLores</t>
        </is>
      </c>
      <c r="G1026" t="inlineStr">
        <is>
          <t>Procurement</t>
        </is>
      </c>
      <c r="H1026"/>
      <c r="I1026"/>
      <c r="J1026" t="inlineStr">
        <is>
          <t>Project</t>
        </is>
      </c>
      <c r="K1026" t="inlineStr">
        <is>
          <t>PDEI - Game Marketing</t>
        </is>
      </c>
      <c r="L1026" t="inlineStr">
        <is>
          <t>GG Truck x Megabet</t>
        </is>
      </c>
      <c r="M1026" t="inlineStr">
        <is>
          <t>2025TEG-P0124</t>
        </is>
      </c>
      <c r="N1026" t="inlineStr">
        <is>
          <t>Anteaus Villena</t>
        </is>
      </c>
      <c r="O1026" t="inlineStr">
        <is>
          <t>202506260024-Anteaus Villena-费用报销 - 副本 - 副本 - 副本-2025-06-26 03:12:33</t>
        </is>
      </c>
      <c r="P1026" t="inlineStr">
        <is>
          <t>NO</t>
        </is>
      </c>
      <c r="Q1026"/>
      <c r="R1026" t="inlineStr">
        <is>
          <t>NO</t>
        </is>
      </c>
      <c r="S1026" t="inlineStr">
        <is>
          <t>GG Truck x MegaBet Truck Wrap</t>
        </is>
      </c>
      <c r="T1026">
        <v>1</v>
      </c>
      <c r="U1026">
        <v>36000</v>
      </c>
      <c r="V1026" t="inlineStr">
        <is>
          <t>PHP</t>
        </is>
      </c>
      <c r="W1026">
        <v>36000</v>
      </c>
      <c r="X1026" s="2" t="str">
        <f>=HYPERLINK("https://www.larksuite.com/approval/admin/previewAttachment?key=PMgxDsIwFAPQK9n_O3E-l2FpFbGUBbWw5OxIDKyvD6KPxuwFFaPA5RbsMZRZbOmytGLRLphGrP2Y9-08nu9TW_vwmhnremxzf7GVI-CUcgDg7e9pSVVd-Dm-AQAA__8", "2 attachment(s)")</f>
        <v>2 attachment(s)</v>
      </c>
      <c r="Y1026" t="inlineStr">
        <is>
          <t>Bank Transfer</t>
        </is>
      </c>
      <c r="Z1026" t="inlineStr">
        <is>
          <t>MaxPrecision Corporation</t>
        </is>
      </c>
      <c r="AA1026" t="inlineStr">
        <is>
          <t>4440117166</t>
        </is>
      </c>
      <c r="AB1026" t="inlineStr">
        <is>
          <t>BDO</t>
        </is>
      </c>
      <c r="AC1026" t="inlineStr">
        <is>
          <t>No. 5 Lt. Artiaga Street, Brgy Corazon De Jesus San Juan City</t>
        </is>
      </c>
      <c r="AD1026" s="4">
        <v>45842</v>
      </c>
      <c r="AE1026" t="inlineStr">
        <is>
          <t>100% Full Payment - 30 days upon completion of services</t>
        </is>
      </c>
      <c r="AF1026" s="2"/>
      <c r="AG1026" t="inlineStr">
        <is>
          <t>NzQyNTk5MTgyNzQ4MTg3MDM0MTo5RTQxOEE2Ni0xQ0I4LTRCRkMtOTFCQy1DMEQ3NkI2RkU5RkYtMToxNDFkNzZkYWJiZmQxYzM1ZjY5MzgxZWE2MzA4Y2IyNTox</t>
        </is>
      </c>
      <c r="AH1026"/>
      <c r="AI1026"/>
      <c r="AJ1026"/>
      <c r="AK1026"/>
    </row>
    <row r="1027" ht="25.5" customHeight="1">
      <c r="A1027" s="2" t="str">
        <f>=HYPERLINK("https://applink.larksuite.com/client/mini_program/open?appId=cli_9c7cc8a9a9edd105&amp;mode=appCenter&amp;path_pc=pc/pages/requested/index?instanceId=7521633943578247207&amp;source=bitable&amp;path=pages/detail/index?instanceId=7521633943578247207&amp;source=bitable", "202506300049")</f>
        <v>202506300049</v>
      </c>
      <c r="B1027" t="inlineStr">
        <is>
          <t>Approved</t>
        </is>
      </c>
      <c r="C1027" t="inlineStr">
        <is>
          <t>Procurement Order</t>
        </is>
      </c>
      <c r="D1027" s="3">
        <v>45838.62583333333</v>
      </c>
      <c r="E1027" s="3">
        <v>45838.65405092593</v>
      </c>
      <c r="F1027" t="inlineStr">
        <is>
          <t>Fatima Kathleen M. FLores</t>
        </is>
      </c>
      <c r="G1027" t="inlineStr">
        <is>
          <t>Procurement</t>
        </is>
      </c>
      <c r="H1027"/>
      <c r="I1027"/>
      <c r="J1027" t="inlineStr">
        <is>
          <t>Project</t>
        </is>
      </c>
      <c r="K1027" t="inlineStr">
        <is>
          <t>PDEI - Event Service</t>
        </is>
      </c>
      <c r="L1027" t="inlineStr">
        <is>
          <t>SEA GAMES PHILIPPINE QUALIFIER</t>
        </is>
      </c>
      <c r="M1027" t="inlineStr">
        <is>
          <t>2025TEG-P0183</t>
        </is>
      </c>
      <c r="N1027" t="inlineStr">
        <is>
          <t>Raffy/Paeng</t>
        </is>
      </c>
      <c r="O1027" t="inlineStr">
        <is>
          <t>202506220011-Raffy/Paeng-费用报销 - 副本 - 副本 - 副本-2025-06-22 06:18:00</t>
        </is>
      </c>
      <c r="P1027" t="inlineStr">
        <is>
          <t>YES</t>
        </is>
      </c>
      <c r="Q1027"/>
      <c r="R1027" t="inlineStr">
        <is>
          <t>NO</t>
        </is>
      </c>
      <c r="S1027" t="inlineStr">
        <is>
          <t>Outsourced CG Operator/ Director</t>
        </is>
      </c>
      <c r="T1027">
        <v>1</v>
      </c>
      <c r="U1027">
        <v>22500</v>
      </c>
      <c r="V1027" t="inlineStr">
        <is>
          <t>PHP</t>
        </is>
      </c>
      <c r="W1027">
        <v>22500</v>
      </c>
      <c r="X1027" s="2" t="str">
        <f>=HYPERLINK("https://www.larksuite.com/approval/admin/previewAttachment?key=PMhNqsJAEATgK1X1z9T0u8zbZAhCiAhiwEWfXXDh9huTGDPpoxBFK7CVxuFe4alpIYPamlJBFKzXuf-_r9fdk7mtx1Hn0ddt29eTWTKDPMInAP793BURVSPwdXwCAAD__w", "2 attachment(s)")</f>
        <v>2 attachment(s)</v>
      </c>
      <c r="Y1027" t="inlineStr">
        <is>
          <t>Bank Transfer</t>
        </is>
      </c>
      <c r="Z1027" t="inlineStr">
        <is>
          <t>Jay Lawrence Rivera</t>
        </is>
      </c>
      <c r="AA1027" t="inlineStr">
        <is>
          <t>0000049934381</t>
        </is>
      </c>
      <c r="AB1027" t="inlineStr">
        <is>
          <t>Security Bank</t>
        </is>
      </c>
      <c r="AC1027" t="inlineStr">
        <is>
          <t>023 Kasunduan St. Brgy. Commonwealth Quezon City</t>
        </is>
      </c>
      <c r="AD1027" s="4">
        <v>45829</v>
      </c>
      <c r="AE1027" t="inlineStr">
        <is>
          <t>1st Payment - July 11, 2025
Final Payment - July 18, 2025</t>
        </is>
      </c>
      <c r="AF1027" s="2"/>
      <c r="AG1027" t="inlineStr">
        <is>
          <t>NzQyNTk5MTgyNzQ4MTg3MDM0MTo0Q0NERkM1NC01RUM0LTQ2RjgtOEQyMy04NTg0MjA0QUY5MzMtMToyNTdlZjdjMWM0NjBhOWNkYWI5YjUyZDQxY2EwMDk5Yjox</t>
        </is>
      </c>
      <c r="AH1027"/>
      <c r="AI1027"/>
      <c r="AJ1027"/>
      <c r="AK1027"/>
    </row>
    <row r="1028" ht="25.5" customHeight="1">
      <c r="A1028" s="2" t="str">
        <f>=HYPERLINK("https://applink.larksuite.com/client/mini_program/open?appId=cli_9c7cc8a9a9edd105&amp;mode=appCenter&amp;path_pc=pc/pages/requested/index?instanceId=7521636560287121439&amp;source=bitable&amp;path=pages/detail/index?instanceId=7521636560287121439&amp;source=bitable", "202506300053")</f>
        <v>202506300053</v>
      </c>
      <c r="B1028" t="inlineStr">
        <is>
          <t>Approved</t>
        </is>
      </c>
      <c r="C1028" t="inlineStr">
        <is>
          <t>Procurement Order</t>
        </is>
      </c>
      <c r="D1028" s="3">
        <v>45838.632881944446</v>
      </c>
      <c r="E1028" s="3">
        <v>45838.65461805555</v>
      </c>
      <c r="F1028" t="inlineStr">
        <is>
          <t>Fatima Kathleen M. FLores</t>
        </is>
      </c>
      <c r="G1028" t="inlineStr">
        <is>
          <t>Procurement</t>
        </is>
      </c>
      <c r="H1028"/>
      <c r="I1028"/>
      <c r="J1028" t="inlineStr">
        <is>
          <t>Project</t>
        </is>
      </c>
      <c r="K1028" t="inlineStr">
        <is>
          <t>PDEI - Event Service</t>
        </is>
      </c>
      <c r="L1028" t="inlineStr">
        <is>
          <t>SEA GAMES PHILIPPINE QUALIFIER</t>
        </is>
      </c>
      <c r="M1028" t="inlineStr">
        <is>
          <t>2025TEG-P0183</t>
        </is>
      </c>
      <c r="N1028" t="inlineStr">
        <is>
          <t>Raffy/Paeng</t>
        </is>
      </c>
      <c r="O1028" t="inlineStr">
        <is>
          <t>202506200083-Raffy/Paeng-费用报销 - 副本 - 副本 - 副本-2025-06-20 11:14:36</t>
        </is>
      </c>
      <c r="P1028" t="inlineStr">
        <is>
          <t>YES</t>
        </is>
      </c>
      <c r="Q1028"/>
      <c r="R1028" t="inlineStr">
        <is>
          <t>NO</t>
        </is>
      </c>
      <c r="S1028" t="inlineStr">
        <is>
          <t>Outsourced Stream Engineer</t>
        </is>
      </c>
      <c r="T1028">
        <v>1</v>
      </c>
      <c r="U1028">
        <v>7500</v>
      </c>
      <c r="V1028" t="inlineStr">
        <is>
          <t>PHP</t>
        </is>
      </c>
      <c r="W1028">
        <v>7500</v>
      </c>
      <c r="X1028" s="2" t="str">
        <f>=HYPERLINK("https://www.larksuite.com/approval/admin/previewAttachment?key=PMgxrsJADATQK82Mvfb6X-Y3G0UgkTQIUvnsSBS0LyYRc9Ci4EUV2DnEsBgBzaToVq1mZiGZUG_H_r9ex3k91rjuUp7q923t25OjUkKau00A_Pu5pbtXhePr-AQAAP__", "2 attachment(s)")</f>
        <v>2 attachment(s)</v>
      </c>
      <c r="Y1028" t="inlineStr">
        <is>
          <t>Bank Transfer</t>
        </is>
      </c>
      <c r="Z1028" t="inlineStr">
        <is>
          <t>Julia Sandra Dela Peña</t>
        </is>
      </c>
      <c r="AA1028" t="inlineStr">
        <is>
          <t>3229335854</t>
        </is>
      </c>
      <c r="AB1028" t="inlineStr">
        <is>
          <t>BPI</t>
        </is>
      </c>
      <c r="AC1028" t="inlineStr">
        <is>
          <t>2330 Calderon Street Sta Ana Manila</t>
        </is>
      </c>
      <c r="AD1028" s="4">
        <v>45830</v>
      </c>
      <c r="AE1028" t="inlineStr">
        <is>
          <t>100% Full Payment - July 11, 2025</t>
        </is>
      </c>
      <c r="AF1028" s="2"/>
      <c r="AG1028" t="inlineStr">
        <is>
          <t>NzQyNTk5MTgyNzQ4MTg3MDM0MTo4MTFDN0IwRS1FMUM2LTQ4REYtOTA1RC1BQjc0MUIzMzVGRjAtMTplZTA4ZDk1MzU1YWE2MDkyYTcxNzM5YWEwMThiMzcwMDox</t>
        </is>
      </c>
      <c r="AH1028"/>
      <c r="AI1028"/>
      <c r="AJ1028"/>
      <c r="AK1028"/>
    </row>
    <row r="1029" ht="25.5" customHeight="1">
      <c r="A1029" s="2" t="str">
        <f>=HYPERLINK("https://applink.larksuite.com/client/mini_program/open?appId=cli_9c7cc8a9a9edd105&amp;mode=appCenter&amp;path_pc=pc/pages/requested/index?instanceId=7521956899902947366&amp;source=bitable&amp;path=pages/detail/index?instanceId=7521956899902947366&amp;source=bitable", "202507010012")</f>
        <v>202507010012</v>
      </c>
      <c r="B1029" t="inlineStr">
        <is>
          <t>Approved</t>
        </is>
      </c>
      <c r="C1029" t="inlineStr">
        <is>
          <t>Procurement Order</t>
        </is>
      </c>
      <c r="D1029" s="3">
        <v>45839.49613425926</v>
      </c>
      <c r="E1029" s="3">
        <v>45840.42680555556</v>
      </c>
      <c r="F1029" t="inlineStr">
        <is>
          <t>Fatima Kathleen M. FLores</t>
        </is>
      </c>
      <c r="G1029" t="inlineStr">
        <is>
          <t>Procurement</t>
        </is>
      </c>
      <c r="H1029"/>
      <c r="I1029"/>
      <c r="J1029" t="inlineStr">
        <is>
          <t>GAE</t>
        </is>
      </c>
      <c r="K1029"/>
      <c r="L1029"/>
      <c r="M1029"/>
      <c r="N1029"/>
      <c r="O1029" t="inlineStr">
        <is>
          <t>202506120080-Aldren Verzo-费用报销 - 副本 - 副本-2025-06-12 09:56:24</t>
        </is>
      </c>
      <c r="P1029"/>
      <c r="Q1029" t="inlineStr">
        <is>
          <t>V5 Tech</t>
        </is>
      </c>
      <c r="R1029"/>
      <c r="S1029" t="inlineStr">
        <is>
          <t>EASY PARKING MOBILE APP</t>
        </is>
      </c>
      <c r="T1029">
        <v>1</v>
      </c>
      <c r="U1029">
        <v>300000</v>
      </c>
      <c r="V1029" t="inlineStr">
        <is>
          <t>PHP</t>
        </is>
      </c>
      <c r="W1029">
        <v>300000</v>
      </c>
      <c r="X1029" s="2"/>
      <c r="Y1029" t="inlineStr">
        <is>
          <t>Bank Transfer</t>
        </is>
      </c>
      <c r="Z1029" t="inlineStr">
        <is>
          <t>VADE S-SOLUTIONS COMPANY</t>
        </is>
      </c>
      <c r="AA1029" t="inlineStr">
        <is>
          <t>004190404384</t>
        </is>
      </c>
      <c r="AB1029" t="inlineStr">
        <is>
          <t>BDO</t>
        </is>
      </c>
      <c r="AC1029" t="inlineStr">
        <is>
          <t>Room 3-C, Chua Tiam Building A. Del Rosario Street Tipolo Mandaue City, Cebu</t>
        </is>
      </c>
      <c r="AD1029" s="4">
        <v>45848</v>
      </c>
      <c r="AE1029" t="inlineStr">
        <is>
          <t>50% Down payment upon confirmation
50% Final Payment upon complete delivery of services</t>
        </is>
      </c>
      <c r="AF1029" s="2"/>
      <c r="AG1029" t="inlineStr">
        <is>
          <t>NzQyNTk5MTgyNzQ4MTg3MDM0MTpENzdGRDQ4My00MjI3LTQ2NTgtQkMxNi1GODI5MDUxNUM5MkYtMToxYWI4ZjU3M2MxZmI3OTdiZjIxYjhmMDI0YjYwNDEwYzox</t>
        </is>
      </c>
      <c r="AH1029"/>
      <c r="AI1029"/>
      <c r="AJ1029"/>
      <c r="AK1029"/>
    </row>
    <row r="1030" ht="25.5" customHeight="1">
      <c r="A1030" s="2" t="str">
        <f>=HYPERLINK("https://applink.larksuite.com/client/mini_program/open?appId=cli_9c7cc8a9a9edd105&amp;mode=appCenter&amp;path_pc=pc/pages/requested/index?instanceId=7521956899902947366&amp;source=bitable&amp;path=pages/detail/index?instanceId=7521956899902947366&amp;source=bitable", "202507010012")</f>
        <v>202507010012</v>
      </c>
      <c r="B1030" t="inlineStr">
        <is>
          <t>Approved</t>
        </is>
      </c>
      <c r="C1030" t="inlineStr">
        <is>
          <t>Procurement Order</t>
        </is>
      </c>
      <c r="D1030" s="3">
        <v>45839.49613425926</v>
      </c>
      <c r="E1030" s="3">
        <v>45840.42680555556</v>
      </c>
      <c r="F1030" t="inlineStr">
        <is>
          <t>Fatima Kathleen M. FLores</t>
        </is>
      </c>
      <c r="G1030" t="inlineStr">
        <is>
          <t>Procurement</t>
        </is>
      </c>
      <c r="H1030"/>
      <c r="I1030"/>
      <c r="J1030" t="inlineStr">
        <is>
          <t>GAE</t>
        </is>
      </c>
      <c r="K1030"/>
      <c r="L1030"/>
      <c r="M1030"/>
      <c r="N1030"/>
      <c r="O1030" t="inlineStr">
        <is>
          <t>202506120080-Aldren Verzo-费用报销 - 副本 - 副本-2025-06-12 09:56:24</t>
        </is>
      </c>
      <c r="P1030"/>
      <c r="Q1030" t="inlineStr">
        <is>
          <t>V5 Tech</t>
        </is>
      </c>
      <c r="R1030"/>
      <c r="S1030" t="inlineStr">
        <is>
          <t>EASY PARKING BACK OFFICE (CMS)</t>
        </is>
      </c>
      <c r="T1030">
        <v>1</v>
      </c>
      <c r="U1030">
        <v>200000</v>
      </c>
      <c r="V1030" t="inlineStr">
        <is>
          <t>PHP</t>
        </is>
      </c>
      <c r="W1030">
        <v>200000</v>
      </c>
      <c r="X1030" s="2" t="str">
        <f>=HYPERLINK("https://www.larksuite.com/approval/admin/previewAttachment?key=PMg9rsIwEATgK82s98fzLvMaWxFNKkRIs2dHoqD9chI5gyMFF01gVxgVOSXB5DUy25pVQrFgvc_jf73Od9y27g1c2_t6rGM_GSoz1HAfEwD_fj7K3aV0fJ2fAAAA__8", "3 attachment(s)")</f>
        <v>3 attachment(s)</v>
      </c>
      <c r="Y1030"/>
      <c r="Z1030"/>
      <c r="AA1030"/>
      <c r="AB1030"/>
      <c r="AC1030"/>
      <c r="AD1030" s="4"/>
      <c r="AE1030"/>
      <c r="AF1030" s="2"/>
      <c r="AG1030" t="inlineStr">
        <is>
          <t>NzQyNTk5MTgyNzQ4MTg3MDM0MTpENzdGRDQ4My00MjI3LTQ2NTgtQkMxNi1GODI5MDUxNUM5MkYtMjowNDMxMjI0NWYzZmI1MzcwNDkyODQxMWJmNjk4MzUzZjox</t>
        </is>
      </c>
      <c r="AH1030"/>
      <c r="AI1030"/>
      <c r="AJ1030"/>
      <c r="AK1030"/>
    </row>
    <row r="1031" ht="25.5" customHeight="1">
      <c r="A1031" s="2" t="str">
        <f>=HYPERLINK("https://applink.larksuite.com/client/mini_program/open?appId=cli_9c7cc8a9a9edd105&amp;mode=appCenter&amp;path_pc=pc/pages/requested/index?instanceId=7521960556484657183&amp;source=bitable&amp;path=pages/detail/index?instanceId=7521960556484657183&amp;source=bitable", "202507010014")</f>
        <v>202507010014</v>
      </c>
      <c r="B1031" t="inlineStr">
        <is>
          <t>Approved</t>
        </is>
      </c>
      <c r="C1031" t="inlineStr">
        <is>
          <t>Procurement Order</t>
        </is>
      </c>
      <c r="D1031" s="3">
        <v>45839.50599537037</v>
      </c>
      <c r="E1031" s="3">
        <v>45840.42711805556</v>
      </c>
      <c r="F1031" t="inlineStr">
        <is>
          <t>Fatima Kathleen M. FLores</t>
        </is>
      </c>
      <c r="G1031" t="inlineStr">
        <is>
          <t>Procurement</t>
        </is>
      </c>
      <c r="H1031"/>
      <c r="I1031"/>
      <c r="J1031" t="inlineStr">
        <is>
          <t>GAE</t>
        </is>
      </c>
      <c r="K1031"/>
      <c r="L1031"/>
      <c r="M1031"/>
      <c r="N1031"/>
      <c r="O1031" t="inlineStr">
        <is>
          <t>202506170008-John Jerald Lauguico-费用报销 - 副本 - 副本-2025-06-17 02:22:11</t>
        </is>
      </c>
      <c r="P1031"/>
      <c r="Q1031" t="inlineStr">
        <is>
          <t>V5 Tech</t>
        </is>
      </c>
      <c r="R1031"/>
      <c r="S1031" t="inlineStr">
        <is>
          <t>Game License Fee  (October to December 2024)</t>
        </is>
      </c>
      <c r="T1031">
        <v>1</v>
      </c>
      <c r="U1031">
        <v>1200</v>
      </c>
      <c r="V1031" t="inlineStr">
        <is>
          <t>USD</t>
        </is>
      </c>
      <c r="W1031">
        <v>1200</v>
      </c>
      <c r="X1031" s="2" t="str">
        <f>=HYPERLINK("https://www.larksuite.com/approval/admin/previewAttachment?key=PMg7CgJBEATQK1V1V_-8jMksi8mCIJrN2QUD05dNZAc9BxragLvCOImIVCuj2L5ts2pQLNg-rvMe0c71XpfiWE_fn8c6jxdjygzlkjcA3v7uJWkmhZ_jGwAA__8", "3 attachment(s)")</f>
        <v>3 attachment(s)</v>
      </c>
      <c r="Y1031" t="inlineStr">
        <is>
          <t>Bank Transfer</t>
        </is>
      </c>
      <c r="Z1031" t="inlineStr">
        <is>
          <t>INLOGIC SOFTWARE S.R</t>
        </is>
      </c>
      <c r="AA1031" t="inlineStr">
        <is>
          <t>2628098225/1100</t>
        </is>
      </c>
      <c r="AB1031" t="inlineStr">
        <is>
          <t>Tatra banka, a.s.</t>
        </is>
      </c>
      <c r="AC1031" t="inlineStr">
        <is>
          <t>Skuteckého 25, 974 01 Banská Bystrica, Slovakia</t>
        </is>
      </c>
      <c r="AD1031" s="4">
        <v>45589</v>
      </c>
      <c r="AE1031" t="inlineStr">
        <is>
          <t>100% Full Payment
NOTE: This is an extension of previous contract under PO 202503030034.</t>
        </is>
      </c>
      <c r="AF1031" s="2"/>
      <c r="AG1031" t="inlineStr">
        <is>
          <t>NzQyNTk5MTgyNzQ4MTg3MDM0MTowOUEyRDkxMC0zODc2LTRDRTQtOUVCRS0xRTJBOTYzNDg2QTUtMTpjMDdkYzhiNDEyNTg1ODI5ZjYxYTA5NWY3NzA5MmRkMDox</t>
        </is>
      </c>
      <c r="AH1031"/>
      <c r="AI1031"/>
      <c r="AJ1031"/>
      <c r="AK1031"/>
    </row>
    <row r="1032" ht="25.5" customHeight="1">
      <c r="A1032" s="2" t="str">
        <f>=HYPERLINK("https://applink.larksuite.com/client/mini_program/open?appId=cli_9c7cc8a9a9edd105&amp;mode=appCenter&amp;path_pc=pc/pages/requested/index?instanceId=7522002792286797855&amp;source=bitable&amp;path=pages/detail/index?instanceId=7522002792286797855&amp;source=bitable", "202507010027")</f>
        <v>202507010027</v>
      </c>
      <c r="B1032" t="inlineStr">
        <is>
          <t>Approved</t>
        </is>
      </c>
      <c r="C1032" t="inlineStr">
        <is>
          <t>Procurement Order</t>
        </is>
      </c>
      <c r="D1032" s="3">
        <v>45839.61980324074</v>
      </c>
      <c r="E1032" s="3">
        <v>45847.44778935185</v>
      </c>
      <c r="F1032" t="inlineStr">
        <is>
          <t>Fatima Kathleen M. FLores</t>
        </is>
      </c>
      <c r="G1032" t="inlineStr">
        <is>
          <t>Procurement</t>
        </is>
      </c>
      <c r="H1032"/>
      <c r="I1032"/>
      <c r="J1032" t="inlineStr">
        <is>
          <t>Project</t>
        </is>
      </c>
      <c r="K1032" t="inlineStr">
        <is>
          <t>PDEI - Event Service</t>
        </is>
      </c>
      <c r="L1032" t="inlineStr">
        <is>
          <t>UAAP Esports S87 2025 - Player Peripherals</t>
        </is>
      </c>
      <c r="M1032" t="inlineStr">
        <is>
          <t>2025TEG-P0068</t>
        </is>
      </c>
      <c r="N1032" t="inlineStr">
        <is>
          <t>Frances Angelita Arreglado</t>
        </is>
      </c>
      <c r="O1032" t="inlineStr">
        <is>
          <t>202506030101-Frances Angelita Arreglado-费用报销 - 副本 - 副本 - 副本-2025-06-03 09:10:21</t>
        </is>
      </c>
      <c r="P1032" t="inlineStr">
        <is>
          <t>NO</t>
        </is>
      </c>
      <c r="Q1032"/>
      <c r="R1032" t="inlineStr">
        <is>
          <t>NO</t>
        </is>
      </c>
      <c r="S1032" t="inlineStr">
        <is>
          <t>Rental of PC and peripherals (14 units)</t>
        </is>
      </c>
      <c r="T1032">
        <v>1</v>
      </c>
      <c r="U1032">
        <v>266000</v>
      </c>
      <c r="V1032" t="inlineStr">
        <is>
          <t>PHP</t>
        </is>
      </c>
      <c r="W1032">
        <v>266000</v>
      </c>
      <c r="X1032" s="2"/>
      <c r="Y1032" t="inlineStr">
        <is>
          <t>Bank Transfer</t>
        </is>
      </c>
      <c r="Z1032" t="inlineStr">
        <is>
          <t>Clark Karoll L. Landrito</t>
        </is>
      </c>
      <c r="AA1032" t="inlineStr">
        <is>
          <t>0029 0020 5677</t>
        </is>
      </c>
      <c r="AB1032" t="inlineStr">
        <is>
          <t>BDO</t>
        </is>
      </c>
      <c r="AC1032" t="inlineStr">
        <is>
          <t>Marikina City</t>
        </is>
      </c>
      <c r="AD1032" s="4">
        <v>45782</v>
      </c>
      <c r="AE1032" t="inlineStr">
        <is>
          <t>100% Full Payment</t>
        </is>
      </c>
      <c r="AF1032" s="2" t="str">
        <f>=HYPERLINK("https://www.larksuite.com/approval/admin/previewAttachment?key=TMg7CsJgEATgK83se72MjSGIIAiSPzZ7dsHK9osiopwaDWtKg5MuAki2SEV2lvvIMLORTMhsz_36emjZdh6fddi51qz7bd_ejNKAtZuxAfDy5yS6NPTn-AYAAP__", "1 attachment(s)")</f>
        <v>1 attachment(s)</v>
      </c>
      <c r="AG1032" t="inlineStr">
        <is>
          <t>NzQyNTk5MTgyNzQ4MTg3MDM0MToyNjUyNDg5Mi0xQ0FBLTRBMjMtOUQwMC1EMjU0MkM3RTQ0NTQtMTo4YWExOWU5YjM1ODA5MzQ4ZGY5ZjJkOGNhYmI0NTZmMzox</t>
        </is>
      </c>
      <c r="AH1032"/>
      <c r="AI1032"/>
      <c r="AJ1032"/>
      <c r="AK1032"/>
    </row>
    <row r="1033" ht="25.5" customHeight="1">
      <c r="A1033" s="2" t="str">
        <f>=HYPERLINK("https://applink.larksuite.com/client/mini_program/open?appId=cli_9c7cc8a9a9edd105&amp;mode=appCenter&amp;path_pc=pc/pages/requested/index?instanceId=7522002792286797855&amp;source=bitable&amp;path=pages/detail/index?instanceId=7522002792286797855&amp;source=bitable", "202507010027")</f>
        <v>202507010027</v>
      </c>
      <c r="B1033" t="inlineStr">
        <is>
          <t>Approved</t>
        </is>
      </c>
      <c r="C1033" t="inlineStr">
        <is>
          <t>Procurement Order</t>
        </is>
      </c>
      <c r="D1033" s="3">
        <v>45839.61980324074</v>
      </c>
      <c r="E1033" s="3">
        <v>45847.44778935185</v>
      </c>
      <c r="F1033" t="inlineStr">
        <is>
          <t>Fatima Kathleen M. FLores</t>
        </is>
      </c>
      <c r="G1033" t="inlineStr">
        <is>
          <t>Procurement</t>
        </is>
      </c>
      <c r="H1033"/>
      <c r="I1033"/>
      <c r="J1033" t="inlineStr">
        <is>
          <t>Project</t>
        </is>
      </c>
      <c r="K1033" t="inlineStr">
        <is>
          <t>PDEI - Event Service</t>
        </is>
      </c>
      <c r="L1033" t="inlineStr">
        <is>
          <t>UAAP Esports S87 2025 - Player Peripherals</t>
        </is>
      </c>
      <c r="M1033" t="inlineStr">
        <is>
          <t>2025TEG-P0068</t>
        </is>
      </c>
      <c r="N1033" t="inlineStr">
        <is>
          <t>Frances Angelita Arreglado</t>
        </is>
      </c>
      <c r="O1033" t="inlineStr">
        <is>
          <t>202506030101-Frances Angelita Arreglado-费用报销 - 副本 - 副本 - 副本-2025-06-03 09:10:21</t>
        </is>
      </c>
      <c r="P1033" t="inlineStr">
        <is>
          <t>NO</t>
        </is>
      </c>
      <c r="Q1033"/>
      <c r="R1033" t="inlineStr">
        <is>
          <t>NO</t>
        </is>
      </c>
      <c r="S1033" t="inlineStr">
        <is>
          <t>Keyboard &amp; Mouse (lost items)</t>
        </is>
      </c>
      <c r="T1033">
        <v>1</v>
      </c>
      <c r="U1033">
        <v>3000</v>
      </c>
      <c r="V1033" t="inlineStr">
        <is>
          <t>PHP</t>
        </is>
      </c>
      <c r="W1033">
        <v>3000</v>
      </c>
      <c r="X1033" s="2" t="str">
        <f>=HYPERLINK("https://www.larksuite.com/approval/admin/previewAttachment?key=PMgxCgJBDAXQK_38yeQnXsbGZRFBEGRnbXJ2wcL2RRoip40oeBkL1pokQBWZoVLO2WyTCjKBvT336-sx0rfz-KzDz7V63W_79rZZIqHhPhKAXf4-5O5V4fi5fQMAAP__", "2 attachment(s)")</f>
        <v>2 attachment(s)</v>
      </c>
      <c r="Y1033"/>
      <c r="Z1033"/>
      <c r="AA1033"/>
      <c r="AB1033"/>
      <c r="AC1033"/>
      <c r="AD1033" s="4"/>
      <c r="AE1033"/>
      <c r="AF1033" s="2"/>
      <c r="AG1033" t="inlineStr">
        <is>
          <t>NzQyNTk5MTgyNzQ4MTg3MDM0MToyNjUyNDg5Mi0xQ0FBLTRBMjMtOUQwMC1EMjU0MkM3RTQ0NTQtMjphOWE4ZDY2MzA0YzhmYmU1ZDAyYmZkMDk1NzVhNGIyYzox</t>
        </is>
      </c>
      <c r="AH1033"/>
      <c r="AI1033"/>
      <c r="AJ1033"/>
      <c r="AK1033"/>
    </row>
    <row r="1034" ht="25.5" customHeight="1">
      <c r="A1034" s="2" t="str">
        <f>=HYPERLINK("https://applink.larksuite.com/client/mini_program/open?appId=cli_9c7cc8a9a9edd105&amp;mode=appCenter&amp;path_pc=pc/pages/requested/index?instanceId=7521640522721607711&amp;source=bitable&amp;path=pages/detail/index?instanceId=7521640522721607711&amp;source=bitable", "202506300061")</f>
        <v>202506300061</v>
      </c>
      <c r="B1034" t="inlineStr">
        <is>
          <t>Approved</t>
        </is>
      </c>
      <c r="C1034" t="inlineStr">
        <is>
          <t>Procurement Order</t>
        </is>
      </c>
      <c r="D1034" s="3">
        <v>45838.64356481482</v>
      </c>
      <c r="E1034" s="3">
        <v>45846.51194444444</v>
      </c>
      <c r="F1034" t="inlineStr">
        <is>
          <t>Fatima Kathleen M. FLores</t>
        </is>
      </c>
      <c r="G1034" t="inlineStr">
        <is>
          <t>Procurement</t>
        </is>
      </c>
      <c r="H1034"/>
      <c r="I1034"/>
      <c r="J1034" t="inlineStr">
        <is>
          <t>Project</t>
        </is>
      </c>
      <c r="K1034" t="inlineStr">
        <is>
          <t>PDEI - Event Service</t>
        </is>
      </c>
      <c r="L1034" t="inlineStr">
        <is>
          <t>GTCC Summer Showdown</t>
        </is>
      </c>
      <c r="M1034" t="inlineStr">
        <is>
          <t>2025TEG-P0040</t>
        </is>
      </c>
      <c r="N1034" t="inlineStr">
        <is>
          <t>Frances Angelita Arreglado</t>
        </is>
      </c>
      <c r="O1034" t="inlineStr">
        <is>
          <t>202506200055-Frances Angelita Arreglado-费用报销 - 副本 - 副本 - 副本-2025-06-20 07:18:45</t>
        </is>
      </c>
      <c r="P1034" t="inlineStr">
        <is>
          <t>YES</t>
        </is>
      </c>
      <c r="Q1034"/>
      <c r="R1034" t="inlineStr">
        <is>
          <t>YES</t>
        </is>
      </c>
      <c r="S1034" t="inlineStr">
        <is>
          <t>Outsourced Production Assistant</t>
        </is>
      </c>
      <c r="T1034">
        <v>1</v>
      </c>
      <c r="U1034">
        <v>14000</v>
      </c>
      <c r="V1034" t="inlineStr">
        <is>
          <t>PHP</t>
        </is>
      </c>
      <c r="W1034">
        <v>14000</v>
      </c>
      <c r="X1034" s="2" t="str">
        <f>=HYPERLINK("https://www.larksuite.com/approval/admin/previewAttachment?key=PMgxCgJBDAXQK_2fSfInXsZml8XVsRIEi5xdsLB9OYmcwZEFL1qBrTCmI8xkTEhkW1MqiIL1_jyudZ_r9NrOhz6xot-37dhfjJIZNNzHBMDL34fcvSodP8c3AAD__w", "2 attachment(s)")</f>
        <v>2 attachment(s)</v>
      </c>
      <c r="Y1034" t="inlineStr">
        <is>
          <t>Bank Transfer</t>
        </is>
      </c>
      <c r="Z1034" t="inlineStr">
        <is>
          <t>Sandra Ortiz</t>
        </is>
      </c>
      <c r="AA1034" t="inlineStr">
        <is>
          <t>09610537362</t>
        </is>
      </c>
      <c r="AB1034" t="inlineStr">
        <is>
          <t>GCash</t>
        </is>
      </c>
      <c r="AC1034" t="inlineStr">
        <is>
          <t>3477 Magistrado Torres St Bacood Sta. Mesa Manila</t>
        </is>
      </c>
      <c r="AD1034" s="4">
        <v>45817</v>
      </c>
      <c r="AE1034" t="inlineStr">
        <is>
          <t>100% Full Payment - July 11, 2025</t>
        </is>
      </c>
      <c r="AF1034" s="2"/>
      <c r="AG1034" t="inlineStr">
        <is>
          <t>NzQyNTk5MTgyNzQ4MTg3MDM0MTpCNTI2MUQxQi00NEYyLTQyOTQtQUE4MS0xODVBMjM1MENGNUQtMToyM2IzNjgwYWExNTg0ODhmOWNlYjRlZDc4NDlkNjMwMjox</t>
        </is>
      </c>
      <c r="AH1034"/>
      <c r="AI1034"/>
      <c r="AJ1034"/>
      <c r="AK1034"/>
    </row>
    <row r="1035" ht="25.5" customHeight="1">
      <c r="A1035" s="2" t="str">
        <f>=HYPERLINK("https://applink.larksuite.com/client/mini_program/open?appId=cli_9c7cc8a9a9edd105&amp;mode=appCenter&amp;path_pc=pc/pages/requested/index?instanceId=7522340936198668320&amp;source=bitable&amp;path=pages/detail/index?instanceId=7522340936198668320&amp;source=bitable", "202507020022")</f>
        <v>202507020022</v>
      </c>
      <c r="B1035" t="inlineStr">
        <is>
          <t>Approved</t>
        </is>
      </c>
      <c r="C1035" t="inlineStr">
        <is>
          <t>Procurement Order</t>
        </is>
      </c>
      <c r="D1035" s="3">
        <v>45840.53104166667</v>
      </c>
      <c r="E1035" s="3">
        <v>45840.719976851855</v>
      </c>
      <c r="F1035" t="inlineStr">
        <is>
          <t>Fatima Kathleen M. FLores</t>
        </is>
      </c>
      <c r="G1035" t="inlineStr">
        <is>
          <t>Procurement</t>
        </is>
      </c>
      <c r="H1035"/>
      <c r="I1035"/>
      <c r="J1035" t="inlineStr">
        <is>
          <t>Project</t>
        </is>
      </c>
      <c r="K1035" t="inlineStr">
        <is>
          <t>PDEI - Event Service</t>
        </is>
      </c>
      <c r="L1035" t="inlineStr">
        <is>
          <t>MPL PH S15 Addendum</t>
        </is>
      </c>
      <c r="M1035" t="inlineStr">
        <is>
          <t>2025TEG-P0071</t>
        </is>
      </c>
      <c r="N1035" t="inlineStr">
        <is>
          <t>JP dela Peña</t>
        </is>
      </c>
      <c r="O1035" t="inlineStr">
        <is>
          <t>202507020017-JP dela Peña-费用报销 - 副本 - 副本 - 副本-2025-07-02 03:54:25</t>
        </is>
      </c>
      <c r="P1035" t="inlineStr">
        <is>
          <t>NO</t>
        </is>
      </c>
      <c r="Q1035"/>
      <c r="R1035" t="inlineStr">
        <is>
          <t>YES</t>
        </is>
      </c>
      <c r="S1035" t="inlineStr">
        <is>
          <t>Venue Damages and Incidental Charges</t>
        </is>
      </c>
      <c r="T1035">
        <v>1</v>
      </c>
      <c r="U1035">
        <v>55026</v>
      </c>
      <c r="V1035" t="inlineStr">
        <is>
          <t>PHP</t>
        </is>
      </c>
      <c r="W1035">
        <v>55026</v>
      </c>
      <c r="X1035" s="2" t="str">
        <f>=HYPERLINK("https://www.larksuite.com/approval/admin/previewAttachment?key=PMg7CgJBEATQK1V_pqvLy5g4LDK4sCCYzdkFA9NXbageFiWkzAXbHO6RUJSpqzoc27eRAo3wPc_jvk4tzOC6Xn2NtT_PxzHfNkR3MDKjAdjt78HMlCrxc3wDAAD__w", "3 attachment(s)")</f>
        <v>3 attachment(s)</v>
      </c>
      <c r="Y1035" t="inlineStr">
        <is>
          <t>Bank Transfer</t>
        </is>
      </c>
      <c r="Z1035" t="inlineStr">
        <is>
          <t>Green Sun Hotel Management Inc.</t>
        </is>
      </c>
      <c r="AA1035" t="inlineStr">
        <is>
          <t>634-7-634-02936-9</t>
        </is>
      </c>
      <c r="AB1035" t="inlineStr">
        <is>
          <t>Metrobank</t>
        </is>
      </c>
      <c r="AC1035" t="inlineStr">
        <is>
          <t>2285 Don Chino Roces Ave. Ext., Magallanes, Makati City</t>
        </is>
      </c>
      <c r="AD1035" s="4">
        <v>45828</v>
      </c>
      <c r="AE1035" t="inlineStr">
        <is>
          <t>100% Full Payment</t>
        </is>
      </c>
      <c r="AF1035" s="2"/>
      <c r="AG1035" t="inlineStr">
        <is>
          <t>NzQyNTk5MTgyNzQ4MTg3MDM0MTo1NjE0RDYxQy01NzAzLTQzMTItODRGRS1GNzgwRjJGNEVDRTMtMTpmNzRjZDU5MDU5NzhhMTQ0ZThlMzZhMTkxZTY0NjFmMjox</t>
        </is>
      </c>
      <c r="AH1035"/>
      <c r="AI1035"/>
      <c r="AJ1035"/>
      <c r="AK1035"/>
    </row>
    <row r="1036" ht="25.5" customHeight="1">
      <c r="A1036" s="2" t="str">
        <f>=HYPERLINK("https://applink.larksuite.com/client/mini_program/open?appId=cli_9c7cc8a9a9edd105&amp;mode=appCenter&amp;path_pc=pc/pages/requested/index?instanceId=7522350784432914463&amp;source=bitable&amp;path=pages/detail/index?instanceId=7522350784432914463&amp;source=bitable", "202507020028")</f>
        <v>202507020028</v>
      </c>
      <c r="B1036" t="inlineStr">
        <is>
          <t>Approved</t>
        </is>
      </c>
      <c r="C1036" t="inlineStr">
        <is>
          <t>Procurement Order</t>
        </is>
      </c>
      <c r="D1036" s="3">
        <v>45840.55758101852</v>
      </c>
      <c r="E1036" s="3">
        <v>45845.62420138889</v>
      </c>
      <c r="F1036" t="inlineStr">
        <is>
          <t>Fatima Kathleen M. FLores</t>
        </is>
      </c>
      <c r="G1036" t="inlineStr">
        <is>
          <t>Procurement</t>
        </is>
      </c>
      <c r="H1036"/>
      <c r="I1036"/>
      <c r="J1036" t="inlineStr">
        <is>
          <t>Project</t>
        </is>
      </c>
      <c r="K1036" t="inlineStr">
        <is>
          <t>PDEI - Event Service</t>
        </is>
      </c>
      <c r="L1036" t="inlineStr">
        <is>
          <t>MPL PH S15 Addendum</t>
        </is>
      </c>
      <c r="M1036" t="inlineStr">
        <is>
          <t>2025TEG-P0071</t>
        </is>
      </c>
      <c r="N1036" t="inlineStr">
        <is>
          <t>JP dela Peña</t>
        </is>
      </c>
      <c r="O1036" t="inlineStr">
        <is>
          <t>202505210117-Tiny-费用报销 - 副本 - 副本 - 副本-2025-05-21 09:11:40;202505210120-Tiny-费用报销 - 副本 - 副本 - 副本-2025-05-21 09:18:34</t>
        </is>
      </c>
      <c r="P1036" t="inlineStr">
        <is>
          <t>NO</t>
        </is>
      </c>
      <c r="Q1036"/>
      <c r="R1036" t="inlineStr">
        <is>
          <t>YES</t>
        </is>
      </c>
      <c r="S1036" t="inlineStr">
        <is>
          <t>On-ground Fabrication (Entrance, Foyer, 3rd Floor Lobby)</t>
        </is>
      </c>
      <c r="T1036">
        <v>1</v>
      </c>
      <c r="U1036">
        <v>512960</v>
      </c>
      <c r="V1036" t="inlineStr">
        <is>
          <t>PHP</t>
        </is>
      </c>
      <c r="W1036">
        <v>512960</v>
      </c>
      <c r="X1036" s="2" t="str">
        <f>=HYPERLINK("https://www.larksuite.com/approval/admin/previewAttachment?key=PMg7DgJBDAPQK9mJZzLmMjSsVoAEDeLT5OxIFLRvLmKuwZyGzDDYNSJyoJaUYUozO5pVRrEQvd32o6_rspP8-Flv3Pt1Pu3bg8MVgUopFwAe_p4lyZ7Cz_ENAAD__w", "3 attachment(s)")</f>
        <v>3 attachment(s)</v>
      </c>
      <c r="Y1036" t="inlineStr">
        <is>
          <t>Bank Transfer</t>
        </is>
      </c>
      <c r="Z1036" t="inlineStr">
        <is>
          <t>STAGE ONE EVENT SERVICES CORP.</t>
        </is>
      </c>
      <c r="AA1036" t="inlineStr">
        <is>
          <t>0124 0800 3549</t>
        </is>
      </c>
      <c r="AB1036" t="inlineStr">
        <is>
          <t>BDO</t>
        </is>
      </c>
      <c r="AC1036" t="inlineStr">
        <is>
          <t>Kamagong St. cor. Ipil St. Hillcrest Village, Brgy. 173 Camarin, Caloocan</t>
        </is>
      </c>
      <c r="AD1036" s="4">
        <v>45803</v>
      </c>
      <c r="AE1036" t="inlineStr">
        <is>
          <t>50% Down Payment upon confirmation
50% Final Payment - 30 days after event</t>
        </is>
      </c>
      <c r="AF1036" s="2"/>
      <c r="AG1036" t="inlineStr">
        <is>
          <t>NzQyNTk5MTgyNzQ4MTg3MDM0MTo1QzJFOUFGRi02NEQ3LTQ4RTctODZBRS0wQjY2MjU0QjkxNjItMTo1ZjQ3MTBmZDUwOTIyZWJjNWE2YjkwZmQ2N2RhODU3Njox</t>
        </is>
      </c>
      <c r="AH1036"/>
      <c r="AI1036"/>
      <c r="AJ1036"/>
      <c r="AK1036"/>
    </row>
    <row r="1037" ht="25.5" customHeight="1">
      <c r="A1037" s="2" t="str">
        <f>=HYPERLINK("https://applink.larksuite.com/client/mini_program/open?appId=cli_9c7cc8a9a9edd105&amp;mode=appCenter&amp;path_pc=pc/pages/requested/index?instanceId=7522349566625054752&amp;source=bitable&amp;path=pages/detail/index?instanceId=7522349566625054752&amp;source=bitable", "202507020026")</f>
        <v>202507020026</v>
      </c>
      <c r="B1037" t="inlineStr">
        <is>
          <t>Approved</t>
        </is>
      </c>
      <c r="C1037" t="inlineStr">
        <is>
          <t>Procurement Order</t>
        </is>
      </c>
      <c r="D1037" s="3">
        <v>45840.554293981484</v>
      </c>
      <c r="E1037" s="3">
        <v>45845.62574074074</v>
      </c>
      <c r="F1037" t="inlineStr">
        <is>
          <t>Fatima Kathleen M. FLores</t>
        </is>
      </c>
      <c r="G1037" t="inlineStr">
        <is>
          <t>Procurement</t>
        </is>
      </c>
      <c r="H1037"/>
      <c r="I1037"/>
      <c r="J1037" t="inlineStr">
        <is>
          <t>Project</t>
        </is>
      </c>
      <c r="K1037" t="inlineStr">
        <is>
          <t>PDEI - Event Service</t>
        </is>
      </c>
      <c r="L1037" t="inlineStr">
        <is>
          <t>MPL PH S15 Addendum</t>
        </is>
      </c>
      <c r="M1037" t="inlineStr">
        <is>
          <t>2025TEG-P0071</t>
        </is>
      </c>
      <c r="N1037" t="inlineStr">
        <is>
          <t>JP dela Peña</t>
        </is>
      </c>
      <c r="O1037" t="inlineStr">
        <is>
          <t>202506090133-Tiny-费用报销 - 副本 - 副本 - 副本-2025-06-09 13:54:32</t>
        </is>
      </c>
      <c r="P1037" t="inlineStr">
        <is>
          <t>NO</t>
        </is>
      </c>
      <c r="Q1037"/>
      <c r="R1037" t="inlineStr">
        <is>
          <t>YES</t>
        </is>
      </c>
      <c r="S1037" t="inlineStr">
        <is>
          <t>Outsourced Technical Services (LED Processor, IEM &amp; Additional On Ground Services)</t>
        </is>
      </c>
      <c r="T1037">
        <v>1</v>
      </c>
      <c r="U1037">
        <v>269360</v>
      </c>
      <c r="V1037" t="inlineStr">
        <is>
          <t>PHP</t>
        </is>
      </c>
      <c r="W1037">
        <v>269360</v>
      </c>
      <c r="X1037" s="2" t="str">
        <f>=HYPERLINK("https://www.larksuite.com/approval/admin/previewAttachment?key=PMg9CgJBDAXgK70kL39exsZhEMRKXNkiZxcsbL8oQZSLRYMt2pBJVzW2R4Q6nOk6OpLZSEnorOe-Fuuxz-XH-4N9-hz3214v8U5VpJFWAOTyd0uS3UH8HN8AAAD__w", "3 attachment(s)")</f>
        <v>3 attachment(s)</v>
      </c>
      <c r="Y1037" t="inlineStr">
        <is>
          <t>Bank Transfer</t>
        </is>
      </c>
      <c r="Z1037" t="inlineStr">
        <is>
          <t>XSTATIC EVENT SYSTEM INC.</t>
        </is>
      </c>
      <c r="AA1037" t="inlineStr">
        <is>
          <t>011728001773</t>
        </is>
      </c>
      <c r="AB1037" t="inlineStr">
        <is>
          <t>BDO</t>
        </is>
      </c>
      <c r="AC1037" t="inlineStr">
        <is>
          <t>Blk. 15 Lot 26 BF Martinville Las Piñas City</t>
        </is>
      </c>
      <c r="AD1037" s="4">
        <v>45804</v>
      </c>
      <c r="AE1037" t="inlineStr">
        <is>
          <t>100% Full Payment - 30 days upon completion of event</t>
        </is>
      </c>
      <c r="AF1037" s="2"/>
      <c r="AG1037" t="inlineStr">
        <is>
          <t>NzQyNTk5MTgyNzQ4MTg3MDM0MTozNTIxMzQyQy05ODhGLTQyMDctQkYyMS02MEQ4QjNENkQzQTMtMTo1NGM4NWFjNTAwOWE3YzcwN2ZiMGRlZmQyODRjM2NhOTox</t>
        </is>
      </c>
      <c r="AH1037"/>
      <c r="AI1037"/>
      <c r="AJ1037"/>
      <c r="AK1037"/>
    </row>
    <row r="1038" ht="25.5" customHeight="1">
      <c r="A1038" s="2" t="str">
        <f>=HYPERLINK("https://applink.larksuite.com/client/mini_program/open?appId=cli_9c7cc8a9a9edd105&amp;mode=appCenter&amp;path_pc=pc/pages/requested/index?instanceId=7522350162679316512&amp;source=bitable&amp;path=pages/detail/index?instanceId=7522350162679316512&amp;source=bitable", "202507020027")</f>
        <v>202507020027</v>
      </c>
      <c r="B1038" t="inlineStr">
        <is>
          <t>Approved</t>
        </is>
      </c>
      <c r="C1038" t="inlineStr">
        <is>
          <t>Procurement Order</t>
        </is>
      </c>
      <c r="D1038" s="3">
        <v>45840.55590277778</v>
      </c>
      <c r="E1038" s="3">
        <v>45846.52143518518</v>
      </c>
      <c r="F1038" t="inlineStr">
        <is>
          <t>Fatima Kathleen M. FLores</t>
        </is>
      </c>
      <c r="G1038" t="inlineStr">
        <is>
          <t>Procurement</t>
        </is>
      </c>
      <c r="H1038"/>
      <c r="I1038"/>
      <c r="J1038" t="inlineStr">
        <is>
          <t>Project</t>
        </is>
      </c>
      <c r="K1038" t="inlineStr">
        <is>
          <t>PDEI - Event Service</t>
        </is>
      </c>
      <c r="L1038" t="inlineStr">
        <is>
          <t>MPL PH S15</t>
        </is>
      </c>
      <c r="M1038" t="inlineStr">
        <is>
          <t>2024TEG-P0430</t>
        </is>
      </c>
      <c r="N1038" t="inlineStr">
        <is>
          <t>JP dela Peña</t>
        </is>
      </c>
      <c r="O1038" t="inlineStr">
        <is>
          <t>202502180012-Tiny-费用报销 - 副本 - 副本 - 副本-2025-02-18 02:55:22</t>
        </is>
      </c>
      <c r="P1038" t="inlineStr">
        <is>
          <t>NO</t>
        </is>
      </c>
      <c r="Q1038"/>
      <c r="R1038" t="inlineStr">
        <is>
          <t>YES</t>
        </is>
      </c>
      <c r="S1038" t="inlineStr">
        <is>
          <t>Crew Meals (Lunch, Dinner - Playoffs)</t>
        </is>
      </c>
      <c r="T1038">
        <v>1700</v>
      </c>
      <c r="U1038">
        <v>115</v>
      </c>
      <c r="V1038" t="inlineStr">
        <is>
          <t>PHP</t>
        </is>
      </c>
      <c r="W1038">
        <v>195500</v>
      </c>
      <c r="X1038" s="2"/>
      <c r="Y1038" t="inlineStr">
        <is>
          <t>Bank Transfer</t>
        </is>
      </c>
      <c r="Z1038" t="inlineStr">
        <is>
          <t>Michelle Francine G. Manuntag</t>
        </is>
      </c>
      <c r="AA1038" t="inlineStr">
        <is>
          <t>000170292002</t>
        </is>
      </c>
      <c r="AB1038" t="inlineStr">
        <is>
          <t>BDO</t>
        </is>
      </c>
      <c r="AC1038" t="inlineStr">
        <is>
          <t>Makati City</t>
        </is>
      </c>
      <c r="AD1038" s="4">
        <v>45805</v>
      </c>
      <c r="AE1038" t="inlineStr">
        <is>
          <t>50% Down Payment upon confirmation
50% Final payment upon completion of services</t>
        </is>
      </c>
      <c r="AF1038" s="2"/>
      <c r="AG1038" t="inlineStr">
        <is>
          <t>NzQyNTk5MTgyNzQ4MTg3MDM0MToxNTUyRTU2Qi1CQjNCLTQ4MUYtOTcyNC1CMDFGNTE3ODJBMUEtMTowMzVhNmYyYzc5NjljNjIwZjkzMjdlMWQyNGQ0OTY5ZTox</t>
        </is>
      </c>
      <c r="AH1038"/>
      <c r="AI1038"/>
      <c r="AJ1038"/>
      <c r="AK1038"/>
    </row>
    <row r="1039" ht="25.5" customHeight="1">
      <c r="A1039" s="2" t="str">
        <f>=HYPERLINK("https://applink.larksuite.com/client/mini_program/open?appId=cli_9c7cc8a9a9edd105&amp;mode=appCenter&amp;path_pc=pc/pages/requested/index?instanceId=7522350162679316512&amp;source=bitable&amp;path=pages/detail/index?instanceId=7522350162679316512&amp;source=bitable", "202507020027")</f>
        <v>202507020027</v>
      </c>
      <c r="B1039" t="inlineStr">
        <is>
          <t>Approved</t>
        </is>
      </c>
      <c r="C1039" t="inlineStr">
        <is>
          <t>Procurement Order</t>
        </is>
      </c>
      <c r="D1039" s="3">
        <v>45840.55590277778</v>
      </c>
      <c r="E1039" s="3">
        <v>45846.52143518518</v>
      </c>
      <c r="F1039" t="inlineStr">
        <is>
          <t>Fatima Kathleen M. FLores</t>
        </is>
      </c>
      <c r="G1039" t="inlineStr">
        <is>
          <t>Procurement</t>
        </is>
      </c>
      <c r="H1039"/>
      <c r="I1039"/>
      <c r="J1039" t="inlineStr">
        <is>
          <t>Project</t>
        </is>
      </c>
      <c r="K1039" t="inlineStr">
        <is>
          <t>PDEI - Event Service</t>
        </is>
      </c>
      <c r="L1039" t="inlineStr">
        <is>
          <t>MPL PH S15</t>
        </is>
      </c>
      <c r="M1039" t="inlineStr">
        <is>
          <t>2024TEG-P0430</t>
        </is>
      </c>
      <c r="N1039" t="inlineStr">
        <is>
          <t>JP dela Peña</t>
        </is>
      </c>
      <c r="O1039" t="inlineStr">
        <is>
          <t>202502180012-Tiny-费用报销 - 副本 - 副本 - 副本-2025-02-18 02:55:22</t>
        </is>
      </c>
      <c r="P1039" t="inlineStr">
        <is>
          <t>NO</t>
        </is>
      </c>
      <c r="Q1039"/>
      <c r="R1039" t="inlineStr">
        <is>
          <t>YES</t>
        </is>
      </c>
      <c r="S1039" t="inlineStr">
        <is>
          <t>Delivery fees - Playoffs</t>
        </is>
      </c>
      <c r="T1039">
        <v>1</v>
      </c>
      <c r="U1039">
        <v>3208</v>
      </c>
      <c r="V1039" t="inlineStr">
        <is>
          <t>PHP</t>
        </is>
      </c>
      <c r="W1039">
        <v>3208</v>
      </c>
      <c r="X1039" s="2" t="str">
        <f>=HYPERLINK("https://www.larksuite.com/approval/admin/previewAttachment?key=PMg9CsJAEAXgK703vxkvY5OwSCAgCLpbzNkFC9svNiI2p0bBilJgp4uogyGRpQyntDQzC8mE9HGN-3nViTWf8zPXWHu_H_s4XvRKEaSa6QaAt79rmllVGH7ObwAAAP__", "2 attachment(s)")</f>
        <v>2 attachment(s)</v>
      </c>
      <c r="Y1039"/>
      <c r="Z1039"/>
      <c r="AA1039"/>
      <c r="AB1039"/>
      <c r="AC1039"/>
      <c r="AD1039" s="4"/>
      <c r="AE1039"/>
      <c r="AF1039" s="2"/>
      <c r="AG1039" t="inlineStr">
        <is>
          <t>NzQyNTk5MTgyNzQ4MTg3MDM0MToxNTUyRTU2Qi1CQjNCLTQ4MUYtOTcyNC1CMDFGNTE3ODJBMUEtMjplNGU3ZTkyMjIwY2RkZTIxZTgzNzlhOWZjY2VmZDcxMzox</t>
        </is>
      </c>
      <c r="AH1039"/>
      <c r="AI1039"/>
      <c r="AJ1039"/>
      <c r="AK1039"/>
    </row>
    <row r="1040" ht="25.5" customHeight="1">
      <c r="A1040" s="2" t="str">
        <f>=HYPERLINK("https://applink.larksuite.com/client/mini_program/open?appId=cli_9c7cc8a9a9edd105&amp;mode=appCenter&amp;path_pc=pc/pages/requested/index?instanceId=7520161973162524704&amp;source=bitable&amp;path=pages/detail/index?instanceId=7520161973162524704&amp;source=bitable", "202506260074")</f>
        <v>202506260074</v>
      </c>
      <c r="B1040" t="inlineStr">
        <is>
          <t>Approved</t>
        </is>
      </c>
      <c r="C1040" t="inlineStr">
        <is>
          <t>Procurement Order</t>
        </is>
      </c>
      <c r="D1040" s="3">
        <v>45834.659166666665</v>
      </c>
      <c r="E1040" s="3">
        <v>45847.47231481481</v>
      </c>
      <c r="F1040" t="inlineStr">
        <is>
          <t>Fatima Kathleen M. FLores</t>
        </is>
      </c>
      <c r="G1040" t="inlineStr">
        <is>
          <t>Procurement</t>
        </is>
      </c>
      <c r="H1040"/>
      <c r="I1040"/>
      <c r="J1040" t="inlineStr">
        <is>
          <t>Project</t>
        </is>
      </c>
      <c r="K1040" t="inlineStr">
        <is>
          <t>PDEI - Game Marketing</t>
        </is>
      </c>
      <c r="L1040" t="inlineStr">
        <is>
          <t>SM Cyberzone Game Fest</t>
        </is>
      </c>
      <c r="M1040" t="inlineStr">
        <is>
          <t>2025TEG-P0082</t>
        </is>
      </c>
      <c r="N1040" t="inlineStr">
        <is>
          <t>Anteaus Villena</t>
        </is>
      </c>
      <c r="O1040" t="inlineStr">
        <is>
          <t>202505220091-Anteaus Villena-费用报销 - 副本 - 副本 - 副本-2025-05-22 09:48:21</t>
        </is>
      </c>
      <c r="P1040" t="inlineStr">
        <is>
          <t>YES</t>
        </is>
      </c>
      <c r="Q1040"/>
      <c r="R1040" t="inlineStr">
        <is>
          <t>YES</t>
        </is>
      </c>
      <c r="S1040" t="inlineStr">
        <is>
          <t>Outsourced Broadcast Technical Engineer (Cebu)</t>
        </is>
      </c>
      <c r="T1040">
        <v>1</v>
      </c>
      <c r="U1040">
        <v>40000</v>
      </c>
      <c r="V1040" t="inlineStr">
        <is>
          <t>PHP</t>
        </is>
      </c>
      <c r="W1040">
        <v>40000</v>
      </c>
      <c r="X1040" s="2" t="str">
        <f>=HYPERLINK("https://www.larksuite.com/approval/admin/previewAttachment?key=PMhBqgIxEATQK1V1Ol2pf5m_mWFQR4MguMvZBRduXw2iRmcrI80wuNQDLFqNFT1SyBWLkiEKsfbH8e_buM_zfE4jrttc78t27C92KwJqmW0A4N_PmzLTrsTX8QkAAP__", "2 attachment(s)")</f>
        <v>2 attachment(s)</v>
      </c>
      <c r="Y1040" t="inlineStr">
        <is>
          <t>Bank Transfer</t>
        </is>
      </c>
      <c r="Z1040" t="inlineStr">
        <is>
          <t>John Sebastian Macabuag</t>
        </is>
      </c>
      <c r="AA1040" t="inlineStr">
        <is>
          <t>1096 6194 7373</t>
        </is>
      </c>
      <c r="AB1040" t="inlineStr">
        <is>
          <t>Unionbank</t>
        </is>
      </c>
      <c r="AC1040" t="inlineStr">
        <is>
          <t>#1361 Fruto Santos Avenue, Zapote, Las Pinas City</t>
        </is>
      </c>
      <c r="AD1040" s="4">
        <v>45793</v>
      </c>
      <c r="AE1040" t="inlineStr">
        <is>
          <t>1st Payment - July 4, 2025
Final Payment - July 11, 2025</t>
        </is>
      </c>
      <c r="AF1040" s="2"/>
      <c r="AG1040" t="inlineStr">
        <is>
          <t>NzQyNTk5MTgyNzQ4MTg3MDM0MTpGMUEyRkVGMy0wNjJCLTQ0RjUtQUZBNi00NTE3NEQ3MDY4NDktMTowYmEwOWNkNGY3Yzc4MjI4MTkyZTVmOTZlNTE5YjgzZDox</t>
        </is>
      </c>
      <c r="AH1040"/>
      <c r="AI1040"/>
      <c r="AJ1040"/>
      <c r="AK1040"/>
    </row>
    <row r="1041" ht="25.5" customHeight="1">
      <c r="A1041" s="2" t="str">
        <f>=HYPERLINK("https://applink.larksuite.com/client/mini_program/open?appId=cli_9c7cc8a9a9edd105&amp;mode=appCenter&amp;path_pc=pc/pages/requested/index?instanceId=7522430911414059039&amp;source=bitable&amp;path=pages/detail/index?instanceId=7522430911414059039&amp;source=bitable", "202507020094")</f>
        <v>202507020094</v>
      </c>
      <c r="B1041" t="inlineStr">
        <is>
          <t>Approved</t>
        </is>
      </c>
      <c r="C1041" t="inlineStr">
        <is>
          <t>Procurement Order</t>
        </is>
      </c>
      <c r="D1041" s="3">
        <v>45840.773506944446</v>
      </c>
      <c r="E1041" s="3">
        <v>45855.69824074074</v>
      </c>
      <c r="F1041" t="inlineStr">
        <is>
          <t>Fatima Kathleen M. FLores</t>
        </is>
      </c>
      <c r="G1041" t="inlineStr">
        <is>
          <t>Procurement</t>
        </is>
      </c>
      <c r="H1041"/>
      <c r="I1041"/>
      <c r="J1041" t="inlineStr">
        <is>
          <t>GAE</t>
        </is>
      </c>
      <c r="K1041"/>
      <c r="L1041"/>
      <c r="M1041"/>
      <c r="N1041"/>
      <c r="O1041" t="inlineStr">
        <is>
          <t>202507020034-Patrick Leygo Hernandez-费用报销 - 副本 - 副本 - 副本-2025-07-02 06:02:31</t>
        </is>
      </c>
      <c r="P1041"/>
      <c r="Q1041" t="inlineStr">
        <is>
          <t>Sales</t>
        </is>
      </c>
      <c r="R1041"/>
      <c r="S1041" t="inlineStr">
        <is>
          <t>Outsourced Translator</t>
        </is>
      </c>
      <c r="T1041">
        <v>1</v>
      </c>
      <c r="U1041">
        <v>2200</v>
      </c>
      <c r="V1041" t="inlineStr">
        <is>
          <t>PHP</t>
        </is>
      </c>
      <c r="W1041">
        <v>2200</v>
      </c>
      <c r="X1041" s="2" t="str">
        <f>=HYPERLINK("https://www.larksuite.com/approval/admin/previewAttachment?key=PMgxDsIwFAPQK9n_O_kxl2FpVQFVJwSiQ86OxMD6-iD6aMxuyAyDs1qEEiZFoRnpGZNVRrEQcz226-scemC5Hzz3z675vi3b-mRzRaBSygGAl79nSbK78HN8AwAA__8", "2 attachment(s)")</f>
        <v>2 attachment(s)</v>
      </c>
      <c r="Y1041" t="inlineStr">
        <is>
          <t>Bank Transfer</t>
        </is>
      </c>
      <c r="Z1041" t="inlineStr">
        <is>
          <t>Leah Antoinette Antazo</t>
        </is>
      </c>
      <c r="AA1041" t="inlineStr">
        <is>
          <t>001230137309</t>
        </is>
      </c>
      <c r="AB1041" t="inlineStr">
        <is>
          <t>BDO</t>
        </is>
      </c>
      <c r="AC1041" t="inlineStr">
        <is>
          <t>35 N Roxas street Calumpang Marikina City</t>
        </is>
      </c>
      <c r="AD1041" s="4">
        <v>45840</v>
      </c>
      <c r="AE1041" t="inlineStr">
        <is>
          <t>100% Full Payment 
NOTE: THIS IS A CONFIRMING PO ONLY. OUTSOURCED ALREADY PAID.</t>
        </is>
      </c>
      <c r="AF1041" s="2"/>
      <c r="AG1041" t="inlineStr">
        <is>
          <t>NzQyNTk5MTgyNzQ4MTg3MDM0MToyNkM0RTQxMC1DOEY1LTQwNUEtOUVFQy1BNjVBRDMwNUZEOTktMTphNTg2OGU4YmNkNzcyNDJhMDc0YjQ2YjI0YWU1NThjMTox</t>
        </is>
      </c>
      <c r="AH1041"/>
      <c r="AI1041"/>
      <c r="AJ1041"/>
      <c r="AK1041"/>
    </row>
    <row r="1042" ht="25.5" customHeight="1">
      <c r="A1042" s="2" t="str">
        <f>=HYPERLINK("https://applink.larksuite.com/client/mini_program/open?appId=cli_9c7cc8a9a9edd105&amp;mode=appCenter&amp;path_pc=pc/pages/requested/index?instanceId=7522685517591380007&amp;source=bitable&amp;path=pages/detail/index?instanceId=7522685517591380007&amp;source=bitable", "202507030013")</f>
        <v>202507030013</v>
      </c>
      <c r="B1042" t="inlineStr">
        <is>
          <t>Approved</t>
        </is>
      </c>
      <c r="C1042" t="inlineStr">
        <is>
          <t>Procurement Order</t>
        </is>
      </c>
      <c r="D1042" s="3">
        <v>45841.45961805555</v>
      </c>
      <c r="E1042" s="3">
        <v>45846.51804398148</v>
      </c>
      <c r="F1042" t="inlineStr">
        <is>
          <t>Fatima Kathleen M. FLores</t>
        </is>
      </c>
      <c r="G1042" t="inlineStr">
        <is>
          <t>Procurement</t>
        </is>
      </c>
      <c r="H1042"/>
      <c r="I1042"/>
      <c r="J1042" t="inlineStr">
        <is>
          <t>Project</t>
        </is>
      </c>
      <c r="K1042" t="inlineStr">
        <is>
          <t>PDEI - Event Service</t>
        </is>
      </c>
      <c r="L1042" t="inlineStr">
        <is>
          <t>MPL PH S15 Addendum 2</t>
        </is>
      </c>
      <c r="M1042" t="inlineStr">
        <is>
          <t>2025TEG-P0153</t>
        </is>
      </c>
      <c r="N1042" t="inlineStr">
        <is>
          <t>JP dela Peña</t>
        </is>
      </c>
      <c r="O1042" t="inlineStr">
        <is>
          <t>202506200086-Tiny-费用报销 - 副本 - 副本 - 副本-2025-06-20 11:32:54</t>
        </is>
      </c>
      <c r="P1042" t="inlineStr">
        <is>
          <t>NO</t>
        </is>
      </c>
      <c r="Q1042"/>
      <c r="R1042" t="inlineStr">
        <is>
          <t>NO</t>
        </is>
      </c>
      <c r="S1042" t="inlineStr">
        <is>
          <t>MPL Flag Printing (2 sides)</t>
        </is>
      </c>
      <c r="T1042">
        <v>2</v>
      </c>
      <c r="U1042">
        <v>2016</v>
      </c>
      <c r="V1042" t="inlineStr">
        <is>
          <t>PHP</t>
        </is>
      </c>
      <c r="W1042">
        <v>4032</v>
      </c>
      <c r="X1042" s="2" t="str">
        <f>=HYPERLINK("https://www.larksuite.com/approval/admin/previewAttachment?key=PMs7CgMxDATQK83IksfKZdJkMfktBAJxpbMHttj2weuD6CPYesKTlmApzPqIoCLZBgCVFaWEKFht-7wub2977Y-1nvhMq9_9NrcvI2UGNfcj8nJ6k7tndsfh-AcAAP__", "2 attachment(s)")</f>
        <v>2 attachment(s)</v>
      </c>
      <c r="Y1042" t="inlineStr">
        <is>
          <t>Bank Transfer</t>
        </is>
      </c>
      <c r="Z1042" t="inlineStr">
        <is>
          <t>Printportal &amp; Advertising OPC</t>
        </is>
      </c>
      <c r="AA1042" t="inlineStr">
        <is>
          <t>200058110735</t>
        </is>
      </c>
      <c r="AB1042" t="inlineStr">
        <is>
          <t>Eastwest Bank</t>
        </is>
      </c>
      <c r="AC1042" t="inlineStr">
        <is>
          <t>25 Isidro Francisco, Malinta, Valenzuela City</t>
        </is>
      </c>
      <c r="AD1042" s="4">
        <v>45805</v>
      </c>
      <c r="AE1042" t="inlineStr">
        <is>
          <t>100% Full Payment</t>
        </is>
      </c>
      <c r="AF1042" s="2" t="str">
        <f>=HYPERLINK("https://www.larksuite.com/approval/admin/previewAttachment?key=TMg5CgJREATQK1X13l7GxGFwGxAEf9RnF4xMXxQR5dRoWFManHSRKHemN7UA5Mgws5FMyGzHfl6mT3kct7XueO0yn-tl396M0oC1m7EB8PTnJLo09Of4BgAA__8", "4 attachment(s)")</f>
        <v>4 attachment(s)</v>
      </c>
      <c r="AG1042" t="inlineStr">
        <is>
          <t>NzQyNTk5MTgyNzQ4MTg3MDM0MTpFNUQ5MkFCRS0xMjYzLTQ4ODUtODdFQy0zQ0Q1NTE5RURGMUYtMTpkNjk0MTY0NDlkOWQ2YWFmNmRlZGU0ZDg5MDk5YzhiMTox</t>
        </is>
      </c>
      <c r="AH1042"/>
      <c r="AI1042"/>
      <c r="AJ1042"/>
      <c r="AK1042"/>
    </row>
    <row r="1043" ht="25.5" customHeight="1">
      <c r="A1043" s="2" t="str">
        <f>=HYPERLINK("https://applink.larksuite.com/client/mini_program/open?appId=cli_9c7cc8a9a9edd105&amp;mode=appCenter&amp;path_pc=pc/pages/requested/index?instanceId=7522701993136226335&amp;source=bitable&amp;path=pages/detail/index?instanceId=7522701993136226335&amp;source=bitable", "202507030044")</f>
        <v>202507030044</v>
      </c>
      <c r="B1043" t="inlineStr">
        <is>
          <t>Approved</t>
        </is>
      </c>
      <c r="C1043" t="inlineStr">
        <is>
          <t>Procurement Order</t>
        </is>
      </c>
      <c r="D1043" s="3">
        <v>45841.504016203704</v>
      </c>
      <c r="E1043" s="3">
        <v>45847.46233796296</v>
      </c>
      <c r="F1043" t="inlineStr">
        <is>
          <t>Fatima Kathleen M. FLores</t>
        </is>
      </c>
      <c r="G1043" t="inlineStr">
        <is>
          <t>Procurement</t>
        </is>
      </c>
      <c r="H1043"/>
      <c r="I1043"/>
      <c r="J1043" t="inlineStr">
        <is>
          <t>Project</t>
        </is>
      </c>
      <c r="K1043" t="inlineStr">
        <is>
          <t>PDEI - Event Service</t>
        </is>
      </c>
      <c r="L1043" t="inlineStr">
        <is>
          <t>M6 WATCH PARTY - ADDENDUM (Safety)</t>
        </is>
      </c>
      <c r="M1043" t="inlineStr">
        <is>
          <t>2024TEG-P0428</t>
        </is>
      </c>
      <c r="N1043" t="inlineStr">
        <is>
          <t>Kervin</t>
        </is>
      </c>
      <c r="O1043" t="inlineStr">
        <is>
          <t>202506300051-Kervin-费用报销 - 副本 - 副本 - 副本-2025-06-30 07:06:16</t>
        </is>
      </c>
      <c r="P1043" t="inlineStr">
        <is>
          <t>YES</t>
        </is>
      </c>
      <c r="Q1043"/>
      <c r="R1043" t="inlineStr">
        <is>
          <t>NO</t>
        </is>
      </c>
      <c r="S1043" t="inlineStr">
        <is>
          <t>Outsourced Electrician</t>
        </is>
      </c>
      <c r="T1043">
        <v>1</v>
      </c>
      <c r="U1043">
        <v>2000</v>
      </c>
      <c r="V1043" t="inlineStr">
        <is>
          <t>PHP</t>
        </is>
      </c>
      <c r="W1043">
        <v>2000</v>
      </c>
      <c r="X1043" s="2" t="str">
        <f>=HYPERLINK("https://www.larksuite.com/approval/admin/previewAttachment?key=PMgxCgJBDAXQK_2fZPInXsZml0XErcSBLXJ2wcL25SRyDnoWomgFtoaZwCqnp1m6j7amVBAF6_087p9rxtK6Ns3z9Ry9HtuxvzlKZpBH-ATA299dEVGVgZ_jGwAA__8", "2 attachment(s)")</f>
        <v>2 attachment(s)</v>
      </c>
      <c r="Y1043" t="inlineStr">
        <is>
          <t>Bank Transfer</t>
        </is>
      </c>
      <c r="Z1043" t="inlineStr">
        <is>
          <t>Regidor Mara</t>
        </is>
      </c>
      <c r="AA1043" t="inlineStr">
        <is>
          <t>0000049934223</t>
        </is>
      </c>
      <c r="AB1043" t="inlineStr">
        <is>
          <t>Security Bank</t>
        </is>
      </c>
      <c r="AC1043" t="inlineStr">
        <is>
          <t>3458 A. Cecilio st. Tondo Manila</t>
        </is>
      </c>
      <c r="AD1043" s="4">
        <v>45636</v>
      </c>
      <c r="AE1043" t="inlineStr">
        <is>
          <t>100% Full Payment - July 18, 2025</t>
        </is>
      </c>
      <c r="AF1043" s="2"/>
      <c r="AG1043" t="inlineStr">
        <is>
          <t>NzQyNTk5MTgyNzQ4MTg3MDM0MToxQjg1RDFGOS1DNDg1LTQ3OUQtQTNENC04QkU0NzE3MTVCODYtMTo0MGQwNTA5ZGU3NTRlOGVhZDAyZmEyODY5NWUwZjQwZjox</t>
        </is>
      </c>
      <c r="AH1043"/>
      <c r="AI1043"/>
      <c r="AJ1043"/>
      <c r="AK1043"/>
    </row>
    <row r="1044" ht="25.5" customHeight="1">
      <c r="A1044" s="2" t="str">
        <f>=HYPERLINK("https://applink.larksuite.com/client/mini_program/open?appId=cli_9c7cc8a9a9edd105&amp;mode=appCenter&amp;path_pc=pc/pages/requested/index?instanceId=7522700809222504487&amp;source=bitable&amp;path=pages/detail/index?instanceId=7522700809222504487&amp;source=bitable", "202507030037")</f>
        <v>202507030037</v>
      </c>
      <c r="B1044" t="inlineStr">
        <is>
          <t>Rejected</t>
        </is>
      </c>
      <c r="C1044" t="inlineStr">
        <is>
          <t>Procurement Order</t>
        </is>
      </c>
      <c r="D1044" s="3">
        <v>45841.50082175926</v>
      </c>
      <c r="E1044" s="3">
        <v>45849.69284722222</v>
      </c>
      <c r="F1044" t="inlineStr">
        <is>
          <t>Fatima Kathleen M. FLores</t>
        </is>
      </c>
      <c r="G1044" t="inlineStr">
        <is>
          <t>Procurement</t>
        </is>
      </c>
      <c r="H1044"/>
      <c r="I1044"/>
      <c r="J1044" t="inlineStr">
        <is>
          <t>Project</t>
        </is>
      </c>
      <c r="K1044" t="inlineStr">
        <is>
          <t>PDEI - Event Service</t>
        </is>
      </c>
      <c r="L1044" t="inlineStr">
        <is>
          <t>M6 WATCH PARTY - ADDENDUM (Safety)</t>
        </is>
      </c>
      <c r="M1044" t="inlineStr">
        <is>
          <t>2024TEG-P0428</t>
        </is>
      </c>
      <c r="N1044" t="inlineStr">
        <is>
          <t>Kervin</t>
        </is>
      </c>
      <c r="O1044" t="inlineStr">
        <is>
          <t>202506300051-Kervin-费用报销 - 副本 - 副本 - 副本-2025-06-30 07:06:16</t>
        </is>
      </c>
      <c r="P1044" t="inlineStr">
        <is>
          <t>YES</t>
        </is>
      </c>
      <c r="Q1044"/>
      <c r="R1044" t="inlineStr">
        <is>
          <t>NO</t>
        </is>
      </c>
      <c r="S1044" t="inlineStr">
        <is>
          <t>Outsourced Safety Officer</t>
        </is>
      </c>
      <c r="T1044">
        <v>1</v>
      </c>
      <c r="U1044">
        <v>2500</v>
      </c>
      <c r="V1044" t="inlineStr">
        <is>
          <t>PHP</t>
        </is>
      </c>
      <c r="W1044">
        <v>2500</v>
      </c>
      <c r="X1044" s="2" t="str">
        <f>=HYPERLINK("https://www.larksuite.com/approval/admin/previewAttachment?key=PMg7DgIxEAPQK3kmThxzGZqsVlCkQnyaOTsSBe0bMzBmjzYMOtKIUs8UMOHM7CCnKiskQyFkHfu8rud-K7zvzat_WK_bOo9HdCsTamSbAOLy9yaS9iB-jm8AAAD__w", "2 attachment(s)")</f>
        <v>2 attachment(s)</v>
      </c>
      <c r="Y1044" t="inlineStr">
        <is>
          <t>Bank Transfer</t>
        </is>
      </c>
      <c r="Z1044" t="inlineStr">
        <is>
          <t>Alfredo A Go</t>
        </is>
      </c>
      <c r="AA1044" t="inlineStr">
        <is>
          <t>0206245243</t>
        </is>
      </c>
      <c r="AB1044" t="inlineStr">
        <is>
          <t>BPI</t>
        </is>
      </c>
      <c r="AC1044" t="inlineStr">
        <is>
          <t>B8 L6 Sampaguita St. Valley Homes Subd. Cupang Antipolo City</t>
        </is>
      </c>
      <c r="AD1044" s="4">
        <v>45640</v>
      </c>
      <c r="AE1044" t="inlineStr">
        <is>
          <t>100% Full Payment - July 18, 2025</t>
        </is>
      </c>
      <c r="AF1044" s="2"/>
      <c r="AG1044" t="inlineStr">
        <is>
          <t>NzQyNTk5MTgyNzQ4MTg3MDM0MTpCNjY4REU0QS03NkVFLTQ5QTgtQUU1MS04MzdDNkYyNDZFN0MtMTpiZmZmZWI4MjUxOGExOTM0NWFhNDgzYzNlOTFiYWJjYTox</t>
        </is>
      </c>
      <c r="AH1044"/>
      <c r="AI1044"/>
      <c r="AJ1044"/>
      <c r="AK1044"/>
    </row>
    <row r="1045" ht="25.5" customHeight="1">
      <c r="A1045" s="2" t="str">
        <f>=HYPERLINK("https://applink.larksuite.com/client/mini_program/open?appId=cli_9c7cc8a9a9edd105&amp;mode=appCenter&amp;path_pc=pc/pages/requested/index?instanceId=7522761523426000928&amp;source=bitable&amp;path=pages/detail/index?instanceId=7522761523426000928&amp;source=bitable", "202507030096")</f>
        <v>202507030096</v>
      </c>
      <c r="B1045" t="inlineStr">
        <is>
          <t>Approved</t>
        </is>
      </c>
      <c r="C1045" t="inlineStr">
        <is>
          <t>Procurement Order</t>
        </is>
      </c>
      <c r="D1045" s="3">
        <v>45841.66443287037</v>
      </c>
      <c r="E1045" s="3">
        <v>45846.51724537037</v>
      </c>
      <c r="F1045" t="inlineStr">
        <is>
          <t>Fatima Kathleen M. FLores</t>
        </is>
      </c>
      <c r="G1045" t="inlineStr">
        <is>
          <t>Procurement</t>
        </is>
      </c>
      <c r="H1045"/>
      <c r="I1045"/>
      <c r="J1045" t="inlineStr">
        <is>
          <t>Project</t>
        </is>
      </c>
      <c r="K1045" t="inlineStr">
        <is>
          <t>PDEI - Game Marketing</t>
        </is>
      </c>
      <c r="L1045" t="inlineStr">
        <is>
          <t>SEC July Display Plan (APEX)</t>
        </is>
      </c>
      <c r="M1045" t="inlineStr">
        <is>
          <t>2025TEG-P0146</t>
        </is>
      </c>
      <c r="N1045" t="inlineStr">
        <is>
          <t>Nadine Nora</t>
        </is>
      </c>
      <c r="O1045" t="inlineStr">
        <is>
          <t>202506110003-Nadine Nora-费用报销 - 副本 - 副本 - 副本-2025-06-11 01:32:00</t>
        </is>
      </c>
      <c r="P1045" t="inlineStr">
        <is>
          <t>YES</t>
        </is>
      </c>
      <c r="Q1045"/>
      <c r="R1045" t="inlineStr">
        <is>
          <t>NO</t>
        </is>
      </c>
      <c r="S1045" t="inlineStr">
        <is>
          <t>Outsourced 3D Artist</t>
        </is>
      </c>
      <c r="T1045">
        <v>1</v>
      </c>
      <c r="U1045">
        <v>60000</v>
      </c>
      <c r="V1045" t="inlineStr">
        <is>
          <t>PHP</t>
        </is>
      </c>
      <c r="W1045">
        <v>60000</v>
      </c>
      <c r="X1045" s="2" t="str">
        <f>=HYPERLINK("https://www.larksuite.com/approval/admin/previewAttachment?key=PMgxCkJBDATQK00m2WTHy9i4LBYKHwTRImcXLH77chpyDvMUQkbBugZZaYMeTADibLZVCWUF9nru63IeS_pyf456jH7fb3u9bKhIlEf4BGCX070iQsrA3_ELAAD__w", "2 attachment(s)")</f>
        <v>2 attachment(s)</v>
      </c>
      <c r="Y1045" t="inlineStr">
        <is>
          <t>Bank Transfer</t>
        </is>
      </c>
      <c r="Z1045" t="inlineStr">
        <is>
          <t>Jeric Angelo C. Asinas</t>
        </is>
      </c>
      <c r="AA1045" t="inlineStr">
        <is>
          <t>4519301747</t>
        </is>
      </c>
      <c r="AB1045" t="inlineStr">
        <is>
          <t>BPI</t>
        </is>
      </c>
      <c r="AC1045" t="inlineStr">
        <is>
          <t>1723 Lirio St. Camarin, Brgy 174 Caloocan City</t>
        </is>
      </c>
      <c r="AD1045" s="4">
        <v>45817</v>
      </c>
      <c r="AE1045" t="inlineStr">
        <is>
          <t>1st Payment - July 4, 2025
2nd Payment - July 18, 2025
Final Payment - July 25, 2025</t>
        </is>
      </c>
      <c r="AF1045" s="2"/>
      <c r="AG1045" t="inlineStr">
        <is>
          <t>NzQyNTk5MTgyNzQ4MTg3MDM0MTo3QjQ0ODRFMC01NkUxLTQwOTEtODFDNi04M0M2MDEyMDNDRUQtMTo3MmUxMzU3YzVlZjI0NjEwYzlhZmY1ZGRjNjQ1Yjc3NTox</t>
        </is>
      </c>
      <c r="AH1045"/>
      <c r="AI1045"/>
      <c r="AJ1045"/>
      <c r="AK1045"/>
    </row>
    <row r="1046" ht="25.5" customHeight="1">
      <c r="A1046" s="2" t="str">
        <f>=HYPERLINK("https://applink.larksuite.com/client/mini_program/open?appId=cli_9c7cc8a9a9edd105&amp;mode=appCenter&amp;path_pc=pc/pages/requested/index?instanceId=7522697223860355110&amp;source=bitable&amp;path=pages/detail/index?instanceId=7522697223860355110&amp;source=bitable", "202507030030")</f>
        <v>202507030030</v>
      </c>
      <c r="B1046" t="inlineStr">
        <is>
          <t>Approved</t>
        </is>
      </c>
      <c r="C1046" t="inlineStr">
        <is>
          <t>Procurement Order</t>
        </is>
      </c>
      <c r="D1046" s="3">
        <v>45841.49115740741</v>
      </c>
      <c r="E1046" s="3">
        <v>45845.62645833333</v>
      </c>
      <c r="F1046" t="inlineStr">
        <is>
          <t>Fatima Kathleen M. FLores</t>
        </is>
      </c>
      <c r="G1046" t="inlineStr">
        <is>
          <t>Procurement</t>
        </is>
      </c>
      <c r="H1046"/>
      <c r="I1046"/>
      <c r="J1046" t="inlineStr">
        <is>
          <t>Project</t>
        </is>
      </c>
      <c r="K1046" t="inlineStr">
        <is>
          <t>PDEI - Event Service</t>
        </is>
      </c>
      <c r="L1046" t="inlineStr">
        <is>
          <t>MPL PH S15 Addendum</t>
        </is>
      </c>
      <c r="M1046" t="inlineStr">
        <is>
          <t>2025TEG-P0071</t>
        </is>
      </c>
      <c r="N1046" t="inlineStr">
        <is>
          <t>JP dela Peña</t>
        </is>
      </c>
      <c r="O1046" t="inlineStr">
        <is>
          <t>202506090138-Tiny-费用报销 - 副本 - 副本 - 副本-2025-06-09 14:13:41</t>
        </is>
      </c>
      <c r="P1046" t="inlineStr">
        <is>
          <t>YES</t>
        </is>
      </c>
      <c r="Q1046"/>
      <c r="R1046" t="inlineStr">
        <is>
          <t>YES</t>
        </is>
      </c>
      <c r="S1046" t="inlineStr">
        <is>
          <t>Outsourced Graphic Artist for On ground (Additional)</t>
        </is>
      </c>
      <c r="T1046">
        <v>1</v>
      </c>
      <c r="U1046">
        <v>8000</v>
      </c>
      <c r="V1046" t="inlineStr">
        <is>
          <t>PHP</t>
        </is>
      </c>
      <c r="W1046">
        <v>8000</v>
      </c>
      <c r="X1046" s="2" t="str">
        <f>=HYPERLINK("https://www.larksuite.com/approval/admin/previewAttachment?key=PMs7ikJREATQLVX1r27PZibx8tDggSAIBr120cD0wKlF1Ep6NaJpDY7SrFpmvgqeSWJsKDVEwWafx_92uytuZ7wsuXOe18uxH8zPgzzCFwD-_dwVEd0V-DreAQAA__8", "2 attachment(s)")</f>
        <v>2 attachment(s)</v>
      </c>
      <c r="Y1046" t="inlineStr">
        <is>
          <t>Bank Transfer</t>
        </is>
      </c>
      <c r="Z1046" t="inlineStr">
        <is>
          <t>Carl Justin Seneres</t>
        </is>
      </c>
      <c r="AA1046" t="inlineStr">
        <is>
          <t>109324001262</t>
        </is>
      </c>
      <c r="AB1046" t="inlineStr">
        <is>
          <t>Unionbank</t>
        </is>
      </c>
      <c r="AC1046" t="inlineStr">
        <is>
          <t>73, 11th Ave., Cubao, Quezon City</t>
        </is>
      </c>
      <c r="AD1046" s="4">
        <v>45777</v>
      </c>
      <c r="AE1046" t="inlineStr">
        <is>
          <t>100% Full Payment - July 11, 2025</t>
        </is>
      </c>
      <c r="AF1046" s="2"/>
      <c r="AG1046" t="inlineStr">
        <is>
          <t>NzQyNTk5MTgyNzQ4MTg3MDM0MTpEREI5MUUyNS00QjMwLTQ4MTEtQkQxOS0zMjczMDg3NjUxRjMtMToxMTRiYWUzMTdjYTRhMDhiYTlmMTA2ODY2MzViZjQwNDox</t>
        </is>
      </c>
      <c r="AH1046"/>
      <c r="AI1046"/>
      <c r="AJ1046"/>
      <c r="AK1046"/>
    </row>
    <row r="1047" ht="25.5" customHeight="1">
      <c r="A1047" s="2" t="str">
        <f>=HYPERLINK("https://applink.larksuite.com/client/mini_program/open?appId=cli_9c7cc8a9a9edd105&amp;mode=appCenter&amp;path_pc=pc/pages/requested/index?instanceId=7522691938634465311&amp;source=bitable&amp;path=pages/detail/index?instanceId=7522691938634465311&amp;source=bitable", "202507030023")</f>
        <v>202507030023</v>
      </c>
      <c r="B1047" t="inlineStr">
        <is>
          <t>Approved</t>
        </is>
      </c>
      <c r="C1047" t="inlineStr">
        <is>
          <t>Procurement Order</t>
        </is>
      </c>
      <c r="D1047" s="3">
        <v>45841.47692129629</v>
      </c>
      <c r="E1047" s="3">
        <v>45845.62778935185</v>
      </c>
      <c r="F1047" t="inlineStr">
        <is>
          <t>Fatima Kathleen M. FLores</t>
        </is>
      </c>
      <c r="G1047" t="inlineStr">
        <is>
          <t>Procurement</t>
        </is>
      </c>
      <c r="H1047"/>
      <c r="I1047"/>
      <c r="J1047" t="inlineStr">
        <is>
          <t>Project</t>
        </is>
      </c>
      <c r="K1047" t="inlineStr">
        <is>
          <t>PDEI - Event Service</t>
        </is>
      </c>
      <c r="L1047" t="inlineStr">
        <is>
          <t>MPL PH S15 Addendum</t>
        </is>
      </c>
      <c r="M1047" t="inlineStr">
        <is>
          <t>2025TEG-P0071</t>
        </is>
      </c>
      <c r="N1047" t="inlineStr">
        <is>
          <t>JP dela Peña</t>
        </is>
      </c>
      <c r="O1047" t="inlineStr">
        <is>
          <t>202506200092-Tiny-费用报销 - 副本 - 副本 - 副本-2025-06-20 11:52:57</t>
        </is>
      </c>
      <c r="P1047" t="inlineStr">
        <is>
          <t>YES</t>
        </is>
      </c>
      <c r="Q1047"/>
      <c r="R1047" t="inlineStr">
        <is>
          <t>YES</t>
        </is>
      </c>
      <c r="S1047" t="inlineStr">
        <is>
          <t>Outsourced Logistics Manpower</t>
        </is>
      </c>
      <c r="T1047">
        <v>1</v>
      </c>
      <c r="U1047">
        <v>64000</v>
      </c>
      <c r="V1047" t="inlineStr">
        <is>
          <t>PHP</t>
        </is>
      </c>
      <c r="W1047">
        <v>64000</v>
      </c>
      <c r="X1047" s="2" t="str">
        <f>=HYPERLINK("https://www.larksuite.com/approval/admin/previewAttachment?key=PMg9CsJAEAXgK703vztexsawGDEgCCsWc3bBIu0Xg4jh1ChYUQrsdJEolo5Qs3AlW5qZhWRCejvmdV8Pfj8H9ynP6a9e99vc3vRKEaSa6QDAy-maZlYVhr_jFwAA__8", "2 attachment(s)")</f>
        <v>2 attachment(s)</v>
      </c>
      <c r="Y1047" t="inlineStr">
        <is>
          <t>Bank Transfer</t>
        </is>
      </c>
      <c r="Z1047" t="inlineStr">
        <is>
          <t>Marc Kevin Serrano</t>
        </is>
      </c>
      <c r="AA1047" t="inlineStr">
        <is>
          <t>1519218972</t>
        </is>
      </c>
      <c r="AB1047" t="inlineStr">
        <is>
          <t>BPI</t>
        </is>
      </c>
      <c r="AC1047" t="inlineStr">
        <is>
          <t>3 Don Guillermo Street, Barangay Holy Spirit, Commonwealth, Quezon City</t>
        </is>
      </c>
      <c r="AD1047" s="4">
        <v>45800</v>
      </c>
      <c r="AE1047" t="inlineStr">
        <is>
          <t>1st Payment - July 4, 2025
Final Payment - July 11, 2025</t>
        </is>
      </c>
      <c r="AF1047" s="2"/>
      <c r="AG1047" t="inlineStr">
        <is>
          <t>NzQyNTk5MTgyNzQ4MTg3MDM0MTpGMThGMDc0Mi1GMTBGLTRBRjEtOEM0RS00OUUzOEE3Q0I2Q0QtMTphY2U4MjI3NTEyNjcwM2EwMGIwZGE0NmMxMWM4NGNlZTox</t>
        </is>
      </c>
      <c r="AH1047"/>
      <c r="AI1047"/>
      <c r="AJ1047"/>
      <c r="AK1047"/>
    </row>
    <row r="1048" ht="25.5" customHeight="1">
      <c r="A1048" s="2" t="str">
        <f>=HYPERLINK("https://applink.larksuite.com/client/mini_program/open?appId=cli_9c7cc8a9a9edd105&amp;mode=appCenter&amp;path_pc=pc/pages/requested/index?instanceId=7522688534059204647&amp;source=bitable&amp;path=pages/detail/index?instanceId=7522688534059204647&amp;source=bitable", "202507030017")</f>
        <v>202507030017</v>
      </c>
      <c r="B1048" t="inlineStr">
        <is>
          <t>Approved</t>
        </is>
      </c>
      <c r="C1048" t="inlineStr">
        <is>
          <t>Procurement Order</t>
        </is>
      </c>
      <c r="D1048" s="3">
        <v>45841.46774305555</v>
      </c>
      <c r="E1048" s="3">
        <v>45845.628796296296</v>
      </c>
      <c r="F1048" t="inlineStr">
        <is>
          <t>Fatima Kathleen M. FLores</t>
        </is>
      </c>
      <c r="G1048" t="inlineStr">
        <is>
          <t>Procurement</t>
        </is>
      </c>
      <c r="H1048"/>
      <c r="I1048"/>
      <c r="J1048" t="inlineStr">
        <is>
          <t>Project</t>
        </is>
      </c>
      <c r="K1048" t="inlineStr">
        <is>
          <t>PDEI - Event Service</t>
        </is>
      </c>
      <c r="L1048" t="inlineStr">
        <is>
          <t>MPL PH S15 Addendum</t>
        </is>
      </c>
      <c r="M1048" t="inlineStr">
        <is>
          <t>2025TEG-P0071</t>
        </is>
      </c>
      <c r="N1048" t="inlineStr">
        <is>
          <t>JP dela Peña</t>
        </is>
      </c>
      <c r="O1048" t="inlineStr">
        <is>
          <t>202506090134-Tiny-费用报销 - 副本 - 副本 - 副本-2025-06-09 14:00:22</t>
        </is>
      </c>
      <c r="P1048" t="inlineStr">
        <is>
          <t>YES</t>
        </is>
      </c>
      <c r="Q1048"/>
      <c r="R1048" t="inlineStr">
        <is>
          <t>YES</t>
        </is>
      </c>
      <c r="S1048" t="inlineStr">
        <is>
          <t>Outsourced Artist for On ground Collaterals</t>
        </is>
      </c>
      <c r="T1048">
        <v>1</v>
      </c>
      <c r="U1048">
        <v>44000</v>
      </c>
      <c r="V1048" t="inlineStr">
        <is>
          <t>PHP</t>
        </is>
      </c>
      <c r="W1048">
        <v>44000</v>
      </c>
      <c r="X1048" s="2" t="str">
        <f>=HYPERLINK("https://www.larksuite.com/approval/admin/previewAttachment?key=PMgxDsJADATAL619e16bz9AkipBQKpSDxm9HoqCdSEPktBEFlnnBWtM9MucgZjkYVHubVJAJ3vt53LfrfGvl-jyvrM17PbZjf9ksuUODHAnAbn8fIlkVxM_xDQAA__8", "2 attachment(s)")</f>
        <v>2 attachment(s)</v>
      </c>
      <c r="Y1048" t="inlineStr">
        <is>
          <t>Bank Transfer</t>
        </is>
      </c>
      <c r="Z1048" t="inlineStr">
        <is>
          <t>Ma. Kathrina Buhay</t>
        </is>
      </c>
      <c r="AA1048" t="inlineStr">
        <is>
          <t>0000049934198</t>
        </is>
      </c>
      <c r="AB1048" t="inlineStr">
        <is>
          <t>Security Bank</t>
        </is>
      </c>
      <c r="AC1048" t="inlineStr">
        <is>
          <t>1332 A.H. Lacson st., Sta Cruz, Manila</t>
        </is>
      </c>
      <c r="AD1048" s="4">
        <v>45777</v>
      </c>
      <c r="AE1048" t="inlineStr">
        <is>
          <t>1st Payment - July 11, 2025
Final Payment - July 25, 2025</t>
        </is>
      </c>
      <c r="AF1048" s="2"/>
      <c r="AG1048" t="inlineStr">
        <is>
          <t>NzQyNTk5MTgyNzQ4MTg3MDM0MTo3RDc0MkY1RC1CQkJBLTRCMzgtOTQ5QS01MTQwNzEyMTQ0Q0QtMTpiOGM2ZDNjMDczMWFkMTIxN2IxNjkyMjYyMDczMTdmNjox</t>
        </is>
      </c>
      <c r="AH1048"/>
      <c r="AI1048"/>
      <c r="AJ1048"/>
      <c r="AK1048"/>
    </row>
    <row r="1049" ht="25.5" customHeight="1">
      <c r="A1049" s="2" t="str">
        <f>=HYPERLINK("https://applink.larksuite.com/client/mini_program/open?appId=cli_9c7cc8a9a9edd105&amp;mode=appCenter&amp;path_pc=pc/pages/requested/index?instanceId=7521638717539336230&amp;source=bitable&amp;path=pages/detail/index?instanceId=7521638717539336230&amp;source=bitable", "202506300060")</f>
        <v>202506300060</v>
      </c>
      <c r="B1049" t="inlineStr">
        <is>
          <t>Approved</t>
        </is>
      </c>
      <c r="C1049" t="inlineStr">
        <is>
          <t>Procurement Order</t>
        </is>
      </c>
      <c r="D1049" s="3">
        <v>45838.638703703706</v>
      </c>
      <c r="E1049" s="3">
        <v>45846.514965277776</v>
      </c>
      <c r="F1049" t="inlineStr">
        <is>
          <t>Fatima Kathleen M. FLores</t>
        </is>
      </c>
      <c r="G1049" t="inlineStr">
        <is>
          <t>Procurement</t>
        </is>
      </c>
      <c r="H1049"/>
      <c r="I1049"/>
      <c r="J1049" t="inlineStr">
        <is>
          <t>Project</t>
        </is>
      </c>
      <c r="K1049" t="inlineStr">
        <is>
          <t>PDEI - Game Marketing</t>
        </is>
      </c>
      <c r="L1049" t="inlineStr">
        <is>
          <t>BuzzOne - C-Vitt Brand Activation</t>
        </is>
      </c>
      <c r="M1049" t="inlineStr">
        <is>
          <t>2025TEG-P0135</t>
        </is>
      </c>
      <c r="N1049" t="inlineStr">
        <is>
          <t>Carla Andrea Calma Crespo</t>
        </is>
      </c>
      <c r="O1049" t="inlineStr">
        <is>
          <t>202506160002-Carla Andrea Calma Crespo-费用报销 - 副本 - 副本 - 副本-2025-06-16 01:53:12</t>
        </is>
      </c>
      <c r="P1049" t="inlineStr">
        <is>
          <t>YES</t>
        </is>
      </c>
      <c r="Q1049"/>
      <c r="R1049" t="inlineStr">
        <is>
          <t>YES</t>
        </is>
      </c>
      <c r="S1049" t="inlineStr">
        <is>
          <t>Outsourced Photo and Video Coverage Team</t>
        </is>
      </c>
      <c r="T1049">
        <v>1</v>
      </c>
      <c r="U1049">
        <v>20000</v>
      </c>
      <c r="V1049" t="inlineStr">
        <is>
          <t>PHP</t>
        </is>
      </c>
      <c r="W1049">
        <v>20000</v>
      </c>
      <c r="X1049" s="2" t="str">
        <f>=HYPERLINK("https://www.larksuite.com/approval/admin/previewAttachment?key=PMhBCgIxDAXQK_3kp_mNl3HTYRCkIoiDLnp2wcVsX3ZD9mbMQpR5wZaaW7LL1FhkOrF8mVSQCb62uV-_x_vBMZ8txofzvo7b2LeXtZI7xAh2AHY5nYqIqgz8Hb8AAAD__w", "2 attachment(s)")</f>
        <v>2 attachment(s)</v>
      </c>
      <c r="Y1049" t="inlineStr">
        <is>
          <t>Bank Transfer</t>
        </is>
      </c>
      <c r="Z1049" t="inlineStr">
        <is>
          <t>Xylo Pineda</t>
        </is>
      </c>
      <c r="AA1049" t="inlineStr">
        <is>
          <t>001271697228</t>
        </is>
      </c>
      <c r="AB1049" t="inlineStr">
        <is>
          <t>BDO</t>
        </is>
      </c>
      <c r="AC1049" t="inlineStr">
        <is>
          <t>Block 13 Lot 16 Kingstown 1 Subdivision, Barangay 171, North Caloocan</t>
        </is>
      </c>
      <c r="AD1049" s="4">
        <v>45843</v>
      </c>
      <c r="AE1049" t="inlineStr">
        <is>
          <t>1st Payment - July 18, 2025
Final Payment - July 25, 2025</t>
        </is>
      </c>
      <c r="AF1049" s="2"/>
      <c r="AG1049" t="inlineStr">
        <is>
          <t>NzQyNTk5MTgyNzQ4MTg3MDM0MTpERTcwODI3My1GREE5LTRBNTYtQTBCNS1DNjJGOEE1Mzc5QkEtMTplZDU1NTQxYjEyNDc4Y2U1ZDRlMGM3NzUzOTJiMjNhYzox</t>
        </is>
      </c>
      <c r="AH1049"/>
      <c r="AI1049"/>
      <c r="AJ1049"/>
      <c r="AK1049"/>
    </row>
    <row r="1050" ht="25.5" customHeight="1">
      <c r="A1050" s="2" t="str">
        <f>=HYPERLINK("https://applink.larksuite.com/client/mini_program/open?appId=cli_9c7cc8a9a9edd105&amp;mode=appCenter&amp;path_pc=pc/pages/requested/index?instanceId=7524277596368945190&amp;source=bitable&amp;path=pages/detail/index?instanceId=7524277596368945190&amp;source=bitable", "202507070092")</f>
        <v>202507070092</v>
      </c>
      <c r="B1050" t="inlineStr">
        <is>
          <t>Approved</t>
        </is>
      </c>
      <c r="C1050" t="inlineStr">
        <is>
          <t>Procurement Order</t>
        </is>
      </c>
      <c r="D1050" s="3">
        <v>45845.74994212963</v>
      </c>
      <c r="E1050" s="3">
        <v>45846.5125462963</v>
      </c>
      <c r="F1050" t="inlineStr">
        <is>
          <t>Fatima Kathleen M. FLores</t>
        </is>
      </c>
      <c r="G1050" t="inlineStr">
        <is>
          <t>Procurement</t>
        </is>
      </c>
      <c r="H1050"/>
      <c r="I1050"/>
      <c r="J1050" t="inlineStr">
        <is>
          <t>Project</t>
        </is>
      </c>
      <c r="K1050" t="inlineStr">
        <is>
          <t>PDEI - Event Service</t>
        </is>
      </c>
      <c r="L1050" t="inlineStr">
        <is>
          <t>GTCC Summer Showdown</t>
        </is>
      </c>
      <c r="M1050" t="inlineStr">
        <is>
          <t>2025TEG-P0040</t>
        </is>
      </c>
      <c r="N1050" t="inlineStr">
        <is>
          <t>Frances Angelita Arreglado</t>
        </is>
      </c>
      <c r="O1050" t="inlineStr">
        <is>
          <t>202506050113-Frances Angelita Arreglado-费用报销 - 副本 - 副本 - 副本-2025-06-05 12:18:05</t>
        </is>
      </c>
      <c r="P1050" t="inlineStr">
        <is>
          <t>YES</t>
        </is>
      </c>
      <c r="Q1050"/>
      <c r="R1050" t="inlineStr">
        <is>
          <t>NO</t>
        </is>
      </c>
      <c r="S1050" t="inlineStr">
        <is>
          <t>Outsourced Logistics Associate (Egress)</t>
        </is>
      </c>
      <c r="T1050">
        <v>1</v>
      </c>
      <c r="U1050">
        <v>7500</v>
      </c>
      <c r="V1050" t="inlineStr">
        <is>
          <t>PHP</t>
        </is>
      </c>
      <c r="W1050">
        <v>7500</v>
      </c>
      <c r="X1050" s="2" t="str">
        <f>=HYPERLINK("https://www.larksuite.com/approval/admin/previewAttachment?key=PMg7CgJBEATQK1V_pmvKy5i4LCouCOJg0mcXDExfTUPNYVFCylyw5vB0cqiipnKY0N5GCjTCezv2MyKfH73vN1vz4KPX9bJvLxuiOxiZMQHY6e_BzJQq8XN8AwAA__8", "2 attachment(s)")</f>
        <v>2 attachment(s)</v>
      </c>
      <c r="Y1050" t="inlineStr">
        <is>
          <t>Bank Transfer</t>
        </is>
      </c>
      <c r="Z1050" t="inlineStr">
        <is>
          <t>RIC JACA</t>
        </is>
      </c>
      <c r="AA1050" t="inlineStr">
        <is>
          <t>09509516216</t>
        </is>
      </c>
      <c r="AB1050" t="inlineStr">
        <is>
          <t>GCASH</t>
        </is>
      </c>
      <c r="AC1050" t="inlineStr">
        <is>
          <t>321 Sitio Langhaya Brgy. Dela Paz Antipolo Rizal</t>
        </is>
      </c>
      <c r="AD1050" s="4">
        <v>45823</v>
      </c>
      <c r="AE1050" t="inlineStr">
        <is>
          <t>100% Full Payment - July 11, 2025</t>
        </is>
      </c>
      <c r="AF1050" s="2"/>
      <c r="AG1050" t="inlineStr">
        <is>
          <t>NzQyNTk5MTgyNzQ4MTg3MDM0MTo3RUY5NTAzNC1BRkRDLTQ0NTgtQTc5MS02MjUzMEZBNjZBMkQtMTplYThhZTE4M2E5MzgwZThmMzE3ZTVlMjNlOGIxYTY4ZDox</t>
        </is>
      </c>
      <c r="AH1050"/>
      <c r="AI1050"/>
      <c r="AJ1050"/>
      <c r="AK1050"/>
    </row>
    <row r="1051" ht="25.5" customHeight="1">
      <c r="A1051" s="2" t="str">
        <f>=HYPERLINK("https://applink.larksuite.com/client/mini_program/open?appId=cli_9c7cc8a9a9edd105&amp;mode=appCenter&amp;path_pc=pc/pages/requested/index?instanceId=7524279195191574566&amp;source=bitable&amp;path=pages/detail/index?instanceId=7524279195191574566&amp;source=bitable", "202507070093")</f>
        <v>202507070093</v>
      </c>
      <c r="B1051" t="inlineStr">
        <is>
          <t>Approved</t>
        </is>
      </c>
      <c r="C1051" t="inlineStr">
        <is>
          <t>Procurement Order</t>
        </is>
      </c>
      <c r="D1051" s="3">
        <v>45845.75425925926</v>
      </c>
      <c r="E1051" s="3">
        <v>45846.513449074075</v>
      </c>
      <c r="F1051" t="inlineStr">
        <is>
          <t>Fatima Kathleen M. FLores</t>
        </is>
      </c>
      <c r="G1051" t="inlineStr">
        <is>
          <t>Procurement</t>
        </is>
      </c>
      <c r="H1051"/>
      <c r="I1051"/>
      <c r="J1051" t="inlineStr">
        <is>
          <t>Project</t>
        </is>
      </c>
      <c r="K1051" t="inlineStr">
        <is>
          <t>PDEI - Event Service</t>
        </is>
      </c>
      <c r="L1051" t="inlineStr">
        <is>
          <t>GTCC Summer Showdown</t>
        </is>
      </c>
      <c r="M1051" t="inlineStr">
        <is>
          <t>2025TEG-P0040</t>
        </is>
      </c>
      <c r="N1051" t="inlineStr">
        <is>
          <t>Frances Angelita Arreglado</t>
        </is>
      </c>
      <c r="O1051" t="inlineStr">
        <is>
          <t>202506050113-Frances Angelita Arreglado-费用报销 - 副本 - 副本 - 副本-2025-06-05 12:18:05</t>
        </is>
      </c>
      <c r="P1051" t="inlineStr">
        <is>
          <t>YES</t>
        </is>
      </c>
      <c r="Q1051"/>
      <c r="R1051" t="inlineStr">
        <is>
          <t>NO</t>
        </is>
      </c>
      <c r="S1051" t="inlineStr">
        <is>
          <t>Outsourced Logistics Associate (Additional - Event Days / Egress)</t>
        </is>
      </c>
      <c r="T1051">
        <v>1</v>
      </c>
      <c r="U1051">
        <v>15000</v>
      </c>
      <c r="V1051" t="inlineStr">
        <is>
          <t>PHP</t>
        </is>
      </c>
      <c r="W1051">
        <v>15000</v>
      </c>
      <c r="X1051" s="2" t="str">
        <f>=HYPERLINK("https://www.larksuite.com/approval/admin/previewAttachment?key=PMg7CgJBEATQK1X19GfKy5g4LIIaCbtu0GcXDExfTiJncKTgognsCnMrUUExyiOzrVklFAvW67Vdp--fc9h5rHng-ej9ftvWm6EyQw33MQHw8vdR7i6l4-f4BgAA__8", "2 attachment(s)")</f>
        <v>2 attachment(s)</v>
      </c>
      <c r="Y1051" t="inlineStr">
        <is>
          <t>Bank Transfer</t>
        </is>
      </c>
      <c r="Z1051" t="inlineStr">
        <is>
          <t>Nordan Burabo</t>
        </is>
      </c>
      <c r="AA1051" t="inlineStr">
        <is>
          <t>09636201512</t>
        </is>
      </c>
      <c r="AB1051" t="inlineStr">
        <is>
          <t>GCASH</t>
        </is>
      </c>
      <c r="AC1051" t="inlineStr">
        <is>
          <t>Blk 1 Lot 23 Agoncillo St. Sta Lucia Novaliches, QC</t>
        </is>
      </c>
      <c r="AD1051" s="4">
        <v>45819</v>
      </c>
      <c r="AE1051" t="inlineStr">
        <is>
          <t>100% Full Payment - July 11, 2025</t>
        </is>
      </c>
      <c r="AF1051" s="2"/>
      <c r="AG1051" t="inlineStr">
        <is>
          <t>NzQyNTk5MTgyNzQ4MTg3MDM0MTowMDFFQjA5My01NTc5LTRBQTctQUUxNS0wNTk2MDIxRDQwODgtMTo1ZmJkYTQ3YjJhZjg5ODQ4NWFhMjBhNGM1N2Q0YzZkMTox</t>
        </is>
      </c>
      <c r="AH1051"/>
      <c r="AI1051"/>
      <c r="AJ1051"/>
      <c r="AK1051"/>
    </row>
    <row r="1052" ht="25.5" customHeight="1">
      <c r="A1052" s="2" t="str">
        <f>=HYPERLINK("https://applink.larksuite.com/client/mini_program/open?appId=cli_9c7cc8a9a9edd105&amp;mode=appCenter&amp;path_pc=pc/pages/requested/index?instanceId=7524587807801688102&amp;source=bitable&amp;path=pages/detail/index?instanceId=7524587807801688102&amp;source=bitable", "202507080017")</f>
        <v>202507080017</v>
      </c>
      <c r="B1052" t="inlineStr">
        <is>
          <t>Approved</t>
        </is>
      </c>
      <c r="C1052" t="inlineStr">
        <is>
          <t>Procurement Order</t>
        </is>
      </c>
      <c r="D1052" s="3">
        <v>45846.58590277778</v>
      </c>
      <c r="E1052" s="3">
        <v>45849.65943287037</v>
      </c>
      <c r="F1052" t="inlineStr">
        <is>
          <t>Fatima Kathleen M. FLores</t>
        </is>
      </c>
      <c r="G1052" t="inlineStr">
        <is>
          <t>Procurement</t>
        </is>
      </c>
      <c r="H1052"/>
      <c r="I1052"/>
      <c r="J1052" t="inlineStr">
        <is>
          <t>GAE</t>
        </is>
      </c>
      <c r="K1052"/>
      <c r="L1052"/>
      <c r="M1052"/>
      <c r="N1052"/>
      <c r="O1052" t="inlineStr">
        <is>
          <t>202506130071-Carla Andrea Calma Crespo-费用报销 - 副本 - 副本 - 副本-2025-06-13 08:13:37</t>
        </is>
      </c>
      <c r="P1052"/>
      <c r="Q1052" t="inlineStr">
        <is>
          <t>Mineski PH</t>
        </is>
      </c>
      <c r="R1052"/>
      <c r="S1052" t="inlineStr">
        <is>
          <t>Outsourced Creative Director (Solaire)</t>
        </is>
      </c>
      <c r="T1052">
        <v>1</v>
      </c>
      <c r="U1052">
        <v>110000</v>
      </c>
      <c r="V1052" t="inlineStr">
        <is>
          <t>PHP</t>
        </is>
      </c>
      <c r="W1052">
        <v>110000</v>
      </c>
      <c r="X1052" s="2" t="str">
        <f>=HYPERLINK("https://www.larksuite.com/approval/admin/previewAttachment?key=PMgxjkIxDATQK804jsfey2zzvyJASoVAUPjsSBS0L5KInBxR8KIV2JrmM5VQgpFJWFtTKoiC9bnX_-O9QNw2jtd1D-_n5VjnnbNkBg33kQD49_Mhd68Kx9fxCQAA__8", "2 attachment(s)")</f>
        <v>2 attachment(s)</v>
      </c>
      <c r="Y1052" t="inlineStr">
        <is>
          <t>Bank Transfer</t>
        </is>
      </c>
      <c r="Z1052" t="inlineStr">
        <is>
          <t>Jasper Cajilig</t>
        </is>
      </c>
      <c r="AA1052" t="inlineStr">
        <is>
          <t>1469190872</t>
        </is>
      </c>
      <c r="AB1052" t="inlineStr">
        <is>
          <t>BPI</t>
        </is>
      </c>
      <c r="AC1052" t="inlineStr">
        <is>
          <t>Balusbos, Malay, Aklan</t>
        </is>
      </c>
      <c r="AD1052" s="4">
        <v>45811</v>
      </c>
      <c r="AE1052" t="inlineStr">
        <is>
          <t>1st Payment - July 11, 2025
2nd Payment - July 25, 2025
3rd Payment - Aug. 15, 2025
Final Payment - Aug. 22, 2025</t>
        </is>
      </c>
      <c r="AF1052" s="2"/>
      <c r="AG1052" t="inlineStr">
        <is>
          <t>NzQyNTk5MTgyNzQ4MTg3MDM0MTozNzQyNUIyNC00RDE2LTQ5MUEtQUE3NC1GNjg1QzgyM0Y3MEQtMTo5NDI5YWZmNzk3NjU3N2VhOTc5ODdhZWVkZDZhYTlmMDox</t>
        </is>
      </c>
      <c r="AH1052"/>
      <c r="AI1052"/>
      <c r="AJ1052"/>
      <c r="AK1052"/>
    </row>
    <row r="1053" ht="25.5" customHeight="1">
      <c r="A1053" s="2" t="str">
        <f>=HYPERLINK("https://applink.larksuite.com/client/mini_program/open?appId=cli_9c7cc8a9a9edd105&amp;mode=appCenter&amp;path_pc=pc/pages/requested/index?instanceId=7524597959581777958&amp;source=bitable&amp;path=pages/detail/index?instanceId=7524597959581777958&amp;source=bitable", "202507080027")</f>
        <v>202507080027</v>
      </c>
      <c r="B1053" t="inlineStr">
        <is>
          <t>Rejected</t>
        </is>
      </c>
      <c r="C1053" t="inlineStr">
        <is>
          <t>Procurement Order</t>
        </is>
      </c>
      <c r="D1053" s="3">
        <v>45846.61326388889</v>
      </c>
      <c r="E1053" s="3">
        <v>45847.6234837963</v>
      </c>
      <c r="F1053" t="inlineStr">
        <is>
          <t>Fatima Kathleen M. FLores</t>
        </is>
      </c>
      <c r="G1053" t="inlineStr">
        <is>
          <t>Procurement</t>
        </is>
      </c>
      <c r="H1053"/>
      <c r="I1053"/>
      <c r="J1053" t="inlineStr">
        <is>
          <t>Project</t>
        </is>
      </c>
      <c r="K1053" t="inlineStr">
        <is>
          <t>PDEI - Game Marketing</t>
        </is>
      </c>
      <c r="L1053" t="inlineStr">
        <is>
          <t>realme Cup</t>
        </is>
      </c>
      <c r="M1053" t="inlineStr">
        <is>
          <t>2025TEG-P0094</t>
        </is>
      </c>
      <c r="N1053" t="inlineStr">
        <is>
          <t>Diana Lou Perocho Gosamo</t>
        </is>
      </c>
      <c r="O1053" t="inlineStr">
        <is>
          <t>202505300089-Diana Lou Perocho Gosamo-费用报销 - 副本 - 副本 - 副本-2025-05-30 09:16:49</t>
        </is>
      </c>
      <c r="P1053" t="inlineStr">
        <is>
          <t>NO</t>
        </is>
      </c>
      <c r="Q1053"/>
      <c r="R1053" t="inlineStr">
        <is>
          <t>NO</t>
        </is>
      </c>
      <c r="S1053" t="inlineStr">
        <is>
          <t>POSTER (MATERIAL: C2S200 / Uv Print /  No Lamination / SIZE: 22"x28")</t>
        </is>
      </c>
      <c r="T1053">
        <v>5</v>
      </c>
      <c r="U1053">
        <v>689.92</v>
      </c>
      <c r="V1053" t="inlineStr">
        <is>
          <t>PHP</t>
        </is>
      </c>
      <c r="W1053">
        <v>3449.6</v>
      </c>
      <c r="X1053" s="2"/>
      <c r="Y1053" t="inlineStr">
        <is>
          <t>Bank Transfer</t>
        </is>
      </c>
      <c r="Z1053" t="inlineStr">
        <is>
          <t>Bescost Digital Marketing Services Inc.</t>
        </is>
      </c>
      <c r="AA1053" t="inlineStr">
        <is>
          <t>00000-5674-8951</t>
        </is>
      </c>
      <c r="AB1053" t="inlineStr">
        <is>
          <t>Security Bank</t>
        </is>
      </c>
      <c r="AC1053" t="inlineStr">
        <is>
          <t>5105-A Sulok St., Brgy. Ugong, Valenzuela City</t>
        </is>
      </c>
      <c r="AD1053" s="4">
        <v>45810</v>
      </c>
      <c r="AE1053" t="inlineStr">
        <is>
          <t>100% Full Payment - 15 days upon complete delivery</t>
        </is>
      </c>
      <c r="AF1053" s="2"/>
      <c r="AG1053" t="inlineStr">
        <is>
          <t>NzQyNTk5MTgyNzQ4MTg3MDM0MTo0Q0QxRkVCNy1GMkU3LTQ5RjUtOEJCNC0wN0MyRkYxODRBNTQtMTozZWY1NjFhNzcyZGZkZDIxOTY0MzNmYmEzODI4MGY4ZTox</t>
        </is>
      </c>
      <c r="AH1053"/>
      <c r="AI1053"/>
      <c r="AJ1053"/>
      <c r="AK1053"/>
    </row>
    <row r="1054" ht="25.5" customHeight="1">
      <c r="A1054" s="2" t="str">
        <f>=HYPERLINK("https://applink.larksuite.com/client/mini_program/open?appId=cli_9c7cc8a9a9edd105&amp;mode=appCenter&amp;path_pc=pc/pages/requested/index?instanceId=7524597959581777958&amp;source=bitable&amp;path=pages/detail/index?instanceId=7524597959581777958&amp;source=bitable", "202507080027")</f>
        <v>202507080027</v>
      </c>
      <c r="B1054" t="inlineStr">
        <is>
          <t>Rejected</t>
        </is>
      </c>
      <c r="C1054" t="inlineStr">
        <is>
          <t>Procurement Order</t>
        </is>
      </c>
      <c r="D1054" s="3">
        <v>45846.61326388889</v>
      </c>
      <c r="E1054" s="3">
        <v>45847.6234837963</v>
      </c>
      <c r="F1054" t="inlineStr">
        <is>
          <t>Fatima Kathleen M. FLores</t>
        </is>
      </c>
      <c r="G1054" t="inlineStr">
        <is>
          <t>Procurement</t>
        </is>
      </c>
      <c r="H1054"/>
      <c r="I1054"/>
      <c r="J1054" t="inlineStr">
        <is>
          <t>Project</t>
        </is>
      </c>
      <c r="K1054" t="inlineStr">
        <is>
          <t>PDEI - Game Marketing</t>
        </is>
      </c>
      <c r="L1054" t="inlineStr">
        <is>
          <t>realme Cup</t>
        </is>
      </c>
      <c r="M1054" t="inlineStr">
        <is>
          <t>2025TEG-P0094</t>
        </is>
      </c>
      <c r="N1054" t="inlineStr">
        <is>
          <t>Diana Lou Perocho Gosamo</t>
        </is>
      </c>
      <c r="O1054" t="inlineStr">
        <is>
          <t>202505300089-Diana Lou Perocho Gosamo-费用报销 - 副本 - 副本 - 副本-2025-05-30 09:16:49</t>
        </is>
      </c>
      <c r="P1054" t="inlineStr">
        <is>
          <t>NO</t>
        </is>
      </c>
      <c r="Q1054"/>
      <c r="R1054" t="inlineStr">
        <is>
          <t>NO</t>
        </is>
      </c>
      <c r="S1054" t="inlineStr">
        <is>
          <t>POSTER (MATERIAL: C2S200 / Uv Print / No Lamination / SIZE: 22"x58")</t>
        </is>
      </c>
      <c r="T1054">
        <v>2</v>
      </c>
      <c r="U1054">
        <v>1429.12</v>
      </c>
      <c r="V1054" t="inlineStr">
        <is>
          <t>PHP</t>
        </is>
      </c>
      <c r="W1054">
        <v>2858.24</v>
      </c>
      <c r="X1054" s="2"/>
      <c r="Y1054"/>
      <c r="Z1054"/>
      <c r="AA1054"/>
      <c r="AB1054"/>
      <c r="AC1054"/>
      <c r="AD1054" s="4"/>
      <c r="AE1054"/>
      <c r="AF1054" s="2"/>
      <c r="AG1054" t="inlineStr">
        <is>
          <t>NzQyNTk5MTgyNzQ4MTg3MDM0MTo0Q0QxRkVCNy1GMkU3LTQ5RjUtOEJCNC0wN0MyRkYxODRBNTQtMjozZGJiZTQ5M2MzY2M1ODRhNzNiZGUzNjgyOWZkZGZjNjox</t>
        </is>
      </c>
      <c r="AH1054"/>
      <c r="AI1054"/>
      <c r="AJ1054"/>
      <c r="AK1054"/>
    </row>
    <row r="1055" ht="25.5" customHeight="1">
      <c r="A1055" s="2" t="str">
        <f>=HYPERLINK("https://applink.larksuite.com/client/mini_program/open?appId=cli_9c7cc8a9a9edd105&amp;mode=appCenter&amp;path_pc=pc/pages/requested/index?instanceId=7524597959581777958&amp;source=bitable&amp;path=pages/detail/index?instanceId=7524597959581777958&amp;source=bitable", "202507080027")</f>
        <v>202507080027</v>
      </c>
      <c r="B1055" t="inlineStr">
        <is>
          <t>Rejected</t>
        </is>
      </c>
      <c r="C1055" t="inlineStr">
        <is>
          <t>Procurement Order</t>
        </is>
      </c>
      <c r="D1055" s="3">
        <v>45846.61326388889</v>
      </c>
      <c r="E1055" s="3">
        <v>45847.6234837963</v>
      </c>
      <c r="F1055" t="inlineStr">
        <is>
          <t>Fatima Kathleen M. FLores</t>
        </is>
      </c>
      <c r="G1055" t="inlineStr">
        <is>
          <t>Procurement</t>
        </is>
      </c>
      <c r="H1055"/>
      <c r="I1055"/>
      <c r="J1055" t="inlineStr">
        <is>
          <t>Project</t>
        </is>
      </c>
      <c r="K1055" t="inlineStr">
        <is>
          <t>PDEI - Game Marketing</t>
        </is>
      </c>
      <c r="L1055" t="inlineStr">
        <is>
          <t>realme Cup</t>
        </is>
      </c>
      <c r="M1055" t="inlineStr">
        <is>
          <t>2025TEG-P0094</t>
        </is>
      </c>
      <c r="N1055" t="inlineStr">
        <is>
          <t>Diana Lou Perocho Gosamo</t>
        </is>
      </c>
      <c r="O1055" t="inlineStr">
        <is>
          <t>202505300089-Diana Lou Perocho Gosamo-费用报销 - 副本 - 副本 - 副本-2025-05-30 09:16:49</t>
        </is>
      </c>
      <c r="P1055" t="inlineStr">
        <is>
          <t>NO</t>
        </is>
      </c>
      <c r="Q1055"/>
      <c r="R1055" t="inlineStr">
        <is>
          <t>NO</t>
        </is>
      </c>
      <c r="S1055" t="inlineStr">
        <is>
          <t>Rush Fee</t>
        </is>
      </c>
      <c r="T1055">
        <v>1</v>
      </c>
      <c r="U1055">
        <v>630.78</v>
      </c>
      <c r="V1055" t="inlineStr">
        <is>
          <t>PHP</t>
        </is>
      </c>
      <c r="W1055">
        <v>630.78</v>
      </c>
      <c r="X1055" s="2" t="str">
        <f>=HYPERLINK("https://www.larksuite.com/approval/admin/previewAttachment?key=PMgxDgIxDATAL60dO5vlMzQXnQBBhZLOb0eiuHb6MPSR1roQMhesmB4pKpXDSCpHeRkp0Aiv-Tnvvtcr33sdzyXOVftxnPNrKbqDLaINAHa7vDEipB74u_8CAAD__w", "2 attachment(s)")</f>
        <v>2 attachment(s)</v>
      </c>
      <c r="Y1055"/>
      <c r="Z1055"/>
      <c r="AA1055"/>
      <c r="AB1055"/>
      <c r="AC1055"/>
      <c r="AD1055" s="4"/>
      <c r="AE1055"/>
      <c r="AF1055" s="2"/>
      <c r="AG1055" t="inlineStr">
        <is>
          <t>NzQyNTk5MTgyNzQ4MTg3MDM0MTo0Q0QxRkVCNy1GMkU3LTQ5RjUtOEJCNC0wN0MyRkYxODRBNTQtMzo4NWUyNjYzNDc0MDBjYmMyNjdhOTVlZGU4NGI1ODM0NTox</t>
        </is>
      </c>
      <c r="AH1055"/>
      <c r="AI1055"/>
      <c r="AJ1055"/>
      <c r="AK1055"/>
    </row>
    <row r="1056" ht="25.5" customHeight="1">
      <c r="A1056" s="2" t="str">
        <f>=HYPERLINK("https://applink.larksuite.com/client/mini_program/open?appId=cli_9c7cc8a9a9edd105&amp;mode=appCenter&amp;path_pc=pc/pages/requested/index?instanceId=7524644926978523174&amp;source=bitable&amp;path=pages/detail/index?instanceId=7524644926978523174&amp;source=bitable", "202507080054")</f>
        <v>202507080054</v>
      </c>
      <c r="B1056" t="inlineStr">
        <is>
          <t>Approved</t>
        </is>
      </c>
      <c r="C1056" t="inlineStr">
        <is>
          <t>Procurement Order</t>
        </is>
      </c>
      <c r="D1056" s="3">
        <v>45846.73982638889</v>
      </c>
      <c r="E1056" s="3">
        <v>45847.48074074074</v>
      </c>
      <c r="F1056" t="inlineStr">
        <is>
          <t>Fatima Kathleen M. FLores</t>
        </is>
      </c>
      <c r="G1056" t="inlineStr">
        <is>
          <t>Procurement</t>
        </is>
      </c>
      <c r="H1056"/>
      <c r="I1056"/>
      <c r="J1056" t="inlineStr">
        <is>
          <t>Project</t>
        </is>
      </c>
      <c r="K1056" t="inlineStr">
        <is>
          <t>PDEI - Event Service</t>
        </is>
      </c>
      <c r="L1056" t="inlineStr">
        <is>
          <t>MDL PH S6 Qualifiers &amp; Regular Season</t>
        </is>
      </c>
      <c r="M1056" t="inlineStr">
        <is>
          <t>2025TEG-P0200</t>
        </is>
      </c>
      <c r="N1056" t="inlineStr">
        <is>
          <t>Kervin</t>
        </is>
      </c>
      <c r="O1056" t="inlineStr">
        <is>
          <t>202507020087-Kervin-费用报销 - 副本 - 副本 - 副本-2025-07-02 10:13:18</t>
        </is>
      </c>
      <c r="P1056" t="inlineStr">
        <is>
          <t>YES</t>
        </is>
      </c>
      <c r="Q1056"/>
      <c r="R1056" t="inlineStr">
        <is>
          <t>NO</t>
        </is>
      </c>
      <c r="S1056" t="inlineStr">
        <is>
          <t>Outsourced Social Media Graphic Artist</t>
        </is>
      </c>
      <c r="T1056">
        <v>1</v>
      </c>
      <c r="U1056">
        <v>100000</v>
      </c>
      <c r="V1056" t="inlineStr">
        <is>
          <t>PHP</t>
        </is>
      </c>
      <c r="W1056">
        <v>100000</v>
      </c>
      <c r="X1056" s="2" t="str">
        <f>=HYPERLINK("https://www.larksuite.com/approval/admin/previewAttachment?key=PMg7DsIwEATQK82sxzteLkNDZJGCCoVP4bMjUaR9OYgcnS0LKkaByz2UUkWWR49Ga8WiXTCNWNtjXo_vBBn-vPdjD63X_Ta3J3s5Am5SGwB4Ob1ZUlUKf8cvAAD__w", "2 attachment(s)")</f>
        <v>2 attachment(s)</v>
      </c>
      <c r="Y1056" t="inlineStr">
        <is>
          <t>Bank Transfer</t>
        </is>
      </c>
      <c r="Z1056" t="inlineStr">
        <is>
          <t>Hannah Franchesca Dose Timoteo</t>
        </is>
      </c>
      <c r="AA1056" t="inlineStr">
        <is>
          <t>1096 7421 5163</t>
        </is>
      </c>
      <c r="AB1056" t="inlineStr">
        <is>
          <t>Unionbank</t>
        </is>
      </c>
      <c r="AC1056" t="inlineStr">
        <is>
          <t>Zone 1, Block 5, Lot 21, Central Bicutan, Taguig City</t>
        </is>
      </c>
      <c r="AD1056" s="4">
        <v>45839</v>
      </c>
      <c r="AE1056" t="inlineStr">
        <is>
          <t>1st Payment - Aug. 8, 2025
2nd Payment - Aug. 29, 2025
3rd Payment - Sept. 19, 2025
4th Payment - Oct. 10, 2025
5th Payment - Oct. 31, 2025
Final Payment - Nov. 7, 2025</t>
        </is>
      </c>
      <c r="AF1056" s="2"/>
      <c r="AG1056" t="inlineStr">
        <is>
          <t>NzQyNTk5MTgyNzQ4MTg3MDM0MTo2REE5QkFFRi1FMEMxLTQwRUYtOTkzQi04MjY2QkQ0QkQ0NzktMTpjNTMwYzBlMzY0MGRlYjM0NDQyZTg4YTc2MGViOWMzMzox</t>
        </is>
      </c>
      <c r="AH1056"/>
      <c r="AI1056"/>
      <c r="AJ1056"/>
      <c r="AK1056"/>
    </row>
    <row r="1057" ht="25.5" customHeight="1">
      <c r="A1057" s="2" t="str">
        <f>=HYPERLINK("https://applink.larksuite.com/client/mini_program/open?appId=cli_9c7cc8a9a9edd105&amp;mode=appCenter&amp;path_pc=pc/pages/requested/index?instanceId=7524643579772420135&amp;source=bitable&amp;path=pages/detail/index?instanceId=7524643579772420135&amp;source=bitable", "202507080053")</f>
        <v>202507080053</v>
      </c>
      <c r="B1057" t="inlineStr">
        <is>
          <t>Approved</t>
        </is>
      </c>
      <c r="C1057" t="inlineStr">
        <is>
          <t>Procurement Order</t>
        </is>
      </c>
      <c r="D1057" s="3">
        <v>45846.7362037037</v>
      </c>
      <c r="E1057" s="3">
        <v>45847.480046296296</v>
      </c>
      <c r="F1057" t="inlineStr">
        <is>
          <t>Fatima Kathleen M. FLores</t>
        </is>
      </c>
      <c r="G1057" t="inlineStr">
        <is>
          <t>Procurement</t>
        </is>
      </c>
      <c r="H1057"/>
      <c r="I1057"/>
      <c r="J1057" t="inlineStr">
        <is>
          <t>Project</t>
        </is>
      </c>
      <c r="K1057" t="inlineStr">
        <is>
          <t>PDEI - Event Service</t>
        </is>
      </c>
      <c r="L1057" t="inlineStr">
        <is>
          <t>MDL PH S6 Qualifiers &amp; Regular Season</t>
        </is>
      </c>
      <c r="M1057" t="inlineStr">
        <is>
          <t>2025TEG-P0200</t>
        </is>
      </c>
      <c r="N1057" t="inlineStr">
        <is>
          <t>Kervin</t>
        </is>
      </c>
      <c r="O1057" t="inlineStr">
        <is>
          <t>202507020087-Kervin-费用报销 - 副本 - 副本 - 副本-2025-07-02 10:13:18</t>
        </is>
      </c>
      <c r="P1057" t="inlineStr">
        <is>
          <t>YES</t>
        </is>
      </c>
      <c r="Q1057"/>
      <c r="R1057" t="inlineStr">
        <is>
          <t>NO</t>
        </is>
      </c>
      <c r="S1057" t="inlineStr">
        <is>
          <t>Outsourced Social Media Graphic Artist</t>
        </is>
      </c>
      <c r="T1057">
        <v>1</v>
      </c>
      <c r="U1057">
        <v>100000</v>
      </c>
      <c r="V1057" t="inlineStr">
        <is>
          <t>PHP</t>
        </is>
      </c>
      <c r="W1057">
        <v>100000</v>
      </c>
      <c r="X1057" s="2" t="str">
        <f>=HYPERLINK("https://www.larksuite.com/approval/admin/previewAttachment?key=PMgxDgIxDATAL63tdfbMZ2guimigQReJwm9HoqCdcRjGkRajwDIvWCudg5EqyemwyPY2qSATvOdz3TPPi5-N17zWxO79ONd8W5bcoSDjAGC3v4dIVg3i5_gGAAD__w", "2 attachment(s)")</f>
        <v>2 attachment(s)</v>
      </c>
      <c r="Y1057" t="inlineStr">
        <is>
          <t>Bank Transfer</t>
        </is>
      </c>
      <c r="Z1057" t="inlineStr">
        <is>
          <t>ADRIAN NAVARRO</t>
        </is>
      </c>
      <c r="AA1057" t="inlineStr">
        <is>
          <t>2086 0800 5832 45</t>
        </is>
      </c>
      <c r="AB1057" t="inlineStr">
        <is>
          <t>CIMB Philippines, Inc.</t>
        </is>
      </c>
      <c r="AC1057" t="inlineStr">
        <is>
          <t>Unit 1116, University Tower II, Galicia Street, Barangay 459, Sampaloc, Manila</t>
        </is>
      </c>
      <c r="AD1057" s="4">
        <v>45839</v>
      </c>
      <c r="AE1057" t="inlineStr">
        <is>
          <t>1st Payment - Aug. 8, 2025
2nd Payment - Aug. 29, 2025
3rd Payment - Sept. 19, 2025
4th Payment - Oct. 10, 2025
5th Payment - Oct. 31, 2025
Final Payment - Nov. 7, 2025</t>
        </is>
      </c>
      <c r="AF1057" s="2"/>
      <c r="AG1057" t="inlineStr">
        <is>
          <t>NzQyNTk5MTgyNzQ4MTg3MDM0MTpDQUQ3QTQ0NS1BQjdGLTQ4N0MtQUNDNi00NjREQjY2REQ2NDUtMTozYzRmODY5MGE4MDVhYzQ4M2RmZjE1MDUxNjI2ZjZhZTox</t>
        </is>
      </c>
      <c r="AH1057"/>
      <c r="AI1057"/>
      <c r="AJ1057"/>
      <c r="AK1057"/>
    </row>
    <row r="1058" ht="25.5" customHeight="1">
      <c r="A1058" s="2" t="str">
        <f>=HYPERLINK("https://applink.larksuite.com/client/mini_program/open?appId=cli_9c7cc8a9a9edd105&amp;mode=appCenter&amp;path_pc=pc/pages/requested/index?instanceId=7524641952546045990&amp;source=bitable&amp;path=pages/detail/index?instanceId=7524641952546045990&amp;source=bitable", "202507080051")</f>
        <v>202507080051</v>
      </c>
      <c r="B1058" t="inlineStr">
        <is>
          <t>Approved</t>
        </is>
      </c>
      <c r="C1058" t="inlineStr">
        <is>
          <t>Procurement Order</t>
        </is>
      </c>
      <c r="D1058" s="3">
        <v>45846.73181712963</v>
      </c>
      <c r="E1058" s="3">
        <v>45847.47951388889</v>
      </c>
      <c r="F1058" t="inlineStr">
        <is>
          <t>Fatima Kathleen M. FLores</t>
        </is>
      </c>
      <c r="G1058" t="inlineStr">
        <is>
          <t>Procurement</t>
        </is>
      </c>
      <c r="H1058"/>
      <c r="I1058"/>
      <c r="J1058" t="inlineStr">
        <is>
          <t>Project</t>
        </is>
      </c>
      <c r="K1058" t="inlineStr">
        <is>
          <t>PDEI - Event Service</t>
        </is>
      </c>
      <c r="L1058" t="inlineStr">
        <is>
          <t>MDL PH S6 Qualifiers &amp; Regular Season</t>
        </is>
      </c>
      <c r="M1058" t="inlineStr">
        <is>
          <t>2025TEG-P0200</t>
        </is>
      </c>
      <c r="N1058" t="inlineStr">
        <is>
          <t>Kervin</t>
        </is>
      </c>
      <c r="O1058" t="inlineStr">
        <is>
          <t>202507020087-Kervin-费用报销 - 副本 - 副本 - 副本-2025-07-02 10:13:18</t>
        </is>
      </c>
      <c r="P1058" t="inlineStr">
        <is>
          <t>YES</t>
        </is>
      </c>
      <c r="Q1058"/>
      <c r="R1058" t="inlineStr">
        <is>
          <t>NO</t>
        </is>
      </c>
      <c r="S1058" t="inlineStr">
        <is>
          <t>Outsourced Social Media Manager</t>
        </is>
      </c>
      <c r="T1058">
        <v>1</v>
      </c>
      <c r="U1058">
        <v>90000</v>
      </c>
      <c r="V1058" t="inlineStr">
        <is>
          <t>PHP</t>
        </is>
      </c>
      <c r="W1058">
        <v>90000</v>
      </c>
      <c r="X1058" s="2" t="str">
        <f>=HYPERLINK("https://www.larksuite.com/approval/admin/previewAttachment?key=PMgxCkJBDATQK02yk2THy9i4fFQUPgjb5eyChe3LacgZNlKgzAXrCmfSFB5MMCS0t1UJZQXv9T6ur1jzfEyPjefys_f9dqyPhcodNcgxAdjl76NISkn8HN8AAAD__w", "2 attachment(s)")</f>
        <v>2 attachment(s)</v>
      </c>
      <c r="Y1058" t="inlineStr">
        <is>
          <t>Bank Transfer</t>
        </is>
      </c>
      <c r="Z1058" t="inlineStr">
        <is>
          <t>Ann E De Guzman</t>
        </is>
      </c>
      <c r="AA1058" t="inlineStr">
        <is>
          <t>1004 1005 6874</t>
        </is>
      </c>
      <c r="AB1058" t="inlineStr">
        <is>
          <t>PNB</t>
        </is>
      </c>
      <c r="AC1058" t="inlineStr">
        <is>
          <t>#1A, Governor Andres Gabriel Street, Gabriel Subdivision 2, Hulong Duhat, Malabon City</t>
        </is>
      </c>
      <c r="AD1058" s="4">
        <v>45839</v>
      </c>
      <c r="AE1058" t="inlineStr">
        <is>
          <t>1st Payment - Aug. 8, 2025
2nd Payment - Aug. 29, 2025
3rd Payment - Sept. 19, 2025
4th Payment - Oct. 10, 2025
5th Payment - Oct. 31, 2025
Final Payment - Nov. 7, 2025</t>
        </is>
      </c>
      <c r="AF1058" s="2"/>
      <c r="AG1058" t="inlineStr">
        <is>
          <t>NzQyNTk5MTgyNzQ4MTg3MDM0MTpDRTlFN0U4QS1GMkI3LTQxOEItQjM2NC1BMUFBOEZEM0IyODItMToyNzcwNDk0MTViM2Q4MmFhOWQ1YWRhODNlZDJjYjdiNzox</t>
        </is>
      </c>
      <c r="AH1058"/>
      <c r="AI1058"/>
      <c r="AJ1058"/>
      <c r="AK1058"/>
    </row>
    <row r="1059" ht="25.5" customHeight="1">
      <c r="A1059" s="2" t="str">
        <f>=HYPERLINK("https://applink.larksuite.com/client/mini_program/open?appId=cli_9c7cc8a9a9edd105&amp;mode=appCenter&amp;path_pc=pc/pages/requested/index?instanceId=7524640155634810918&amp;source=bitable&amp;path=pages/detail/index?instanceId=7524640155634810918&amp;source=bitable", "202507080050")</f>
        <v>202507080050</v>
      </c>
      <c r="B1059" t="inlineStr">
        <is>
          <t>Approved</t>
        </is>
      </c>
      <c r="C1059" t="inlineStr">
        <is>
          <t>Procurement Order</t>
        </is>
      </c>
      <c r="D1059" s="3">
        <v>45846.72696759259</v>
      </c>
      <c r="E1059" s="3">
        <v>45847.47844907407</v>
      </c>
      <c r="F1059" t="inlineStr">
        <is>
          <t>Fatima Kathleen M. FLores</t>
        </is>
      </c>
      <c r="G1059" t="inlineStr">
        <is>
          <t>Procurement</t>
        </is>
      </c>
      <c r="H1059"/>
      <c r="I1059"/>
      <c r="J1059" t="inlineStr">
        <is>
          <t>Project</t>
        </is>
      </c>
      <c r="K1059" t="inlineStr">
        <is>
          <t>PDEI - Event Service</t>
        </is>
      </c>
      <c r="L1059" t="inlineStr">
        <is>
          <t>MDL PH S6 Qualifiers &amp; Regular Season</t>
        </is>
      </c>
      <c r="M1059" t="inlineStr">
        <is>
          <t>2025TEG-P0200</t>
        </is>
      </c>
      <c r="N1059" t="inlineStr">
        <is>
          <t>Kervin</t>
        </is>
      </c>
      <c r="O1059" t="inlineStr">
        <is>
          <t>202507020087-Kervin-费用报销 - 副本 - 副本 - 副本-2025-07-02 10:13:18</t>
        </is>
      </c>
      <c r="P1059" t="inlineStr">
        <is>
          <t>YES</t>
        </is>
      </c>
      <c r="Q1059"/>
      <c r="R1059" t="inlineStr">
        <is>
          <t>NO</t>
        </is>
      </c>
      <c r="S1059" t="inlineStr">
        <is>
          <t>Outsourced Video Editor</t>
        </is>
      </c>
      <c r="T1059">
        <v>1</v>
      </c>
      <c r="U1059">
        <v>80000</v>
      </c>
      <c r="V1059" t="inlineStr">
        <is>
          <t>PHP</t>
        </is>
      </c>
      <c r="W1059">
        <v>80000</v>
      </c>
      <c r="X1059" s="2" t="str">
        <f>=HYPERLINK("https://www.larksuite.com/approval/admin/previewAttachment?key=PMgxikMxDATQK83IsuTZy2zzjQmEuAl8cKGzB1KkfTGIGJ0tBBdNYGU3Dwd7j-aDEEdZMVNIJqzma_2fez13al-cOvvU_bjWfLMrzZDNvQ0A_Pt5S3eXwvF1fAIAAP__", "2 attachment(s)")</f>
        <v>2 attachment(s)</v>
      </c>
      <c r="Y1059" t="inlineStr">
        <is>
          <t>Bank Transfer</t>
        </is>
      </c>
      <c r="Z1059" t="inlineStr">
        <is>
          <t>John Michael A. Marquez</t>
        </is>
      </c>
      <c r="AA1059" t="inlineStr">
        <is>
          <t>0469-3373-32</t>
        </is>
      </c>
      <c r="AB1059" t="inlineStr">
        <is>
          <t>BPI</t>
        </is>
      </c>
      <c r="AC1059" t="inlineStr">
        <is>
          <t>6683 Taylo St., Brgy. Pio del Pilar, Makati City</t>
        </is>
      </c>
      <c r="AD1059" s="4">
        <v>45839</v>
      </c>
      <c r="AE1059" t="inlineStr">
        <is>
          <t>1st Payment - Aug. 8, 2025
2nd Payment - Aug. 29, 2025
3rd Payment - Sept. 19, 2025
4th Payment - Oct. 10, 2025
5th Payment - Oct. 31, 2025
Final Payment - Nov. 7, 2025</t>
        </is>
      </c>
      <c r="AF1059" s="2"/>
      <c r="AG1059" t="inlineStr">
        <is>
          <t>NzQyNTk5MTgyNzQ4MTg3MDM0MTo5QUIwNEJCMC0zRTYxLTREMDItQkUxRi03RkFCNTYxRjMzMDktMTo0NGJjMmE2OGJkN2ZlNzVjMmU3MGE1OTI4OGJjYjMzZDox</t>
        </is>
      </c>
      <c r="AH1059"/>
      <c r="AI1059"/>
      <c r="AJ1059"/>
      <c r="AK1059"/>
    </row>
    <row r="1060" ht="25.5" customHeight="1">
      <c r="A1060" s="2" t="str">
        <f>=HYPERLINK("https://applink.larksuite.com/client/mini_program/open?appId=cli_9c7cc8a9a9edd105&amp;mode=appCenter&amp;path_pc=pc/pages/requested/index?instanceId=7524612938494230567&amp;source=bitable&amp;path=pages/detail/index?instanceId=7524612938494230567&amp;source=bitable", "202507080043")</f>
        <v>202507080043</v>
      </c>
      <c r="B1060" t="inlineStr">
        <is>
          <t>Approved</t>
        </is>
      </c>
      <c r="C1060" t="inlineStr">
        <is>
          <t>Procurement Order</t>
        </is>
      </c>
      <c r="D1060" s="3">
        <v>45846.65362268518</v>
      </c>
      <c r="E1060" s="3">
        <v>45847.42054398148</v>
      </c>
      <c r="F1060" t="inlineStr">
        <is>
          <t>Fatima Kathleen M. FLores</t>
        </is>
      </c>
      <c r="G1060" t="inlineStr">
        <is>
          <t>Procurement</t>
        </is>
      </c>
      <c r="H1060"/>
      <c r="I1060"/>
      <c r="J1060" t="inlineStr">
        <is>
          <t>Project</t>
        </is>
      </c>
      <c r="K1060" t="inlineStr">
        <is>
          <t>PDEI - Event Service</t>
        </is>
      </c>
      <c r="L1060" t="inlineStr">
        <is>
          <t>XCC Grand Finals - Player Comms Rental</t>
        </is>
      </c>
      <c r="M1060" t="inlineStr">
        <is>
          <t>2025TEG-P0180</t>
        </is>
      </c>
      <c r="N1060" t="inlineStr">
        <is>
          <t>Kervin</t>
        </is>
      </c>
      <c r="O1060" t="inlineStr">
        <is>
          <t>202507010074-Kervin-费用报销 - 副本 - 副本 - 副本-2025-07-01 09:58:11</t>
        </is>
      </c>
      <c r="P1060" t="inlineStr">
        <is>
          <t>YES</t>
        </is>
      </c>
      <c r="Q1060"/>
      <c r="R1060" t="inlineStr">
        <is>
          <t>NO</t>
        </is>
      </c>
      <c r="S1060" t="inlineStr">
        <is>
          <t>Outsourced Set-up Manpower</t>
        </is>
      </c>
      <c r="T1060">
        <v>1</v>
      </c>
      <c r="U1060">
        <v>2250</v>
      </c>
      <c r="V1060" t="inlineStr">
        <is>
          <t>PHP</t>
        </is>
      </c>
      <c r="W1060">
        <v>2250</v>
      </c>
      <c r="X1060" s="2" t="str">
        <f>=HYPERLINK("https://www.larksuite.com/approval/admin/previewAttachment?key=PMgxCgJBDAXQK_2fZJL5XsbGZZAVRRC3y9kFi21fTiLnoKcQognsGhZJk89QmGNktTWrhGLBe3uuqx3ffawdL049-O7jflvbh0NlhvIInwB4Od0rIqQM_B2_AAAA__8", "2 attachment(s)")</f>
        <v>2 attachment(s)</v>
      </c>
      <c r="Y1060" t="inlineStr">
        <is>
          <t>Bank Transfer</t>
        </is>
      </c>
      <c r="Z1060" t="inlineStr">
        <is>
          <t>Mico Tabernilla</t>
        </is>
      </c>
      <c r="AA1060" t="inlineStr">
        <is>
          <t>3039002977</t>
        </is>
      </c>
      <c r="AB1060" t="inlineStr">
        <is>
          <t>BPI</t>
        </is>
      </c>
      <c r="AC1060" t="inlineStr">
        <is>
          <t>4004 Yague St. Brgy Tejeros, Makati City</t>
        </is>
      </c>
      <c r="AD1060" s="4">
        <v>45843</v>
      </c>
      <c r="AE1060" t="inlineStr">
        <is>
          <t>100% Full Payment - July 18, 2025</t>
        </is>
      </c>
      <c r="AF1060" s="2"/>
      <c r="AG1060" t="inlineStr">
        <is>
          <t>NzQyNTk5MTgyNzQ4MTg3MDM0MTpDMkIyRDAwRS0wMkNELTQ5RDktOTMwRi1EMENCREZDREQ3OTAtMTplNjk1ODJiYWI4YTg1ZDE0MzQxMjFjOTNlMDUwNjQzNzox</t>
        </is>
      </c>
      <c r="AH1060"/>
      <c r="AI1060"/>
      <c r="AJ1060"/>
      <c r="AK1060"/>
    </row>
    <row r="1061" ht="25.5" customHeight="1">
      <c r="A1061" s="2" t="str">
        <f>=HYPERLINK("https://applink.larksuite.com/client/mini_program/open?appId=cli_9c7cc8a9a9edd105&amp;mode=appCenter&amp;path_pc=pc/pages/requested/index?instanceId=7524612174484963366&amp;source=bitable&amp;path=pages/detail/index?instanceId=7524612174484963366&amp;source=bitable", "202507080042")</f>
        <v>202507080042</v>
      </c>
      <c r="B1061" t="inlineStr">
        <is>
          <t>Approved</t>
        </is>
      </c>
      <c r="C1061" t="inlineStr">
        <is>
          <t>Procurement Order</t>
        </is>
      </c>
      <c r="D1061" s="3">
        <v>45846.65157407407</v>
      </c>
      <c r="E1061" s="3">
        <v>45847.42395833333</v>
      </c>
      <c r="F1061" t="inlineStr">
        <is>
          <t>Fatima Kathleen M. FLores</t>
        </is>
      </c>
      <c r="G1061" t="inlineStr">
        <is>
          <t>Procurement</t>
        </is>
      </c>
      <c r="H1061"/>
      <c r="I1061"/>
      <c r="J1061" t="inlineStr">
        <is>
          <t>Project</t>
        </is>
      </c>
      <c r="K1061" t="inlineStr">
        <is>
          <t>PDEI - Event Service</t>
        </is>
      </c>
      <c r="L1061" t="inlineStr">
        <is>
          <t>XCC Grand Finals - Player Comms Rental</t>
        </is>
      </c>
      <c r="M1061" t="inlineStr">
        <is>
          <t>2025TEG-P0180</t>
        </is>
      </c>
      <c r="N1061" t="inlineStr">
        <is>
          <t>Kervin</t>
        </is>
      </c>
      <c r="O1061" t="inlineStr">
        <is>
          <t>202507010074-Kervin-费用报销 - 副本 - 副本 - 副本-2025-07-01 09:58:11</t>
        </is>
      </c>
      <c r="P1061" t="inlineStr">
        <is>
          <t>YES</t>
        </is>
      </c>
      <c r="Q1061"/>
      <c r="R1061" t="inlineStr">
        <is>
          <t>NO</t>
        </is>
      </c>
      <c r="S1061" t="inlineStr">
        <is>
          <t>Outsourced Set-up Manpower</t>
        </is>
      </c>
      <c r="T1061">
        <v>1</v>
      </c>
      <c r="U1061">
        <v>2250</v>
      </c>
      <c r="V1061" t="inlineStr">
        <is>
          <t>PHP</t>
        </is>
      </c>
      <c r="W1061">
        <v>2250</v>
      </c>
      <c r="X1061" s="2" t="str">
        <f>=HYPERLINK("https://www.larksuite.com/approval/admin/previewAttachment?key=PMg7DgIxDATQK83Ys3bMZWhiRRRshfg0OTsSBe2LQcQ46FFQ0QrceZiCxpSGKtwjtm1mFpIJ332ua_s478_u9Zlv9Nyv21z94FFphnTJBwBe_u4pqSqEn-MbAAD__w", "2 attachment(s)")</f>
        <v>2 attachment(s)</v>
      </c>
      <c r="Y1061" t="inlineStr">
        <is>
          <t>Bank Transfer</t>
        </is>
      </c>
      <c r="Z1061" t="inlineStr">
        <is>
          <t>JOHN JOSEPH SANCHEZ</t>
        </is>
      </c>
      <c r="AA1061" t="inlineStr">
        <is>
          <t>2487023763</t>
        </is>
      </c>
      <c r="AB1061" t="inlineStr">
        <is>
          <t>Landbank</t>
        </is>
      </c>
      <c r="AC1061" t="inlineStr">
        <is>
          <t>Certeza St. Beata Pandacan, Manila</t>
        </is>
      </c>
      <c r="AD1061" s="4">
        <v>45843</v>
      </c>
      <c r="AE1061" t="inlineStr">
        <is>
          <t>100% Full Payment - July 18, 2025</t>
        </is>
      </c>
      <c r="AF1061" s="2"/>
      <c r="AG1061" t="inlineStr">
        <is>
          <t>NzQyNTk5MTgyNzQ4MTg3MDM0MToyNkVDQjBGNS0xODkxLTQ0NDgtOEQzQi03MjRDQjc0NjU4RkUtMTo4YjNhNTA4M2FmZTE1YmZjY2E1NzM3MTY3NDk1YjY3OTox</t>
        </is>
      </c>
      <c r="AH1061"/>
      <c r="AI1061"/>
      <c r="AJ1061"/>
      <c r="AK1061"/>
    </row>
    <row r="1062" ht="25.5" customHeight="1">
      <c r="A1062" s="2" t="str">
        <f>=HYPERLINK("https://applink.larksuite.com/client/mini_program/open?appId=cli_9c7cc8a9a9edd105&amp;mode=appCenter&amp;path_pc=pc/pages/requested/index?instanceId=7524611119596617767&amp;source=bitable&amp;path=pages/detail/index?instanceId=7524611119596617767&amp;source=bitable", "202507080041")</f>
        <v>202507080041</v>
      </c>
      <c r="B1062" t="inlineStr">
        <is>
          <t>Approved</t>
        </is>
      </c>
      <c r="C1062" t="inlineStr">
        <is>
          <t>Procurement Order</t>
        </is>
      </c>
      <c r="D1062" s="3">
        <v>45846.648726851854</v>
      </c>
      <c r="E1062" s="3">
        <v>45847.42445601852</v>
      </c>
      <c r="F1062" t="inlineStr">
        <is>
          <t>Fatima Kathleen M. FLores</t>
        </is>
      </c>
      <c r="G1062" t="inlineStr">
        <is>
          <t>Procurement</t>
        </is>
      </c>
      <c r="H1062"/>
      <c r="I1062"/>
      <c r="J1062" t="inlineStr">
        <is>
          <t>Project</t>
        </is>
      </c>
      <c r="K1062" t="inlineStr">
        <is>
          <t>PDEI - Event Service</t>
        </is>
      </c>
      <c r="L1062" t="inlineStr">
        <is>
          <t>XCC Grand Finals - Player Comms Rental</t>
        </is>
      </c>
      <c r="M1062" t="inlineStr">
        <is>
          <t>2025TEG-P0180</t>
        </is>
      </c>
      <c r="N1062" t="inlineStr">
        <is>
          <t>Kervin</t>
        </is>
      </c>
      <c r="O1062" t="inlineStr">
        <is>
          <t>202507010074-Kervin-费用报销 - 副本 - 副本 - 副本-2025-07-01 09:58:11</t>
        </is>
      </c>
      <c r="P1062" t="inlineStr">
        <is>
          <t>YES</t>
        </is>
      </c>
      <c r="Q1062"/>
      <c r="R1062" t="inlineStr">
        <is>
          <t>NO</t>
        </is>
      </c>
      <c r="S1062" t="inlineStr">
        <is>
          <t>Outsourced Player Comms Engineer</t>
        </is>
      </c>
      <c r="T1062">
        <v>1</v>
      </c>
      <c r="U1062">
        <v>2700</v>
      </c>
      <c r="V1062" t="inlineStr">
        <is>
          <t>PHP</t>
        </is>
      </c>
      <c r="W1062">
        <v>2700</v>
      </c>
      <c r="X1062" s="2" t="str">
        <f>=HYPERLINK("https://www.larksuite.com/approval/admin/previewAttachment?key=PMgxrsIwEATQK8141zuZf5nfJIqQwGmQjCh8diQK2lcbUVtnlJFmM7jUWxZJuruKUmm1RckQhVjHOP9jXPv7Pvx6-JrzWPO2n8eT3WoNiszYAPDv56HMtCvxdXwCAAD__w", "2 attachment(s)")</f>
        <v>2 attachment(s)</v>
      </c>
      <c r="Y1062" t="inlineStr">
        <is>
          <t>Bank Transfer</t>
        </is>
      </c>
      <c r="Z1062" t="inlineStr">
        <is>
          <t>Wilbert Rysher Dela Cruz Manabat</t>
        </is>
      </c>
      <c r="AA1062" t="inlineStr">
        <is>
          <t>1093-2482-8669</t>
        </is>
      </c>
      <c r="AB1062" t="inlineStr">
        <is>
          <t>UnionBank</t>
        </is>
      </c>
      <c r="AC1062" t="inlineStr">
        <is>
          <t>1277-B Kagitingan St. Morga EXT. Tondo, Manila</t>
        </is>
      </c>
      <c r="AD1062" s="4">
        <v>45843</v>
      </c>
      <c r="AE1062" t="inlineStr">
        <is>
          <t>100% Full Payment - July 18, 2025</t>
        </is>
      </c>
      <c r="AF1062" s="2"/>
      <c r="AG1062" t="inlineStr">
        <is>
          <t>NzQyNTk5MTgyNzQ4MTg3MDM0MTo3MDFGRDI5MS1DMjlGLTQ3N0ItOTlGNC1GOUQyNUM5RDRDRUYtMTpkZTQxMDJiMzdmYzRkZjA5NTA1OWQyNGJiMGI5OTBlNDox</t>
        </is>
      </c>
      <c r="AH1062"/>
      <c r="AI1062"/>
      <c r="AJ1062"/>
      <c r="AK1062"/>
    </row>
    <row r="1063" ht="25.5" customHeight="1">
      <c r="A1063" s="2" t="str">
        <f>=HYPERLINK("https://applink.larksuite.com/client/mini_program/open?appId=cli_9c7cc8a9a9edd105&amp;mode=appCenter&amp;path_pc=pc/pages/requested/index?instanceId=7524609129407676447&amp;source=bitable&amp;path=pages/detail/index?instanceId=7524609129407676447&amp;source=bitable", "202507080038")</f>
        <v>202507080038</v>
      </c>
      <c r="B1063" t="inlineStr">
        <is>
          <t>Approved</t>
        </is>
      </c>
      <c r="C1063" t="inlineStr">
        <is>
          <t>Procurement Order</t>
        </is>
      </c>
      <c r="D1063" s="3">
        <v>45846.64336805556</v>
      </c>
      <c r="E1063" s="3">
        <v>45847.42501157407</v>
      </c>
      <c r="F1063" t="inlineStr">
        <is>
          <t>Fatima Kathleen M. FLores</t>
        </is>
      </c>
      <c r="G1063" t="inlineStr">
        <is>
          <t>Procurement</t>
        </is>
      </c>
      <c r="H1063"/>
      <c r="I1063"/>
      <c r="J1063" t="inlineStr">
        <is>
          <t>Project</t>
        </is>
      </c>
      <c r="K1063" t="inlineStr">
        <is>
          <t>PDEI - Event Service</t>
        </is>
      </c>
      <c r="L1063" t="inlineStr">
        <is>
          <t>XCC Grand Finals - Player Comms Rental</t>
        </is>
      </c>
      <c r="M1063" t="inlineStr">
        <is>
          <t>2025TEG-P0180</t>
        </is>
      </c>
      <c r="N1063" t="inlineStr">
        <is>
          <t>Kervin</t>
        </is>
      </c>
      <c r="O1063" t="inlineStr">
        <is>
          <t>202507010074-Kervin-费用报销 - 副本 - 副本 - 副本-2025-07-01 09:58:11</t>
        </is>
      </c>
      <c r="P1063" t="inlineStr">
        <is>
          <t>YES</t>
        </is>
      </c>
      <c r="Q1063"/>
      <c r="R1063" t="inlineStr">
        <is>
          <t>NO</t>
        </is>
      </c>
      <c r="S1063" t="inlineStr">
        <is>
          <t>Outsourced Technical PIC</t>
        </is>
      </c>
      <c r="T1063">
        <v>1</v>
      </c>
      <c r="U1063">
        <v>3750</v>
      </c>
      <c r="V1063" t="inlineStr">
        <is>
          <t>PHP</t>
        </is>
      </c>
      <c r="W1063">
        <v>3750</v>
      </c>
      <c r="X1063" s="2" t="str">
        <f>=HYPERLINK("https://www.larksuite.com/approval/admin/previewAttachment?key=PMgxCkJBDATQK002k8zGy9i4fCwUFoQPFjm7aGH5Xk5DzjDPAstGwVoxmPiCUCpJ9WiTCjLBez2P6yPW3LHc3scZe_d5vx3rZVEaA3LSJwC7_N9FsiqJ3-MTAAD__w", "2 attachment(s)")</f>
        <v>2 attachment(s)</v>
      </c>
      <c r="Y1063" t="inlineStr">
        <is>
          <t>Bank Transfer</t>
        </is>
      </c>
      <c r="Z1063" t="inlineStr">
        <is>
          <t>Rinzcent Gueco</t>
        </is>
      </c>
      <c r="AA1063" t="inlineStr">
        <is>
          <t>160610012764</t>
        </is>
      </c>
      <c r="AB1063" t="inlineStr">
        <is>
          <t>PNB</t>
        </is>
      </c>
      <c r="AC1063" t="inlineStr">
        <is>
          <t>1347-G Lardizabal St. Sampaloc Manila</t>
        </is>
      </c>
      <c r="AD1063" s="4">
        <v>45843</v>
      </c>
      <c r="AE1063" t="inlineStr">
        <is>
          <t>100% Full Payment - July 18, 2025</t>
        </is>
      </c>
      <c r="AF1063" s="2"/>
      <c r="AG1063" t="inlineStr">
        <is>
          <t>NzQyNTk5MTgyNzQ4MTg3MDM0MToxOERGQTA3Ri02QkI4LTQwNDUtOTk5OS1CNjk1RjVFMkM0NTctMTo0MDMzOWRlZjQ2N2RhY2MwZTVlMWEzMDRiZGEzMmE2NDox</t>
        </is>
      </c>
      <c r="AH1063"/>
      <c r="AI1063"/>
      <c r="AJ1063"/>
      <c r="AK1063"/>
    </row>
    <row r="1064" ht="25.5" customHeight="1">
      <c r="A1064" s="2" t="str">
        <f>=HYPERLINK("https://applink.larksuite.com/client/mini_program/open?appId=cli_9c7cc8a9a9edd105&amp;mode=appCenter&amp;path_pc=pc/pages/requested/index?instanceId=7524589910867574815&amp;source=bitable&amp;path=pages/detail/index?instanceId=7524589910867574815&amp;source=bitable", "202507080020")</f>
        <v>202507080020</v>
      </c>
      <c r="B1064" t="inlineStr">
        <is>
          <t>Approved</t>
        </is>
      </c>
      <c r="C1064" t="inlineStr">
        <is>
          <t>Procurement Order</t>
        </is>
      </c>
      <c r="D1064" s="3">
        <v>45846.591574074075</v>
      </c>
      <c r="E1064" s="3">
        <v>45849.698900462965</v>
      </c>
      <c r="F1064" t="inlineStr">
        <is>
          <t>Fatima Kathleen M. FLores</t>
        </is>
      </c>
      <c r="G1064" t="inlineStr">
        <is>
          <t>Procurement</t>
        </is>
      </c>
      <c r="H1064"/>
      <c r="I1064"/>
      <c r="J1064" t="inlineStr">
        <is>
          <t>Project</t>
        </is>
      </c>
      <c r="K1064" t="inlineStr">
        <is>
          <t>PDEI - Game Marketing</t>
        </is>
      </c>
      <c r="L1064" t="inlineStr">
        <is>
          <t>Wargaming Computer Shop Activation</t>
        </is>
      </c>
      <c r="M1064" t="inlineStr">
        <is>
          <t>2025TEG-P0070</t>
        </is>
      </c>
      <c r="N1064" t="inlineStr">
        <is>
          <t>Clifford Markus Ortiz Martinez</t>
        </is>
      </c>
      <c r="O1064" t="inlineStr">
        <is>
          <t>202506270023-Clifford Markus Ortiz Martinez-费用报销 - 副本 - 副本 - 副本-2025-06-27 03:44:15</t>
        </is>
      </c>
      <c r="P1064" t="inlineStr">
        <is>
          <t>YES</t>
        </is>
      </c>
      <c r="Q1064"/>
      <c r="R1064" t="inlineStr">
        <is>
          <t>YES</t>
        </is>
      </c>
      <c r="S1064" t="inlineStr">
        <is>
          <t>Outsourced Game Tester</t>
        </is>
      </c>
      <c r="T1064">
        <v>1</v>
      </c>
      <c r="U1064">
        <v>1850</v>
      </c>
      <c r="V1064" t="inlineStr">
        <is>
          <t>PHP</t>
        </is>
      </c>
      <c r="W1064">
        <v>1850</v>
      </c>
      <c r="X1064" s="2" t="str">
        <f>=HYPERLINK("https://www.larksuite.com/approval/admin/previewAttachment?key=PMgxCkJBDATQK02SyU7iZWxcFlF-JajNnl2w-O0bZRiVFqPBNm_YVjqzug01lGJZbt8mNWRC7Hms64fr-ZB9A_Nwcb_vtzVfli13KMgoAHY5PUSyexB_xy8AAP__", "2 attachment(s)")</f>
        <v>2 attachment(s)</v>
      </c>
      <c r="Y1064" t="inlineStr">
        <is>
          <t>Bank Transfer</t>
        </is>
      </c>
      <c r="Z1064" t="inlineStr">
        <is>
          <t>Jesusquino Lim</t>
        </is>
      </c>
      <c r="AA1064" t="inlineStr">
        <is>
          <t>1368-484-8383</t>
        </is>
      </c>
      <c r="AB1064" t="inlineStr">
        <is>
          <t>Seabank</t>
        </is>
      </c>
      <c r="AC1064" t="inlineStr">
        <is>
          <t>56 Sto. Niño St. Payatas Quezon City</t>
        </is>
      </c>
      <c r="AD1064" s="4">
        <v>45844</v>
      </c>
      <c r="AE1064" t="inlineStr">
        <is>
          <t>100% Full Payment - July 18, 2025</t>
        </is>
      </c>
      <c r="AF1064" s="2"/>
      <c r="AG1064" t="inlineStr">
        <is>
          <t>NzQyNTk5MTgyNzQ4MTg3MDM0MTo1REEyMEVGQi01QkE4LTQ5NjktOUU4Ni1BQUNFM0UyQjU1MDQtMTpjN2YzNjk5NTU1ODc2MGRmY2NmMmZmY2IxYmZiOTU1Zjox</t>
        </is>
      </c>
      <c r="AH1064"/>
      <c r="AI1064"/>
      <c r="AJ1064"/>
      <c r="AK1064"/>
    </row>
    <row r="1065" ht="25.5" customHeight="1">
      <c r="A1065" s="2" t="str">
        <f>=HYPERLINK("https://applink.larksuite.com/client/mini_program/open?appId=cli_9c7cc8a9a9edd105&amp;mode=appCenter&amp;path_pc=pc/pages/requested/index?instanceId=7524590929253842983&amp;source=bitable&amp;path=pages/detail/index?instanceId=7524590929253842983&amp;source=bitable", "202507080022")</f>
        <v>202507080022</v>
      </c>
      <c r="B1065" t="inlineStr">
        <is>
          <t>Approved</t>
        </is>
      </c>
      <c r="C1065" t="inlineStr">
        <is>
          <t>Procurement Order</t>
        </is>
      </c>
      <c r="D1065" s="3">
        <v>45846.59431712963</v>
      </c>
      <c r="E1065" s="3">
        <v>45849.69950231481</v>
      </c>
      <c r="F1065" t="inlineStr">
        <is>
          <t>Fatima Kathleen M. FLores</t>
        </is>
      </c>
      <c r="G1065" t="inlineStr">
        <is>
          <t>Procurement</t>
        </is>
      </c>
      <c r="H1065"/>
      <c r="I1065"/>
      <c r="J1065" t="inlineStr">
        <is>
          <t>Project</t>
        </is>
      </c>
      <c r="K1065" t="inlineStr">
        <is>
          <t>PDEI - Game Marketing</t>
        </is>
      </c>
      <c r="L1065" t="inlineStr">
        <is>
          <t>Wargaming Computer Shop Activation</t>
        </is>
      </c>
      <c r="M1065" t="inlineStr">
        <is>
          <t>2025TEG-P0070</t>
        </is>
      </c>
      <c r="N1065" t="inlineStr">
        <is>
          <t>Clifford Markus Ortiz Martinez</t>
        </is>
      </c>
      <c r="O1065" t="inlineStr">
        <is>
          <t>202506270023-Clifford Markus Ortiz Martinez-费用报销 - 副本 - 副本 - 副本-2025-06-27 03:44:15</t>
        </is>
      </c>
      <c r="P1065" t="inlineStr">
        <is>
          <t>YES</t>
        </is>
      </c>
      <c r="Q1065"/>
      <c r="R1065" t="inlineStr">
        <is>
          <t>YES</t>
        </is>
      </c>
      <c r="S1065" t="inlineStr">
        <is>
          <t>Outsourced Game Tester</t>
        </is>
      </c>
      <c r="T1065">
        <v>1</v>
      </c>
      <c r="U1065">
        <v>1850</v>
      </c>
      <c r="V1065" t="inlineStr">
        <is>
          <t>PHP</t>
        </is>
      </c>
      <c r="W1065">
        <v>1850</v>
      </c>
      <c r="X1065" s="2" t="str">
        <f>=HYPERLINK("https://www.larksuite.com/approval/admin/previewAttachment?key=PMgxCsMwDAXQK31J35Z_L9OlwRRCs5QEPOjshQ5ZXx-GPppFFyhzwSqbswlyeYtB14jyskwhLRG1feZzXXM_uPycee7Hquv9mtvXmtIdGWQMAPa4PZKk1Im_4xcAAP__", "2 attachment(s)")</f>
        <v>2 attachment(s)</v>
      </c>
      <c r="Y1065" t="inlineStr">
        <is>
          <t>Bank Transfer</t>
        </is>
      </c>
      <c r="Z1065" t="inlineStr">
        <is>
          <t>Aiza Chua</t>
        </is>
      </c>
      <c r="AA1065" t="inlineStr">
        <is>
          <t>2079223533</t>
        </is>
      </c>
      <c r="AB1065" t="inlineStr">
        <is>
          <t>BPI</t>
        </is>
      </c>
      <c r="AC1065" t="inlineStr">
        <is>
          <t>45 Mayor Ignacio Santos Diaz Street, Cubao, Quezon City</t>
        </is>
      </c>
      <c r="AD1065" s="4">
        <v>45844</v>
      </c>
      <c r="AE1065" t="inlineStr">
        <is>
          <t>100% Full Payment - July 18, 2025</t>
        </is>
      </c>
      <c r="AF1065" s="2"/>
      <c r="AG1065" t="inlineStr">
        <is>
          <t>NzQyNTk5MTgyNzQ4MTg3MDM0MTpCMDRCRERGRS0wRkQyLTQ1MjQtQTMwOC00MjAyODdFNzAyREYtMTo5ZWYxNmJjN2Y0NTIwOTIzOWNjOGQ5MDU3N2I3NjVhNzox</t>
        </is>
      </c>
      <c r="AH1065"/>
      <c r="AI1065"/>
      <c r="AJ1065"/>
      <c r="AK1065"/>
    </row>
    <row r="1066" ht="25.5" customHeight="1">
      <c r="A1066" s="2" t="str">
        <f>=HYPERLINK("https://applink.larksuite.com/client/mini_program/open?appId=cli_9c7cc8a9a9edd105&amp;mode=appCenter&amp;path_pc=pc/pages/requested/index?instanceId=7524292951824973856&amp;source=bitable&amp;path=pages/detail/index?instanceId=7524292951824973856&amp;source=bitable", "202507070101")</f>
        <v>202507070101</v>
      </c>
      <c r="B1066" t="inlineStr">
        <is>
          <t>Approved</t>
        </is>
      </c>
      <c r="C1066" t="inlineStr">
        <is>
          <t>Procurement Order</t>
        </is>
      </c>
      <c r="D1066" s="3">
        <v>45845.79133101852</v>
      </c>
      <c r="E1066" s="3">
        <v>45847.62099537037</v>
      </c>
      <c r="F1066" t="inlineStr">
        <is>
          <t>Fatima Kathleen M. FLores</t>
        </is>
      </c>
      <c r="G1066" t="inlineStr">
        <is>
          <t>Procurement</t>
        </is>
      </c>
      <c r="H1066"/>
      <c r="I1066"/>
      <c r="J1066" t="inlineStr">
        <is>
          <t>Project</t>
        </is>
      </c>
      <c r="K1066" t="inlineStr">
        <is>
          <t>PDEI - Event Service</t>
        </is>
      </c>
      <c r="L1066" t="inlineStr">
        <is>
          <t>GTCC Summer Showdown</t>
        </is>
      </c>
      <c r="M1066" t="inlineStr">
        <is>
          <t>2025TEG-P0040</t>
        </is>
      </c>
      <c r="N1066" t="inlineStr">
        <is>
          <t>Frances Angelita Arreglado</t>
        </is>
      </c>
      <c r="O1066" t="inlineStr">
        <is>
          <t>202506060025-Frances Angelita Arreglado-费用报销 - 副本 - 副本 - 副本-2025-06-06 10:29:20</t>
        </is>
      </c>
      <c r="P1066" t="inlineStr">
        <is>
          <t>YES</t>
        </is>
      </c>
      <c r="Q1066"/>
      <c r="R1066" t="inlineStr">
        <is>
          <t>YES</t>
        </is>
      </c>
      <c r="S1066" t="inlineStr">
        <is>
          <t>Outsourced Stage Hand</t>
        </is>
      </c>
      <c r="T1066">
        <v>1</v>
      </c>
      <c r="U1066">
        <v>11000</v>
      </c>
      <c r="V1066" t="inlineStr">
        <is>
          <t>PHP</t>
        </is>
      </c>
      <c r="W1066">
        <v>11000</v>
      </c>
      <c r="X1066" s="2" t="str">
        <f>=HYPERLINK("https://www.larksuite.com/approval/admin/previewAttachment?key=PMgxrgIxEAPQK9kTTyb-l_nNRhFCLA3SUuXsSBS0rw-ij2TrhswwuCtD4XByhFxtZN-xWWUUC9rzXP8XF968n_N4pJ_Y1-1Y88V0RaCa1AYA_v28lSS7C1_HJwAA__8", "2 attachment(s)")</f>
        <v>2 attachment(s)</v>
      </c>
      <c r="Y1066" t="inlineStr">
        <is>
          <t>Bank Transfer</t>
        </is>
      </c>
      <c r="Z1066" t="inlineStr">
        <is>
          <t>Jayrom Agustin</t>
        </is>
      </c>
      <c r="AA1066" t="inlineStr">
        <is>
          <t>0928-582-3722</t>
        </is>
      </c>
      <c r="AB1066" t="inlineStr">
        <is>
          <t>GCash</t>
        </is>
      </c>
      <c r="AC1066" t="inlineStr">
        <is>
          <t>11 laguerta st. San Vicente San Pedro city</t>
        </is>
      </c>
      <c r="AD1066" s="4">
        <v>45819</v>
      </c>
      <c r="AE1066" t="inlineStr">
        <is>
          <t>100% Full Payment - July 11, 2025</t>
        </is>
      </c>
      <c r="AF1066" s="2"/>
      <c r="AG1066" t="inlineStr">
        <is>
          <t>NzQyNTk5MTgyNzQ4MTg3MDM0MTo3MDIyNUE5RC03M0Y5LTQ2NjMtOTUzOC04MDE3RTcwNUI4MjQtMTo5YjkxODRjZjhlYzk3YTJmNjk4NjQxMmU4NzFjODY4Yzox</t>
        </is>
      </c>
      <c r="AH1066"/>
      <c r="AI1066"/>
      <c r="AJ1066"/>
      <c r="AK1066"/>
    </row>
    <row r="1067" ht="25.5" customHeight="1">
      <c r="A1067" s="2" t="str">
        <f>=HYPERLINK("https://applink.larksuite.com/client/mini_program/open?appId=cli_9c7cc8a9a9edd105&amp;mode=appCenter&amp;path_pc=pc/pages/requested/index?instanceId=7524988521996746790&amp;source=bitable&amp;path=pages/detail/index?instanceId=7524988521996746790&amp;source=bitable", "202507090062")</f>
        <v>202507090062</v>
      </c>
      <c r="B1067" t="inlineStr">
        <is>
          <t>Approved</t>
        </is>
      </c>
      <c r="C1067" t="inlineStr">
        <is>
          <t>Procurement Order</t>
        </is>
      </c>
      <c r="D1067" s="3">
        <v>45847.66575231482</v>
      </c>
      <c r="E1067" s="3">
        <v>45849.70392361111</v>
      </c>
      <c r="F1067" t="inlineStr">
        <is>
          <t>Fatima Kathleen M. FLores</t>
        </is>
      </c>
      <c r="G1067" t="inlineStr">
        <is>
          <t>Procurement</t>
        </is>
      </c>
      <c r="H1067"/>
      <c r="I1067"/>
      <c r="J1067" t="inlineStr">
        <is>
          <t>Project</t>
        </is>
      </c>
      <c r="K1067" t="inlineStr">
        <is>
          <t>PDEI - Event Service</t>
        </is>
      </c>
      <c r="L1067" t="inlineStr">
        <is>
          <t>MDL PH S6 Qualifiers &amp; Regular Season</t>
        </is>
      </c>
      <c r="M1067" t="inlineStr">
        <is>
          <t>2025TEG-P0200</t>
        </is>
      </c>
      <c r="N1067" t="inlineStr">
        <is>
          <t>Kervin</t>
        </is>
      </c>
      <c r="O1067" t="inlineStr">
        <is>
          <t>202507040022-Kervin-费用报销 - 副本 - 副本 - 副本-2025-07-04 03:57:39</t>
        </is>
      </c>
      <c r="P1067" t="inlineStr">
        <is>
          <t>YES</t>
        </is>
      </c>
      <c r="Q1067"/>
      <c r="R1067" t="inlineStr">
        <is>
          <t>NO</t>
        </is>
      </c>
      <c r="S1067" t="inlineStr">
        <is>
          <t>Outsourced Game Director / Observer</t>
        </is>
      </c>
      <c r="T1067">
        <v>1</v>
      </c>
      <c r="U1067">
        <v>41800</v>
      </c>
      <c r="V1067" t="inlineStr">
        <is>
          <t>PHP</t>
        </is>
      </c>
      <c r="W1067">
        <v>41800</v>
      </c>
      <c r="X1067" s="2" t="str">
        <f>=HYPERLINK("https://www.larksuite.com/approval/admin/previewAttachment?key=PMg9qgJBEATgK1X3VP_Uu8xLdlhEVhDEyebsgoHpl23IDhspUOaC7QqnusNNymKWsH1blVBW4J6P89_Xm9e65nwefY_Y63ac82WhckcNcjQA-_v5KJJSEl_HJwAA__8", "2 attachment(s)")</f>
        <v>2 attachment(s)</v>
      </c>
      <c r="Y1067" t="inlineStr">
        <is>
          <t>Bank Transfer</t>
        </is>
      </c>
      <c r="Z1067" t="inlineStr">
        <is>
          <t>Ralp Gabriel Garcia</t>
        </is>
      </c>
      <c r="AA1067" t="inlineStr">
        <is>
          <t>09569945794</t>
        </is>
      </c>
      <c r="AB1067" t="inlineStr">
        <is>
          <t>GCash</t>
        </is>
      </c>
      <c r="AC1067" t="inlineStr">
        <is>
          <t>2817 Beata St. Pandacan Manila</t>
        </is>
      </c>
      <c r="AD1067" s="4">
        <v>45887</v>
      </c>
      <c r="AE1067" t="inlineStr">
        <is>
          <t>1st Payment - Aug. 29, 2025
2nd Payment - Sept. 12, 2025
3rd Payment - Sept. 26, 2025
4th Payment - Oct. 10, 2025
Final Payment - Oct. 31, 2025</t>
        </is>
      </c>
      <c r="AF1067" s="2"/>
      <c r="AG1067" t="inlineStr">
        <is>
          <t>NzQyNTk5MTgyNzQ4MTg3MDM0MTo2ODk0MEVCQy1CQjg5LTQzRkUtOTYwMC1CQjdFNjFDRTIyMEUtMToxNGNiZWIyMmZlODhmYjE2ZTU5MGQ2MTVkNWYxNjNlMzox</t>
        </is>
      </c>
      <c r="AH1067"/>
      <c r="AI1067"/>
      <c r="AJ1067"/>
      <c r="AK1067"/>
    </row>
    <row r="1068" ht="25.5" customHeight="1">
      <c r="A1068" s="2" t="str">
        <f>=HYPERLINK("https://applink.larksuite.com/client/mini_program/open?appId=cli_9c7cc8a9a9edd105&amp;mode=appCenter&amp;path_pc=pc/pages/requested/index?instanceId=7524985350385614887&amp;source=bitable&amp;path=pages/detail/index?instanceId=7524985350385614887&amp;source=bitable", "202507090058")</f>
        <v>202507090058</v>
      </c>
      <c r="B1068" t="inlineStr">
        <is>
          <t>Approved</t>
        </is>
      </c>
      <c r="C1068" t="inlineStr">
        <is>
          <t>Procurement Order</t>
        </is>
      </c>
      <c r="D1068" s="3">
        <v>45847.65719907408</v>
      </c>
      <c r="E1068" s="3">
        <v>45849.70298611111</v>
      </c>
      <c r="F1068" t="inlineStr">
        <is>
          <t>Fatima Kathleen M. FLores</t>
        </is>
      </c>
      <c r="G1068" t="inlineStr">
        <is>
          <t>Procurement</t>
        </is>
      </c>
      <c r="H1068"/>
      <c r="I1068"/>
      <c r="J1068" t="inlineStr">
        <is>
          <t>Project</t>
        </is>
      </c>
      <c r="K1068" t="inlineStr">
        <is>
          <t>PDEI - Event Service</t>
        </is>
      </c>
      <c r="L1068" t="inlineStr">
        <is>
          <t>MDL PH S6 Qualifiers &amp; Regular Season</t>
        </is>
      </c>
      <c r="M1068" t="inlineStr">
        <is>
          <t>2025TEG-P0200</t>
        </is>
      </c>
      <c r="N1068" t="inlineStr">
        <is>
          <t>Kervin</t>
        </is>
      </c>
      <c r="O1068" t="inlineStr">
        <is>
          <t>202507040022-Kervin-费用报销 - 副本 - 副本 - 副本-2025-07-04 03:57:39</t>
        </is>
      </c>
      <c r="P1068" t="inlineStr">
        <is>
          <t>YES</t>
        </is>
      </c>
      <c r="Q1068"/>
      <c r="R1068" t="inlineStr">
        <is>
          <t>NO</t>
        </is>
      </c>
      <c r="S1068" t="inlineStr">
        <is>
          <t>Outsourced Highlights / Replay Operator</t>
        </is>
      </c>
      <c r="T1068">
        <v>1</v>
      </c>
      <c r="U1068">
        <v>40000</v>
      </c>
      <c r="V1068" t="inlineStr">
        <is>
          <t>PHP</t>
        </is>
      </c>
      <c r="W1068">
        <v>40000</v>
      </c>
      <c r="X1068" s="2" t="str">
        <f>=HYPERLINK("https://www.larksuite.com/approval/admin/previewAttachment?key=PMgxCgJBDAXQK_0_-ZkkXsZml0FQF0FYsMjZBQvbN5OY6bRZUHEU2OFDlW4OS59UZvRoRhSCAfX-XNeTaztepePxuXNjn7dt7W96xRgIkywB8PJ3C0lVU_g5vgEAAP__", "2 attachment(s)")</f>
        <v>2 attachment(s)</v>
      </c>
      <c r="Y1068" t="inlineStr">
        <is>
          <t>Bank Transfer</t>
        </is>
      </c>
      <c r="Z1068" t="inlineStr">
        <is>
          <t>Ian Israel Galope</t>
        </is>
      </c>
      <c r="AA1068" t="inlineStr">
        <is>
          <t>09760580016</t>
        </is>
      </c>
      <c r="AB1068" t="inlineStr">
        <is>
          <t>GCash</t>
        </is>
      </c>
      <c r="AC1068" t="inlineStr">
        <is>
          <t>30 Robert Street, Pleasant View Subdivision, Tandang Sora Quezon City</t>
        </is>
      </c>
      <c r="AD1068" s="4">
        <v>45887</v>
      </c>
      <c r="AE1068" t="inlineStr">
        <is>
          <t>1st Payment - Aug. 29, 2025
2nd Payment - Sept. 12, 2025
3rd Payment - Sept. 26, 2025
4th Payment - Oct. 10, 2025
Final Payment - Oct. 31, 2025</t>
        </is>
      </c>
      <c r="AF1068" s="2"/>
      <c r="AG1068" t="inlineStr">
        <is>
          <t>NzQyNTk5MTgyNzQ4MTg3MDM0MToxOTgzRDVDMC00NjdGLTQyODktQUU5RC0zQkY3OTgyQTAzNzItMTpmZjk1MGY0ZTIxODVkZGRlMDNmOWFjYTMzMDM2ZWI4YTox</t>
        </is>
      </c>
      <c r="AH1068"/>
      <c r="AI1068"/>
      <c r="AJ1068"/>
      <c r="AK1068"/>
    </row>
    <row r="1069" ht="25.5" customHeight="1">
      <c r="A1069" s="2" t="str">
        <f>=HYPERLINK("https://applink.larksuite.com/client/mini_program/open?appId=cli_9c7cc8a9a9edd105&amp;mode=appCenter&amp;path_pc=pc/pages/requested/index?instanceId=7524984025602981920&amp;source=bitable&amp;path=pages/detail/index?instanceId=7524984025602981920&amp;source=bitable", "202507090056")</f>
        <v>202507090056</v>
      </c>
      <c r="B1069" t="inlineStr">
        <is>
          <t>Approved</t>
        </is>
      </c>
      <c r="C1069" t="inlineStr">
        <is>
          <t>Procurement Order</t>
        </is>
      </c>
      <c r="D1069" s="3">
        <v>45847.65363425926</v>
      </c>
      <c r="E1069" s="3">
        <v>45849.74008101852</v>
      </c>
      <c r="F1069" t="inlineStr">
        <is>
          <t>Fatima Kathleen M. FLores</t>
        </is>
      </c>
      <c r="G1069" t="inlineStr">
        <is>
          <t>Procurement</t>
        </is>
      </c>
      <c r="H1069"/>
      <c r="I1069"/>
      <c r="J1069" t="inlineStr">
        <is>
          <t>Project</t>
        </is>
      </c>
      <c r="K1069" t="inlineStr">
        <is>
          <t>PDEI - Event Service</t>
        </is>
      </c>
      <c r="L1069" t="inlineStr">
        <is>
          <t>MDL PH S6 Qualifiers &amp; Regular Season</t>
        </is>
      </c>
      <c r="M1069" t="inlineStr">
        <is>
          <t>2025TEG-P0200</t>
        </is>
      </c>
      <c r="N1069" t="inlineStr">
        <is>
          <t>Kervin</t>
        </is>
      </c>
      <c r="O1069" t="inlineStr">
        <is>
          <t>202507020088-Kervin-费用报销 - 副本 - 副本 - 副本-2025-07-02 10:14:08</t>
        </is>
      </c>
      <c r="P1069" t="inlineStr">
        <is>
          <t>YES</t>
        </is>
      </c>
      <c r="Q1069"/>
      <c r="R1069" t="inlineStr">
        <is>
          <t>NO</t>
        </is>
      </c>
      <c r="S1069" t="inlineStr">
        <is>
          <t>Outsourced Stream Moderator / Broadcast Assistant</t>
        </is>
      </c>
      <c r="T1069">
        <v>1</v>
      </c>
      <c r="U1069">
        <v>38000</v>
      </c>
      <c r="V1069" t="inlineStr">
        <is>
          <t>PHP</t>
        </is>
      </c>
      <c r="W1069">
        <v>38000</v>
      </c>
      <c r="X1069" s="2" t="str">
        <f>=HYPERLINK("https://www.larksuite.com/approval/admin/previewAttachment?key=PMhBCsIwFATQK838TPIzXsaNpVhNiyB2l7MLLty-1onWK0szZIbBmTXkLkRtCHc6MGMy00gmNJd9vW7nqzyPzzYeg2M_5nm_rcub1RmBLFLpAHj5e0lJdhN-jm8AAAD__w", "2 attachment(s)")</f>
        <v>2 attachment(s)</v>
      </c>
      <c r="Y1069" t="inlineStr">
        <is>
          <t>Bank Transfer</t>
        </is>
      </c>
      <c r="Z1069" t="inlineStr">
        <is>
          <t>Julia Sandra Dela Peña</t>
        </is>
      </c>
      <c r="AA1069" t="inlineStr">
        <is>
          <t>3229335854</t>
        </is>
      </c>
      <c r="AB1069" t="inlineStr">
        <is>
          <t>BPI</t>
        </is>
      </c>
      <c r="AC1069" t="inlineStr">
        <is>
          <t>2330 Calderon Street Sta Ana Manila</t>
        </is>
      </c>
      <c r="AD1069" s="4">
        <v>45887</v>
      </c>
      <c r="AE1069" t="inlineStr">
        <is>
          <t>1st Payment - Aug. 29, 2025
2nd Payment - Sept. 12, 2025
3rd Payment - Sept. 26, 2025
4th Payment - Oct. 10, 2025
Final Payment - Oct. 31, 2025</t>
        </is>
      </c>
      <c r="AF1069" s="2"/>
      <c r="AG1069" t="inlineStr">
        <is>
          <t>NzQyNTk5MTgyNzQ4MTg3MDM0MToxODlBQjgyQS0xMjI5LTRDMjUtODFEQS00MTU5RDNGNEEzNUQtMTo5YTZmMDA5YmViOWEwZTNmMjZjY2Q0ODNhY2VkMGQxYzox</t>
        </is>
      </c>
      <c r="AH1069"/>
      <c r="AI1069"/>
      <c r="AJ1069"/>
      <c r="AK1069"/>
    </row>
    <row r="1070" ht="25.5" customHeight="1">
      <c r="A1070" s="2" t="str">
        <f>=HYPERLINK("https://applink.larksuite.com/client/mini_program/open?appId=cli_9c7cc8a9a9edd105&amp;mode=appCenter&amp;path_pc=pc/pages/requested/index?instanceId=7524982108331327519&amp;source=bitable&amp;path=pages/detail/index?instanceId=7524982108331327519&amp;source=bitable", "202507090055")</f>
        <v>202507090055</v>
      </c>
      <c r="B1070" t="inlineStr">
        <is>
          <t>Approved</t>
        </is>
      </c>
      <c r="C1070" t="inlineStr">
        <is>
          <t>Procurement Order</t>
        </is>
      </c>
      <c r="D1070" s="3">
        <v>45847.648460648146</v>
      </c>
      <c r="E1070" s="3">
        <v>45849.713217592594</v>
      </c>
      <c r="F1070" t="inlineStr">
        <is>
          <t>Fatima Kathleen M. FLores</t>
        </is>
      </c>
      <c r="G1070" t="inlineStr">
        <is>
          <t>Procurement</t>
        </is>
      </c>
      <c r="H1070"/>
      <c r="I1070"/>
      <c r="J1070" t="inlineStr">
        <is>
          <t>Project</t>
        </is>
      </c>
      <c r="K1070" t="inlineStr">
        <is>
          <t>PDEI - Event Service</t>
        </is>
      </c>
      <c r="L1070" t="inlineStr">
        <is>
          <t>MDL PH S6 Qualifiers &amp; Regular Season</t>
        </is>
      </c>
      <c r="M1070" t="inlineStr">
        <is>
          <t>2025TEG-P0200</t>
        </is>
      </c>
      <c r="N1070" t="inlineStr">
        <is>
          <t>Kervin</t>
        </is>
      </c>
      <c r="O1070" t="inlineStr">
        <is>
          <t>202507020088-Kervin-费用报销 - 副本 - 副本 - 副本-2025-07-02 10:14:08</t>
        </is>
      </c>
      <c r="P1070" t="inlineStr">
        <is>
          <t>YES</t>
        </is>
      </c>
      <c r="Q1070"/>
      <c r="R1070" t="inlineStr">
        <is>
          <t>NO</t>
        </is>
      </c>
      <c r="S1070" t="inlineStr">
        <is>
          <t>Outsourced Referee</t>
        </is>
      </c>
      <c r="T1070">
        <v>1</v>
      </c>
      <c r="U1070">
        <v>37500</v>
      </c>
      <c r="V1070" t="inlineStr">
        <is>
          <t>PHP</t>
        </is>
      </c>
      <c r="W1070">
        <v>37500</v>
      </c>
      <c r="X1070" s="2" t="str">
        <f>=HYPERLINK("https://www.larksuite.com/approval/admin/previewAttachment?key=PMg7CgJBEATQK1X1Z2ray5jssqiwkaBO0GcXDEzfmMSYSR-FKFqBrbSoacR0p5uS1daUCqIQvZ_HNXMDP--H1rLz7v26bcf-ZJbMII_wCYCXv7siomoEfo5vAAAA__8", "2 attachment(s)")</f>
        <v>2 attachment(s)</v>
      </c>
      <c r="Y1070" t="inlineStr">
        <is>
          <t>Bank Transfer</t>
        </is>
      </c>
      <c r="Z1070" t="inlineStr">
        <is>
          <t>Jefferson Serrano</t>
        </is>
      </c>
      <c r="AA1070" t="inlineStr">
        <is>
          <t>109325419981</t>
        </is>
      </c>
      <c r="AB1070" t="inlineStr">
        <is>
          <t>UnionBank</t>
        </is>
      </c>
      <c r="AC1070" t="inlineStr">
        <is>
          <t>1308 Casañas Street Sampaloc Manila</t>
        </is>
      </c>
      <c r="AD1070" s="4">
        <v>45850</v>
      </c>
      <c r="AE1070" t="inlineStr">
        <is>
          <t>1st Payment - Aug. 8, 2025
2nd Payment - Aug. 29, 2025
3rd Payment - Sept. 19, 2025
4th Payment - Oct. 10, 2025
Final Payment - Oct. 31, 2025</t>
        </is>
      </c>
      <c r="AF1070" s="2"/>
      <c r="AG1070" t="inlineStr">
        <is>
          <t>NzQyNTk5MTgyNzQ4MTg3MDM0MTo0NTVFMUZDNS05NTk3LTQzOEMtODk4OC0zQjJEMUFGQ0U3ODUtMTplMjZiMjg3ZWZmZjQ3Yjc3ODg4NTFlYjY3ZWFiNDc4Zjox</t>
        </is>
      </c>
      <c r="AH1070"/>
      <c r="AI1070"/>
      <c r="AJ1070"/>
      <c r="AK1070"/>
    </row>
    <row r="1071" ht="25.5" customHeight="1">
      <c r="A1071" s="2" t="str">
        <f>=HYPERLINK("https://applink.larksuite.com/client/mini_program/open?appId=cli_9c7cc8a9a9edd105&amp;mode=appCenter&amp;path_pc=pc/pages/requested/index?instanceId=7524978043371257887&amp;source=bitable&amp;path=pages/detail/index?instanceId=7524978043371257887&amp;source=bitable", "202507090049")</f>
        <v>202507090049</v>
      </c>
      <c r="B1071" t="inlineStr">
        <is>
          <t>Approved</t>
        </is>
      </c>
      <c r="C1071" t="inlineStr">
        <is>
          <t>Procurement Order</t>
        </is>
      </c>
      <c r="D1071" s="3">
        <v>45847.637511574074</v>
      </c>
      <c r="E1071" s="3">
        <v>45849.7137037037</v>
      </c>
      <c r="F1071" t="inlineStr">
        <is>
          <t>Fatima Kathleen M. FLores</t>
        </is>
      </c>
      <c r="G1071" t="inlineStr">
        <is>
          <t>Procurement</t>
        </is>
      </c>
      <c r="H1071"/>
      <c r="I1071"/>
      <c r="J1071" t="inlineStr">
        <is>
          <t>Project</t>
        </is>
      </c>
      <c r="K1071" t="inlineStr">
        <is>
          <t>PDEI - Event Service</t>
        </is>
      </c>
      <c r="L1071" t="inlineStr">
        <is>
          <t>MDL PH S6 Qualifiers &amp; Regular Season</t>
        </is>
      </c>
      <c r="M1071" t="inlineStr">
        <is>
          <t>2025TEG-P0200</t>
        </is>
      </c>
      <c r="N1071" t="inlineStr">
        <is>
          <t>Kervin</t>
        </is>
      </c>
      <c r="O1071" t="inlineStr">
        <is>
          <t>202507020088-Kervin-费用报销 - 副本 - 副本 - 副本-2025-07-02 10:14:08</t>
        </is>
      </c>
      <c r="P1071" t="inlineStr">
        <is>
          <t>YES</t>
        </is>
      </c>
      <c r="Q1071"/>
      <c r="R1071" t="inlineStr">
        <is>
          <t>NO</t>
        </is>
      </c>
      <c r="S1071" t="inlineStr">
        <is>
          <t>Outsourced Head of League Operations (4 months)</t>
        </is>
      </c>
      <c r="T1071">
        <v>1</v>
      </c>
      <c r="U1071">
        <v>100000</v>
      </c>
      <c r="V1071" t="inlineStr">
        <is>
          <t>PHP</t>
        </is>
      </c>
      <c r="W1071">
        <v>100000</v>
      </c>
      <c r="X1071" s="2" t="str">
        <f>=HYPERLINK("https://www.larksuite.com/approval/admin/previewAttachment?key=PMgxDsJQDAPQK9mJ_3fCZVioKha6ICoY_tmRGFjfLGLWYM6GmtHg8gi1C8o0Y7jKKxbthmlobY_9WjpfQNf7OLh_xjrvt317crQj4JSyAPDy97Sk7in8HN8AAAD__w", "2 attachment(s)")</f>
        <v>2 attachment(s)</v>
      </c>
      <c r="Y1071" t="inlineStr">
        <is>
          <t>Bank Transfer</t>
        </is>
      </c>
      <c r="Z1071" t="inlineStr">
        <is>
          <t>Rinzcent Gueco</t>
        </is>
      </c>
      <c r="AA1071" t="inlineStr">
        <is>
          <t>160610012764</t>
        </is>
      </c>
      <c r="AB1071" t="inlineStr">
        <is>
          <t>PNB</t>
        </is>
      </c>
      <c r="AC1071" t="inlineStr">
        <is>
          <t>1347-G Lardizabal St. Sampaloc Manila</t>
        </is>
      </c>
      <c r="AD1071" s="4">
        <v>45839</v>
      </c>
      <c r="AE1071" t="inlineStr">
        <is>
          <t>1st Payment - Aug. 8, 2025
2nd Payment - Aug. 29, 2025
3rd Payment - Sept. 19, 2025
4th Payment - Oct. 10, 2025
5th Payment - Oct. 31, 2025
Final Payment - Nov. 7, 2025</t>
        </is>
      </c>
      <c r="AF1071" s="2"/>
      <c r="AG1071" t="inlineStr">
        <is>
          <t>NzQyNTk5MTgyNzQ4MTg3MDM0MTozRENEMEJDNC03Njc3LTQxNTktQjlBNC00MzNBNzU1RUVCRTEtMTpmNjJmMGY3NTQwNTI5YzYwODk0ZmQ5NDA3MTgwMmE4OTox</t>
        </is>
      </c>
      <c r="AH1071"/>
      <c r="AI1071"/>
      <c r="AJ1071"/>
      <c r="AK1071"/>
    </row>
    <row r="1072" ht="25.5" customHeight="1">
      <c r="A1072" s="2" t="str">
        <f>=HYPERLINK("https://applink.larksuite.com/client/mini_program/open?appId=cli_9c7cc8a9a9edd105&amp;mode=appCenter&amp;path_pc=pc/pages/requested/index?instanceId=7524979005779394599&amp;source=bitable&amp;path=pages/detail/index?instanceId=7524979005779394599&amp;source=bitable", "202507090051")</f>
        <v>202507090051</v>
      </c>
      <c r="B1072" t="inlineStr">
        <is>
          <t>Approved</t>
        </is>
      </c>
      <c r="C1072" t="inlineStr">
        <is>
          <t>Procurement Order</t>
        </is>
      </c>
      <c r="D1072" s="3">
        <v>45847.64010416667</v>
      </c>
      <c r="E1072" s="3">
        <v>45849.71435185185</v>
      </c>
      <c r="F1072" t="inlineStr">
        <is>
          <t>Fatima Kathleen M. FLores</t>
        </is>
      </c>
      <c r="G1072" t="inlineStr">
        <is>
          <t>Procurement</t>
        </is>
      </c>
      <c r="H1072"/>
      <c r="I1072"/>
      <c r="J1072" t="inlineStr">
        <is>
          <t>Project</t>
        </is>
      </c>
      <c r="K1072" t="inlineStr">
        <is>
          <t>PDEI - Event Service</t>
        </is>
      </c>
      <c r="L1072" t="inlineStr">
        <is>
          <t>MDL PH S6 Qualifiers &amp; Regular Season</t>
        </is>
      </c>
      <c r="M1072" t="inlineStr">
        <is>
          <t>2025TEG-P0200</t>
        </is>
      </c>
      <c r="N1072" t="inlineStr">
        <is>
          <t>Kervin</t>
        </is>
      </c>
      <c r="O1072" t="inlineStr">
        <is>
          <t>202507020088-Kervin-费用报销 - 副本 - 副本 - 副本-2025-07-02 10:14:08</t>
        </is>
      </c>
      <c r="P1072" t="inlineStr">
        <is>
          <t>YES</t>
        </is>
      </c>
      <c r="Q1072"/>
      <c r="R1072" t="inlineStr">
        <is>
          <t>NO</t>
        </is>
      </c>
      <c r="S1072" t="inlineStr">
        <is>
          <t>Outsourced Head Referee</t>
        </is>
      </c>
      <c r="T1072">
        <v>1</v>
      </c>
      <c r="U1072">
        <v>50000</v>
      </c>
      <c r="V1072" t="inlineStr">
        <is>
          <t>PHP</t>
        </is>
      </c>
      <c r="W1072">
        <v>50000</v>
      </c>
      <c r="X1072" s="2" t="str">
        <f>=HYPERLINK("https://www.larksuite.com/approval/admin/previewAttachment?key=PMhBCsIwFATQK83Pn2QyXsaNpSghpSDUVc4uuHD7Wg-0XiObQUcxYqkWWgaq5DSrvcoKyVAIXNvc76_rzDHOY058Yhzrej727R3VKgVKMjuAuP09RdJuxM_xDQAA__8", "2 attachment(s)")</f>
        <v>2 attachment(s)</v>
      </c>
      <c r="Y1072" t="inlineStr">
        <is>
          <t>Bank Transfer</t>
        </is>
      </c>
      <c r="Z1072" t="inlineStr">
        <is>
          <t>Mico Tabernilla</t>
        </is>
      </c>
      <c r="AA1072" t="inlineStr">
        <is>
          <t>303-900-2977</t>
        </is>
      </c>
      <c r="AB1072" t="inlineStr">
        <is>
          <t>BPI</t>
        </is>
      </c>
      <c r="AC1072" t="inlineStr">
        <is>
          <t>4004 Yague St. Brgy Tejeros, Makati City</t>
        </is>
      </c>
      <c r="AD1072" s="4">
        <v>45850</v>
      </c>
      <c r="AE1072" t="inlineStr">
        <is>
          <t>1st Payment - Aug. 8, 2025
2nd Payment - Aug. 29, 2025
3rd Payment - Sept. 19, 2025
4th Payment - Oct. 10, 2025
Final Payment - Oct. 31, 2025</t>
        </is>
      </c>
      <c r="AF1072" s="2"/>
      <c r="AG1072" t="inlineStr">
        <is>
          <t>NzQyNTk5MTgyNzQ4MTg3MDM0MTo4MTkwMjRCNC03MDM3LTREQ0UtQTg3Qy00OUQ5Q0Q3QUZEQTItMTo0M2VkYTg1MDM1ZmU2ZjBhOWU2NjM3ZTU5MjNmNmIxODox</t>
        </is>
      </c>
      <c r="AH1072"/>
      <c r="AI1072"/>
      <c r="AJ1072"/>
      <c r="AK1072"/>
    </row>
    <row r="1073" ht="25.5" customHeight="1">
      <c r="A1073" s="2" t="str">
        <f>=HYPERLINK("https://applink.larksuite.com/client/mini_program/open?appId=cli_9c7cc8a9a9edd105&amp;mode=appCenter&amp;path_pc=pc/pages/requested/index?instanceId=7524980337965809696&amp;source=bitable&amp;path=pages/detail/index?instanceId=7524980337965809696&amp;source=bitable", "202507090053")</f>
        <v>202507090053</v>
      </c>
      <c r="B1073" t="inlineStr">
        <is>
          <t>Approved</t>
        </is>
      </c>
      <c r="C1073" t="inlineStr">
        <is>
          <t>Procurement Order</t>
        </is>
      </c>
      <c r="D1073" s="3">
        <v>45847.643692129626</v>
      </c>
      <c r="E1073" s="3">
        <v>45849.71501157407</v>
      </c>
      <c r="F1073" t="inlineStr">
        <is>
          <t>Fatima Kathleen M. FLores</t>
        </is>
      </c>
      <c r="G1073" t="inlineStr">
        <is>
          <t>Procurement</t>
        </is>
      </c>
      <c r="H1073"/>
      <c r="I1073"/>
      <c r="J1073" t="inlineStr">
        <is>
          <t>Project</t>
        </is>
      </c>
      <c r="K1073" t="inlineStr">
        <is>
          <t>PDEI - Event Service</t>
        </is>
      </c>
      <c r="L1073" t="inlineStr">
        <is>
          <t>MDL PH S6 Qualifiers &amp; Regular Season</t>
        </is>
      </c>
      <c r="M1073" t="inlineStr">
        <is>
          <t>2025TEG-P0200</t>
        </is>
      </c>
      <c r="N1073" t="inlineStr">
        <is>
          <t>Kervin</t>
        </is>
      </c>
      <c r="O1073" t="inlineStr">
        <is>
          <t>202507020088-Kervin-费用报销 - 副本 - 副本 - 副本-2025-07-02 10:14:08</t>
        </is>
      </c>
      <c r="P1073" t="inlineStr">
        <is>
          <t>YES</t>
        </is>
      </c>
      <c r="Q1073"/>
      <c r="R1073" t="inlineStr">
        <is>
          <t>NO</t>
        </is>
      </c>
      <c r="S1073" t="inlineStr">
        <is>
          <t>Outsourced Referee</t>
        </is>
      </c>
      <c r="T1073">
        <v>1</v>
      </c>
      <c r="U1073">
        <v>37500</v>
      </c>
      <c r="V1073" t="inlineStr">
        <is>
          <t>PHP</t>
        </is>
      </c>
      <c r="W1073">
        <v>37500</v>
      </c>
      <c r="X1073" s="2" t="str">
        <f>=HYPERLINK("https://www.larksuite.com/approval/admin/previewAttachment?key=PMhBCsJADAXQK_0kf5J8L-NmShGhIIh1NWcXXHT7sg3ZwyIFylywVcOpRkQpR0OpXL6sSigrcG3Hfp-fPodec7IPf37X-Zj79rahckcFGQ3AbpdHkZSS-Dt-AQAA__8", "2 attachment(s)")</f>
        <v>2 attachment(s)</v>
      </c>
      <c r="Y1073" t="inlineStr">
        <is>
          <t>Bank Transfer</t>
        </is>
      </c>
      <c r="Z1073" t="inlineStr">
        <is>
          <t>Wilbert Rysher Dela Cruz Manabat</t>
        </is>
      </c>
      <c r="AA1073" t="inlineStr">
        <is>
          <t>1093-2482-8669</t>
        </is>
      </c>
      <c r="AB1073" t="inlineStr">
        <is>
          <t>UnionBank</t>
        </is>
      </c>
      <c r="AC1073" t="inlineStr">
        <is>
          <t>1277-B Kagitingan St. Morga EXT. Tondo, Manila</t>
        </is>
      </c>
      <c r="AD1073" s="4">
        <v>45850</v>
      </c>
      <c r="AE1073" t="inlineStr">
        <is>
          <t>1st Payment - Aug. 8, 2025
2nd Payment - Aug. 29, 2025
3rd Payment - Sept. 19, 2025
4th Payment - Oct. 10, 2025
Final Payment - Oct. 31, 2025</t>
        </is>
      </c>
      <c r="AF1073" s="2"/>
      <c r="AG1073" t="inlineStr">
        <is>
          <t>NzQyNTk5MTgyNzQ4MTg3MDM0MTo4N0E5MjNBMy01Qjk3LTQ0MDEtQjlDMC03NzRCMjlFMzkzNzEtMToxMzNjNzgzOTJhYWRlZjVjYTg4NWNjOTdkOTBkMWIyMDox</t>
        </is>
      </c>
      <c r="AH1073"/>
      <c r="AI1073"/>
      <c r="AJ1073"/>
      <c r="AK1073"/>
    </row>
    <row r="1074" ht="25.5" customHeight="1">
      <c r="A1074" s="2" t="str">
        <f>=HYPERLINK("https://applink.larksuite.com/client/mini_program/open?appId=cli_9c7cc8a9a9edd105&amp;mode=appCenter&amp;path_pc=pc/pages/requested/index?instanceId=7524981193998188583&amp;source=bitable&amp;path=pages/detail/index?instanceId=7524981193998188583&amp;source=bitable", "202507090054")</f>
        <v>202507090054</v>
      </c>
      <c r="B1074" t="inlineStr">
        <is>
          <t>Approved</t>
        </is>
      </c>
      <c r="C1074" t="inlineStr">
        <is>
          <t>Procurement Order</t>
        </is>
      </c>
      <c r="D1074" s="3">
        <v>45847.646006944444</v>
      </c>
      <c r="E1074" s="3">
        <v>45849.715949074074</v>
      </c>
      <c r="F1074" t="inlineStr">
        <is>
          <t>Fatima Kathleen M. FLores</t>
        </is>
      </c>
      <c r="G1074" t="inlineStr">
        <is>
          <t>Procurement</t>
        </is>
      </c>
      <c r="H1074"/>
      <c r="I1074"/>
      <c r="J1074" t="inlineStr">
        <is>
          <t>Project</t>
        </is>
      </c>
      <c r="K1074" t="inlineStr">
        <is>
          <t>PDEI - Event Service</t>
        </is>
      </c>
      <c r="L1074" t="inlineStr">
        <is>
          <t>MDL PH S6 Qualifiers &amp; Regular Season</t>
        </is>
      </c>
      <c r="M1074" t="inlineStr">
        <is>
          <t>2025TEG-P0200</t>
        </is>
      </c>
      <c r="N1074" t="inlineStr">
        <is>
          <t>Kervin</t>
        </is>
      </c>
      <c r="O1074" t="inlineStr">
        <is>
          <t>202507020088-Kervin-费用报销 - 副本 - 副本 - 副本-2025-07-02 10:14:08</t>
        </is>
      </c>
      <c r="P1074" t="inlineStr">
        <is>
          <t>YES</t>
        </is>
      </c>
      <c r="Q1074"/>
      <c r="R1074" t="inlineStr">
        <is>
          <t>NO</t>
        </is>
      </c>
      <c r="S1074" t="inlineStr">
        <is>
          <t>Outsourced Referee</t>
        </is>
      </c>
      <c r="T1074">
        <v>1</v>
      </c>
      <c r="U1074">
        <v>37500</v>
      </c>
      <c r="V1074" t="inlineStr">
        <is>
          <t>PHP</t>
        </is>
      </c>
      <c r="W1074">
        <v>37500</v>
      </c>
      <c r="X1074" s="2" t="str">
        <f>=HYPERLINK("https://www.larksuite.com/approval/admin/previewAttachment?key=PMhBqsJAEATQK1X11Ex3_cv8jWGQEEGQxNWcXXDh9o0iRnW2YcgMgyt7yEW62cWqXm3FYqaRTGhtj_kf16kj5rG_n9h1rut-m9uL3RmBbFIrAPz7eUtJ9hC-jk8AAAD__w", "2 attachment(s)")</f>
        <v>2 attachment(s)</v>
      </c>
      <c r="Y1074" t="inlineStr">
        <is>
          <t>Bank Transfer</t>
        </is>
      </c>
      <c r="Z1074" t="inlineStr">
        <is>
          <t>JOHN JOSEPH SANCHEZ</t>
        </is>
      </c>
      <c r="AA1074" t="inlineStr">
        <is>
          <t>2487023763</t>
        </is>
      </c>
      <c r="AB1074" t="inlineStr">
        <is>
          <t>LANDBANK</t>
        </is>
      </c>
      <c r="AC1074" t="inlineStr">
        <is>
          <t>Certeza St. Beata Pandacan, Manila</t>
        </is>
      </c>
      <c r="AD1074" s="4">
        <v>45850</v>
      </c>
      <c r="AE1074" t="inlineStr">
        <is>
          <t>1st Payment - Aug. 8, 2025
2nd Payment - Aug. 29, 2025
3rd Payment - Sept. 19, 2025
4th Payment - Oct. 10, 2025
Final Payment - Oct. 31, 2025</t>
        </is>
      </c>
      <c r="AF1074" s="2"/>
      <c r="AG1074" t="inlineStr">
        <is>
          <t>NzQyNTk5MTgyNzQ4MTg3MDM0MTo3MEY1MDZDRi1FRTIyLTQxNEEtQjdFOC02QUE2RTI2MDFENzMtMTo5NzE3YzRhNTczZjE3NjcyY2U4OTRkZDk3ZWFkMWJhOTox</t>
        </is>
      </c>
      <c r="AH1074"/>
      <c r="AI1074"/>
      <c r="AJ1074"/>
      <c r="AK1074"/>
    </row>
    <row r="1075" ht="25.5" customHeight="1">
      <c r="A1075" s="2" t="str">
        <f>=HYPERLINK("https://applink.larksuite.com/client/mini_program/open?appId=cli_9c7cc8a9a9edd105&amp;mode=appCenter&amp;path_pc=pc/pages/requested/index?instanceId=7525034710884433959&amp;source=bitable&amp;path=pages/detail/index?instanceId=7525034710884433959&amp;source=bitable", "202507090096")</f>
        <v>202507090096</v>
      </c>
      <c r="B1075" t="inlineStr">
        <is>
          <t>Approved</t>
        </is>
      </c>
      <c r="C1075" t="inlineStr">
        <is>
          <t>Procurement Order</t>
        </is>
      </c>
      <c r="D1075" s="3">
        <v>45847.79021990741</v>
      </c>
      <c r="E1075" s="3">
        <v>45849.69587962963</v>
      </c>
      <c r="F1075" t="inlineStr">
        <is>
          <t>Fatima Kathleen M. FLores</t>
        </is>
      </c>
      <c r="G1075" t="inlineStr">
        <is>
          <t>Procurement</t>
        </is>
      </c>
      <c r="H1075"/>
      <c r="I1075"/>
      <c r="J1075" t="inlineStr">
        <is>
          <t>Project</t>
        </is>
      </c>
      <c r="K1075" t="inlineStr">
        <is>
          <t>PDEI - Event Service</t>
        </is>
      </c>
      <c r="L1075" t="inlineStr">
        <is>
          <t>MPL-PH S15</t>
        </is>
      </c>
      <c r="M1075" t="inlineStr">
        <is>
          <t>2024TEG-P0430</t>
        </is>
      </c>
      <c r="N1075" t="inlineStr">
        <is>
          <t>JP dela Peña</t>
        </is>
      </c>
      <c r="O1075" t="inlineStr">
        <is>
          <t>202507080039-JP dela Peña-费用报销 - 副本 - 副本 - 副本-2025-07-08 07:28:07</t>
        </is>
      </c>
      <c r="P1075" t="inlineStr">
        <is>
          <t>NO</t>
        </is>
      </c>
      <c r="Q1075"/>
      <c r="R1075" t="inlineStr">
        <is>
          <t>NO</t>
        </is>
      </c>
      <c r="S1075" t="inlineStr">
        <is>
          <t>Confetti Blizzard (10lbs / Loose Metallic Gold)</t>
        </is>
      </c>
      <c r="T1075">
        <v>2</v>
      </c>
      <c r="U1075">
        <v>8000</v>
      </c>
      <c r="V1075" t="inlineStr">
        <is>
          <t>PHP</t>
        </is>
      </c>
      <c r="W1075">
        <v>16000</v>
      </c>
      <c r="X1075" s="2"/>
      <c r="Y1075" t="inlineStr">
        <is>
          <t>Bank Transfer</t>
        </is>
      </c>
      <c r="Z1075" t="inlineStr">
        <is>
          <t>Confetti Effects, Inc.</t>
        </is>
      </c>
      <c r="AA1075" t="inlineStr">
        <is>
          <t>3221-0180-78</t>
        </is>
      </c>
      <c r="AB1075" t="inlineStr">
        <is>
          <t>BPI</t>
        </is>
      </c>
      <c r="AC1075" t="inlineStr">
        <is>
          <t>2550 New Panaderos St., Brgy. 885 Zone 097, Sta. Ana, Manila</t>
        </is>
      </c>
      <c r="AD1075" s="4">
        <v>45809</v>
      </c>
      <c r="AE1075" t="inlineStr">
        <is>
          <t>100% Full Payment upon completion of services</t>
        </is>
      </c>
      <c r="AF1075" s="2"/>
      <c r="AG1075" t="inlineStr">
        <is>
          <t>NzQyNTk5MTgyNzQ4MTg3MDM0MTpBNzI0RjRENi1BNEVDLTRERjAtQTM5QS1EM0NGQUEyQjlDMEEtMTo0ZjdmNGI4ZTc3NDI3ZGM2NDA2NWIyOTU3ZmM4YjA0Nzox</t>
        </is>
      </c>
      <c r="AH1075"/>
      <c r="AI1075"/>
      <c r="AJ1075"/>
      <c r="AK1075"/>
    </row>
    <row r="1076" ht="25.5" customHeight="1">
      <c r="A1076" s="2" t="str">
        <f>=HYPERLINK("https://applink.larksuite.com/client/mini_program/open?appId=cli_9c7cc8a9a9edd105&amp;mode=appCenter&amp;path_pc=pc/pages/requested/index?instanceId=7525034710884433959&amp;source=bitable&amp;path=pages/detail/index?instanceId=7525034710884433959&amp;source=bitable", "202507090096")</f>
        <v>202507090096</v>
      </c>
      <c r="B1076" t="inlineStr">
        <is>
          <t>Approved</t>
        </is>
      </c>
      <c r="C1076" t="inlineStr">
        <is>
          <t>Procurement Order</t>
        </is>
      </c>
      <c r="D1076" s="3">
        <v>45847.79021990741</v>
      </c>
      <c r="E1076" s="3">
        <v>45849.69587962963</v>
      </c>
      <c r="F1076" t="inlineStr">
        <is>
          <t>Fatima Kathleen M. FLores</t>
        </is>
      </c>
      <c r="G1076" t="inlineStr">
        <is>
          <t>Procurement</t>
        </is>
      </c>
      <c r="H1076"/>
      <c r="I1076"/>
      <c r="J1076" t="inlineStr">
        <is>
          <t>Project</t>
        </is>
      </c>
      <c r="K1076" t="inlineStr">
        <is>
          <t>PDEI - Event Service</t>
        </is>
      </c>
      <c r="L1076" t="inlineStr">
        <is>
          <t>MPL-PH S15</t>
        </is>
      </c>
      <c r="M1076" t="inlineStr">
        <is>
          <t>2024TEG-P0430</t>
        </is>
      </c>
      <c r="N1076" t="inlineStr">
        <is>
          <t>JP dela Peña</t>
        </is>
      </c>
      <c r="O1076" t="inlineStr">
        <is>
          <t>202507080039-JP dela Peña-费用报销 - 副本 - 副本 - 副本-2025-07-08 07:28:07</t>
        </is>
      </c>
      <c r="P1076" t="inlineStr">
        <is>
          <t>NO</t>
        </is>
      </c>
      <c r="Q1076"/>
      <c r="R1076" t="inlineStr">
        <is>
          <t>NO</t>
        </is>
      </c>
      <c r="S1076" t="inlineStr">
        <is>
          <t>Cryo Jets Floor Mount</t>
        </is>
      </c>
      <c r="T1076">
        <v>8</v>
      </c>
      <c r="U1076">
        <v>4800</v>
      </c>
      <c r="V1076" t="inlineStr">
        <is>
          <t>PHP</t>
        </is>
      </c>
      <c r="W1076">
        <v>38400</v>
      </c>
      <c r="X1076" s="2"/>
      <c r="Y1076"/>
      <c r="Z1076"/>
      <c r="AA1076"/>
      <c r="AB1076"/>
      <c r="AC1076"/>
      <c r="AD1076" s="4"/>
      <c r="AE1076"/>
      <c r="AF1076" s="2"/>
      <c r="AG1076" t="inlineStr">
        <is>
          <t>NzQyNTk5MTgyNzQ4MTg3MDM0MTpBNzI0RjRENi1BNEVDLTRERjAtQTM5QS1EM0NGQUEyQjlDMEEtMjo0NjFmOGIyYzU4YzY3YjgxOTMyZWFkMWNhNWYzMTFiNTox</t>
        </is>
      </c>
      <c r="AH1076"/>
      <c r="AI1076"/>
      <c r="AJ1076"/>
      <c r="AK1076"/>
    </row>
    <row r="1077" ht="25.5" customHeight="1">
      <c r="A1077" s="2" t="str">
        <f>=HYPERLINK("https://applink.larksuite.com/client/mini_program/open?appId=cli_9c7cc8a9a9edd105&amp;mode=appCenter&amp;path_pc=pc/pages/requested/index?instanceId=7525034710884433959&amp;source=bitable&amp;path=pages/detail/index?instanceId=7525034710884433959&amp;source=bitable", "202507090096")</f>
        <v>202507090096</v>
      </c>
      <c r="B1077" t="inlineStr">
        <is>
          <t>Approved</t>
        </is>
      </c>
      <c r="C1077" t="inlineStr">
        <is>
          <t>Procurement Order</t>
        </is>
      </c>
      <c r="D1077" s="3">
        <v>45847.79021990741</v>
      </c>
      <c r="E1077" s="3">
        <v>45849.69587962963</v>
      </c>
      <c r="F1077" t="inlineStr">
        <is>
          <t>Fatima Kathleen M. FLores</t>
        </is>
      </c>
      <c r="G1077" t="inlineStr">
        <is>
          <t>Procurement</t>
        </is>
      </c>
      <c r="H1077"/>
      <c r="I1077"/>
      <c r="J1077" t="inlineStr">
        <is>
          <t>Project</t>
        </is>
      </c>
      <c r="K1077" t="inlineStr">
        <is>
          <t>PDEI - Event Service</t>
        </is>
      </c>
      <c r="L1077" t="inlineStr">
        <is>
          <t>MPL-PH S15</t>
        </is>
      </c>
      <c r="M1077" t="inlineStr">
        <is>
          <t>2024TEG-P0430</t>
        </is>
      </c>
      <c r="N1077" t="inlineStr">
        <is>
          <t>JP dela Peña</t>
        </is>
      </c>
      <c r="O1077" t="inlineStr">
        <is>
          <t>202507080039-JP dela Peña-费用报销 - 副本 - 副本 - 副本-2025-07-08 07:28:07</t>
        </is>
      </c>
      <c r="P1077" t="inlineStr">
        <is>
          <t>NO</t>
        </is>
      </c>
      <c r="Q1077"/>
      <c r="R1077" t="inlineStr">
        <is>
          <t>NO</t>
        </is>
      </c>
      <c r="S1077" t="inlineStr">
        <is>
          <t>Sparkular - Regular</t>
        </is>
      </c>
      <c r="T1077">
        <v>4</v>
      </c>
      <c r="U1077">
        <v>5500</v>
      </c>
      <c r="V1077" t="inlineStr">
        <is>
          <t>PHP</t>
        </is>
      </c>
      <c r="W1077">
        <v>22000</v>
      </c>
      <c r="X1077" s="2"/>
      <c r="Y1077"/>
      <c r="Z1077"/>
      <c r="AA1077"/>
      <c r="AB1077"/>
      <c r="AC1077"/>
      <c r="AD1077" s="4"/>
      <c r="AE1077"/>
      <c r="AF1077" s="2"/>
      <c r="AG1077" t="inlineStr">
        <is>
          <t>NzQyNTk5MTgyNzQ4MTg3MDM0MTpBNzI0RjRENi1BNEVDLTRERjAtQTM5QS1EM0NGQUEyQjlDMEEtMzo3MjBmZmY4NDk0NGE3NjUzMjQyYWFiMDgxMDNhZGVhYTox</t>
        </is>
      </c>
      <c r="AH1077"/>
      <c r="AI1077"/>
      <c r="AJ1077"/>
      <c r="AK1077"/>
    </row>
    <row r="1078" ht="25.5" customHeight="1">
      <c r="A1078" s="2" t="str">
        <f>=HYPERLINK("https://applink.larksuite.com/client/mini_program/open?appId=cli_9c7cc8a9a9edd105&amp;mode=appCenter&amp;path_pc=pc/pages/requested/index?instanceId=7525034710884433959&amp;source=bitable&amp;path=pages/detail/index?instanceId=7525034710884433959&amp;source=bitable", "202507090096")</f>
        <v>202507090096</v>
      </c>
      <c r="B1078" t="inlineStr">
        <is>
          <t>Approved</t>
        </is>
      </c>
      <c r="C1078" t="inlineStr">
        <is>
          <t>Procurement Order</t>
        </is>
      </c>
      <c r="D1078" s="3">
        <v>45847.79021990741</v>
      </c>
      <c r="E1078" s="3">
        <v>45849.69587962963</v>
      </c>
      <c r="F1078" t="inlineStr">
        <is>
          <t>Fatima Kathleen M. FLores</t>
        </is>
      </c>
      <c r="G1078" t="inlineStr">
        <is>
          <t>Procurement</t>
        </is>
      </c>
      <c r="H1078"/>
      <c r="I1078"/>
      <c r="J1078" t="inlineStr">
        <is>
          <t>Project</t>
        </is>
      </c>
      <c r="K1078" t="inlineStr">
        <is>
          <t>PDEI - Event Service</t>
        </is>
      </c>
      <c r="L1078" t="inlineStr">
        <is>
          <t>MPL-PH S15</t>
        </is>
      </c>
      <c r="M1078" t="inlineStr">
        <is>
          <t>2024TEG-P0430</t>
        </is>
      </c>
      <c r="N1078" t="inlineStr">
        <is>
          <t>JP dela Peña</t>
        </is>
      </c>
      <c r="O1078" t="inlineStr">
        <is>
          <t>202507080039-JP dela Peña-费用报销 - 副本 - 副本 - 副本-2025-07-08 07:28:07</t>
        </is>
      </c>
      <c r="P1078" t="inlineStr">
        <is>
          <t>NO</t>
        </is>
      </c>
      <c r="Q1078"/>
      <c r="R1078" t="inlineStr">
        <is>
          <t>NO</t>
        </is>
      </c>
      <c r="S1078" t="inlineStr">
        <is>
          <t>Delivery and Installation</t>
        </is>
      </c>
      <c r="T1078">
        <v>1</v>
      </c>
      <c r="U1078">
        <v>1360</v>
      </c>
      <c r="V1078" t="inlineStr">
        <is>
          <t>PHP</t>
        </is>
      </c>
      <c r="W1078">
        <v>1360</v>
      </c>
      <c r="X1078" s="2" t="str">
        <f>=HYPERLINK("https://www.larksuite.com/approval/admin/previewAttachment?key=PMgxCgJBDAXQK_0kP5PEy9jsMohgJcwyRc4uWGz7RgpGutgosEQL0uHqMIYgkzQrr9aWiEJIgH1-5nOvyYt7-ZXHe-5er2OeX_EKVYSRlgDkcbsFyapB_N1-AQAA__8", "2 attachment(s)")</f>
        <v>2 attachment(s)</v>
      </c>
      <c r="Y1078"/>
      <c r="Z1078"/>
      <c r="AA1078"/>
      <c r="AB1078"/>
      <c r="AC1078"/>
      <c r="AD1078" s="4"/>
      <c r="AE1078"/>
      <c r="AF1078" s="2"/>
      <c r="AG1078" t="inlineStr">
        <is>
          <t>NzQyNTk5MTgyNzQ4MTg3MDM0MTpBNzI0RjRENi1BNEVDLTRERjAtQTM5QS1EM0NGQUEyQjlDMEEtNDpjZGY0OWVmYzM3YWM4YWZlNjA1YTExYTMxMDUzN2Q4NDox</t>
        </is>
      </c>
      <c r="AH1078"/>
      <c r="AI1078"/>
      <c r="AJ1078"/>
      <c r="AK1078"/>
    </row>
    <row r="1079" ht="25.5" customHeight="1">
      <c r="A1079" s="2" t="str">
        <f>=HYPERLINK("https://applink.larksuite.com/client/mini_program/open?appId=cli_9c7cc8a9a9edd105&amp;mode=appCenter&amp;path_pc=pc/pages/requested/index?instanceId=7525333194732814374&amp;source=bitable&amp;path=pages/detail/index?instanceId=7525333194732814374&amp;source=bitable", "202507100060")</f>
        <v>202507100060</v>
      </c>
      <c r="B1079" t="inlineStr">
        <is>
          <t>Approved</t>
        </is>
      </c>
      <c r="C1079" t="inlineStr">
        <is>
          <t>Procurement Order</t>
        </is>
      </c>
      <c r="D1079" s="3">
        <v>45848.59457175926</v>
      </c>
      <c r="E1079" s="3">
        <v>45849.68193287037</v>
      </c>
      <c r="F1079" t="inlineStr">
        <is>
          <t>Fatima Kathleen M. FLores</t>
        </is>
      </c>
      <c r="G1079" t="inlineStr">
        <is>
          <t>Procurement</t>
        </is>
      </c>
      <c r="H1079"/>
      <c r="I1079"/>
      <c r="J1079" t="inlineStr">
        <is>
          <t>Project</t>
        </is>
      </c>
      <c r="K1079" t="inlineStr">
        <is>
          <t>PDEI - Event Service</t>
        </is>
      </c>
      <c r="L1079" t="inlineStr">
        <is>
          <t>GTCC Summer Showdown</t>
        </is>
      </c>
      <c r="M1079" t="inlineStr">
        <is>
          <t>2025TEG-P0040</t>
        </is>
      </c>
      <c r="N1079" t="inlineStr">
        <is>
          <t>Frances Angelita Arreglado</t>
        </is>
      </c>
      <c r="O1079" t="inlineStr">
        <is>
          <t>202506030049-Frances Angelita Arreglado-费用报销 - 副本 - 副本 - 副本-2025-06-03 06:39:58</t>
        </is>
      </c>
      <c r="P1079" t="inlineStr">
        <is>
          <t>NO</t>
        </is>
      </c>
      <c r="Q1079"/>
      <c r="R1079" t="inlineStr">
        <is>
          <t>NO</t>
        </is>
      </c>
      <c r="S1079" t="inlineStr">
        <is>
          <t>Internet Line - Eastern (June 10, 2025)</t>
        </is>
      </c>
      <c r="T1079">
        <v>1</v>
      </c>
      <c r="U1079">
        <v>78400</v>
      </c>
      <c r="V1079" t="inlineStr">
        <is>
          <t>PHP</t>
        </is>
      </c>
      <c r="W1079">
        <v>78400</v>
      </c>
      <c r="X1079" s="2" t="str">
        <f>=HYPERLINK("https://www.larksuite.com/approval/admin/previewAttachment?key=PMhBCgIxDAXQK_2f_DaNl3FjKQoWBoQBFzm74GK2rw-ij0bvCSUtwYpmzd2ZCrdBeaisGJEIBlRzr_vrPPy9ksfe_M5Z5_Ox5octwwzhkg8AvF3uISmzC3_HLwAA__8", "2 attachment(s)")</f>
        <v>2 attachment(s)</v>
      </c>
      <c r="Y1079" t="inlineStr">
        <is>
          <t>Check</t>
        </is>
      </c>
      <c r="Z1079" t="inlineStr">
        <is>
          <t>Eastern Communications</t>
        </is>
      </c>
      <c r="AA1079" t="inlineStr">
        <is>
          <t>on file</t>
        </is>
      </c>
      <c r="AB1079" t="inlineStr">
        <is>
          <t>NA</t>
        </is>
      </c>
      <c r="AC1079" t="inlineStr">
        <is>
          <t>Telecom Plaza, 316 Sen. Gil Puyat Ave., Salcedo Village, Makati</t>
        </is>
      </c>
      <c r="AD1079" s="4">
        <v>45818</v>
      </c>
      <c r="AE1079" t="inlineStr">
        <is>
          <t>100% Full Payment</t>
        </is>
      </c>
      <c r="AF1079" s="2"/>
      <c r="AG1079" t="inlineStr">
        <is>
          <t>NzQyNTk5MTgyNzQ4MTg3MDM0MTo2N0RBQzMyRC1ENEY3LTQzOEMtOEE4Ny03RkUxNUIzNDkyNjItMTo4ZTQzNDI0NTQxMDMxODI1MDUyZmM5N2IzZTI1MTM3NTox</t>
        </is>
      </c>
      <c r="AH1079"/>
      <c r="AI1079"/>
      <c r="AJ1079"/>
      <c r="AK1079"/>
    </row>
    <row r="1080" ht="25.5" customHeight="1">
      <c r="A1080" s="2" t="str">
        <f>=HYPERLINK("https://applink.larksuite.com/client/mini_program/open?appId=cli_9c7cc8a9a9edd105&amp;mode=appCenter&amp;path_pc=pc/pages/requested/index?instanceId=7525339483844132902&amp;source=bitable&amp;path=pages/detail/index?instanceId=7525339483844132902&amp;source=bitable", "202507100067")</f>
        <v>202507100067</v>
      </c>
      <c r="B1080" t="inlineStr">
        <is>
          <t>Approved</t>
        </is>
      </c>
      <c r="C1080" t="inlineStr">
        <is>
          <t>Procurement Order</t>
        </is>
      </c>
      <c r="D1080" s="3">
        <v>45848.6115162037</v>
      </c>
      <c r="E1080" s="3">
        <v>45849.68366898148</v>
      </c>
      <c r="F1080" t="inlineStr">
        <is>
          <t>Fatima Kathleen M. FLores</t>
        </is>
      </c>
      <c r="G1080" t="inlineStr">
        <is>
          <t>Procurement</t>
        </is>
      </c>
      <c r="H1080"/>
      <c r="I1080"/>
      <c r="J1080" t="inlineStr">
        <is>
          <t>Project</t>
        </is>
      </c>
      <c r="K1080" t="inlineStr">
        <is>
          <t>PDEI - Event Service</t>
        </is>
      </c>
      <c r="L1080" t="inlineStr">
        <is>
          <t>GTCC Summer Showdown</t>
        </is>
      </c>
      <c r="M1080" t="inlineStr">
        <is>
          <t>2025TEG-P0040</t>
        </is>
      </c>
      <c r="N1080" t="inlineStr">
        <is>
          <t>Frances Angelita Arreglado</t>
        </is>
      </c>
      <c r="O1080" t="inlineStr">
        <is>
          <t>202506030066-Frances Angelita Arreglado-费用报销 - 副本 - 副本 - 副本-2025-06-03 07:28:31</t>
        </is>
      </c>
      <c r="P1080" t="inlineStr">
        <is>
          <t>NO</t>
        </is>
      </c>
      <c r="Q1080"/>
      <c r="R1080" t="inlineStr">
        <is>
          <t>NO</t>
        </is>
      </c>
      <c r="S1080" t="inlineStr">
        <is>
          <t>Customized Bomber Jacket (M-XXXL)</t>
        </is>
      </c>
      <c r="T1080">
        <v>15</v>
      </c>
      <c r="U1080">
        <v>2000</v>
      </c>
      <c r="V1080" t="inlineStr">
        <is>
          <t>PHP</t>
        </is>
      </c>
      <c r="W1080">
        <v>30000</v>
      </c>
      <c r="X1080" s="2"/>
      <c r="Y1080" t="inlineStr">
        <is>
          <t>Bank Transfer</t>
        </is>
      </c>
      <c r="Z1080" t="inlineStr">
        <is>
          <t>CG VENEZUELA ENTERPRISES</t>
        </is>
      </c>
      <c r="AA1080" t="inlineStr">
        <is>
          <t>4053405309476</t>
        </is>
      </c>
      <c r="AB1080" t="inlineStr">
        <is>
          <t>Metrobank</t>
        </is>
      </c>
      <c r="AC1080" t="inlineStr">
        <is>
          <t>22 Bayabas St., Elmar's Subd., Cupang, Antipolo City</t>
        </is>
      </c>
      <c r="AD1080" s="4">
        <v>45858</v>
      </c>
      <c r="AE1080" t="inlineStr">
        <is>
          <t>50% Down Payment upon confirmation
50% Final Payment upon full delivery</t>
        </is>
      </c>
      <c r="AF1080" s="2"/>
      <c r="AG1080" t="inlineStr">
        <is>
          <t>NzQyNTk5MTgyNzQ4MTg3MDM0MTo3MjlDNkVDQS0zNUJELTQwNjQtQTRFRS05ODdBRUIxMTVBMEQtMToxNzk5NTk5OWFjYmMyMjdhOGMzMjAyMTM5YzRhOWU1Yzox</t>
        </is>
      </c>
      <c r="AH1080" t="inlineStr">
        <is>
          <t>CG Venezuela Enterprises</t>
        </is>
      </c>
      <c r="AI1080"/>
      <c r="AJ1080"/>
      <c r="AK1080"/>
    </row>
    <row r="1081" ht="25.5" customHeight="1">
      <c r="A1081" s="2" t="str">
        <f>=HYPERLINK("https://applink.larksuite.com/client/mini_program/open?appId=cli_9c7cc8a9a9edd105&amp;mode=appCenter&amp;path_pc=pc/pages/requested/index?instanceId=7525339483844132902&amp;source=bitable&amp;path=pages/detail/index?instanceId=7525339483844132902&amp;source=bitable", "202507100067")</f>
        <v>202507100067</v>
      </c>
      <c r="B1081" t="inlineStr">
        <is>
          <t>Approved</t>
        </is>
      </c>
      <c r="C1081" t="inlineStr">
        <is>
          <t>Procurement Order</t>
        </is>
      </c>
      <c r="D1081" s="3">
        <v>45848.6115162037</v>
      </c>
      <c r="E1081" s="3">
        <v>45849.68366898148</v>
      </c>
      <c r="F1081" t="inlineStr">
        <is>
          <t>Fatima Kathleen M. FLores</t>
        </is>
      </c>
      <c r="G1081" t="inlineStr">
        <is>
          <t>Procurement</t>
        </is>
      </c>
      <c r="H1081"/>
      <c r="I1081"/>
      <c r="J1081" t="inlineStr">
        <is>
          <t>Project</t>
        </is>
      </c>
      <c r="K1081" t="inlineStr">
        <is>
          <t>PDEI - Event Service</t>
        </is>
      </c>
      <c r="L1081" t="inlineStr">
        <is>
          <t>GTCC Summer Showdown</t>
        </is>
      </c>
      <c r="M1081" t="inlineStr">
        <is>
          <t>2025TEG-P0040</t>
        </is>
      </c>
      <c r="N1081" t="inlineStr">
        <is>
          <t>Frances Angelita Arreglado</t>
        </is>
      </c>
      <c r="O1081" t="inlineStr">
        <is>
          <t>202506030066-Frances Angelita Arreglado-费用报销 - 副本 - 副本 - 副本-2025-06-03 07:28:31</t>
        </is>
      </c>
      <c r="P1081" t="inlineStr">
        <is>
          <t>NO</t>
        </is>
      </c>
      <c r="Q1081"/>
      <c r="R1081" t="inlineStr">
        <is>
          <t>NO</t>
        </is>
      </c>
      <c r="S1081" t="inlineStr">
        <is>
          <t>Inner Lining (Microfiber)</t>
        </is>
      </c>
      <c r="T1081">
        <v>15</v>
      </c>
      <c r="U1081">
        <v>80</v>
      </c>
      <c r="V1081" t="inlineStr">
        <is>
          <t>PHP</t>
        </is>
      </c>
      <c r="W1081">
        <v>1200</v>
      </c>
      <c r="X1081" s="2" t="str">
        <f>=HYPERLINK("https://www.larksuite.com/approval/admin/previewAttachment?key=PMgxDsJADATAL-3a6_OZz9AkikCEaxB0fjsSBe2MSYwZ9FFQ0QrsDAv30vQp0a1gbc3MQjKh3p_HVXauR6z3PXbf1tmf23bsL0alGdIlnwB4-bunpKoh_JzfAAAA__8", "2 attachment(s)")</f>
        <v>2 attachment(s)</v>
      </c>
      <c r="Y1081"/>
      <c r="Z1081"/>
      <c r="AA1081"/>
      <c r="AB1081"/>
      <c r="AC1081"/>
      <c r="AD1081" s="4"/>
      <c r="AE1081"/>
      <c r="AF1081" s="2"/>
      <c r="AG1081" t="inlineStr">
        <is>
          <t>NzQyNTk5MTgyNzQ4MTg3MDM0MTo3MjlDNkVDQS0zNUJELTQwNjQtQTRFRS05ODdBRUIxMTVBMEQtMjo3YjFhYjMwMWU3NDgyOThmZDZjODc4NGI3OGY0ODczZDox</t>
        </is>
      </c>
      <c r="AH1081"/>
      <c r="AI1081"/>
      <c r="AJ1081"/>
      <c r="AK1081"/>
    </row>
    <row r="1082" ht="25.5" customHeight="1">
      <c r="A1082" s="2" t="str">
        <f>=HYPERLINK("https://applink.larksuite.com/client/mini_program/open?appId=cli_9c7cc8a9a9edd105&amp;mode=appCenter&amp;path_pc=pc/pages/requested/index?instanceId=7520455261505503270&amp;source=bitable&amp;path=pages/detail/index?instanceId=7520455261505503270&amp;source=bitable", "202506270015")</f>
        <v>202506270015</v>
      </c>
      <c r="B1082" t="inlineStr">
        <is>
          <t>Approved</t>
        </is>
      </c>
      <c r="C1082" t="inlineStr">
        <is>
          <t>Procurement Order</t>
        </is>
      </c>
      <c r="D1082" s="3">
        <v>45835.449525462966</v>
      </c>
      <c r="E1082" s="3">
        <v>45855.712488425925</v>
      </c>
      <c r="F1082" t="inlineStr">
        <is>
          <t>Fatima Kathleen M. FLores</t>
        </is>
      </c>
      <c r="G1082" t="inlineStr">
        <is>
          <t>Procurement</t>
        </is>
      </c>
      <c r="H1082"/>
      <c r="I1082"/>
      <c r="J1082" t="inlineStr">
        <is>
          <t>Project</t>
        </is>
      </c>
      <c r="K1082" t="inlineStr">
        <is>
          <t>PDEI - Game Marketing</t>
        </is>
      </c>
      <c r="L1082" t="inlineStr">
        <is>
          <t>Minotaur x Jollibee GameJoy Launch</t>
        </is>
      </c>
      <c r="M1082" t="inlineStr">
        <is>
          <t>2025TEG-P0091</t>
        </is>
      </c>
      <c r="N1082" t="inlineStr">
        <is>
          <t>Duane Aaron Baret Cadangan</t>
        </is>
      </c>
      <c r="O1082" t="inlineStr">
        <is>
          <t>202506100102-Duane Aaron Baret Cadangan-费用报销 - 副本 - 副本 - 副本-2025-06-10 08:20:37</t>
        </is>
      </c>
      <c r="P1082" t="inlineStr">
        <is>
          <t>NO</t>
        </is>
      </c>
      <c r="Q1082"/>
      <c r="R1082" t="inlineStr">
        <is>
          <t>YES</t>
        </is>
      </c>
      <c r="S1082" t="inlineStr">
        <is>
          <t>HEXASHAPES IDs (Material: PVC, back to back / Size: 3.877 x 4.637)</t>
        </is>
      </c>
      <c r="T1082">
        <v>260</v>
      </c>
      <c r="U1082">
        <v>100.8</v>
      </c>
      <c r="V1082" t="inlineStr">
        <is>
          <t>PHP</t>
        </is>
      </c>
      <c r="W1082">
        <v>26208</v>
      </c>
      <c r="X1082" s="2"/>
      <c r="Y1082" t="inlineStr">
        <is>
          <t>Bank Transfer</t>
        </is>
      </c>
      <c r="Z1082" t="inlineStr">
        <is>
          <t>Bescost Digital Marketing Services Inc.</t>
        </is>
      </c>
      <c r="AA1082" t="inlineStr">
        <is>
          <t>00000-5674-8951</t>
        </is>
      </c>
      <c r="AB1082" t="inlineStr">
        <is>
          <t>Security Bank</t>
        </is>
      </c>
      <c r="AC1082" t="inlineStr">
        <is>
          <t>5105-A Sulok St., Brgy. Ugong, Valenuela City</t>
        </is>
      </c>
      <c r="AD1082" s="4">
        <v>45779</v>
      </c>
      <c r="AE1082" t="inlineStr">
        <is>
          <t>100% Full Payment - 15 days upon complete delivery.</t>
        </is>
      </c>
      <c r="AF1082" s="2"/>
      <c r="AG1082" t="inlineStr">
        <is>
          <t>NzQyNTk5MTgyNzQ4MTg3MDM0MTpGRTBENUYxQi0xNzlFLTQ1REQtQTRFMy00NzVDNkQ4QUM5OTktMTpkMGRkNzhjOTFjYTNmNDU5ZTcxYWQ5MTUzYmI4M2ZiYjox</t>
        </is>
      </c>
      <c r="AH1082"/>
      <c r="AI1082"/>
      <c r="AJ1082"/>
      <c r="AK1082"/>
    </row>
    <row r="1083" ht="25.5" customHeight="1">
      <c r="A1083" s="2" t="str">
        <f>=HYPERLINK("https://applink.larksuite.com/client/mini_program/open?appId=cli_9c7cc8a9a9edd105&amp;mode=appCenter&amp;path_pc=pc/pages/requested/index?instanceId=7520455261505503270&amp;source=bitable&amp;path=pages/detail/index?instanceId=7520455261505503270&amp;source=bitable", "202506270015")</f>
        <v>202506270015</v>
      </c>
      <c r="B1083" t="inlineStr">
        <is>
          <t>Approved</t>
        </is>
      </c>
      <c r="C1083" t="inlineStr">
        <is>
          <t>Procurement Order</t>
        </is>
      </c>
      <c r="D1083" s="3">
        <v>45835.449525462966</v>
      </c>
      <c r="E1083" s="3">
        <v>45855.712488425925</v>
      </c>
      <c r="F1083" t="inlineStr">
        <is>
          <t>Fatima Kathleen M. FLores</t>
        </is>
      </c>
      <c r="G1083" t="inlineStr">
        <is>
          <t>Procurement</t>
        </is>
      </c>
      <c r="H1083"/>
      <c r="I1083"/>
      <c r="J1083" t="inlineStr">
        <is>
          <t>Project</t>
        </is>
      </c>
      <c r="K1083" t="inlineStr">
        <is>
          <t>PDEI - Game Marketing</t>
        </is>
      </c>
      <c r="L1083" t="inlineStr">
        <is>
          <t>Minotaur x Jollibee GameJoy Launch</t>
        </is>
      </c>
      <c r="M1083" t="inlineStr">
        <is>
          <t>2025TEG-P0091</t>
        </is>
      </c>
      <c r="N1083" t="inlineStr">
        <is>
          <t>Duane Aaron Baret Cadangan</t>
        </is>
      </c>
      <c r="O1083" t="inlineStr">
        <is>
          <t>202506100102-Duane Aaron Baret Cadangan-费用报销 - 副本 - 副本 - 副本-2025-06-10 08:20:37</t>
        </is>
      </c>
      <c r="P1083" t="inlineStr">
        <is>
          <t>NO</t>
        </is>
      </c>
      <c r="Q1083"/>
      <c r="R1083" t="inlineStr">
        <is>
          <t>YES</t>
        </is>
      </c>
      <c r="S1083" t="inlineStr">
        <is>
          <t>STICKER SHEET (Material: Satin sticker / Size: 0.937 x 0.930)</t>
        </is>
      </c>
      <c r="T1083">
        <v>600</v>
      </c>
      <c r="U1083">
        <v>2.24</v>
      </c>
      <c r="V1083" t="inlineStr">
        <is>
          <t>PHP</t>
        </is>
      </c>
      <c r="W1083">
        <v>1344</v>
      </c>
      <c r="X1083" s="2"/>
      <c r="Y1083"/>
      <c r="Z1083"/>
      <c r="AA1083"/>
      <c r="AB1083"/>
      <c r="AC1083"/>
      <c r="AD1083" s="4"/>
      <c r="AE1083"/>
      <c r="AF1083" s="2"/>
      <c r="AG1083" t="inlineStr">
        <is>
          <t>NzQyNTk5MTgyNzQ4MTg3MDM0MTpGRTBENUYxQi0xNzlFLTQ1REQtQTRFMy00NzVDNkQ4QUM5OTktMjozYzMzZjg3MGNkOTVlYTRmN2FkZjNmZjVkNmY2YWJmNTox</t>
        </is>
      </c>
      <c r="AH1083"/>
      <c r="AI1083"/>
      <c r="AJ1083"/>
      <c r="AK1083"/>
    </row>
    <row r="1084" ht="25.5" customHeight="1">
      <c r="A1084" s="2" t="str">
        <f>=HYPERLINK("https://applink.larksuite.com/client/mini_program/open?appId=cli_9c7cc8a9a9edd105&amp;mode=appCenter&amp;path_pc=pc/pages/requested/index?instanceId=7520455261505503270&amp;source=bitable&amp;path=pages/detail/index?instanceId=7520455261505503270&amp;source=bitable", "202506270015")</f>
        <v>202506270015</v>
      </c>
      <c r="B1084" t="inlineStr">
        <is>
          <t>Approved</t>
        </is>
      </c>
      <c r="C1084" t="inlineStr">
        <is>
          <t>Procurement Order</t>
        </is>
      </c>
      <c r="D1084" s="3">
        <v>45835.449525462966</v>
      </c>
      <c r="E1084" s="3">
        <v>45855.712488425925</v>
      </c>
      <c r="F1084" t="inlineStr">
        <is>
          <t>Fatima Kathleen M. FLores</t>
        </is>
      </c>
      <c r="G1084" t="inlineStr">
        <is>
          <t>Procurement</t>
        </is>
      </c>
      <c r="H1084"/>
      <c r="I1084"/>
      <c r="J1084" t="inlineStr">
        <is>
          <t>Project</t>
        </is>
      </c>
      <c r="K1084" t="inlineStr">
        <is>
          <t>PDEI - Game Marketing</t>
        </is>
      </c>
      <c r="L1084" t="inlineStr">
        <is>
          <t>Minotaur x Jollibee GameJoy Launch</t>
        </is>
      </c>
      <c r="M1084" t="inlineStr">
        <is>
          <t>2025TEG-P0091</t>
        </is>
      </c>
      <c r="N1084" t="inlineStr">
        <is>
          <t>Duane Aaron Baret Cadangan</t>
        </is>
      </c>
      <c r="O1084" t="inlineStr">
        <is>
          <t>202506100102-Duane Aaron Baret Cadangan-费用报销 - 副本 - 副本 - 副本-2025-06-10 08:20:37</t>
        </is>
      </c>
      <c r="P1084" t="inlineStr">
        <is>
          <t>NO</t>
        </is>
      </c>
      <c r="Q1084"/>
      <c r="R1084" t="inlineStr">
        <is>
          <t>YES</t>
        </is>
      </c>
      <c r="S1084" t="inlineStr">
        <is>
          <t>RUSH FEE</t>
        </is>
      </c>
      <c r="T1084">
        <v>1</v>
      </c>
      <c r="U1084">
        <v>2755.2</v>
      </c>
      <c r="V1084" t="inlineStr">
        <is>
          <t>PHP</t>
        </is>
      </c>
      <c r="W1084">
        <v>2755.2</v>
      </c>
      <c r="X1084" s="2" t="str">
        <f>=HYPERLINK("https://www.larksuite.com/approval/admin/previewAttachment?key=PMhLCsJAEATQK1XV9Gfay7hJCIIJCMKAiz674MLti0nEdI4oWFEFdrpg7go63DGUaDUzC8mE9X4dd63pJ_U51vU8t1evx3bsb3qlhBxmYwLg7e8jzawqDD_XNwAA__8", "2 attachment(s)")</f>
        <v>2 attachment(s)</v>
      </c>
      <c r="Y1084"/>
      <c r="Z1084"/>
      <c r="AA1084"/>
      <c r="AB1084"/>
      <c r="AC1084"/>
      <c r="AD1084" s="4"/>
      <c r="AE1084"/>
      <c r="AF1084" s="2"/>
      <c r="AG1084" t="inlineStr">
        <is>
          <t>NzQyNTk5MTgyNzQ4MTg3MDM0MTpGRTBENUYxQi0xNzlFLTQ1REQtQTRFMy00NzVDNkQ4QUM5OTktMzo5ZjAwODE5Njc1YmM0ODQ4NjM4NzE0NWNiMmFmMjM1NTox</t>
        </is>
      </c>
      <c r="AH1084"/>
      <c r="AI1084"/>
      <c r="AJ1084"/>
      <c r="AK1084"/>
    </row>
    <row r="1085" ht="25.5" customHeight="1">
      <c r="A1085" s="2" t="str">
        <f>=HYPERLINK("https://applink.larksuite.com/client/mini_program/open?appId=cli_9c7cc8a9a9edd105&amp;mode=appCenter&amp;path_pc=pc/pages/requested/index?instanceId=7526771836550381606&amp;source=bitable&amp;path=pages/detail/index?instanceId=7526771836550381606&amp;source=bitable", "202507140015")</f>
        <v>202507140015</v>
      </c>
      <c r="B1085" t="inlineStr">
        <is>
          <t>Recalled</t>
        </is>
      </c>
      <c r="C1085" t="inlineStr">
        <is>
          <t>Procurement Order</t>
        </is>
      </c>
      <c r="D1085" s="3">
        <v>45852.47142361111</v>
      </c>
      <c r="E1085" s="3">
        <v>45852.47232638889</v>
      </c>
      <c r="F1085" t="inlineStr">
        <is>
          <t>Fatima Kathleen M. FLores</t>
        </is>
      </c>
      <c r="G1085" t="inlineStr">
        <is>
          <t>Procurement</t>
        </is>
      </c>
      <c r="H1085"/>
      <c r="I1085"/>
      <c r="J1085" t="inlineStr">
        <is>
          <t>Project</t>
        </is>
      </c>
      <c r="K1085" t="inlineStr">
        <is>
          <t>PDEI - Game Marketing</t>
        </is>
      </c>
      <c r="L1085" t="inlineStr">
        <is>
          <t>realme Cup tech rider</t>
        </is>
      </c>
      <c r="M1085" t="inlineStr">
        <is>
          <t>2025TEG-P0166</t>
        </is>
      </c>
      <c r="N1085" t="inlineStr">
        <is>
          <t>Anteaus Villena</t>
        </is>
      </c>
      <c r="O1085" t="inlineStr">
        <is>
          <t>202507090011-Anteaus Villena-费用报销 - 副本 - 副本 - 副本-2025-07-09 02:29:23</t>
        </is>
      </c>
      <c r="P1085" t="inlineStr">
        <is>
          <t>NO</t>
        </is>
      </c>
      <c r="Q1085"/>
      <c r="R1085" t="inlineStr">
        <is>
          <t>NO</t>
        </is>
      </c>
      <c r="S1085" t="inlineStr">
        <is>
          <t>Outsourced Technical Services</t>
        </is>
      </c>
      <c r="T1085">
        <v>1</v>
      </c>
      <c r="U1085">
        <v>75000</v>
      </c>
      <c r="V1085" t="inlineStr">
        <is>
          <t>PHP</t>
        </is>
      </c>
      <c r="W1085">
        <v>75000</v>
      </c>
      <c r="X1085" s="2" t="str">
        <f>=HYPERLINK("https://www.larksuite.com/approval/admin/previewAttachment?key=PMgxCgJBDAXQK_2fZPITL2OzyyKoIMhoNWcXLLZ9WUTWoGcjmtbg0rCUWJ5jwIuJXLYoNUQh1v48rtus13x0xfzeSVuf23bsb46WGeQRXgB4Od0VEd0Z-Dt-AQAA__8", "2 attachment(s)")</f>
        <v>2 attachment(s)</v>
      </c>
      <c r="Y1085" t="inlineStr">
        <is>
          <t>Bank Transfer</t>
        </is>
      </c>
      <c r="Z1085" t="inlineStr">
        <is>
          <t>XSTATIC EVENT SYSTEM INC.</t>
        </is>
      </c>
      <c r="AA1085" t="inlineStr">
        <is>
          <t>011728001773</t>
        </is>
      </c>
      <c r="AB1085" t="inlineStr">
        <is>
          <t>BDO</t>
        </is>
      </c>
      <c r="AC1085" t="inlineStr">
        <is>
          <t>Blk. 15 Lot 26 BF Martinville Las Piñas City</t>
        </is>
      </c>
      <c r="AD1085" s="4">
        <v>45815</v>
      </c>
      <c r="AE1085" t="inlineStr">
        <is>
          <t>100% Full Payment upon confirmation</t>
        </is>
      </c>
      <c r="AF1085" s="2"/>
      <c r="AG1085" t="inlineStr">
        <is>
          <t>NzQyNTk5MTgyNzQ4MTg3MDM0MTpCRUY4RUMyQS1FRkM3LTQxNzQtQkNEMi00MURCRTIyQUNEODgtMTo0NThkMjkzMGVhZDY0OGM0ODY4YmFhM2YwYmVkMzE4Yjox</t>
        </is>
      </c>
      <c r="AH1085" t="inlineStr">
        <is>
          <t>XSTATIC EVENT SYSTEM INC.</t>
        </is>
      </c>
      <c r="AI1085"/>
      <c r="AJ1085"/>
      <c r="AK1085"/>
    </row>
    <row r="1086" ht="25.5" customHeight="1">
      <c r="A1086" s="2" t="str">
        <f>=HYPERLINK("https://applink.larksuite.com/client/mini_program/open?appId=cli_9c7cc8a9a9edd105&amp;mode=appCenter&amp;path_pc=pc/pages/requested/index?instanceId=7526772250981204000&amp;source=bitable&amp;path=pages/detail/index?instanceId=7526772250981204000&amp;source=bitable", "202507140016")</f>
        <v>202507140016</v>
      </c>
      <c r="B1086" t="inlineStr">
        <is>
          <t>Approved</t>
        </is>
      </c>
      <c r="C1086" t="inlineStr">
        <is>
          <t>Procurement Order</t>
        </is>
      </c>
      <c r="D1086" s="3">
        <v>45852.47253472222</v>
      </c>
      <c r="E1086" s="3">
        <v>45855.75342592593</v>
      </c>
      <c r="F1086" t="inlineStr">
        <is>
          <t>Fatima Kathleen M. FLores</t>
        </is>
      </c>
      <c r="G1086" t="inlineStr">
        <is>
          <t>Procurement</t>
        </is>
      </c>
      <c r="H1086"/>
      <c r="I1086"/>
      <c r="J1086" t="inlineStr">
        <is>
          <t>Project</t>
        </is>
      </c>
      <c r="K1086" t="inlineStr">
        <is>
          <t>PDEI - Game Marketing</t>
        </is>
      </c>
      <c r="L1086" t="inlineStr">
        <is>
          <t>realme Cup tech rider</t>
        </is>
      </c>
      <c r="M1086" t="inlineStr">
        <is>
          <t>2025TEG-P0166</t>
        </is>
      </c>
      <c r="N1086" t="inlineStr">
        <is>
          <t>Anteaus Villena</t>
        </is>
      </c>
      <c r="O1086" t="inlineStr">
        <is>
          <t>202507090011-Anteaus Villena-费用报销 - 副本 - 副本 - 副本-2025-07-09 02:29:23</t>
        </is>
      </c>
      <c r="P1086" t="inlineStr">
        <is>
          <t>NO</t>
        </is>
      </c>
      <c r="Q1086"/>
      <c r="R1086" t="inlineStr">
        <is>
          <t>NO</t>
        </is>
      </c>
      <c r="S1086" t="inlineStr">
        <is>
          <t>Outsourced Technical Services</t>
        </is>
      </c>
      <c r="T1086">
        <v>1</v>
      </c>
      <c r="U1086">
        <v>75600</v>
      </c>
      <c r="V1086" t="inlineStr">
        <is>
          <t>PHP</t>
        </is>
      </c>
      <c r="W1086">
        <v>75600</v>
      </c>
      <c r="X1086" s="2" t="str">
        <f>=HYPERLINK("https://www.larksuite.com/approval/admin/previewAttachment?key=PMwhDsNADATAL-3avls7nynJKWpBUJUwv70qCR0wM4mZgz4LUbQCW8OmZDZQSUMAaGtKBVGIXufxWp70-3LBzs-19_3ej_XlKJlBHuEJgNvjroiomv8O3PALAAD__w", "2 attachment(s)")</f>
        <v>2 attachment(s)</v>
      </c>
      <c r="Y1086" t="inlineStr">
        <is>
          <t>Bank Transfer</t>
        </is>
      </c>
      <c r="Z1086" t="inlineStr">
        <is>
          <t>XSTATIC EVENT SYSTEM INC.</t>
        </is>
      </c>
      <c r="AA1086" t="inlineStr">
        <is>
          <t>011728001773</t>
        </is>
      </c>
      <c r="AB1086" t="inlineStr">
        <is>
          <t>BDO</t>
        </is>
      </c>
      <c r="AC1086" t="inlineStr">
        <is>
          <t>Blk. 15 Lot 26 BF Martinville Las Piñas City</t>
        </is>
      </c>
      <c r="AD1086" s="4">
        <v>45815</v>
      </c>
      <c r="AE1086" t="inlineStr">
        <is>
          <t>100% Full Payment upon confirmation</t>
        </is>
      </c>
      <c r="AF1086" s="2"/>
      <c r="AG1086" t="inlineStr">
        <is>
          <t>NzQyNTk5MTgyNzQ4MTg3MDM0MTpCMjQ4RjA1NS01ODU1LTRDRTUtQjlEQy00NDZEN0JCMUUzNDctMTo5ZGJkYjkzNGI4NmNmY2VjNWZjZjA5ZWVkYTE2MDQ1MTox</t>
        </is>
      </c>
      <c r="AH1086" t="inlineStr">
        <is>
          <t>XSTATIC EVENT SYSTEM INC.</t>
        </is>
      </c>
      <c r="AI1086"/>
      <c r="AJ1086"/>
      <c r="AK1086"/>
    </row>
    <row r="1087" ht="25.5" customHeight="1">
      <c r="A1087" s="2" t="str">
        <f>=HYPERLINK("https://applink.larksuite.com/client/mini_program/open?appId=cli_9c7cc8a9a9edd105&amp;mode=appCenter&amp;path_pc=pc/pages/requested/index?instanceId=7526849954652897319&amp;source=bitable&amp;path=pages/detail/index?instanceId=7526849954652897319&amp;source=bitable", "202507140084")</f>
        <v>202507140084</v>
      </c>
      <c r="B1087" t="inlineStr">
        <is>
          <t>Approved</t>
        </is>
      </c>
      <c r="C1087" t="inlineStr">
        <is>
          <t>Procurement Order</t>
        </is>
      </c>
      <c r="D1087" s="3">
        <v>45852.68193287037</v>
      </c>
      <c r="E1087" s="3">
        <v>45855.72678240741</v>
      </c>
      <c r="F1087" t="inlineStr">
        <is>
          <t>Fatima Kathleen M. FLores</t>
        </is>
      </c>
      <c r="G1087" t="inlineStr">
        <is>
          <t>Procurement</t>
        </is>
      </c>
      <c r="H1087"/>
      <c r="I1087"/>
      <c r="J1087" t="inlineStr">
        <is>
          <t>Project</t>
        </is>
      </c>
      <c r="K1087" t="inlineStr">
        <is>
          <t>PDEI - Event Service</t>
        </is>
      </c>
      <c r="L1087" t="inlineStr">
        <is>
          <t>MPL PH S15</t>
        </is>
      </c>
      <c r="M1087" t="inlineStr">
        <is>
          <t>2024TEG-P0430</t>
        </is>
      </c>
      <c r="N1087" t="inlineStr">
        <is>
          <t>JP dela Peña</t>
        </is>
      </c>
      <c r="O1087" t="inlineStr">
        <is>
          <t>202502170114-Tiny-费用报销 - 副本 - 副本 - 副本-2025-02-17 17:54:48</t>
        </is>
      </c>
      <c r="P1087" t="inlineStr">
        <is>
          <t>NO</t>
        </is>
      </c>
      <c r="Q1087"/>
      <c r="R1087" t="inlineStr">
        <is>
          <t>NO</t>
        </is>
      </c>
      <c r="S1087" t="inlineStr">
        <is>
          <t>Logistics Services (Egress)  (June 2, 2025)</t>
        </is>
      </c>
      <c r="T1087">
        <v>1</v>
      </c>
      <c r="U1087">
        <v>27960</v>
      </c>
      <c r="V1087" t="inlineStr">
        <is>
          <t>PHP</t>
        </is>
      </c>
      <c r="W1087">
        <v>27960</v>
      </c>
      <c r="X1087" s="2" t="str">
        <f>=HYPERLINK("https://www.larksuite.com/approval/admin/previewAttachment?key=PMgxCgJBDAXQK_0kP8l8L2PjMli4IMguWMzZBYttXw1DjbQogTIXbHV6DUrJSh_qMC1f1i20Nbi2fd6P79R-Rs_D33zlOp-PuX0s1e7oIGMAsNvl0SSlIv6OXwAAAP__", "2 attachment(s)")</f>
        <v>2 attachment(s)</v>
      </c>
      <c r="Y1087" t="inlineStr">
        <is>
          <t>Bank Transfer</t>
        </is>
      </c>
      <c r="Z1087" t="inlineStr">
        <is>
          <t>Truckrentalph Transport Logistics Inc</t>
        </is>
      </c>
      <c r="AA1087" t="inlineStr">
        <is>
          <t>121-700-001-557</t>
        </is>
      </c>
      <c r="AB1087" t="inlineStr">
        <is>
          <t>Chinabank</t>
        </is>
      </c>
      <c r="AC1087" t="inlineStr">
        <is>
          <t>3878 Daffodil St., Sun Valley Parañaque</t>
        </is>
      </c>
      <c r="AD1087" s="4">
        <v>45810</v>
      </c>
      <c r="AE1087" t="inlineStr">
        <is>
          <t>100% Full Payment upon completion of services</t>
        </is>
      </c>
      <c r="AF1087" s="2"/>
      <c r="AG1087" t="inlineStr">
        <is>
          <t>NzQyNTk5MTgyNzQ4MTg3MDM0MTo2QTFERUMxNi1GNjkxLTRFOTUtOTdDRS05Q0M2MjU4MEM3MkEtMTpmNmM4NzRmMmQ0NzhjZGViYzZmNmNlNjUyNTUyNmNmMzox</t>
        </is>
      </c>
      <c r="AH1087" t="inlineStr">
        <is>
          <t>Truckrentalph Transport Logistics Inc.</t>
        </is>
      </c>
      <c r="AI1087"/>
      <c r="AJ1087"/>
      <c r="AK1087"/>
    </row>
    <row r="1088" ht="25.5" customHeight="1">
      <c r="A1088" s="2" t="str">
        <f>=HYPERLINK("https://applink.larksuite.com/client/mini_program/open?appId=cli_9c7cc8a9a9edd105&amp;mode=appCenter&amp;path_pc=pc/pages/requested/index?instanceId=7526822455789256743&amp;source=bitable&amp;path=pages/detail/index?instanceId=7526822455789256743&amp;source=bitable", "202507140058")</f>
        <v>202507140058</v>
      </c>
      <c r="B1088" t="inlineStr">
        <is>
          <t>Approved</t>
        </is>
      </c>
      <c r="C1088" t="inlineStr">
        <is>
          <t>Procurement Order</t>
        </is>
      </c>
      <c r="D1088" s="3">
        <v>45852.607835648145</v>
      </c>
      <c r="E1088" s="3">
        <v>45855.58863425926</v>
      </c>
      <c r="F1088" t="inlineStr">
        <is>
          <t>Fatima Kathleen M. FLores</t>
        </is>
      </c>
      <c r="G1088" t="inlineStr">
        <is>
          <t>Procurement</t>
        </is>
      </c>
      <c r="H1088"/>
      <c r="I1088"/>
      <c r="J1088" t="inlineStr">
        <is>
          <t>Project</t>
        </is>
      </c>
      <c r="K1088" t="inlineStr">
        <is>
          <t>PDEI - Event Service</t>
        </is>
      </c>
      <c r="L1088" t="inlineStr">
        <is>
          <t>GTCC Summer Showdown</t>
        </is>
      </c>
      <c r="M1088" t="inlineStr">
        <is>
          <t>2025TEG-P0040</t>
        </is>
      </c>
      <c r="N1088" t="inlineStr">
        <is>
          <t>Frances Angelita Arreglado</t>
        </is>
      </c>
      <c r="O1088" t="inlineStr">
        <is>
          <t>202506030066-Frances Angelita Arreglado-费用报销 - 副本 - 副本 - 副本-2025-06-03 07:28:31</t>
        </is>
      </c>
      <c r="P1088" t="inlineStr">
        <is>
          <t>NO</t>
        </is>
      </c>
      <c r="Q1088"/>
      <c r="R1088" t="inlineStr">
        <is>
          <t>YES</t>
        </is>
      </c>
      <c r="S1088" t="inlineStr">
        <is>
          <t>Full Leather Jacket (1 pc)  and Embroidered Cap (1 pc)</t>
        </is>
      </c>
      <c r="T1088">
        <v>1</v>
      </c>
      <c r="U1088">
        <v>11000</v>
      </c>
      <c r="V1088" t="inlineStr">
        <is>
          <t>PHP</t>
        </is>
      </c>
      <c r="W1088">
        <v>11000</v>
      </c>
      <c r="X1088" s="2" t="str">
        <f>=HYPERLINK("https://www.larksuite.com/approval/admin/previewAttachment?key=PMg9CsJAEAXgK72ZefPnZWyyBJFkGyFWe3bBIu0XJYhysWiwRRuy0jVKle5ZrR5JW7oks5GS4Brn_nyfo47roG1zyneu67Xt4yPeqYo00gqAPG63JNkdxN_xCwAA__8", "2 attachment(s)")</f>
        <v>2 attachment(s)</v>
      </c>
      <c r="Y1088" t="inlineStr">
        <is>
          <t>Bank Transfer</t>
        </is>
      </c>
      <c r="Z1088" t="inlineStr">
        <is>
          <t>JCKTATBP. TAILORING SERVICES</t>
        </is>
      </c>
      <c r="AA1088" t="inlineStr">
        <is>
          <t>0000050044672</t>
        </is>
      </c>
      <c r="AB1088" t="inlineStr">
        <is>
          <t>Security Bank</t>
        </is>
      </c>
      <c r="AC1088" t="inlineStr">
        <is>
          <t>21 pacific st baesa Quezon City</t>
        </is>
      </c>
      <c r="AD1088" s="4">
        <v>45869</v>
      </c>
      <c r="AE1088" t="inlineStr">
        <is>
          <t>50% Down Payment upon confirmation
50% Full Payment upon complete delivery</t>
        </is>
      </c>
      <c r="AF1088" s="2" t="str">
        <f>=HYPERLINK("https://www.larksuite.com/approval/admin/previewAttachment?key=TMg9CsJAEAXgK703_-NlbLIEkWQbIVZ7dsEq7RdFRDk1GtaUBle6RImYe1aLR5ouWcxsJBO2xrk_3-eo4zpMtzn5net6bfv4MEoD1m7GBsDHzUl0aejf8QsAAP__", "4 attachment(s)")</f>
        <v>4 attachment(s)</v>
      </c>
      <c r="AG1088" t="inlineStr">
        <is>
          <t>NzQyNTk5MTgyNzQ4MTg3MDM0MTpFQzIwMkY0OS1FREQ0LTQ0MDAtQkIzNS0xNUI5M0NDREM5REItMTo0YmY3OGYzYTdmZDVkOGFlNGNjYjZkNDBjOWUyMTdlODox</t>
        </is>
      </c>
      <c r="AH1088" t="inlineStr">
        <is>
          <t>JCKTATBP. TAILORING SERVICES</t>
        </is>
      </c>
      <c r="AI1088"/>
      <c r="AJ1088"/>
      <c r="AK1088"/>
    </row>
    <row r="1089" ht="25.5" customHeight="1">
      <c r="A1089" s="2" t="str">
        <f>=HYPERLINK("https://applink.larksuite.com/client/mini_program/open?appId=cli_9c7cc8a9a9edd105&amp;mode=appCenter&amp;path_pc=pc/pages/requested/index?instanceId=7526824902448431136&amp;source=bitable&amp;path=pages/detail/index?instanceId=7526824902448431136&amp;source=bitable", "202507140065")</f>
        <v>202507140065</v>
      </c>
      <c r="B1089" t="inlineStr">
        <is>
          <t>Approved</t>
        </is>
      </c>
      <c r="C1089" t="inlineStr">
        <is>
          <t>Procurement Order</t>
        </is>
      </c>
      <c r="D1089" s="3">
        <v>45852.6144212963</v>
      </c>
      <c r="E1089" s="3">
        <v>45856.719305555554</v>
      </c>
      <c r="F1089" t="inlineStr">
        <is>
          <t>Fatima Kathleen M. FLores</t>
        </is>
      </c>
      <c r="G1089" t="inlineStr">
        <is>
          <t>Procurement</t>
        </is>
      </c>
      <c r="H1089"/>
      <c r="I1089"/>
      <c r="J1089" t="inlineStr">
        <is>
          <t>Project</t>
        </is>
      </c>
      <c r="K1089" t="inlineStr">
        <is>
          <t>PDEI - Event Service</t>
        </is>
      </c>
      <c r="L1089" t="inlineStr">
        <is>
          <t>M6 WATCH PARTY - ADDENDUM (Safety)</t>
        </is>
      </c>
      <c r="M1089" t="inlineStr">
        <is>
          <t>2024TEG-P0428</t>
        </is>
      </c>
      <c r="N1089" t="inlineStr">
        <is>
          <t>Kervin</t>
        </is>
      </c>
      <c r="O1089" t="inlineStr">
        <is>
          <t>202506300051-Kervin-费用报销 - 副本 - 副本 - 副本-2025-06-30 07:06:16</t>
        </is>
      </c>
      <c r="P1089" t="inlineStr">
        <is>
          <t>YES</t>
        </is>
      </c>
      <c r="Q1089"/>
      <c r="R1089" t="inlineStr">
        <is>
          <t>YES</t>
        </is>
      </c>
      <c r="S1089" t="inlineStr">
        <is>
          <t>Outsourced Safety Officer</t>
        </is>
      </c>
      <c r="T1089">
        <v>1</v>
      </c>
      <c r="U1089">
        <v>2500</v>
      </c>
      <c r="V1089" t="inlineStr">
        <is>
          <t>PHP</t>
        </is>
      </c>
      <c r="W1089">
        <v>2500</v>
      </c>
      <c r="X1089" s="2" t="str">
        <f>=HYPERLINK("https://www.larksuite.com/approval/admin/previewAttachment?key=PMg9rsIwEATgK83sjvfnXeY1iSwoXCEipfDZkShovygiatCjoaY1uHNYlKlhUslJj22bmY1kQvtc8_99z15jXEtW9_Hc1-OY54uj0wzpkhcA_v3cU1J3CF_HJwAA__8", "2 attachment(s)")</f>
        <v>2 attachment(s)</v>
      </c>
      <c r="Y1089" t="inlineStr">
        <is>
          <t>Bank Transfer</t>
        </is>
      </c>
      <c r="Z1089" t="inlineStr">
        <is>
          <t>Alfredo A Go</t>
        </is>
      </c>
      <c r="AA1089" t="inlineStr">
        <is>
          <t>0206245243</t>
        </is>
      </c>
      <c r="AB1089" t="inlineStr">
        <is>
          <t>BPI</t>
        </is>
      </c>
      <c r="AC1089" t="inlineStr">
        <is>
          <t>B8 L6 Sampaguita St. Valley Homes Subd. Cupang Antipolo City</t>
        </is>
      </c>
      <c r="AD1089" s="4">
        <v>45640</v>
      </c>
      <c r="AE1089" t="inlineStr">
        <is>
          <t>100% Full Payment - July 18, 2025</t>
        </is>
      </c>
      <c r="AF1089" s="2"/>
      <c r="AG1089" t="inlineStr">
        <is>
          <t>NzQyNTk5MTgyNzQ4MTg3MDM0MTpFRTAwMjZGMS0xQzYwLTQxOTUtOEE2Mi00QjFCM0Q3QzZFNzgtMToyMDM0NmQxMmQyMTU4ZWY1ZDY2MjJkY2VkMDM4M2IzYTox</t>
        </is>
      </c>
      <c r="AH1089" t="inlineStr">
        <is>
          <t>Alfredo A Go</t>
        </is>
      </c>
      <c r="AI1089"/>
      <c r="AJ1089"/>
      <c r="AK1089"/>
    </row>
    <row r="1090" ht="25.5" customHeight="1">
      <c r="A1090" s="2" t="str">
        <f>=HYPERLINK("https://applink.larksuite.com/client/mini_program/open?appId=cli_9c7cc8a9a9edd105&amp;mode=appCenter&amp;path_pc=pc/pages/requested/index?instanceId=7526847565946470439&amp;source=bitable&amp;path=pages/detail/index?instanceId=7526847565946470439&amp;source=bitable", "202507140079")</f>
        <v>202507140079</v>
      </c>
      <c r="B1090" t="inlineStr">
        <is>
          <t>Approved</t>
        </is>
      </c>
      <c r="C1090" t="inlineStr">
        <is>
          <t>Procurement Order</t>
        </is>
      </c>
      <c r="D1090" s="3">
        <v>45852.67549768519</v>
      </c>
      <c r="E1090" s="3">
        <v>45855.72796296296</v>
      </c>
      <c r="F1090" t="inlineStr">
        <is>
          <t>Fatima Kathleen M. FLores</t>
        </is>
      </c>
      <c r="G1090" t="inlineStr">
        <is>
          <t>Procurement</t>
        </is>
      </c>
      <c r="H1090"/>
      <c r="I1090"/>
      <c r="J1090" t="inlineStr">
        <is>
          <t>Project</t>
        </is>
      </c>
      <c r="K1090" t="inlineStr">
        <is>
          <t>PDEI - Event Service</t>
        </is>
      </c>
      <c r="L1090" t="inlineStr">
        <is>
          <t>MPL PH S15</t>
        </is>
      </c>
      <c r="M1090" t="inlineStr">
        <is>
          <t>2024TEG-P0430</t>
        </is>
      </c>
      <c r="N1090" t="inlineStr">
        <is>
          <t>JP dela Peña</t>
        </is>
      </c>
      <c r="O1090" t="inlineStr">
        <is>
          <t>202502170114-Tiny-费用报销 - 副本 - 副本 - 副本-2025-02-17 17:54:48</t>
        </is>
      </c>
      <c r="P1090" t="inlineStr">
        <is>
          <t>NO</t>
        </is>
      </c>
      <c r="Q1090"/>
      <c r="R1090" t="inlineStr">
        <is>
          <t>NO</t>
        </is>
      </c>
      <c r="S1090" t="inlineStr">
        <is>
          <t>Logistics Services (Egress) - 6W 14ft / 16ft Closed Van (June 2, 2025)</t>
        </is>
      </c>
      <c r="T1090">
        <v>1</v>
      </c>
      <c r="U1090">
        <v>10136</v>
      </c>
      <c r="V1090" t="inlineStr">
        <is>
          <t>PHP</t>
        </is>
      </c>
      <c r="W1090">
        <v>10136</v>
      </c>
      <c r="X1090" s="2" t="str">
        <f>=HYPERLINK("https://www.larksuite.com/approval/admin/previewAttachment?key=PMgxCgJBDAXQK_1kfvInXsbGYVHcrUTRImcXLGxfTkPOsJEFlnnBWuE5qcgoJgWOam-TCjKBvY7tvMe6H8_bbpA-b-_X9bKth0XJHRrkmADs9PchklVJ_BzfAAAA__8", "3 attachment(s)")</f>
        <v>3 attachment(s)</v>
      </c>
      <c r="Y1090" t="inlineStr">
        <is>
          <t>Bank Transfer</t>
        </is>
      </c>
      <c r="Z1090" t="inlineStr">
        <is>
          <t xml:space="preserve">ONE-MAX TRUCKING SERVICES </t>
        </is>
      </c>
      <c r="AA1090" t="inlineStr">
        <is>
          <t>504-3-50448621-5</t>
        </is>
      </c>
      <c r="AB1090" t="inlineStr">
        <is>
          <t>Metrobank</t>
        </is>
      </c>
      <c r="AC1090" t="inlineStr">
        <is>
          <t>Eastdrive St., Marikina Heights, Marikina City</t>
        </is>
      </c>
      <c r="AD1090" s="4">
        <v>45810</v>
      </c>
      <c r="AE1090" t="inlineStr">
        <is>
          <t>100% Full Payment upon completion of services</t>
        </is>
      </c>
      <c r="AF1090" s="2"/>
      <c r="AG1090" t="inlineStr">
        <is>
          <t>NzQyNTk5MTgyNzQ4MTg3MDM0MToxOTVFQjZGRi05MTA2LTQ2QzQtQUMyNy1CMzQ5QzM4MkVBQ0QtMTpjYjk5ODEyODgyYzI0NjEzYzY1YTVhNGQzYWI3MDU0Njox</t>
        </is>
      </c>
      <c r="AH1090" t="inlineStr">
        <is>
          <t>ONE-MAX TRUCKING SERVICES</t>
        </is>
      </c>
      <c r="AI1090"/>
      <c r="AJ1090"/>
      <c r="AK1090"/>
    </row>
    <row r="1091" ht="25.5" customHeight="1">
      <c r="A1091" s="2" t="str">
        <f>=HYPERLINK("https://applink.larksuite.com/client/mini_program/open?appId=cli_9c7cc8a9a9edd105&amp;mode=appCenter&amp;path_pc=pc/pages/requested/index?instanceId=7527155879490207775&amp;source=bitable&amp;path=pages/detail/index?instanceId=7527155879490207775&amp;source=bitable", "202507150015")</f>
        <v>202507150015</v>
      </c>
      <c r="B1091" t="inlineStr">
        <is>
          <t>Approved</t>
        </is>
      </c>
      <c r="C1091" t="inlineStr">
        <is>
          <t>Procurement Order</t>
        </is>
      </c>
      <c r="D1091" s="3">
        <v>45853.50634259259</v>
      </c>
      <c r="E1091" s="3">
        <v>45853.64061342592</v>
      </c>
      <c r="F1091" t="inlineStr">
        <is>
          <t>Fatima Kathleen M. FLores</t>
        </is>
      </c>
      <c r="G1091" t="inlineStr">
        <is>
          <t>Procurement</t>
        </is>
      </c>
      <c r="H1091"/>
      <c r="I1091"/>
      <c r="J1091" t="inlineStr">
        <is>
          <t>Project</t>
        </is>
      </c>
      <c r="K1091" t="inlineStr">
        <is>
          <t>PDEI - Game Marketing</t>
        </is>
      </c>
      <c r="L1091" t="inlineStr">
        <is>
          <t>BuzzOne - C-Vitt Brand Activation</t>
        </is>
      </c>
      <c r="M1091" t="inlineStr">
        <is>
          <t>2025TEG-P0135</t>
        </is>
      </c>
      <c r="N1091" t="inlineStr">
        <is>
          <t>Carla Andrea Calma Crespo</t>
        </is>
      </c>
      <c r="O1091" t="inlineStr">
        <is>
          <t>202506040022-Carla Andrea Calma Crespo-费用报销 - 副本 - 副本 - 副本-2025-06-04 03:41:15</t>
        </is>
      </c>
      <c r="P1091" t="inlineStr">
        <is>
          <t>NO</t>
        </is>
      </c>
      <c r="Q1091"/>
      <c r="R1091" t="inlineStr">
        <is>
          <t>NO</t>
        </is>
      </c>
      <c r="S1091" t="inlineStr">
        <is>
          <t>Venue Rental (2 days / Robinsons Galleria)</t>
        </is>
      </c>
      <c r="T1091">
        <v>1</v>
      </c>
      <c r="U1091">
        <v>149402</v>
      </c>
      <c r="V1091" t="inlineStr">
        <is>
          <t>PHP</t>
        </is>
      </c>
      <c r="W1091">
        <v>149402</v>
      </c>
      <c r="X1091" s="2" t="str">
        <f>=HYPERLINK("https://www.larksuite.com/approval/admin/previewAttachment?key=PMgxDsIwDAXQK33b3_kxl2FJVbHAgtLNZ0di6PrGNIyZFqPAMi9YK12WOVUsOCRle5tUkAns430-_draa6_Ij8Dd12udx9ey5A4FGROAPW4PkawaxN_xCwAA__8", "3 attachment(s)")</f>
        <v>3 attachment(s)</v>
      </c>
      <c r="Y1091" t="inlineStr">
        <is>
          <t>Bank Transfer</t>
        </is>
      </c>
      <c r="Z1091" t="inlineStr">
        <is>
          <t>Robinsons Land Corporation</t>
        </is>
      </c>
      <c r="AA1091" t="inlineStr">
        <is>
          <t>100-23-000-853-2</t>
        </is>
      </c>
      <c r="AB1091" t="inlineStr">
        <is>
          <t>Robinsons Bank Corporation</t>
        </is>
      </c>
      <c r="AC1091" t="inlineStr">
        <is>
          <t>Level 2, Galleria Corporate Center, Robinsons Galleria, Edsa Corner, Ortigas Ave., Quezon City</t>
        </is>
      </c>
      <c r="AD1091" s="4">
        <v>45854</v>
      </c>
      <c r="AE1091" t="inlineStr">
        <is>
          <t>100% Full Payment before ingress</t>
        </is>
      </c>
      <c r="AF1091" s="2"/>
      <c r="AG1091" t="inlineStr">
        <is>
          <t>NzQyNTk5MTgyNzQ4MTg3MDM0MTpCQzBDNjMwOS00N0JELTQ4QTQtQjJGNS1BNTg3NzhBMEU2OTMtMTpkM2Y4YjRjNTE3MTlkNjAwMzUzMjczZTc0MzMyZjc2Mzox</t>
        </is>
      </c>
      <c r="AH1091" t="inlineStr">
        <is>
          <t>Robinsons Land Corp.</t>
        </is>
      </c>
      <c r="AI1091"/>
      <c r="AJ1091"/>
      <c r="AK1091"/>
    </row>
    <row r="1092" ht="25.5" customHeight="1">
      <c r="A1092" s="2" t="str">
        <f>=HYPERLINK("https://applink.larksuite.com/client/mini_program/open?appId=cli_9c7cc8a9a9edd105&amp;mode=appCenter&amp;path_pc=pc/pages/requested/index?instanceId=7524974441856565286&amp;source=bitable&amp;path=pages/detail/index?instanceId=7524974441856565286&amp;source=bitable", "202507090047")</f>
        <v>202507090047</v>
      </c>
      <c r="B1092" t="inlineStr">
        <is>
          <t>Rejected</t>
        </is>
      </c>
      <c r="C1092" t="inlineStr">
        <is>
          <t>Procurement Order</t>
        </is>
      </c>
      <c r="D1092" s="3">
        <v>45847.627800925926</v>
      </c>
      <c r="E1092" s="3">
        <v>45855.73915509259</v>
      </c>
      <c r="F1092" t="inlineStr">
        <is>
          <t>Fatima Kathleen M. FLores</t>
        </is>
      </c>
      <c r="G1092" t="inlineStr">
        <is>
          <t>Procurement</t>
        </is>
      </c>
      <c r="H1092"/>
      <c r="I1092"/>
      <c r="J1092" t="inlineStr">
        <is>
          <t>Project</t>
        </is>
      </c>
      <c r="K1092" t="inlineStr">
        <is>
          <t>PDEI - Game Marketing</t>
        </is>
      </c>
      <c r="L1092" t="inlineStr">
        <is>
          <t>realme Cup</t>
        </is>
      </c>
      <c r="M1092" t="inlineStr">
        <is>
          <t>2025TEG-P0094</t>
        </is>
      </c>
      <c r="N1092" t="inlineStr">
        <is>
          <t>Diana Lou Perocho Gosamo</t>
        </is>
      </c>
      <c r="O1092" t="inlineStr">
        <is>
          <t>202505300089-Diana Lou Perocho Gosamo-费用报销 - 副本 - 副本 - 副本-2025-05-30 09:16:49</t>
        </is>
      </c>
      <c r="P1092" t="inlineStr">
        <is>
          <t>NO</t>
        </is>
      </c>
      <c r="Q1092"/>
      <c r="R1092" t="inlineStr">
        <is>
          <t>YES</t>
        </is>
      </c>
      <c r="S1092" t="inlineStr">
        <is>
          <t>POSTER (MATERIAL: C2S200 / Uv Print /  No Lamination / SIZE: 22"x28")</t>
        </is>
      </c>
      <c r="T1092">
        <v>5</v>
      </c>
      <c r="U1092">
        <v>689.92</v>
      </c>
      <c r="V1092" t="inlineStr">
        <is>
          <t>PHP</t>
        </is>
      </c>
      <c r="W1092">
        <v>3449.6</v>
      </c>
      <c r="X1092" s="2"/>
      <c r="Y1092" t="inlineStr">
        <is>
          <t>Bank Transfer</t>
        </is>
      </c>
      <c r="Z1092" t="inlineStr">
        <is>
          <t>Bescost Digital Marketing Services Inc.</t>
        </is>
      </c>
      <c r="AA1092" t="inlineStr">
        <is>
          <t>00000-5674-8951</t>
        </is>
      </c>
      <c r="AB1092" t="inlineStr">
        <is>
          <t>Security Bank</t>
        </is>
      </c>
      <c r="AC1092" t="inlineStr">
        <is>
          <t>5105-A Sulok St., Brgy. Ugong, Valenzuela City</t>
        </is>
      </c>
      <c r="AD1092" s="4">
        <v>45810</v>
      </c>
      <c r="AE1092" t="inlineStr">
        <is>
          <t>100% Full Payment - 15 days upon complete delivery</t>
        </is>
      </c>
      <c r="AF1092" s="2"/>
      <c r="AG1092" t="inlineStr">
        <is>
          <t>NzQyNTk5MTgyNzQ4MTg3MDM0MTowN0Y3RUQ4RS03QkYyLTRCQ0EtOEU5NC0yMDZDMjIzQUM5MkYtMTo2Nzc1MjY3NTFlMzQwMDAxMzQxYjYxOGU3OGEyNDhkMzox</t>
        </is>
      </c>
      <c r="AH1092"/>
      <c r="AI1092"/>
      <c r="AJ1092"/>
      <c r="AK1092"/>
    </row>
    <row r="1093" ht="25.5" customHeight="1">
      <c r="A1093" s="2" t="str">
        <f>=HYPERLINK("https://applink.larksuite.com/client/mini_program/open?appId=cli_9c7cc8a9a9edd105&amp;mode=appCenter&amp;path_pc=pc/pages/requested/index?instanceId=7524974441856565286&amp;source=bitable&amp;path=pages/detail/index?instanceId=7524974441856565286&amp;source=bitable", "202507090047")</f>
        <v>202507090047</v>
      </c>
      <c r="B1093" t="inlineStr">
        <is>
          <t>Rejected</t>
        </is>
      </c>
      <c r="C1093" t="inlineStr">
        <is>
          <t>Procurement Order</t>
        </is>
      </c>
      <c r="D1093" s="3">
        <v>45847.627800925926</v>
      </c>
      <c r="E1093" s="3">
        <v>45855.73915509259</v>
      </c>
      <c r="F1093" t="inlineStr">
        <is>
          <t>Fatima Kathleen M. FLores</t>
        </is>
      </c>
      <c r="G1093" t="inlineStr">
        <is>
          <t>Procurement</t>
        </is>
      </c>
      <c r="H1093"/>
      <c r="I1093"/>
      <c r="J1093" t="inlineStr">
        <is>
          <t>Project</t>
        </is>
      </c>
      <c r="K1093" t="inlineStr">
        <is>
          <t>PDEI - Game Marketing</t>
        </is>
      </c>
      <c r="L1093" t="inlineStr">
        <is>
          <t>realme Cup</t>
        </is>
      </c>
      <c r="M1093" t="inlineStr">
        <is>
          <t>2025TEG-P0094</t>
        </is>
      </c>
      <c r="N1093" t="inlineStr">
        <is>
          <t>Diana Lou Perocho Gosamo</t>
        </is>
      </c>
      <c r="O1093" t="inlineStr">
        <is>
          <t>202505300089-Diana Lou Perocho Gosamo-费用报销 - 副本 - 副本 - 副本-2025-05-30 09:16:49</t>
        </is>
      </c>
      <c r="P1093" t="inlineStr">
        <is>
          <t>NO</t>
        </is>
      </c>
      <c r="Q1093"/>
      <c r="R1093" t="inlineStr">
        <is>
          <t>YES</t>
        </is>
      </c>
      <c r="S1093" t="inlineStr">
        <is>
          <t>POSTER (MATERIAL: C2S200 / Uv Print / No Lamination / SIZE: 22"x58")</t>
        </is>
      </c>
      <c r="T1093">
        <v>2</v>
      </c>
      <c r="U1093">
        <v>1429.12</v>
      </c>
      <c r="V1093" t="inlineStr">
        <is>
          <t>PHP</t>
        </is>
      </c>
      <c r="W1093">
        <v>2858.24</v>
      </c>
      <c r="X1093" s="2"/>
      <c r="Y1093"/>
      <c r="Z1093"/>
      <c r="AA1093"/>
      <c r="AB1093"/>
      <c r="AC1093"/>
      <c r="AD1093" s="4"/>
      <c r="AE1093"/>
      <c r="AF1093" s="2"/>
      <c r="AG1093" t="inlineStr">
        <is>
          <t>NzQyNTk5MTgyNzQ4MTg3MDM0MTowN0Y3RUQ4RS03QkYyLTRCQ0EtOEU5NC0yMDZDMjIzQUM5MkYtMjoyYmJkZmE2ZGJmOTM0NjRlNjIwZTAxMTM5NDQ5OTI3YTox</t>
        </is>
      </c>
      <c r="AH1093"/>
      <c r="AI1093"/>
      <c r="AJ1093"/>
      <c r="AK1093"/>
    </row>
    <row r="1094" ht="25.5" customHeight="1">
      <c r="A1094" s="2" t="str">
        <f>=HYPERLINK("https://applink.larksuite.com/client/mini_program/open?appId=cli_9c7cc8a9a9edd105&amp;mode=appCenter&amp;path_pc=pc/pages/requested/index?instanceId=7524974441856565286&amp;source=bitable&amp;path=pages/detail/index?instanceId=7524974441856565286&amp;source=bitable", "202507090047")</f>
        <v>202507090047</v>
      </c>
      <c r="B1094" t="inlineStr">
        <is>
          <t>Rejected</t>
        </is>
      </c>
      <c r="C1094" t="inlineStr">
        <is>
          <t>Procurement Order</t>
        </is>
      </c>
      <c r="D1094" s="3">
        <v>45847.627800925926</v>
      </c>
      <c r="E1094" s="3">
        <v>45855.73915509259</v>
      </c>
      <c r="F1094" t="inlineStr">
        <is>
          <t>Fatima Kathleen M. FLores</t>
        </is>
      </c>
      <c r="G1094" t="inlineStr">
        <is>
          <t>Procurement</t>
        </is>
      </c>
      <c r="H1094"/>
      <c r="I1094"/>
      <c r="J1094" t="inlineStr">
        <is>
          <t>Project</t>
        </is>
      </c>
      <c r="K1094" t="inlineStr">
        <is>
          <t>PDEI - Game Marketing</t>
        </is>
      </c>
      <c r="L1094" t="inlineStr">
        <is>
          <t>realme Cup</t>
        </is>
      </c>
      <c r="M1094" t="inlineStr">
        <is>
          <t>2025TEG-P0094</t>
        </is>
      </c>
      <c r="N1094" t="inlineStr">
        <is>
          <t>Diana Lou Perocho Gosamo</t>
        </is>
      </c>
      <c r="O1094" t="inlineStr">
        <is>
          <t>202505300089-Diana Lou Perocho Gosamo-费用报销 - 副本 - 副本 - 副本-2025-05-30 09:16:49</t>
        </is>
      </c>
      <c r="P1094" t="inlineStr">
        <is>
          <t>NO</t>
        </is>
      </c>
      <c r="Q1094"/>
      <c r="R1094" t="inlineStr">
        <is>
          <t>YES</t>
        </is>
      </c>
      <c r="S1094" t="inlineStr">
        <is>
          <t>Rush Fee</t>
        </is>
      </c>
      <c r="T1094">
        <v>1</v>
      </c>
      <c r="U1094">
        <v>630.78</v>
      </c>
      <c r="V1094" t="inlineStr">
        <is>
          <t>PHP</t>
        </is>
      </c>
      <c r="W1094">
        <v>630.78</v>
      </c>
      <c r="X1094" s="2" t="str">
        <f>=HYPERLINK("https://www.larksuite.com/approval/admin/previewAttachment?key=PMyxDQJBDATAlta-tfdMMyScXjzwEYLMtSMISCeYnIacYSMLLPOCtcJZImkzMjJ8ZnubVJAJ7HVsZwza7RX7vnQ_9Oj39bKtp0XJHRrkmADs9PfxHauS-Ll_AgAA__8", "2 attachment(s)")</f>
        <v>2 attachment(s)</v>
      </c>
      <c r="Y1094"/>
      <c r="Z1094"/>
      <c r="AA1094"/>
      <c r="AB1094"/>
      <c r="AC1094"/>
      <c r="AD1094" s="4"/>
      <c r="AE1094"/>
      <c r="AF1094" s="2"/>
      <c r="AG1094" t="inlineStr">
        <is>
          <t>NzQyNTk5MTgyNzQ4MTg3MDM0MTowN0Y3RUQ4RS03QkYyLTRCQ0EtOEU5NC0yMDZDMjIzQUM5MkYtMzo2MmI2YzVmZWNiNmFmMjAxNWNmZWI3YTE2ODMwMDBjYzox</t>
        </is>
      </c>
      <c r="AH1094"/>
      <c r="AI1094"/>
      <c r="AJ1094"/>
      <c r="AK1094"/>
    </row>
    <row r="1095" ht="25.5" customHeight="1">
      <c r="A1095" s="2" t="str">
        <f>=HYPERLINK("https://applink.larksuite.com/client/mini_program/open?appId=cli_9c7cc8a9a9edd105&amp;mode=appCenter&amp;path_pc=pc/pages/requested/index?instanceId=7522704496930144294&amp;source=bitable&amp;path=pages/detail/index?instanceId=7522704496930144294&amp;source=bitable", "202507030054")</f>
        <v>202507030054</v>
      </c>
      <c r="B1095" t="inlineStr">
        <is>
          <t>Approved</t>
        </is>
      </c>
      <c r="C1095" t="inlineStr">
        <is>
          <t>Procurement Order</t>
        </is>
      </c>
      <c r="D1095" s="3">
        <v>45841.51076388889</v>
      </c>
      <c r="E1095" s="3">
        <v>45861.768055555556</v>
      </c>
      <c r="F1095" t="inlineStr">
        <is>
          <t>Fatima Kathleen M. FLores</t>
        </is>
      </c>
      <c r="G1095" t="inlineStr">
        <is>
          <t>Procurement</t>
        </is>
      </c>
      <c r="H1095"/>
      <c r="I1095"/>
      <c r="J1095" t="inlineStr">
        <is>
          <t>Project</t>
        </is>
      </c>
      <c r="K1095" t="inlineStr">
        <is>
          <t>PDEI - Game Marketing</t>
        </is>
      </c>
      <c r="L1095" t="inlineStr">
        <is>
          <t>Solaire July Display SEC</t>
        </is>
      </c>
      <c r="M1095" t="inlineStr">
        <is>
          <t>2025TEG-P0202</t>
        </is>
      </c>
      <c r="N1095" t="inlineStr">
        <is>
          <t>Duane Aaron Baret Cadangan</t>
        </is>
      </c>
      <c r="O1095" t="inlineStr">
        <is>
          <t>202506290004-Duane Aaron Baret Cadangan-费用报销 - 副本 - 副本 - 副本-2025-06-29 06:39:45</t>
        </is>
      </c>
      <c r="P1095" t="inlineStr">
        <is>
          <t>YES</t>
        </is>
      </c>
      <c r="Q1095"/>
      <c r="R1095" t="inlineStr">
        <is>
          <t>YES</t>
        </is>
      </c>
      <c r="S1095" t="inlineStr">
        <is>
          <t>Outsourced Safety Officer</t>
        </is>
      </c>
      <c r="T1095">
        <v>1</v>
      </c>
      <c r="U1095">
        <v>8000</v>
      </c>
      <c r="V1095" t="inlineStr">
        <is>
          <t>PHP</t>
        </is>
      </c>
      <c r="W1095">
        <v>8000</v>
      </c>
      <c r="X1095" s="2" t="str">
        <f>=HYPERLINK("https://www.larksuite.com/approval/admin/previewAttachment?key=PMgxCgIxFATQK83_f5LJeBkbl0WDC4KgWOTsgoXt6yPQR4vqBh1pxFLLFEh3F4JMc-UKyVAIXNuxnz3HrenzuB-zxnuu1_Wyb89oViZUZA0Acfp7iaTdiZ_jGwAA__8", "2 attachment(s)")</f>
        <v>2 attachment(s)</v>
      </c>
      <c r="Y1095" t="inlineStr">
        <is>
          <t>Bank Transfer</t>
        </is>
      </c>
      <c r="Z1095" t="inlineStr">
        <is>
          <t>Alfredo A Go</t>
        </is>
      </c>
      <c r="AA1095" t="inlineStr">
        <is>
          <t>0206245243</t>
        </is>
      </c>
      <c r="AB1095" t="inlineStr">
        <is>
          <t>BPI</t>
        </is>
      </c>
      <c r="AC1095" t="inlineStr">
        <is>
          <t>B8 L6 Sampaguita St. Valley Homes Subd. Cupang Antipolo City</t>
        </is>
      </c>
      <c r="AD1095" s="4">
        <v>45813</v>
      </c>
      <c r="AE1095" t="inlineStr">
        <is>
          <t>100% Full Payment - July 18, 2025</t>
        </is>
      </c>
      <c r="AF1095" s="2"/>
      <c r="AG1095" t="inlineStr">
        <is>
          <t>NzQyNTk5MTgyNzQ4MTg3MDM0MTo5MzNGNzE1RC0wQTRGLTRCQzYtQjBFMy1FNzJCMkQwOUYyNDMtMTpjYTBlY2Y0MGM0OTFjMTAzMjg2ZDI2ZTRlNjdkZDU2Mjox</t>
        </is>
      </c>
      <c r="AH1095"/>
      <c r="AI1095"/>
      <c r="AJ1095"/>
      <c r="AK1095"/>
    </row>
    <row r="1096" ht="25.5" customHeight="1">
      <c r="A1096" s="2" t="str">
        <f>=HYPERLINK("https://applink.larksuite.com/client/mini_program/open?appId=cli_9c7cc8a9a9edd105&amp;mode=appCenter&amp;path_pc=pc/pages/requested/index?instanceId=7526777546697097255&amp;source=bitable&amp;path=pages/detail/index?instanceId=7526777546697097255&amp;source=bitable", "202507140018")</f>
        <v>202507140018</v>
      </c>
      <c r="B1096" t="inlineStr">
        <is>
          <t>Approved</t>
        </is>
      </c>
      <c r="C1096" t="inlineStr">
        <is>
          <t>Procurement Order</t>
        </is>
      </c>
      <c r="D1096" s="3">
        <v>45852.486805555556</v>
      </c>
      <c r="E1096" s="3">
        <v>45855.58673611111</v>
      </c>
      <c r="F1096" t="inlineStr">
        <is>
          <t>Fatima Kathleen M. FLores</t>
        </is>
      </c>
      <c r="G1096" t="inlineStr">
        <is>
          <t>Procurement</t>
        </is>
      </c>
      <c r="H1096"/>
      <c r="I1096"/>
      <c r="J1096" t="inlineStr">
        <is>
          <t>Project</t>
        </is>
      </c>
      <c r="K1096" t="inlineStr">
        <is>
          <t>PDEI - Game Marketing</t>
        </is>
      </c>
      <c r="L1096" t="inlineStr">
        <is>
          <t>Minotaur x Jollibee GameJoy Launch</t>
        </is>
      </c>
      <c r="M1096" t="inlineStr">
        <is>
          <t>2025TEG-P0091</t>
        </is>
      </c>
      <c r="N1096" t="inlineStr">
        <is>
          <t>Duane Aaron Baret Cadangan</t>
        </is>
      </c>
      <c r="O1096" t="inlineStr">
        <is>
          <t>202507080046-Duane Aaron Baret Cadangan-费用报销 - 副本 - 副本 - 副本-2025-07-08 08:11:27</t>
        </is>
      </c>
      <c r="P1096" t="inlineStr">
        <is>
          <t>YES</t>
        </is>
      </c>
      <c r="Q1096"/>
      <c r="R1096" t="inlineStr">
        <is>
          <t>YES</t>
        </is>
      </c>
      <c r="S1096" t="inlineStr">
        <is>
          <t>Outsourced Creative Director</t>
        </is>
      </c>
      <c r="T1096">
        <v>1</v>
      </c>
      <c r="U1096">
        <v>40000</v>
      </c>
      <c r="V1096" t="inlineStr">
        <is>
          <t>PHP</t>
        </is>
      </c>
      <c r="W1096">
        <v>40000</v>
      </c>
      <c r="X1096" s="2" t="str">
        <f>=HYPERLINK("https://www.larksuite.com/approval/admin/previewAttachment?key=PMhBqgJBDATQK1XSlVTnX-ZvphlktEEQ3OXsggu3L6chZ9jIAsu8YK3wlBTMLKHkEe1tUkEmsNc-_6-95q4HjzWed179vh3nelmU3KFBjgnA_n4-RLIqia_jEwAA__8", "2 attachment(s)")</f>
        <v>2 attachment(s)</v>
      </c>
      <c r="Y1096" t="inlineStr">
        <is>
          <t>Bank Transfer</t>
        </is>
      </c>
      <c r="Z1096" t="inlineStr">
        <is>
          <t>Jasper Cajilig</t>
        </is>
      </c>
      <c r="AA1096" t="inlineStr">
        <is>
          <t>1469190872</t>
        </is>
      </c>
      <c r="AB1096" t="inlineStr">
        <is>
          <t>BPI</t>
        </is>
      </c>
      <c r="AC1096" t="inlineStr">
        <is>
          <t>Balusbos, Malay, Aklan</t>
        </is>
      </c>
      <c r="AD1096" s="4">
        <v>45773</v>
      </c>
      <c r="AE1096" t="inlineStr">
        <is>
          <t>1st Payment - July 18, 2025
Final Payment - Aug. 1, 2025</t>
        </is>
      </c>
      <c r="AF1096" s="2"/>
      <c r="AG1096" t="inlineStr">
        <is>
          <t>NzQyNTk5MTgyNzQ4MTg3MDM0MTowOEVDNTBDQS0xMEJBLTRFMjItQTg0My00QzE2ODA2QTZFMDUtMToyNjc5MjllMDY0NGIxMmYzM2E5MWE0NTY5NjMyOTQ2ZTox</t>
        </is>
      </c>
      <c r="AH1096" t="inlineStr">
        <is>
          <t>Jasper Cajilig</t>
        </is>
      </c>
      <c r="AI1096"/>
      <c r="AJ1096"/>
      <c r="AK1096"/>
    </row>
    <row r="1097" ht="25.5" customHeight="1">
      <c r="A1097" s="2" t="str">
        <f>=HYPERLINK("https://applink.larksuite.com/client/mini_program/open?appId=cli_9c7cc8a9a9edd105&amp;mode=appCenter&amp;path_pc=pc/pages/requested/index?instanceId=7527241555124420639&amp;source=bitable&amp;path=pages/detail/index?instanceId=7527241555124420639&amp;source=bitable", "202507150075")</f>
        <v>202507150075</v>
      </c>
      <c r="B1097" t="inlineStr">
        <is>
          <t>Approved</t>
        </is>
      </c>
      <c r="C1097" t="inlineStr">
        <is>
          <t>Procurement Order</t>
        </is>
      </c>
      <c r="D1097" s="3">
        <v>45853.737222222226</v>
      </c>
      <c r="E1097" s="3">
        <v>45856.72935185185</v>
      </c>
      <c r="F1097" t="inlineStr">
        <is>
          <t>Fatima Kathleen M. FLores</t>
        </is>
      </c>
      <c r="G1097" t="inlineStr">
        <is>
          <t>Procurement</t>
        </is>
      </c>
      <c r="H1097"/>
      <c r="I1097"/>
      <c r="J1097" t="inlineStr">
        <is>
          <t>Project</t>
        </is>
      </c>
      <c r="K1097" t="inlineStr">
        <is>
          <t>PDEI - Game Marketing</t>
        </is>
      </c>
      <c r="L1097" t="inlineStr">
        <is>
          <t>Samsung Galaxy Gaming Academy - Content Seeding</t>
        </is>
      </c>
      <c r="M1097" t="inlineStr">
        <is>
          <t>2025TEG-P0075</t>
        </is>
      </c>
      <c r="N1097" t="inlineStr">
        <is>
          <t>Diana Lou Perocho Gosamo</t>
        </is>
      </c>
      <c r="O1097" t="inlineStr">
        <is>
          <t>202507040050-Diana Lou Perocho Gosamo-费用报销 - 副本 - 副本 - 副本-2025-07-04 08:33:20</t>
        </is>
      </c>
      <c r="P1097" t="inlineStr">
        <is>
          <t>YES</t>
        </is>
      </c>
      <c r="Q1097"/>
      <c r="R1097" t="inlineStr">
        <is>
          <t>NO</t>
        </is>
      </c>
      <c r="S1097" t="inlineStr">
        <is>
          <t>Social Media Post promoting Samsung Galaxy Gaming Academy 2025 (Mobile Legends Tournament)</t>
        </is>
      </c>
      <c r="T1097">
        <v>1</v>
      </c>
      <c r="U1097">
        <v>25088</v>
      </c>
      <c r="V1097" t="inlineStr">
        <is>
          <t>PHP</t>
        </is>
      </c>
      <c r="W1097">
        <v>25088</v>
      </c>
      <c r="X1097" s="2" t="str">
        <f>=HYPERLINK("https://www.larksuite.com/approval/admin/previewAttachment?key=PMgxCgJRDATQK80kk2TjZWx2-aigCMJ2ObtgYftyI3ILejbUtAanwsrEiKBJhvQeG1Y1igXN8VzXkyvuD_h7V_QLc972dXwYXWYol3wDwMvfvSR1p_BzfAMAAP__", "2 attachment(s)")</f>
        <v>2 attachment(s)</v>
      </c>
      <c r="Y1097" t="inlineStr">
        <is>
          <t>Bank Transfer</t>
        </is>
      </c>
      <c r="Z1097" t="inlineStr">
        <is>
          <t>Yugen Media Incorporated</t>
        </is>
      </c>
      <c r="AA1097" t="inlineStr">
        <is>
          <t>26-7100-2612</t>
        </is>
      </c>
      <c r="AB1097" t="inlineStr">
        <is>
          <t>BPI</t>
        </is>
      </c>
      <c r="AC1097" t="inlineStr">
        <is>
          <t>Unit 305, Level 3, Silver City 1, Frontera Drive, Ortigas East, Pasig City</t>
        </is>
      </c>
      <c r="AD1097" s="4">
        <v>45762</v>
      </c>
      <c r="AE1097" t="inlineStr">
        <is>
          <t>100% Full Payment</t>
        </is>
      </c>
      <c r="AF1097" s="2" t="str">
        <f>=HYPERLINK("https://www.larksuite.com/approval/admin/previewAttachment?key=TMg7CsJgEATgK83s8x8vY5MQVFAEId2eXbCy_WoRtZJeQogmcDqtLZiZtAhDucaG3UKzEbM_j-vJI-8P-HuL1Atz3rZj_7CWF0IZQQHg5c9JaHn5z_ENAAD__w", "2 attachment(s)")</f>
        <v>2 attachment(s)</v>
      </c>
      <c r="AG1097" t="inlineStr">
        <is>
          <t>NzQyNTk5MTgyNzQ4MTg3MDM0MTo5RjM0N0ZGNi0yQ0QwLTQ2RTQtODVCQy01MzA2Q0E3NDBCQzctMTplYjQ5MDQwZjkwM2ExODAyZWEwNTcwN2M1Y2ViMDkwYjox</t>
        </is>
      </c>
      <c r="AH1097" t="inlineStr">
        <is>
          <t>Enduins</t>
        </is>
      </c>
      <c r="AI1097"/>
      <c r="AJ1097"/>
      <c r="AK1097"/>
    </row>
    <row r="1098" ht="25.5" customHeight="1">
      <c r="A1098" s="2" t="str">
        <f>=HYPERLINK("https://applink.larksuite.com/client/mini_program/open?appId=cli_9c7cc8a9a9edd105&amp;mode=appCenter&amp;path_pc=pc/pages/requested/index?instanceId=7527619604818968614&amp;source=bitable&amp;path=pages/detail/index?instanceId=7527619604818968614&amp;source=bitable", "202507160077")</f>
        <v>202507160077</v>
      </c>
      <c r="B1098" t="inlineStr">
        <is>
          <t>Approved</t>
        </is>
      </c>
      <c r="C1098" t="inlineStr">
        <is>
          <t>Procurement Order</t>
        </is>
      </c>
      <c r="D1098" s="3">
        <v>45854.7559837963</v>
      </c>
      <c r="E1098" s="3">
        <v>45855.743576388886</v>
      </c>
      <c r="F1098" t="inlineStr">
        <is>
          <t>Fatima Kathleen M. FLores</t>
        </is>
      </c>
      <c r="G1098" t="inlineStr">
        <is>
          <t>Procurement</t>
        </is>
      </c>
      <c r="H1098"/>
      <c r="I1098"/>
      <c r="J1098" t="inlineStr">
        <is>
          <t>Project</t>
        </is>
      </c>
      <c r="K1098" t="inlineStr">
        <is>
          <t>PDEI - Event Service</t>
        </is>
      </c>
      <c r="L1098" t="inlineStr">
        <is>
          <t>MDL PH S6 Qualifiers &amp; Regular Season</t>
        </is>
      </c>
      <c r="M1098" t="inlineStr">
        <is>
          <t>2025TEG-P0200</t>
        </is>
      </c>
      <c r="N1098" t="inlineStr">
        <is>
          <t>Kervin</t>
        </is>
      </c>
      <c r="O1098" t="inlineStr">
        <is>
          <t>202507100054-Kervin-费用报销 - 副本 - 副本 - 副本-2025-07-10 05:45:28</t>
        </is>
      </c>
      <c r="P1098" t="inlineStr">
        <is>
          <t>NO</t>
        </is>
      </c>
      <c r="Q1098"/>
      <c r="R1098" t="inlineStr">
        <is>
          <t>NO</t>
        </is>
      </c>
      <c r="S1098" t="inlineStr">
        <is>
          <t>Outsourced Scriptwriter</t>
        </is>
      </c>
      <c r="T1098">
        <v>1</v>
      </c>
      <c r="U1098">
        <v>30000</v>
      </c>
      <c r="V1098" t="inlineStr">
        <is>
          <t>PHP</t>
        </is>
      </c>
      <c r="W1098">
        <v>30000</v>
      </c>
      <c r="X1098" s="2" t="str">
        <f>=HYPERLINK("https://www.larksuite.com/approval/admin/previewAttachment?key=PMg7CgJBEATQK1X11PbHy5i4LCKMicxkfXbBwPR5Ep4HhxdUtAI7DgtnOZTM8nSqrRlRCAbU57zutldMjveeCy-t3s_HdX54VJghhjQSAG9_HyGpyoWf4xsAAP__", "2 attachment(s)")</f>
        <v>2 attachment(s)</v>
      </c>
      <c r="Y1098" t="inlineStr">
        <is>
          <t>Bank Transfer</t>
        </is>
      </c>
      <c r="Z1098" t="inlineStr">
        <is>
          <t>Francis D. Germedia</t>
        </is>
      </c>
      <c r="AA1098" t="inlineStr">
        <is>
          <t>0000026599177</t>
        </is>
      </c>
      <c r="AB1098" t="inlineStr">
        <is>
          <t>Security Bank</t>
        </is>
      </c>
      <c r="AC1098" t="inlineStr">
        <is>
          <t>Unit 1015, JV Managers Tower, Sct. Castor Street, Quezon City</t>
        </is>
      </c>
      <c r="AD1098" s="4">
        <v>45859</v>
      </c>
      <c r="AE1098" t="inlineStr">
        <is>
          <t>1st Payment - Aug. 29, 2025
2nd Payment - Sept. 19, 2025
3rd Payment - Oct. 10, 2025
4th Payment - Oct. 31, 2025
Final Payment - Nov. 7, 2025</t>
        </is>
      </c>
      <c r="AF1098" s="2"/>
      <c r="AG1098" t="inlineStr">
        <is>
          <t>NzQyNTk5MTgyNzQ4MTg3MDM0MTpBN0Y5MUIzNC0wMUVELTQyM0YtOTg4My03RjExRUI0NzYzRjUtMTo3NGU5MzA2MTFiOGE3YmRhNmJhOTY0ZGY2MDU2NjQ2MDox</t>
        </is>
      </c>
      <c r="AH1098" t="inlineStr">
        <is>
          <t>Francis D. Germedia</t>
        </is>
      </c>
      <c r="AI1098"/>
      <c r="AJ1098"/>
      <c r="AK1098"/>
    </row>
    <row r="1099" ht="25.5" customHeight="1">
      <c r="A1099" s="2" t="str">
        <f>=HYPERLINK("https://applink.larksuite.com/client/mini_program/open?appId=cli_9c7cc8a9a9edd105&amp;mode=appCenter&amp;path_pc=pc/pages/requested/index?instanceId=7527617548649562143&amp;source=bitable&amp;path=pages/detail/index?instanceId=7527617548649562143&amp;source=bitable", "202507160075")</f>
        <v>202507160075</v>
      </c>
      <c r="B1099" t="inlineStr">
        <is>
          <t>Approved</t>
        </is>
      </c>
      <c r="C1099" t="inlineStr">
        <is>
          <t>Procurement Order</t>
        </is>
      </c>
      <c r="D1099" s="3">
        <v>45854.750451388885</v>
      </c>
      <c r="E1099" s="3">
        <v>45855.74435185185</v>
      </c>
      <c r="F1099" t="inlineStr">
        <is>
          <t>Fatima Kathleen M. FLores</t>
        </is>
      </c>
      <c r="G1099" t="inlineStr">
        <is>
          <t>Procurement</t>
        </is>
      </c>
      <c r="H1099"/>
      <c r="I1099"/>
      <c r="J1099" t="inlineStr">
        <is>
          <t>Project</t>
        </is>
      </c>
      <c r="K1099" t="inlineStr">
        <is>
          <t>PDEI - Event Service</t>
        </is>
      </c>
      <c r="L1099" t="inlineStr">
        <is>
          <t>MDL PH S6 Qualifiers &amp; Regular Season</t>
        </is>
      </c>
      <c r="M1099" t="inlineStr">
        <is>
          <t>2025TEG-P0200</t>
        </is>
      </c>
      <c r="N1099" t="inlineStr">
        <is>
          <t>Kervin</t>
        </is>
      </c>
      <c r="O1099" t="inlineStr">
        <is>
          <t>202507100053-Kervin-费用报销 - 副本 - 副本 - 副本-2025-07-10 05:44:29</t>
        </is>
      </c>
      <c r="P1099" t="inlineStr">
        <is>
          <t>NO</t>
        </is>
      </c>
      <c r="Q1099"/>
      <c r="R1099" t="inlineStr">
        <is>
          <t>NO</t>
        </is>
      </c>
      <c r="S1099" t="inlineStr">
        <is>
          <t>Outsourced Talent Manager / Floor Director</t>
        </is>
      </c>
      <c r="T1099">
        <v>1</v>
      </c>
      <c r="U1099">
        <v>57000</v>
      </c>
      <c r="V1099" t="inlineStr">
        <is>
          <t>PHP</t>
        </is>
      </c>
      <c r="W1099">
        <v>57000</v>
      </c>
      <c r="X1099" s="2" t="str">
        <f>=HYPERLINK("https://www.larksuite.com/approval/admin/previewAttachment?key=PMgxCgJBDAXQK_1kfvITL2Ozw6IrayMIFnN2wcL2ZRmywkY22OYNWwpXmoKV7Eg3juXLpIZM4Jrnfj3OWfc4n7XNz4PHet-2fb4sWu7QIEcBsMvfh0h2J_FzfAMAAP__", "2 attachment(s)")</f>
        <v>2 attachment(s)</v>
      </c>
      <c r="Y1099" t="inlineStr">
        <is>
          <t>Bank Transfer</t>
        </is>
      </c>
      <c r="Z1099" t="inlineStr">
        <is>
          <t>Sandee Garcia</t>
        </is>
      </c>
      <c r="AA1099" t="inlineStr">
        <is>
          <t>09289769063</t>
        </is>
      </c>
      <c r="AB1099" t="inlineStr">
        <is>
          <t>GCash</t>
        </is>
      </c>
      <c r="AC1099" t="inlineStr">
        <is>
          <t>33 Countryside Barangka Ibaba Mandaluyong City</t>
        </is>
      </c>
      <c r="AD1099" s="4">
        <v>45859</v>
      </c>
      <c r="AE1099" t="inlineStr">
        <is>
          <t>1st Payment - Aug. 8, 2025
2nd Payment - Aug. 29, 2025
3rd Payment - Sept. 19, 2025
4th Payment - Oct. 10, 2025
5th Payment - Oct. 31, 2025
Final Payment - Nov. 7, 2025</t>
        </is>
      </c>
      <c r="AF1099" s="2"/>
      <c r="AG1099" t="inlineStr">
        <is>
          <t>NzQyNTk5MTgyNzQ4MTg3MDM0MTpFODkxQUExRi1FMzFBLTQ4REEtQjkzQy1FNkM4MURFNUUzRTMtMTphZWQzMTMwNzU3NTllNTcxNDQ2NzUwYTBiZGQyOTQ2Zjox</t>
        </is>
      </c>
      <c r="AH1099" t="inlineStr">
        <is>
          <t>Sandee Garcia</t>
        </is>
      </c>
      <c r="AI1099"/>
      <c r="AJ1099"/>
      <c r="AK1099"/>
    </row>
    <row r="1100" ht="25.5" customHeight="1">
      <c r="A1100" s="2" t="str">
        <f>=HYPERLINK("https://applink.larksuite.com/client/mini_program/open?appId=cli_9c7cc8a9a9edd105&amp;mode=appCenter&amp;path_pc=pc/pages/requested/index?instanceId=7527615608003837984&amp;source=bitable&amp;path=pages/detail/index?instanceId=7527615608003837984&amp;source=bitable", "202507160069")</f>
        <v>202507160069</v>
      </c>
      <c r="B1100" t="inlineStr">
        <is>
          <t>Approved</t>
        </is>
      </c>
      <c r="C1100" t="inlineStr">
        <is>
          <t>Procurement Order</t>
        </is>
      </c>
      <c r="D1100" s="3">
        <v>45854.74521990741</v>
      </c>
      <c r="E1100" s="3">
        <v>45855.746712962966</v>
      </c>
      <c r="F1100" t="inlineStr">
        <is>
          <t>Fatima Kathleen M. FLores</t>
        </is>
      </c>
      <c r="G1100" t="inlineStr">
        <is>
          <t>Procurement</t>
        </is>
      </c>
      <c r="H1100"/>
      <c r="I1100"/>
      <c r="J1100" t="inlineStr">
        <is>
          <t>Project</t>
        </is>
      </c>
      <c r="K1100" t="inlineStr">
        <is>
          <t>PDEI - Event Service</t>
        </is>
      </c>
      <c r="L1100" t="inlineStr">
        <is>
          <t>MDL PH S6 Qualifiers &amp; Regular Season</t>
        </is>
      </c>
      <c r="M1100" t="inlineStr">
        <is>
          <t>2025TEG-P0200</t>
        </is>
      </c>
      <c r="N1100" t="inlineStr">
        <is>
          <t>Kervin</t>
        </is>
      </c>
      <c r="O1100" t="inlineStr">
        <is>
          <t>202507100049-Kervin-费用报销 - 副本 - 副本 - 副本-2025-07-10 05:41:13</t>
        </is>
      </c>
      <c r="P1100" t="inlineStr">
        <is>
          <t>NO</t>
        </is>
      </c>
      <c r="Q1100"/>
      <c r="R1100" t="inlineStr">
        <is>
          <t>NO</t>
        </is>
      </c>
      <c r="S1100" t="inlineStr">
        <is>
          <t>Outsourced Content Producer</t>
        </is>
      </c>
      <c r="T1100">
        <v>1</v>
      </c>
      <c r="U1100">
        <v>50000</v>
      </c>
      <c r="V1100" t="inlineStr">
        <is>
          <t>PHP</t>
        </is>
      </c>
      <c r="W1100">
        <v>50000</v>
      </c>
      <c r="X1100" s="2" t="str">
        <f>=HYPERLINK("https://www.larksuite.com/approval/admin/previewAttachment?key=PMgxDsIwDAXQK_1vO_42l2FpVDGkE4ItZ0di6PqyiKxBz0Y0rcGtYUqORAFerq7Ytik1RCH2vM5n2PqMuYB11UHu7-s455ujZQZ5hBcAPm53RUR3Bv6OXwAAAP__", "2 attachment(s)")</f>
        <v>2 attachment(s)</v>
      </c>
      <c r="Y1100" t="inlineStr">
        <is>
          <t>Bank Transfer</t>
        </is>
      </c>
      <c r="Z1100" t="inlineStr">
        <is>
          <t>Jessamine Elise C. Sagcal</t>
        </is>
      </c>
      <c r="AA1100" t="inlineStr">
        <is>
          <t>2679-1185-63</t>
        </is>
      </c>
      <c r="AB1100" t="inlineStr">
        <is>
          <t>BPI</t>
        </is>
      </c>
      <c r="AC1100" t="inlineStr">
        <is>
          <t>30 TLR Town Homes, Fast Track St., Moonwalk, Paranaque</t>
        </is>
      </c>
      <c r="AD1100" s="4">
        <v>45859</v>
      </c>
      <c r="AE1100" t="inlineStr">
        <is>
          <t>1st Payment - Aug. 8, 2025
2nd Payment - Aug. 29, 2025
3rd Payment - Sept. 19, 2025
4th Payment - Oct. 10, 2025
5th Payment - Oct. 31, 2025
Final Payment - Nov. 7, 2025</t>
        </is>
      </c>
      <c r="AF1100" s="2"/>
      <c r="AG1100" t="inlineStr">
        <is>
          <t>NzQyNTk5MTgyNzQ4MTg3MDM0MTpCRUQwRDAwRi02REQ0LTRFM0YtQkUzQi02MEU5RENDM0QzQkItMTpiNjk3MjRhOWQxNmEwMmNiZTNlZmFjMTc3ZGFiMDUwMTox</t>
        </is>
      </c>
      <c r="AH1100" t="inlineStr">
        <is>
          <t>Jessamine Elise C. Sagcal</t>
        </is>
      </c>
      <c r="AI1100"/>
      <c r="AJ1100"/>
      <c r="AK1100"/>
    </row>
    <row r="1101" ht="25.5" customHeight="1">
      <c r="A1101" s="2" t="str">
        <f>=HYPERLINK("https://applink.larksuite.com/client/mini_program/open?appId=cli_9c7cc8a9a9edd105&amp;mode=appCenter&amp;path_pc=pc/pages/requested/index?instanceId=7527604215691116576&amp;source=bitable&amp;path=pages/detail/index?instanceId=7527604215691116576&amp;source=bitable", "202507160066")</f>
        <v>202507160066</v>
      </c>
      <c r="B1101" t="inlineStr">
        <is>
          <t>Approved</t>
        </is>
      </c>
      <c r="C1101" t="inlineStr">
        <is>
          <t>Procurement Order</t>
        </is>
      </c>
      <c r="D1101" s="3">
        <v>45854.71451388889</v>
      </c>
      <c r="E1101" s="3">
        <v>45856.50168981482</v>
      </c>
      <c r="F1101" t="inlineStr">
        <is>
          <t>Fatima Kathleen M. FLores</t>
        </is>
      </c>
      <c r="G1101" t="inlineStr">
        <is>
          <t>Procurement</t>
        </is>
      </c>
      <c r="H1101"/>
      <c r="I1101"/>
      <c r="J1101" t="inlineStr">
        <is>
          <t>Project</t>
        </is>
      </c>
      <c r="K1101" t="inlineStr">
        <is>
          <t>PDEI - Game Marketing</t>
        </is>
      </c>
      <c r="L1101" t="inlineStr">
        <is>
          <t>LapakGaming PGDX Fabrication</t>
        </is>
      </c>
      <c r="M1101" t="inlineStr">
        <is>
          <t>2025TEG-P0185</t>
        </is>
      </c>
      <c r="N1101" t="inlineStr">
        <is>
          <t>Clifford Markus Ortiz Martinez</t>
        </is>
      </c>
      <c r="O1101" t="inlineStr">
        <is>
          <t>202507160056-Clifford Markus Ortiz Martinez-费用报销 - 副本 - 副本 - 副本-2025-07-16 08:03:46</t>
        </is>
      </c>
      <c r="P1101" t="inlineStr">
        <is>
          <t>NO</t>
        </is>
      </c>
      <c r="Q1101"/>
      <c r="R1101" t="inlineStr">
        <is>
          <t>NO</t>
        </is>
      </c>
      <c r="S1101" t="inlineStr">
        <is>
          <t>Lapak Gaming Booth Fabrication</t>
        </is>
      </c>
      <c r="T1101">
        <v>1</v>
      </c>
      <c r="U1101">
        <v>117488</v>
      </c>
      <c r="V1101" t="inlineStr">
        <is>
          <t>PHP</t>
        </is>
      </c>
      <c r="W1101">
        <v>117488</v>
      </c>
      <c r="X1101" s="2" t="str">
        <f>=HYPERLINK("https://www.larksuite.com/approval/admin/previewAttachment?key=PMhBqgJBDATQK1Wlk1TnX-ZvZmhEUQSZARc5u-DC7ctJ5AyOLHjRCmyFKeHGyCKZoWxrSgVR8N7v6__kiut6H9vzZo8DfV62tb8YJTNouI8JgH8_H3L3qnR8HZ8AAAD__w", "2 attachment(s)")</f>
        <v>2 attachment(s)</v>
      </c>
      <c r="Y1101" t="inlineStr">
        <is>
          <t>Bank Transfer</t>
        </is>
      </c>
      <c r="Z1101" t="inlineStr">
        <is>
          <t>Big Joe, Inc.</t>
        </is>
      </c>
      <c r="AA1101" t="inlineStr">
        <is>
          <t>0025 0000 5964</t>
        </is>
      </c>
      <c r="AB1101" t="inlineStr">
        <is>
          <t>BDO</t>
        </is>
      </c>
      <c r="AC1101" t="inlineStr">
        <is>
          <t>Muntinlupa</t>
        </is>
      </c>
      <c r="AD1101" s="4">
        <v>45861</v>
      </c>
      <c r="AE1101" t="inlineStr">
        <is>
          <t>50% Downpayment 1 week before the event
50% Full Payment 30 days after event</t>
        </is>
      </c>
      <c r="AF1101" s="2"/>
      <c r="AG1101" t="inlineStr">
        <is>
          <t>NzQyNTk5MTgyNzQ4MTg3MDM0MTo5RjcxQzgxNi1FMDgxLTQ3N0ItODIxMi0wMUU3M0ZBMTEyM0QtMTpiOTE2MWNjYzhmNTVhOTg4NzhjNDc3M2NhOWFmMGZiZTox</t>
        </is>
      </c>
      <c r="AH1101" t="inlineStr">
        <is>
          <t>Big Joe, Inc.</t>
        </is>
      </c>
      <c r="AI1101"/>
      <c r="AJ1101"/>
      <c r="AK1101"/>
    </row>
    <row r="1102" ht="25.5" customHeight="1">
      <c r="A1102" s="2" t="str">
        <f>=HYPERLINK("https://applink.larksuite.com/client/mini_program/open?appId=cli_9c7cc8a9a9edd105&amp;mode=appCenter&amp;path_pc=pc/pages/requested/index?instanceId=7527961792455196703&amp;source=bitable&amp;path=pages/detail/index?instanceId=7527961792455196703&amp;source=bitable", "202507170069")</f>
        <v>202507170069</v>
      </c>
      <c r="B1102" t="inlineStr">
        <is>
          <t>Approved</t>
        </is>
      </c>
      <c r="C1102" t="inlineStr">
        <is>
          <t>Procurement Order</t>
        </is>
      </c>
      <c r="D1102" s="3">
        <v>45855.67811342593</v>
      </c>
      <c r="E1102" s="3">
        <v>45856.68981481482</v>
      </c>
      <c r="F1102" t="inlineStr">
        <is>
          <t>Fatima Kathleen M. FLores</t>
        </is>
      </c>
      <c r="G1102" t="inlineStr">
        <is>
          <t>Procurement</t>
        </is>
      </c>
      <c r="H1102"/>
      <c r="I1102"/>
      <c r="J1102" t="inlineStr">
        <is>
          <t>Project</t>
        </is>
      </c>
      <c r="K1102" t="inlineStr">
        <is>
          <t>PDEI - Game Marketing</t>
        </is>
      </c>
      <c r="L1102" t="inlineStr">
        <is>
          <t>HoYofest 2025</t>
        </is>
      </c>
      <c r="M1102" t="inlineStr">
        <is>
          <t>2025TEG-P0189</t>
        </is>
      </c>
      <c r="N1102" t="inlineStr">
        <is>
          <t>Raffy/Paeng</t>
        </is>
      </c>
      <c r="O1102" t="inlineStr">
        <is>
          <t>202507150012-Raffy/Paeng-费用报销 - 副本 - 副本 - 副本-2025-07-15 03:44:58</t>
        </is>
      </c>
      <c r="P1102" t="inlineStr">
        <is>
          <t>NO</t>
        </is>
      </c>
      <c r="Q1102"/>
      <c r="R1102" t="inlineStr">
        <is>
          <t>NO</t>
        </is>
      </c>
      <c r="S1102" t="inlineStr">
        <is>
          <t>Facility Charge (July 23 to 27, 2025)</t>
        </is>
      </c>
      <c r="T1102">
        <v>1</v>
      </c>
      <c r="U1102">
        <v>11200</v>
      </c>
      <c r="V1102" t="inlineStr">
        <is>
          <t>PHP</t>
        </is>
      </c>
      <c r="W1102">
        <v>11200</v>
      </c>
      <c r="X1102" s="2" t="str">
        <f>=HYPERLINK("https://www.larksuite.com/approval/admin/previewAttachment?key=PMg7jsIwGATgK83_HM9eZptEFkWoEFYanx2JgvbrYehRFi2kzAXbLKfaKM8qUxOxfRsp0Ijc53P-Vx3Xda-YY93vjL0exzxfVqI7GJkxANjfz4OZKXXi6_gEAAD__w", "2 attachment(s)")</f>
        <v>2 attachment(s)</v>
      </c>
      <c r="Y1102" t="inlineStr">
        <is>
          <t>Cash</t>
        </is>
      </c>
      <c r="Z1102" t="inlineStr">
        <is>
          <t>TBA</t>
        </is>
      </c>
      <c r="AA1102" t="inlineStr">
        <is>
          <t>NA</t>
        </is>
      </c>
      <c r="AB1102" t="inlineStr">
        <is>
          <t>NA</t>
        </is>
      </c>
      <c r="AC1102" t="inlineStr">
        <is>
          <t>Pasay City</t>
        </is>
      </c>
      <c r="AD1102" s="4">
        <v>45856</v>
      </c>
      <c r="AE1102" t="inlineStr">
        <is>
          <t>100% Full Payment - to be paid at the venue's treasury department</t>
        </is>
      </c>
      <c r="AF1102" s="2"/>
      <c r="AG1102" t="inlineStr">
        <is>
          <t>NzQyNTk5MTgyNzQ4MTg3MDM0MTpDNzY5N0Q2OC02QTI4LTRGQTgtQTQzQS1DQUQ2MkFGNkNGRUQtMTpkZmVkZWU4NTkwNTEzZDlkYzAwOTg1YzJkMDgxYzI4ZTox</t>
        </is>
      </c>
      <c r="AH1102" t="inlineStr">
        <is>
          <t>SMX Convention Center</t>
        </is>
      </c>
      <c r="AI1102"/>
      <c r="AJ1102"/>
      <c r="AK1102"/>
    </row>
    <row r="1103" ht="25.5" customHeight="1">
      <c r="A1103" s="2" t="str">
        <f>=HYPERLINK("https://applink.larksuite.com/client/mini_program/open?appId=cli_9c7cc8a9a9edd105&amp;mode=appCenter&amp;path_pc=pc/pages/requested/index?instanceId=7528332385025261599&amp;source=bitable&amp;path=pages/detail/index?instanceId=7528332385025261599&amp;source=bitable", "202507180043")</f>
        <v>202507180043</v>
      </c>
      <c r="B1103" t="inlineStr">
        <is>
          <t>Approved</t>
        </is>
      </c>
      <c r="C1103" t="inlineStr">
        <is>
          <t>Procurement Order</t>
        </is>
      </c>
      <c r="D1103" s="3">
        <v>45856.67679398148</v>
      </c>
      <c r="E1103" s="3">
        <v>45860.71778935185</v>
      </c>
      <c r="F1103" t="inlineStr">
        <is>
          <t>Fatima Kathleen M. FLores</t>
        </is>
      </c>
      <c r="G1103" t="inlineStr">
        <is>
          <t>Procurement</t>
        </is>
      </c>
      <c r="H1103"/>
      <c r="I1103"/>
      <c r="J1103" t="inlineStr">
        <is>
          <t>GAE</t>
        </is>
      </c>
      <c r="K1103"/>
      <c r="L1103"/>
      <c r="M1103"/>
      <c r="N1103"/>
      <c r="O1103" t="inlineStr">
        <is>
          <t>202507110049-Carla Andrea Calma Crespo-费用报销 - 副本 - 副本 - 副本-2025-07-11 08:50:25</t>
        </is>
      </c>
      <c r="P1103"/>
      <c r="Q1103" t="inlineStr">
        <is>
          <t>Sales</t>
        </is>
      </c>
      <c r="R1103"/>
      <c r="S1103" t="inlineStr">
        <is>
          <t>Outsourced Creative Designer</t>
        </is>
      </c>
      <c r="T1103">
        <v>1</v>
      </c>
      <c r="U1103">
        <v>60000</v>
      </c>
      <c r="V1103" t="inlineStr">
        <is>
          <t>PHP</t>
        </is>
      </c>
      <c r="W1103">
        <v>60000</v>
      </c>
      <c r="X1103" s="2" t="str">
        <f>=HYPERLINK("https://www.larksuite.com/approval/admin/previewAttachment?key=PMg7CsJgEATgK83Ovr2MjSEYRBsxf7VnFyxsvyhBlItGw1rYkElnqVLLQWeIdw9HMhspCZvtuV_LTl2fF-lHruMx5_22b2_xThKpZloA5PJ3TTPrDsPP8Q0AAP__", "2 attachment(s)")</f>
        <v>2 attachment(s)</v>
      </c>
      <c r="Y1103" t="inlineStr">
        <is>
          <t>Bank Transfer</t>
        </is>
      </c>
      <c r="Z1103" t="inlineStr">
        <is>
          <t>ANGELEE MONCAWE</t>
        </is>
      </c>
      <c r="AA1103" t="inlineStr">
        <is>
          <t>007340398535</t>
        </is>
      </c>
      <c r="AB1103" t="inlineStr">
        <is>
          <t>BDO</t>
        </is>
      </c>
      <c r="AC1103" t="inlineStr">
        <is>
          <t>Blk 16 lot 11 Montavilla Subd. Ph 1. Burgos, Rodriguez, Rizal</t>
        </is>
      </c>
      <c r="AD1103" s="4">
        <v>45823</v>
      </c>
      <c r="AE1103" t="inlineStr">
        <is>
          <t>1st Payment - July 25, 2025
Final Payment - Aug. 8, 2025</t>
        </is>
      </c>
      <c r="AF1103" s="2"/>
      <c r="AG1103" t="inlineStr">
        <is>
          <t>NzQyNTk5MTgyNzQ4MTg3MDM0MTpFMDMxQzI1RS04NUNBLTQ5NDQtQkIyNi1GRUE5NEY4NEZCMDItMTpkZDcwZGVhZjIyNjk0MThlMjU3YzFlOGJkOTI0NjU0MTox</t>
        </is>
      </c>
      <c r="AH1103" t="inlineStr">
        <is>
          <t>ANGELEE MONCAWE</t>
        </is>
      </c>
      <c r="AI1103"/>
      <c r="AJ1103"/>
      <c r="AK1103"/>
    </row>
    <row r="1104" ht="25.5" customHeight="1">
      <c r="A1104" s="2" t="str">
        <f>=HYPERLINK("https://applink.larksuite.com/client/mini_program/open?appId=cli_9c7cc8a9a9edd105&amp;mode=appCenter&amp;path_pc=pc/pages/requested/index?instanceId=7528330303694176294&amp;source=bitable&amp;path=pages/detail/index?instanceId=7528330303694176294&amp;source=bitable", "202507180042")</f>
        <v>202507180042</v>
      </c>
      <c r="B1104" t="inlineStr">
        <is>
          <t>Approved</t>
        </is>
      </c>
      <c r="C1104" t="inlineStr">
        <is>
          <t>Procurement Order</t>
        </is>
      </c>
      <c r="D1104" s="3">
        <v>45856.67118055555</v>
      </c>
      <c r="E1104" s="3">
        <v>45856.69834490741</v>
      </c>
      <c r="F1104" t="inlineStr">
        <is>
          <t>Fatima Kathleen M. FLores</t>
        </is>
      </c>
      <c r="G1104" t="inlineStr">
        <is>
          <t>Procurement</t>
        </is>
      </c>
      <c r="H1104"/>
      <c r="I1104"/>
      <c r="J1104" t="inlineStr">
        <is>
          <t>Project</t>
        </is>
      </c>
      <c r="K1104" t="inlineStr">
        <is>
          <t>PDEI - Event Service</t>
        </is>
      </c>
      <c r="L1104" t="inlineStr">
        <is>
          <t>MDL PH S6 Qualifiers &amp; Regular Season</t>
        </is>
      </c>
      <c r="M1104" t="inlineStr">
        <is>
          <t>2025TEG-P0200</t>
        </is>
      </c>
      <c r="N1104" t="inlineStr">
        <is>
          <t>Kervin</t>
        </is>
      </c>
      <c r="O1104" t="inlineStr">
        <is>
          <t>202507100055-Kervin-费用报销 - 副本 - 副本 - 副本-2025-07-10 05:46:28</t>
        </is>
      </c>
      <c r="P1104" t="inlineStr">
        <is>
          <t>YES</t>
        </is>
      </c>
      <c r="Q1104"/>
      <c r="R1104" t="inlineStr">
        <is>
          <t>NO</t>
        </is>
      </c>
      <c r="S1104" t="inlineStr">
        <is>
          <t>Outsourced HMUA</t>
        </is>
      </c>
      <c r="T1104">
        <v>1</v>
      </c>
      <c r="U1104">
        <v>86400</v>
      </c>
      <c r="V1104" t="inlineStr">
        <is>
          <t>PHP</t>
        </is>
      </c>
      <c r="W1104">
        <v>86400</v>
      </c>
      <c r="X1104" s="2" t="str">
        <f>=HYPERLINK("https://www.larksuite.com/approval/admin/previewAttachment?key=PMgxrgIxDATQK43tie35l_nNRhEN2yBAW-TsSBS0L9uQPSxSoMwF2zW8IxCIFK3Sxe3bqoSyAve8r_8ZfT3Pa73bFOexX7djzYcNlTsqyGgA9vfzKJJSEl_HJwAA__8", "2 attachment(s)")</f>
        <v>2 attachment(s)</v>
      </c>
      <c r="Y1104" t="inlineStr">
        <is>
          <t>Bank Transfer</t>
        </is>
      </c>
      <c r="Z1104" t="inlineStr">
        <is>
          <t>Grace Filomeno</t>
        </is>
      </c>
      <c r="AA1104" t="inlineStr">
        <is>
          <t>007340484415</t>
        </is>
      </c>
      <c r="AB1104" t="inlineStr">
        <is>
          <t>BDO</t>
        </is>
      </c>
      <c r="AC1104" t="inlineStr">
        <is>
          <t>89 T Santos St. San Jose, Rodriguez, Rizal</t>
        </is>
      </c>
      <c r="AD1104" s="4">
        <v>45888</v>
      </c>
      <c r="AE1104" t="inlineStr">
        <is>
          <t>1st Payment - Aug. 29, 2025
2nd Payment - Sept. 12, 2025
3rd Payment - Sept. 26, 2025
4th Payment - Oct. 10, 2025
Final Payment - Oct. 31, 2025</t>
        </is>
      </c>
      <c r="AF1104" s="2"/>
      <c r="AG1104" t="inlineStr">
        <is>
          <t>NzQyNTk5MTgyNzQ4MTg3MDM0MTpGNzQwRThERS03QUQxLTQwQzYtQTc3Ny01NzJEQTIyNjcyNEMtMTpjMWNlZjdhODgwOTQ5YjM2YTUxZGNjYTA2MTMxNTZlZDox</t>
        </is>
      </c>
      <c r="AH1104" t="inlineStr">
        <is>
          <t>Grace Filomeno</t>
        </is>
      </c>
      <c r="AI1104"/>
      <c r="AJ1104"/>
      <c r="AK1104"/>
    </row>
    <row r="1105" ht="25.5" customHeight="1">
      <c r="A1105" s="2" t="str">
        <f>=HYPERLINK("https://applink.larksuite.com/client/mini_program/open?appId=cli_9c7cc8a9a9edd105&amp;mode=appCenter&amp;path_pc=pc/pages/requested/index?instanceId=7528326527814058023&amp;source=bitable&amp;path=pages/detail/index?instanceId=7528326527814058023&amp;source=bitable", "202507180040")</f>
        <v>202507180040</v>
      </c>
      <c r="B1105" t="inlineStr">
        <is>
          <t>Approved</t>
        </is>
      </c>
      <c r="C1105" t="inlineStr">
        <is>
          <t>Procurement Order</t>
        </is>
      </c>
      <c r="D1105" s="3">
        <v>45856.66100694444</v>
      </c>
      <c r="E1105" s="3">
        <v>45856.72982638889</v>
      </c>
      <c r="F1105" t="inlineStr">
        <is>
          <t>Fatima Kathleen M. FLores</t>
        </is>
      </c>
      <c r="G1105" t="inlineStr">
        <is>
          <t>Procurement</t>
        </is>
      </c>
      <c r="H1105"/>
      <c r="I1105"/>
      <c r="J1105" t="inlineStr">
        <is>
          <t>Project</t>
        </is>
      </c>
      <c r="K1105" t="inlineStr">
        <is>
          <t>PDEI - Game Marketing</t>
        </is>
      </c>
      <c r="L1105" t="inlineStr">
        <is>
          <t>Samsung Galaxy Gaming Academy - Content Seeding</t>
        </is>
      </c>
      <c r="M1105" t="inlineStr">
        <is>
          <t>2025TEG-P0075</t>
        </is>
      </c>
      <c r="N1105" t="inlineStr">
        <is>
          <t>Diana Lou Perocho Gosamo</t>
        </is>
      </c>
      <c r="O1105" t="inlineStr">
        <is>
          <t>202507040050-Diana Lou Perocho Gosamo-费用报销 - 副本 - 副本 - 副本-2025-07-04 08:33:20</t>
        </is>
      </c>
      <c r="P1105" t="inlineStr">
        <is>
          <t>NO</t>
        </is>
      </c>
      <c r="Q1105"/>
      <c r="R1105" t="inlineStr">
        <is>
          <t>NO</t>
        </is>
      </c>
      <c r="S1105" t="inlineStr">
        <is>
          <t>Outsourced PR Posting / Social Media Post</t>
        </is>
      </c>
      <c r="T1105">
        <v>1</v>
      </c>
      <c r="U1105">
        <v>8500</v>
      </c>
      <c r="V1105" t="inlineStr">
        <is>
          <t>PHP</t>
        </is>
      </c>
      <c r="W1105">
        <v>8500</v>
      </c>
      <c r="X1105" s="2" t="str">
        <f>=HYPERLINK("https://www.larksuite.com/approval/admin/previewAttachment?key=PMg9CgJRDATgK83k503iZWx8LDaKICxY5OyChe23iliV9NWIpjU4Siu3laZiIAvmY0OpIQox-3Fct9fHX_tMP6lnznm_HfvNbJlBHuEFgJe_uyKiewV-jm8AAAD__w", "2 attachment(s)")</f>
        <v>2 attachment(s)</v>
      </c>
      <c r="Y1105" t="inlineStr">
        <is>
          <t>Bank Transfer</t>
        </is>
      </c>
      <c r="Z1105" t="inlineStr">
        <is>
          <t>Richard Anthony E. Suba</t>
        </is>
      </c>
      <c r="AA1105" t="inlineStr">
        <is>
          <t>0463881952</t>
        </is>
      </c>
      <c r="AB1105" t="inlineStr">
        <is>
          <t>BPI</t>
        </is>
      </c>
      <c r="AC1105" t="inlineStr">
        <is>
          <t>425-A Madrid Ext. Concha St. Tondo, Manila</t>
        </is>
      </c>
      <c r="AD1105" s="4">
        <v>45757</v>
      </c>
      <c r="AE1105" t="inlineStr">
        <is>
          <t>100% Full Payment</t>
        </is>
      </c>
      <c r="AF1105" s="2" t="str">
        <f>=HYPERLINK("https://www.larksuite.com/approval/admin/previewAttachment?key=TMi7CQJAEATQlmb2vzZj4nGYKIJwYLC1C0amL4qIcmo0rCkNTrqUSrhk0eAF0ZFhZiOZsFmPfV1aH32t43qYT59zv-31ZpQGrN2MDYCXPyfRpaE_xzcAAP__", "2 attachment(s)")</f>
        <v>2 attachment(s)</v>
      </c>
      <c r="AG1105" t="inlineStr">
        <is>
          <t>NzQyNTk5MTgyNzQ4MTg3MDM0MTpGNzhCNjJFOS1GRDVELTRCQUQtOUQ4Ni0zMjBFRDVCQzY5NTUtMTowMWUzNTU2ZmU4NGZjMDVmOTE2ZWMyZjNiYmRmNzY2MDox</t>
        </is>
      </c>
      <c r="AH1105" t="inlineStr">
        <is>
          <t>Back2Gaming</t>
        </is>
      </c>
      <c r="AI1105"/>
      <c r="AJ1105"/>
      <c r="AK1105"/>
    </row>
    <row r="1106" ht="25.5" customHeight="1">
      <c r="A1106" s="2" t="str">
        <f>=HYPERLINK("https://applink.larksuite.com/client/mini_program/open?appId=cli_9c7cc8a9a9edd105&amp;mode=appCenter&amp;path_pc=pc/pages/requested/index?instanceId=7528323532909051943&amp;source=bitable&amp;path=pages/detail/index?instanceId=7528323532909051943&amp;source=bitable", "202507180037")</f>
        <v>202507180037</v>
      </c>
      <c r="B1106" t="inlineStr">
        <is>
          <t>Approved</t>
        </is>
      </c>
      <c r="C1106" t="inlineStr">
        <is>
          <t>Procurement Order</t>
        </is>
      </c>
      <c r="D1106" s="3">
        <v>45856.65292824074</v>
      </c>
      <c r="E1106" s="3">
        <v>45856.730405092596</v>
      </c>
      <c r="F1106" t="inlineStr">
        <is>
          <t>Fatima Kathleen M. FLores</t>
        </is>
      </c>
      <c r="G1106" t="inlineStr">
        <is>
          <t>Procurement</t>
        </is>
      </c>
      <c r="H1106"/>
      <c r="I1106"/>
      <c r="J1106" t="inlineStr">
        <is>
          <t>Project</t>
        </is>
      </c>
      <c r="K1106" t="inlineStr">
        <is>
          <t>PDEI - Game Marketing</t>
        </is>
      </c>
      <c r="L1106" t="inlineStr">
        <is>
          <t>Samsung Galaxy Gaming Academy - Content Seeding</t>
        </is>
      </c>
      <c r="M1106" t="inlineStr">
        <is>
          <t>2025TEG-P0075</t>
        </is>
      </c>
      <c r="N1106" t="inlineStr">
        <is>
          <t>Diana Lou Perocho Gosamo</t>
        </is>
      </c>
      <c r="O1106" t="inlineStr">
        <is>
          <t>202507040050-Diana Lou Perocho Gosamo-费用报销 - 副本 - 副本 - 副本-2025-07-04 08:33:20</t>
        </is>
      </c>
      <c r="P1106" t="inlineStr">
        <is>
          <t>NO</t>
        </is>
      </c>
      <c r="Q1106"/>
      <c r="R1106" t="inlineStr">
        <is>
          <t>NO</t>
        </is>
      </c>
      <c r="S1106" t="inlineStr">
        <is>
          <t>Outsourced PR Posting</t>
        </is>
      </c>
      <c r="T1106">
        <v>1</v>
      </c>
      <c r="U1106">
        <v>3900</v>
      </c>
      <c r="V1106" t="inlineStr">
        <is>
          <t>PHP</t>
        </is>
      </c>
      <c r="W1106">
        <v>3900</v>
      </c>
      <c r="X1106" s="2" t="str">
        <f>=HYPERLINK("https://www.larksuite.com/approval/admin/previewAttachment?key=PMgxCgJBDAXQK_0kP5P5XsZmlkXEAUHYLmcXLGzfmIYx02IIlLlgXekzPDJcENLEaG-rEsoK7GOf98z1Sq734t7PdfX1WOfxsVS5o4KMCcBuf48iKQ3i5_gGAAD__w", "2 attachment(s)")</f>
        <v>2 attachment(s)</v>
      </c>
      <c r="Y1106" t="inlineStr">
        <is>
          <t>Bank Transfer</t>
        </is>
      </c>
      <c r="Z1106" t="inlineStr">
        <is>
          <t>Blip Media Digital Marketing Consultancy Inc.</t>
        </is>
      </c>
      <c r="AA1106" t="inlineStr">
        <is>
          <t>003498016791</t>
        </is>
      </c>
      <c r="AB1106" t="inlineStr">
        <is>
          <t>BPI</t>
        </is>
      </c>
      <c r="AC1106" t="inlineStr">
        <is>
          <t>Block 9, Lot 8, Dona Manuela Avenue, Dona Manuela Subdivision, Las Pinas City</t>
        </is>
      </c>
      <c r="AD1106" s="4">
        <v>45762</v>
      </c>
      <c r="AE1106" t="inlineStr">
        <is>
          <t>100% Full Payment</t>
        </is>
      </c>
      <c r="AF1106" s="2" t="str">
        <f>=HYPERLINK("https://www.larksuite.com/approval/admin/previewAttachment?key=TMg7CgJBEATQK1VNf2bKy5j0sog4IAib9dkFI9OXi8gVtBRcHAJ7xlg2LGwIQlBuPZpzCpMT3sc-7xH1Cq93-d7Puvp61Hl8mMsSrnCnAPD25yS0LO3n-AYAAP__", "2 attachment(s)")</f>
        <v>2 attachment(s)</v>
      </c>
      <c r="AG1106" t="inlineStr">
        <is>
          <t>NzQyNTk5MTgyNzQ4MTg3MDM0MTpFNEIxODAwQi1BRjUzLTQwRTgtQjRDMS1GRjg4OUJEREU5RjItMTpkMzhiMTJhMjI3OTM5MGY5MmYyOGQwOTY5NTQzODdkZjox</t>
        </is>
      </c>
      <c r="AH1106" t="inlineStr">
        <is>
          <t>DaGeek</t>
        </is>
      </c>
      <c r="AI1106"/>
      <c r="AJ1106"/>
      <c r="AK1106"/>
    </row>
    <row r="1107" ht="25.5" customHeight="1">
      <c r="A1107" s="2" t="str">
        <f>=HYPERLINK("https://applink.larksuite.com/client/mini_program/open?appId=cli_9c7cc8a9a9edd105&amp;mode=appCenter&amp;path_pc=pc/pages/requested/index?instanceId=7528321635066069024&amp;source=bitable&amp;path=pages/detail/index?instanceId=7528321635066069024&amp;source=bitable", "202507180036")</f>
        <v>202507180036</v>
      </c>
      <c r="B1107" t="inlineStr">
        <is>
          <t>Recalled</t>
        </is>
      </c>
      <c r="C1107" t="inlineStr">
        <is>
          <t>Procurement Order</t>
        </is>
      </c>
      <c r="D1107" s="3">
        <v>45856.647824074076</v>
      </c>
      <c r="E1107" s="3">
        <v>45859.45747685185</v>
      </c>
      <c r="F1107" t="inlineStr">
        <is>
          <t>Fatima Kathleen M. FLores</t>
        </is>
      </c>
      <c r="G1107" t="inlineStr">
        <is>
          <t>Procurement</t>
        </is>
      </c>
      <c r="H1107"/>
      <c r="I1107"/>
      <c r="J1107" t="inlineStr">
        <is>
          <t>Project</t>
        </is>
      </c>
      <c r="K1107" t="inlineStr">
        <is>
          <t>PDEI - Game Marketing</t>
        </is>
      </c>
      <c r="L1107" t="inlineStr">
        <is>
          <t>Samsung Galaxy Gaming Academy - Content Seeding</t>
        </is>
      </c>
      <c r="M1107" t="inlineStr">
        <is>
          <t>2025TEG-P0075</t>
        </is>
      </c>
      <c r="N1107" t="inlineStr">
        <is>
          <t>Diana Lou Perocho Gosamo</t>
        </is>
      </c>
      <c r="O1107" t="inlineStr">
        <is>
          <t>202507040050-Diana Lou Perocho Gosamo-费用报销 - 副本 - 副本 - 副本-2025-07-04 08:33:20</t>
        </is>
      </c>
      <c r="P1107" t="inlineStr">
        <is>
          <t>NO</t>
        </is>
      </c>
      <c r="Q1107"/>
      <c r="R1107" t="inlineStr">
        <is>
          <t>NO</t>
        </is>
      </c>
      <c r="S1107" t="inlineStr">
        <is>
          <t>Social Media Post promoting Samsung Galaxy Gaming Academy 2025 (Mobile Legends Tournament)</t>
        </is>
      </c>
      <c r="T1107">
        <v>1</v>
      </c>
      <c r="U1107">
        <v>25088</v>
      </c>
      <c r="V1107" t="inlineStr">
        <is>
          <t>PHP</t>
        </is>
      </c>
      <c r="W1107">
        <v>25088</v>
      </c>
      <c r="X1107" s="2" t="str">
        <f>=HYPERLINK("https://www.larksuite.com/approval/admin/previewAttachment?key=PMgrDsJgEATgK83s8x8ug2nTIEARIBV7dhIE9qtF1Ep6CSGawOm05cbyRBVKsBgbdgvNRsz-OK6Z2z3P86WdH2fP-7Yd-5OpNkN7hC8AvPzdOyKkCvwc3wAAAP__", "2 attachment(s)")</f>
        <v>2 attachment(s)</v>
      </c>
      <c r="Y1107" t="inlineStr">
        <is>
          <t>Bank Transfer</t>
        </is>
      </c>
      <c r="Z1107" t="inlineStr">
        <is>
          <t>Yugen Media Incorporated</t>
        </is>
      </c>
      <c r="AA1107" t="inlineStr">
        <is>
          <t>26-7100-2612</t>
        </is>
      </c>
      <c r="AB1107" t="inlineStr">
        <is>
          <t>BPI</t>
        </is>
      </c>
      <c r="AC1107" t="inlineStr">
        <is>
          <t>Unit 305, Level 3, Silver City 1, Frontera Drive, Ortigas East, Pasig City</t>
        </is>
      </c>
      <c r="AD1107" s="4">
        <v>45762</v>
      </c>
      <c r="AE1107" t="inlineStr">
        <is>
          <t>100% Full Payment</t>
        </is>
      </c>
      <c r="AF1107" s="2" t="str">
        <f>=HYPERLINK("https://www.larksuite.com/approval/admin/previewAttachment?key=TMgxDgJRCATQK818YAAvY7ObjYVWRs0WnN3EyvapCFXQ1PDmanAyVtmiLCBBjeWzhpmNZMJnfxzXiO0e5_nqnR9jzvu2HfuTKhO8w50NgJc_J9Flsp_jGwAA__8", "2 attachment(s)")</f>
        <v>2 attachment(s)</v>
      </c>
      <c r="AG1107" t="inlineStr">
        <is>
          <t>NzQyNTk5MTgyNzQ4MTg3MDM0MTpFMjJFQUZDMS1GNkYzLTQ4NTctQUJFOC0xREI3QkE2M0UyNzUtMTpmZjllZWY4ZWI3NDFkMmFkMThiNzZlYjgxODZmOWNhMzox</t>
        </is>
      </c>
      <c r="AH1107" t="inlineStr">
        <is>
          <t>Yugen Media</t>
        </is>
      </c>
      <c r="AI1107"/>
      <c r="AJ1107"/>
      <c r="AK1107"/>
    </row>
    <row r="1108" ht="25.5" customHeight="1">
      <c r="A1108" s="2" t="str">
        <f>=HYPERLINK("https://applink.larksuite.com/client/mini_program/open?appId=cli_9c7cc8a9a9edd105&amp;mode=appCenter&amp;path_pc=pc/pages/requested/index?instanceId=7528319329511964710&amp;source=bitable&amp;path=pages/detail/index?instanceId=7528319329511964710&amp;source=bitable", "202507180035")</f>
        <v>202507180035</v>
      </c>
      <c r="B1108" t="inlineStr">
        <is>
          <t>Approved</t>
        </is>
      </c>
      <c r="C1108" t="inlineStr">
        <is>
          <t>Procurement Order</t>
        </is>
      </c>
      <c r="D1108" s="3">
        <v>45856.64160879629</v>
      </c>
      <c r="E1108" s="3">
        <v>45856.73159722222</v>
      </c>
      <c r="F1108" t="inlineStr">
        <is>
          <t>Fatima Kathleen M. FLores</t>
        </is>
      </c>
      <c r="G1108" t="inlineStr">
        <is>
          <t>Procurement</t>
        </is>
      </c>
      <c r="H1108"/>
      <c r="I1108"/>
      <c r="J1108" t="inlineStr">
        <is>
          <t>Project</t>
        </is>
      </c>
      <c r="K1108" t="inlineStr">
        <is>
          <t>PDEI - Game Marketing</t>
        </is>
      </c>
      <c r="L1108" t="inlineStr">
        <is>
          <t>Samsung Galaxy Gaming Academy - Content Seeding</t>
        </is>
      </c>
      <c r="M1108" t="inlineStr">
        <is>
          <t>2025TEG-P0075</t>
        </is>
      </c>
      <c r="N1108" t="inlineStr">
        <is>
          <t>Diana Lou Perocho Gosamo</t>
        </is>
      </c>
      <c r="O1108" t="inlineStr">
        <is>
          <t>202507040050-Diana Lou Perocho Gosamo-费用报销 - 副本 - 副本 - 副本-2025-07-04 08:33:20</t>
        </is>
      </c>
      <c r="P1108" t="inlineStr">
        <is>
          <t>NO</t>
        </is>
      </c>
      <c r="Q1108"/>
      <c r="R1108" t="inlineStr">
        <is>
          <t>NO</t>
        </is>
      </c>
      <c r="S1108" t="inlineStr">
        <is>
          <t>Outsourced PR Posting</t>
        </is>
      </c>
      <c r="T1108">
        <v>1</v>
      </c>
      <c r="U1108">
        <v>22400</v>
      </c>
      <c r="V1108" t="inlineStr">
        <is>
          <t>PHP</t>
        </is>
      </c>
      <c r="W1108">
        <v>22400</v>
      </c>
      <c r="X1108" s="2" t="str">
        <f>=HYPERLINK("https://www.larksuite.com/approval/admin/previewAttachment?key=PMg7jgIxEATQK1X1x-Xey2yCNWIARwiyPjsSAekbkxgz6aMQRSuwlTad5VZJ1ggRbU2pIArRax__j1zKc961X7dzr35fL8d6MktmkEf4BMC_n7siomoEvo5PAAAA__8", "2 attachment(s)")</f>
        <v>2 attachment(s)</v>
      </c>
      <c r="Y1108" t="inlineStr">
        <is>
          <t>Bank Transfer</t>
        </is>
      </c>
      <c r="Z1108" t="inlineStr">
        <is>
          <t>NET3PRENEURS INC</t>
        </is>
      </c>
      <c r="AA1108" t="inlineStr">
        <is>
          <t>002380084137</t>
        </is>
      </c>
      <c r="AB1108" t="inlineStr">
        <is>
          <t>BDO</t>
        </is>
      </c>
      <c r="AC1108" t="inlineStr">
        <is>
          <t>90 San Rafael St., Brgy. Plainview, Mandaluyong City</t>
        </is>
      </c>
      <c r="AD1108" s="4">
        <v>45757</v>
      </c>
      <c r="AE1108" t="inlineStr">
        <is>
          <t>100% Full Payment</t>
        </is>
      </c>
      <c r="AF1108" s="2" t="str">
        <f>=HYPERLINK("https://www.larksuite.com/approval/admin/previewAttachment?key=TMi7jQIxGATglmb8P-eauQRrxQKOEGSuHYmI9MsmsoOWgotD4K4YbZQNBan0IvbYrBKKBd9zHf-PmBVn32u9buea-329HPPJbEu4wp0CwL8fJ6G2tK_jEwAA__8", "2 attachment(s)")</f>
        <v>2 attachment(s)</v>
      </c>
      <c r="AG1108" t="inlineStr">
        <is>
          <t>NzQyNTk5MTgyNzQ4MTg3MDM0MToxQjUyODJBOS1GNDI3LTRDRjQtQjBEMi04NzY2NTQ2MkU4RUEtMTo3NzA0ODJmMTIxYzBhZDEzMTkxNjc5NmYwMjJiOTgzZjox</t>
        </is>
      </c>
      <c r="AH1108" t="inlineStr">
        <is>
          <t>NET3PRENEURS INC.</t>
        </is>
      </c>
      <c r="AI1108"/>
      <c r="AJ1108"/>
      <c r="AK1108"/>
    </row>
    <row r="1109" ht="25.5" customHeight="1">
      <c r="A1109" s="2" t="str">
        <f>=HYPERLINK("https://applink.larksuite.com/client/mini_program/open?appId=cli_9c7cc8a9a9edd105&amp;mode=appCenter&amp;path_pc=pc/pages/requested/index?instanceId=7528315844938465319&amp;source=bitable&amp;path=pages/detail/index?instanceId=7528315844938465319&amp;source=bitable", "202507180034")</f>
        <v>202507180034</v>
      </c>
      <c r="B1109" t="inlineStr">
        <is>
          <t>Approved</t>
        </is>
      </c>
      <c r="C1109" t="inlineStr">
        <is>
          <t>Procurement Order</t>
        </is>
      </c>
      <c r="D1109" s="3">
        <v>45856.632210648146</v>
      </c>
      <c r="E1109" s="3">
        <v>45856.70327546296</v>
      </c>
      <c r="F1109" t="inlineStr">
        <is>
          <t>Fatima Kathleen M. FLores</t>
        </is>
      </c>
      <c r="G1109" t="inlineStr">
        <is>
          <t>Procurement</t>
        </is>
      </c>
      <c r="H1109"/>
      <c r="I1109"/>
      <c r="J1109" t="inlineStr">
        <is>
          <t>Project</t>
        </is>
      </c>
      <c r="K1109" t="inlineStr">
        <is>
          <t>PDEI - Game Marketing</t>
        </is>
      </c>
      <c r="L1109" t="inlineStr">
        <is>
          <t>BuzzOne - C-Vitt Brand Activation</t>
        </is>
      </c>
      <c r="M1109" t="inlineStr">
        <is>
          <t>2025TEG-P0135</t>
        </is>
      </c>
      <c r="N1109" t="inlineStr">
        <is>
          <t>Carla Andrea Calma Crespo</t>
        </is>
      </c>
      <c r="O1109" t="inlineStr">
        <is>
          <t>202506040108-Carla Andrea Calma Crespo-费用报销 - 副本 - 副本 - 副本-2025-06-04 10:09:41</t>
        </is>
      </c>
      <c r="P1109" t="inlineStr">
        <is>
          <t>YES</t>
        </is>
      </c>
      <c r="Q1109"/>
      <c r="R1109" t="inlineStr">
        <is>
          <t>NO</t>
        </is>
      </c>
      <c r="S1109" t="inlineStr">
        <is>
          <t>Outsourced Promodizer</t>
        </is>
      </c>
      <c r="T1109">
        <v>1</v>
      </c>
      <c r="U1109">
        <v>40000</v>
      </c>
      <c r="V1109" t="inlineStr">
        <is>
          <t>PHP</t>
        </is>
      </c>
      <c r="W1109">
        <v>40000</v>
      </c>
      <c r="X1109" s="2" t="str">
        <f>=HYPERLINK("https://www.larksuite.com/approval/admin/previewAttachment?key=PMhBCkJRCAXQLV31-tQ206TPI6IgCIQ_cO1Bg6ZnpWCli60CS7QgE65p4kmWJZeb1OhIRCEkwDle-3r2fvT79H52HdrT99s-PuIVqggjLQHI5e8WJKsW8XN8AwAA__8", "2 attachment(s)")</f>
        <v>2 attachment(s)</v>
      </c>
      <c r="Y1109" t="inlineStr">
        <is>
          <t>Bank Transfer</t>
        </is>
      </c>
      <c r="Z1109" t="inlineStr">
        <is>
          <t>Michael Melchor M. Millendez</t>
        </is>
      </c>
      <c r="AA1109" t="inlineStr">
        <is>
          <t>0072 5027 1552</t>
        </is>
      </c>
      <c r="AB1109" t="inlineStr">
        <is>
          <t>BDO</t>
        </is>
      </c>
      <c r="AC1109" t="inlineStr">
        <is>
          <t>Hampstead Place Nangka, Marikina</t>
        </is>
      </c>
      <c r="AD1109" s="4">
        <v>45843</v>
      </c>
      <c r="AE1109" t="inlineStr">
        <is>
          <t>1st Payment - Aug. 1, 2025
Final Payment - Aug. 22, 2025</t>
        </is>
      </c>
      <c r="AF1109" s="2"/>
      <c r="AG1109" t="inlineStr">
        <is>
          <t>NzQyNTk5MTgyNzQ4MTg3MDM0MTo5M0ZFNkY0RS0wNzJGLTQ4QjAtQTMyQi1FMEVDMzNCOEI0OTctMTpiMzFhZDhhNTViZTJjYmRlOTlmNWViMWEwZGNiNmE3YTox</t>
        </is>
      </c>
      <c r="AH1109" t="inlineStr">
        <is>
          <t>Michael Melchor M. Millendez</t>
        </is>
      </c>
      <c r="AI1109"/>
      <c r="AJ1109"/>
      <c r="AK1109"/>
    </row>
    <row r="1110" ht="25.5" customHeight="1">
      <c r="A1110" s="2" t="str">
        <f>=HYPERLINK("https://applink.larksuite.com/client/mini_program/open?appId=cli_9c7cc8a9a9edd105&amp;mode=appCenter&amp;path_pc=pc/pages/requested/index?instanceId=7528334650654179366&amp;source=bitable&amp;path=pages/detail/index?instanceId=7528334650654179366&amp;source=bitable", "202507180044")</f>
        <v>202507180044</v>
      </c>
      <c r="B1110" t="inlineStr">
        <is>
          <t>Approved</t>
        </is>
      </c>
      <c r="C1110" t="inlineStr">
        <is>
          <t>Procurement Order</t>
        </is>
      </c>
      <c r="D1110" s="3">
        <v>45856.68289351852</v>
      </c>
      <c r="E1110" s="3">
        <v>45856.699791666666</v>
      </c>
      <c r="F1110" t="inlineStr">
        <is>
          <t>Fatima Kathleen M. FLores</t>
        </is>
      </c>
      <c r="G1110" t="inlineStr">
        <is>
          <t>Procurement</t>
        </is>
      </c>
      <c r="H1110"/>
      <c r="I1110"/>
      <c r="J1110" t="inlineStr">
        <is>
          <t>Project</t>
        </is>
      </c>
      <c r="K1110" t="inlineStr">
        <is>
          <t>PDEI - Event Service</t>
        </is>
      </c>
      <c r="L1110" t="inlineStr">
        <is>
          <t>MDL PH S6 Qualifiers &amp; Regular Season</t>
        </is>
      </c>
      <c r="M1110" t="inlineStr">
        <is>
          <t>2025TEG-P0200</t>
        </is>
      </c>
      <c r="N1110" t="inlineStr">
        <is>
          <t>Kervin</t>
        </is>
      </c>
      <c r="O1110" t="inlineStr">
        <is>
          <t>202507100052-Kervin-费用报销 - 副本 - 副本 - 副本-2025-07-10 05:43:10</t>
        </is>
      </c>
      <c r="P1110" t="inlineStr">
        <is>
          <t>YES</t>
        </is>
      </c>
      <c r="Q1110"/>
      <c r="R1110" t="inlineStr">
        <is>
          <t>NO</t>
        </is>
      </c>
      <c r="S1110" t="inlineStr">
        <is>
          <t>Outsourced Stats Producer</t>
        </is>
      </c>
      <c r="T1110">
        <v>1</v>
      </c>
      <c r="U1110">
        <v>65000</v>
      </c>
      <c r="V1110" t="inlineStr">
        <is>
          <t>PHP</t>
        </is>
      </c>
      <c r="W1110">
        <v>65000</v>
      </c>
      <c r="X1110" s="2" t="str">
        <f>=HYPERLINK("https://www.larksuite.com/approval/admin/previewAttachment?key=PMi7DcIADATQlc72-ccyNEQRKKFCBBrPjkSR9kUJolwsGmzRhky6lhnDEU7JtojRkcxGSoKzPNcrde_t_fh-9GBt-xz327q8xDtVkUZaAZDL6ZYku4P4O34BAAD__w", "2 attachment(s)")</f>
        <v>2 attachment(s)</v>
      </c>
      <c r="Y1110" t="inlineStr">
        <is>
          <t>Bank Transfer</t>
        </is>
      </c>
      <c r="Z1110" t="inlineStr">
        <is>
          <t>Alvin Roxas Fellizar</t>
        </is>
      </c>
      <c r="AA1110" t="inlineStr">
        <is>
          <t>1094 3083 3213</t>
        </is>
      </c>
      <c r="AB1110" t="inlineStr">
        <is>
          <t>Unionbank</t>
        </is>
      </c>
      <c r="AC1110" t="inlineStr">
        <is>
          <t>35k Villa-villa St. New Lower Bicutan, Taguig</t>
        </is>
      </c>
      <c r="AD1110" s="4">
        <v>45888</v>
      </c>
      <c r="AE1110" t="inlineStr">
        <is>
          <t>1st Payment - Aug. 8, 2025
2nd Payment - Aug. 29, 2025
3rd Payment - Sept. 19, 2025
4th Payment - Oct. 10, 2025
5th Payment - Oct. 31, 2025
Final Payment - Nov. 7, 2025</t>
        </is>
      </c>
      <c r="AF1110" s="2"/>
      <c r="AG1110" t="inlineStr">
        <is>
          <t>NzQyNTk5MTgyNzQ4MTg3MDM0MTozQUNDNjhDRC0xQzdDLTQ5Q0YtOEEzQi0yQUJGRTE0MzI4MTQtMTpiZjJjOTc5ODdjM2E4OWI5MGZhYTgzMjE5NDRhZTlmZDox</t>
        </is>
      </c>
      <c r="AH1110" t="inlineStr">
        <is>
          <t>Alvin Roxas Fellizar</t>
        </is>
      </c>
      <c r="AI1110"/>
      <c r="AJ1110"/>
      <c r="AK1110"/>
    </row>
    <row r="1111" ht="25.5" customHeight="1">
      <c r="A1111" s="2" t="str">
        <f>=HYPERLINK("https://applink.larksuite.com/client/mini_program/open?appId=cli_9c7cc8a9a9edd105&amp;mode=appCenter&amp;path_pc=pc/pages/requested/index?instanceId=7528336591366963232&amp;source=bitable&amp;path=pages/detail/index?instanceId=7528336591366963232&amp;source=bitable", "202507180045")</f>
        <v>202507180045</v>
      </c>
      <c r="B1111" t="inlineStr">
        <is>
          <t>Approved</t>
        </is>
      </c>
      <c r="C1111" t="inlineStr">
        <is>
          <t>Procurement Order</t>
        </is>
      </c>
      <c r="D1111" s="3">
        <v>45856.688125</v>
      </c>
      <c r="E1111" s="3">
        <v>45860.71915509259</v>
      </c>
      <c r="F1111" t="inlineStr">
        <is>
          <t>Fatima Kathleen M. FLores</t>
        </is>
      </c>
      <c r="G1111" t="inlineStr">
        <is>
          <t>Procurement</t>
        </is>
      </c>
      <c r="H1111"/>
      <c r="I1111"/>
      <c r="J1111" t="inlineStr">
        <is>
          <t>Project</t>
        </is>
      </c>
      <c r="K1111" t="inlineStr">
        <is>
          <t>PDEI - Event Service</t>
        </is>
      </c>
      <c r="L1111" t="inlineStr">
        <is>
          <t>MDL PH S6 Qualifiers &amp; Regular Season</t>
        </is>
      </c>
      <c r="M1111" t="inlineStr">
        <is>
          <t>2025TEG-P0200</t>
        </is>
      </c>
      <c r="N1111" t="inlineStr">
        <is>
          <t>Kervin</t>
        </is>
      </c>
      <c r="O1111" t="inlineStr">
        <is>
          <t>202507100052-Kervin-费用报销 - 副本 - 副本 - 副本-2025-07-10 05:43:10</t>
        </is>
      </c>
      <c r="P1111" t="inlineStr">
        <is>
          <t>YES</t>
        </is>
      </c>
      <c r="Q1111"/>
      <c r="R1111" t="inlineStr">
        <is>
          <t>NO</t>
        </is>
      </c>
      <c r="S1111" t="inlineStr">
        <is>
          <t>Outsourced Show Producer &amp; Director</t>
        </is>
      </c>
      <c r="T1111">
        <v>1</v>
      </c>
      <c r="U1111">
        <v>70000</v>
      </c>
      <c r="V1111" t="inlineStr">
        <is>
          <t>PHP</t>
        </is>
      </c>
      <c r="W1111">
        <v>70000</v>
      </c>
      <c r="X1111" s="2" t="str">
        <f>=HYPERLINK("https://www.larksuite.com/approval/admin/previewAttachment?key=PMhBqgJBDATQK1VS6aTrX-ZvehhEHRDEwU3OLrhw-3Iacg5jCiFzwbqGTzKHjJlKOr29rUooK0Rvx_7v54s3ruONa9zXo8_L2renDZU7ihGcAOzv56yIkDLwdXwCAAD__w", "2 attachment(s)")</f>
        <v>2 attachment(s)</v>
      </c>
      <c r="Y1111" t="inlineStr">
        <is>
          <t>Bank Transfer</t>
        </is>
      </c>
      <c r="Z1111" t="inlineStr">
        <is>
          <t>Christian James D. Dagumboy</t>
        </is>
      </c>
      <c r="AA1111" t="inlineStr">
        <is>
          <t>09257023784</t>
        </is>
      </c>
      <c r="AB1111" t="inlineStr">
        <is>
          <t>GCash</t>
        </is>
      </c>
      <c r="AC1111" t="inlineStr">
        <is>
          <t>64 Raja Kalantiao St. Brgy. Daanghari, Navotas City</t>
        </is>
      </c>
      <c r="AD1111" s="4">
        <v>45859</v>
      </c>
      <c r="AE1111" t="inlineStr">
        <is>
          <t>1st Payment - Aug. 8, 2025
2nd Payment - Aug. 29, 2025
3rd Payment - Sept. 19, 2025
4th Payment - Oct. 10, 2025
5th Payment - Oct. 31, 2025
Final Payment - Nov. 7, 2025</t>
        </is>
      </c>
      <c r="AF1111" s="2"/>
      <c r="AG1111" t="inlineStr">
        <is>
          <t>NzQyNTk5MTgyNzQ4MTg3MDM0MTpBODkwNTg0Mi1DOEMyLTQ1N0MtQkFDQi0zREE0ODY0RjlDNkMtMTpiZTJkMmVkNjg3MDQxMTg3MDUwZGRkZmUwMzVlNjU0Mzox</t>
        </is>
      </c>
      <c r="AH1111" t="inlineStr">
        <is>
          <t>Christian James D. Dagumboy</t>
        </is>
      </c>
      <c r="AI1111"/>
      <c r="AJ1111"/>
      <c r="AK1111"/>
    </row>
    <row r="1112" ht="25.5" customHeight="1">
      <c r="A1112" s="2" t="str">
        <f>=HYPERLINK("https://applink.larksuite.com/client/mini_program/open?appId=cli_9c7cc8a9a9edd105&amp;mode=appCenter&amp;path_pc=pc/pages/requested/index?instanceId=7528352311211491359&amp;source=bitable&amp;path=pages/detail/index?instanceId=7528352311211491359&amp;source=bitable", "202507180049")</f>
        <v>202507180049</v>
      </c>
      <c r="B1112" t="inlineStr">
        <is>
          <t>Approved</t>
        </is>
      </c>
      <c r="C1112" t="inlineStr">
        <is>
          <t>Procurement Order</t>
        </is>
      </c>
      <c r="D1112" s="3">
        <v>45856.73048611111</v>
      </c>
      <c r="E1112" s="3">
        <v>45859.55568287037</v>
      </c>
      <c r="F1112" t="inlineStr">
        <is>
          <t>Fatima Kathleen M. FLores</t>
        </is>
      </c>
      <c r="G1112" t="inlineStr">
        <is>
          <t>Procurement</t>
        </is>
      </c>
      <c r="H1112"/>
      <c r="I1112"/>
      <c r="J1112" t="inlineStr">
        <is>
          <t>Project</t>
        </is>
      </c>
      <c r="K1112" t="inlineStr">
        <is>
          <t>PDEI - Game Marketing</t>
        </is>
      </c>
      <c r="L1112" t="inlineStr">
        <is>
          <t>PGDX Outpost by Mineski</t>
        </is>
      </c>
      <c r="M1112" t="inlineStr">
        <is>
          <t>2025TEG-P0171</t>
        </is>
      </c>
      <c r="N1112" t="inlineStr">
        <is>
          <t>Katherine Denise Lee Sy</t>
        </is>
      </c>
      <c r="O1112" t="inlineStr">
        <is>
          <t>202507170085-Katherine Denise Lee Sy-费用报销 - 副本 - 副本 - 副本-2025-07-17 10:31:06</t>
        </is>
      </c>
      <c r="P1112" t="inlineStr">
        <is>
          <t>NO</t>
        </is>
      </c>
      <c r="Q1112"/>
      <c r="R1112" t="inlineStr">
        <is>
          <t>NO</t>
        </is>
      </c>
      <c r="S1112" t="inlineStr">
        <is>
          <t>Emerald Exhibitor - July 25-27, 2025</t>
        </is>
      </c>
      <c r="T1112">
        <v>1</v>
      </c>
      <c r="U1112">
        <v>364000</v>
      </c>
      <c r="V1112" t="inlineStr">
        <is>
          <t>PHP</t>
        </is>
      </c>
      <c r="W1112">
        <v>364000</v>
      </c>
      <c r="X1112" s="2" t="str">
        <f>=HYPERLINK("https://www.larksuite.com/approval/admin/previewAttachment?key=PMgxrsIwEATQK83sjr2ef5nfOIpACTRIkSh8diQK2tcH0UdjdkNmGFzVYmSLJIOUmc0rFquMYkFre-z_itPHoet9jzmf57puc99ebK4IVEo5APDv51mS7C58HZ8AAAD__w", "2 attachment(s)")</f>
        <v>2 attachment(s)</v>
      </c>
      <c r="Y1112" t="inlineStr">
        <is>
          <t>Bank Transfer</t>
        </is>
      </c>
      <c r="Z1112" t="inlineStr">
        <is>
          <t>CBZN Corporations</t>
        </is>
      </c>
      <c r="AA1112" t="inlineStr">
        <is>
          <t>0000036924831</t>
        </is>
      </c>
      <c r="AB1112" t="inlineStr">
        <is>
          <t>Security Bank</t>
        </is>
      </c>
      <c r="AC1112" t="inlineStr">
        <is>
          <t>Unit 305, Level 3, Silver City 1, Ortigas East, Ortigas Avenue, Brgy Ugong, Pasig Cityy</t>
        </is>
      </c>
      <c r="AD1112" s="4">
        <v>45859</v>
      </c>
      <c r="AE1112" t="inlineStr">
        <is>
          <t>100% Full Payment - July 21, 2025</t>
        </is>
      </c>
      <c r="AF1112" s="2"/>
      <c r="AG1112" t="inlineStr">
        <is>
          <t>NzQyNTk5MTgyNzQ4MTg3MDM0MToyM0E2RjdEOS03OTM4LTQxQzAtQkM0RC02QkUxMUFDQzgyQ0EtMTowOWY1OTA2NWMxNTZmMjc5MDM0YTdiZjA4MzE5ZmQyODox</t>
        </is>
      </c>
      <c r="AH1112" t="inlineStr">
        <is>
          <t>CBZN Corporations</t>
        </is>
      </c>
      <c r="AI1112"/>
      <c r="AJ1112"/>
      <c r="AK1112"/>
    </row>
    <row r="1113" ht="25.5" customHeight="1">
      <c r="A1113" s="2" t="str">
        <f>=HYPERLINK("https://applink.larksuite.com/client/mini_program/open?appId=cli_9c7cc8a9a9edd105&amp;mode=appCenter&amp;path_pc=pc/pages/requested/index?instanceId=7565751543190884065&amp;source=bitable&amp;path=pages/detail/index?instanceId=7565751543190884065&amp;source=bitable", "202510270067")</f>
        <v>202510270067</v>
      </c>
      <c r="B1113" t="inlineStr">
        <is>
          <t>Approved</t>
        </is>
      </c>
      <c r="C1113" t="inlineStr">
        <is>
          <t>Procurement Order</t>
        </is>
      </c>
      <c r="D1113" s="3">
        <v>45957.51390046296</v>
      </c>
      <c r="E1113" s="3">
        <v>45957.677199074074</v>
      </c>
      <c r="F1113" t="inlineStr">
        <is>
          <t>Fatima Kathleen M. FLores</t>
        </is>
      </c>
      <c r="G1113" t="inlineStr">
        <is>
          <t>Procurement</t>
        </is>
      </c>
      <c r="H1113"/>
      <c r="I1113"/>
      <c r="J1113" t="inlineStr">
        <is>
          <t>Project</t>
        </is>
      </c>
      <c r="K1113" t="inlineStr">
        <is>
          <t>PDEI - Event Service</t>
        </is>
      </c>
      <c r="L1113" t="inlineStr">
        <is>
          <t>MPL PH S16 - Playoffs</t>
        </is>
      </c>
      <c r="M1113" t="inlineStr">
        <is>
          <t>2025TEG-P0215</t>
        </is>
      </c>
      <c r="N1113" t="inlineStr">
        <is>
          <t>Katherine Denise Lee Sy</t>
        </is>
      </c>
      <c r="O1113" t="inlineStr">
        <is>
          <t>202510070015-Katherine Denise Lee Sy-费用报销 - 副本 - 副本 - 副本-2025-10-07 04:07:37</t>
        </is>
      </c>
      <c r="P1113" t="inlineStr">
        <is>
          <t>YES</t>
        </is>
      </c>
      <c r="Q1113"/>
      <c r="R1113" t="inlineStr">
        <is>
          <t>NO</t>
        </is>
      </c>
      <c r="S1113" t="inlineStr">
        <is>
          <t>Outsourced HMUA</t>
        </is>
      </c>
      <c r="T1113">
        <v>1</v>
      </c>
      <c r="U1113">
        <v>73200</v>
      </c>
      <c r="V1113" t="inlineStr">
        <is>
          <t>PHP</t>
        </is>
      </c>
      <c r="W1113">
        <v>73200</v>
      </c>
      <c r="X1113" s="2" t="str">
        <f>=HYPERLINK("https://www.larksuite.com/approval/admin/previewAttachment?key=PMgxCgIxEAXQK_2f-TOT8TI2hsUVUgnBLXJ2wcL2RSeiOy0KKrYCd3p4Ol3GQu9C-G6bmYVktthjHvdrnS_DHOeaH-Ha6_k4xpte2RrSJOsAePu7paSqEH6ObwAAAP__", "2 attachment(s)")</f>
        <v>2 attachment(s)</v>
      </c>
      <c r="Y1113" t="inlineStr">
        <is>
          <t>Bank Transfer</t>
        </is>
      </c>
      <c r="Z1113" t="inlineStr">
        <is>
          <t>Grace Filomeno</t>
        </is>
      </c>
      <c r="AA1113" t="inlineStr">
        <is>
          <t>007340484415</t>
        </is>
      </c>
      <c r="AB1113" t="inlineStr">
        <is>
          <t>BDO</t>
        </is>
      </c>
      <c r="AC1113" t="inlineStr">
        <is>
          <t>89 T Santos St. San Jose, Rodriguez, Rizal</t>
        </is>
      </c>
      <c r="AD1113" s="4">
        <v>45952</v>
      </c>
      <c r="AE1113" t="inlineStr">
        <is>
          <t>1st Payment - Nov. 14, 2025
Final Payment - Nov. 28, 2025</t>
        </is>
      </c>
      <c r="AF1113" s="2"/>
      <c r="AG1113" t="inlineStr">
        <is>
          <t>NzQyNTk5MTgyNzQ4MTg3MDM0MTpBRkUzMTM1MS1BMEZELTQxQzMtQUUzQi1BQzA0NUY0RTE2MUYtMTpiMzZjYjVmNjliZmQ1MTQyY2VjZmVhNTIzOTM3Y2U0Yjox</t>
        </is>
      </c>
      <c r="AH1113" t="inlineStr">
        <is>
          <t>Grace Filomeno</t>
        </is>
      </c>
      <c r="AI1113"/>
      <c r="AJ1113" t="inlineStr">
        <is>
          <t>LIQUIDITY PLAN (PAR # 202509020094 / 2025TEG-P0215)
4.7 Manpower Arrangement &gt; TALENT MANAGEMENT &gt;
HMUA
Total Budget = Php 92,400.00
Actual Cost = Php 73,200.00
Balance = Php 19,200.00</t>
        </is>
      </c>
      <c r="AK1113"/>
    </row>
    <row r="1114" ht="25.5" customHeight="1">
      <c r="A1114" s="2" t="str">
        <f>=HYPERLINK("https://applink.larksuite.com/client/mini_program/open?appId=cli_9c7cc8a9a9edd105&amp;mode=appCenter&amp;path_pc=pc/pages/requested/index?instanceId=7565749543627706078&amp;source=bitable&amp;path=pages/detail/index?instanceId=7565749543627706078&amp;source=bitable", "202510270063")</f>
        <v>202510270063</v>
      </c>
      <c r="B1114" t="inlineStr">
        <is>
          <t>Approved</t>
        </is>
      </c>
      <c r="C1114" t="inlineStr">
        <is>
          <t>Procurement Order</t>
        </is>
      </c>
      <c r="D1114" s="3">
        <v>45957.508518518516</v>
      </c>
      <c r="E1114" s="3">
        <v>45957.67395833333</v>
      </c>
      <c r="F1114" t="inlineStr">
        <is>
          <t>Fatima Kathleen M. FLores</t>
        </is>
      </c>
      <c r="G1114" t="inlineStr">
        <is>
          <t>Procurement</t>
        </is>
      </c>
      <c r="H1114"/>
      <c r="I1114"/>
      <c r="J1114" t="inlineStr">
        <is>
          <t>Project</t>
        </is>
      </c>
      <c r="K1114" t="inlineStr">
        <is>
          <t>PDEI - Event Service</t>
        </is>
      </c>
      <c r="L1114" t="inlineStr">
        <is>
          <t>MDL PH S6 Playoffs + Grand Finals Watch Party</t>
        </is>
      </c>
      <c r="M1114" t="inlineStr">
        <is>
          <t>2025TEG-P0197</t>
        </is>
      </c>
      <c r="N1114" t="inlineStr">
        <is>
          <t>Kervin</t>
        </is>
      </c>
      <c r="O1114" t="inlineStr">
        <is>
          <t>202510060105-Kervin-费用报销 - 副本 - 副本 - 副本-2025-10-06 09:19:58</t>
        </is>
      </c>
      <c r="P1114" t="inlineStr">
        <is>
          <t>YES</t>
        </is>
      </c>
      <c r="Q1114"/>
      <c r="R1114" t="inlineStr">
        <is>
          <t>NO</t>
        </is>
      </c>
      <c r="S1114" t="inlineStr">
        <is>
          <t>Outsourced Logistics Associates</t>
        </is>
      </c>
      <c r="T1114">
        <v>1</v>
      </c>
      <c r="U1114">
        <v>22500</v>
      </c>
      <c r="V1114" t="inlineStr">
        <is>
          <t>PHP</t>
        </is>
      </c>
      <c r="W1114">
        <v>22500</v>
      </c>
      <c r="X1114" s="2" t="str">
        <f>=HYPERLINK("https://www.larksuite.com/approval/admin/previewAttachment?key=PMg9CgIxEAXgK735fRkvY-MSBDeVELWYswsWtl8OQY4Qy4KXaEGakUGvcEslkeBobSELFGr2seYV9qrPnut8P5aus_f9No-nRFEVNHcbAOTyd6O7V6Xj5_gGAAD__w", "2 attachment(s)")</f>
        <v>2 attachment(s)</v>
      </c>
      <c r="Y1114" t="inlineStr">
        <is>
          <t>Bank Transfer</t>
        </is>
      </c>
      <c r="Z1114" t="inlineStr">
        <is>
          <t>Christian Jay Arellano</t>
        </is>
      </c>
      <c r="AA1114" t="inlineStr">
        <is>
          <t>09694831828</t>
        </is>
      </c>
      <c r="AB1114" t="inlineStr">
        <is>
          <t>GCash</t>
        </is>
      </c>
      <c r="AC1114" t="inlineStr">
        <is>
          <t>Blk 1 J Lot 18 Phase 3 E1 Dagat-dagatan Caloocan City</t>
        </is>
      </c>
      <c r="AD1114" s="4">
        <v>45948</v>
      </c>
      <c r="AE1114" t="inlineStr">
        <is>
          <t>100% Full Payment - Oct. 31, 2025</t>
        </is>
      </c>
      <c r="AF1114" s="2"/>
      <c r="AG1114" t="inlineStr">
        <is>
          <t>NzQyNTk5MTgyNzQ4MTg3MDM0MTpGQjg4MkE5Ri0wMjFGLTQzNUYtQjVBNS01OEExMDk5NjIxQjMtMTo4MWI0MGJmNGE0YTFiMzkyMjRlOWMzZWEzZTk5MGM4MDox</t>
        </is>
      </c>
      <c r="AH1114" t="inlineStr">
        <is>
          <t>Christian Jay Arellano</t>
        </is>
      </c>
      <c r="AI1114"/>
      <c r="AJ1114" t="inlineStr">
        <is>
          <t>LIQUIDITY PLAN (PAR # 202510060066 / 2025TEG-P0197)
(ONLINE) COST ESTIMATE &gt; 4. STAGING &amp; PRODUCTION &gt; 4.3 Manpower Arrangement &gt;
LOGISTICS / HELPERS
Total Budget = Php 22,500.00
Actual Cost = Php 22,500.00</t>
        </is>
      </c>
      <c r="AK1114"/>
    </row>
    <row r="1115" ht="25.5" customHeight="1">
      <c r="A1115" s="2" t="str">
        <f>=HYPERLINK("https://applink.larksuite.com/client/mini_program/open?appId=cli_9c7cc8a9a9edd105&amp;mode=appCenter&amp;path_pc=pc/pages/requested/index?instanceId=7565744392338689760&amp;source=bitable&amp;path=pages/detail/index?instanceId=7565744392338689760&amp;source=bitable", "202510270054")</f>
        <v>202510270054</v>
      </c>
      <c r="B1115" t="inlineStr">
        <is>
          <t>Approved</t>
        </is>
      </c>
      <c r="C1115" t="inlineStr">
        <is>
          <t>Procurement Order</t>
        </is>
      </c>
      <c r="D1115" s="3">
        <v>45957.49462962963</v>
      </c>
      <c r="E1115" s="3">
        <v>45958.68929398148</v>
      </c>
      <c r="F1115" t="inlineStr">
        <is>
          <t>Fatima Kathleen M. FLores</t>
        </is>
      </c>
      <c r="G1115" t="inlineStr">
        <is>
          <t>Procurement</t>
        </is>
      </c>
      <c r="H1115"/>
      <c r="I1115"/>
      <c r="J1115" t="inlineStr">
        <is>
          <t>Project</t>
        </is>
      </c>
      <c r="K1115" t="inlineStr">
        <is>
          <t>PDEI - Event Service</t>
        </is>
      </c>
      <c r="L1115" t="inlineStr">
        <is>
          <t>Bingo Plus Panalo Caravan</t>
        </is>
      </c>
      <c r="M1115" t="inlineStr">
        <is>
          <t>2025TEG-P0216</t>
        </is>
      </c>
      <c r="N1115" t="inlineStr">
        <is>
          <t>Ronelle Kylene Chaneco Lim</t>
        </is>
      </c>
      <c r="O1115" t="inlineStr">
        <is>
          <t>202510090114-Ronelle Kylene Chaneco Lim-费用报销 - 副本 - 副本 - 副本-2025-10-09 14:52:42</t>
        </is>
      </c>
      <c r="P1115" t="inlineStr">
        <is>
          <t>YES</t>
        </is>
      </c>
      <c r="Q1115"/>
      <c r="R1115" t="inlineStr">
        <is>
          <t>YES</t>
        </is>
      </c>
      <c r="S1115" t="inlineStr">
        <is>
          <t>Outsourced Broadcast Associate</t>
        </is>
      </c>
      <c r="T1115">
        <v>1</v>
      </c>
      <c r="U1115">
        <v>15600</v>
      </c>
      <c r="V1115" t="inlineStr">
        <is>
          <t>PHP</t>
        </is>
      </c>
      <c r="W1115">
        <v>15600</v>
      </c>
      <c r="X1115" s="2" t="str">
        <f>=HYPERLINK("https://www.larksuite.com/approval/admin/previewAttachment?key=PMhJCsJQEATQK1UPv-uXl3GTEMQBBFHios8uuMj21TTUHBYlpMwFa44azAx5xKwpFtrbSIFGZ6-P7Xwfby4U9-tT-_fWn8uyrS8bojsYmTEB2OnwYGZKlfg7fgEAAP__", "2 attachment(s)")</f>
        <v>2 attachment(s)</v>
      </c>
      <c r="Y1115" t="inlineStr">
        <is>
          <t>Bank Transfer</t>
        </is>
      </c>
      <c r="Z1115" t="inlineStr">
        <is>
          <t>YVAN LAURENCE BALATBAT</t>
        </is>
      </c>
      <c r="AA1115" t="inlineStr">
        <is>
          <t>000004 9934 132</t>
        </is>
      </c>
      <c r="AB1115" t="inlineStr">
        <is>
          <t>Security Bank</t>
        </is>
      </c>
      <c r="AC1115" t="inlineStr">
        <is>
          <t>123 Scout Ojeda St. Barangay Obrero Q.C</t>
        </is>
      </c>
      <c r="AD1115" s="4">
        <v>45941</v>
      </c>
      <c r="AE1115" t="inlineStr">
        <is>
          <t>100% Full Payment - Oct. 31, 2025</t>
        </is>
      </c>
      <c r="AF1115" s="2"/>
      <c r="AG1115" t="inlineStr">
        <is>
          <t>NzQyNTk5MTgyNzQ4MTg3MDM0MTo0NDNGN0E4My00RTRELTRBODItODQwQS04MUE5QzFEMEMzM0EtMTpjNTkwODE1ZTBkZTg5Y2M2NDJhY2Y2ZGUyZjY4ZjhiYjox</t>
        </is>
      </c>
      <c r="AH1115" t="inlineStr">
        <is>
          <t>YVAN LAURENCE BALATBAT</t>
        </is>
      </c>
      <c r="AI1115"/>
      <c r="AJ1115" t="inlineStr">
        <is>
          <t>LIQUIDITY PLAN (PAR # 202509300084 / 2025TEG-P0216)
PROCUREMENT COST ESTIMATE TAB &gt; PROJECT PLANNING &gt;
Broadcast Associate
Total Budget = Php 7,500.00
This Request  = Php 15,600.00
Balance = (Php 8,100.00) OVER BUDGET)</t>
        </is>
      </c>
      <c r="AK1115"/>
    </row>
    <row r="1116" ht="25.5" customHeight="1">
      <c r="A1116" s="2" t="str">
        <f>=HYPERLINK("https://applink.larksuite.com/client/mini_program/open?appId=cli_9c7cc8a9a9edd105&amp;mode=appCenter&amp;path_pc=pc/pages/requested/index?instanceId=7565740318440574686&amp;source=bitable&amp;path=pages/detail/index?instanceId=7565740318440574686&amp;source=bitable", "202510270045")</f>
        <v>202510270045</v>
      </c>
      <c r="B1116" t="inlineStr">
        <is>
          <t>Approved</t>
        </is>
      </c>
      <c r="C1116" t="inlineStr">
        <is>
          <t>Procurement Order</t>
        </is>
      </c>
      <c r="D1116" s="3">
        <v>45957.48365740741</v>
      </c>
      <c r="E1116" s="3">
        <v>45957.68268518519</v>
      </c>
      <c r="F1116" t="inlineStr">
        <is>
          <t>Fatima Kathleen M. FLores</t>
        </is>
      </c>
      <c r="G1116" t="inlineStr">
        <is>
          <t>Procurement</t>
        </is>
      </c>
      <c r="H1116"/>
      <c r="I1116"/>
      <c r="J1116" t="inlineStr">
        <is>
          <t>Project</t>
        </is>
      </c>
      <c r="K1116" t="inlineStr">
        <is>
          <t>GG - Event Service</t>
        </is>
      </c>
      <c r="L1116" t="inlineStr">
        <is>
          <t>HOK Philippine Kings League - Fall Season Addendum</t>
        </is>
      </c>
      <c r="M1116" t="inlineStr">
        <is>
          <t>2025TEG-P0261</t>
        </is>
      </c>
      <c r="N1116" t="inlineStr">
        <is>
          <t>Frances Angelita Arreglado</t>
        </is>
      </c>
      <c r="O1116" t="inlineStr">
        <is>
          <t>202510090109-Frances Angelita Arreglado-费用报销 - 副本 - 副本 - 副本-2025-10-09 12:12:51</t>
        </is>
      </c>
      <c r="P1116" t="inlineStr">
        <is>
          <t>YES</t>
        </is>
      </c>
      <c r="Q1116"/>
      <c r="R1116" t="inlineStr">
        <is>
          <t>NO</t>
        </is>
      </c>
      <c r="S1116" t="inlineStr">
        <is>
          <t>Outsourced Floor Director</t>
        </is>
      </c>
      <c r="T1116">
        <v>1</v>
      </c>
      <c r="U1116">
        <v>24000</v>
      </c>
      <c r="V1116" t="inlineStr">
        <is>
          <t>PHP</t>
        </is>
      </c>
      <c r="W1116">
        <v>24000</v>
      </c>
      <c r="X1116" s="2" t="str">
        <f>=HYPERLINK("https://www.larksuite.com/approval/admin/previewAttachment?key=PMhLCgIxEATQK1Ul1V1pL-PGMPhBEQSZTc4uuJjty0HkCPYsqNgKXI4MC51DQlg5crVFu2C6ec3ndt7vtwnWfL-COx_re71s88MotwZ3qQ8APB3eLakqhb_jFwAA__8", "2 attachment(s)")</f>
        <v>2 attachment(s)</v>
      </c>
      <c r="Y1116" t="inlineStr">
        <is>
          <t>Bank Transfer</t>
        </is>
      </c>
      <c r="Z1116" t="inlineStr">
        <is>
          <t>JOSE QUIQUI JR</t>
        </is>
      </c>
      <c r="AA1116" t="inlineStr">
        <is>
          <t>000550330364</t>
        </is>
      </c>
      <c r="AB1116" t="inlineStr">
        <is>
          <t>BDO</t>
        </is>
      </c>
      <c r="AC1116" t="inlineStr">
        <is>
          <t>8 Sto Rosario St., Plainview Mandaluyong City</t>
        </is>
      </c>
      <c r="AD1116" s="4">
        <v>45937</v>
      </c>
      <c r="AE1116" t="inlineStr">
        <is>
          <t>1st Payment - Oct. 24, 2025
Final Payment - Nov. 7, 2025</t>
        </is>
      </c>
      <c r="AF1116" s="2"/>
      <c r="AG1116" t="inlineStr">
        <is>
          <t>NzQyNTk5MTgyNzQ4MTg3MDM0MTo0MURBNjM5Qy01MDJGLTQ3MTUtOTBCNC05QUU1Rjc4RDY0MDktMTo4MDkzNDYwOWRkNjNmNzg5ZjcyYjgyOTQzNzE5NjA4ZDox</t>
        </is>
      </c>
      <c r="AH1116" t="inlineStr">
        <is>
          <t>JOSE QUIQUI JR</t>
        </is>
      </c>
      <c r="AI1116"/>
      <c r="AJ1116" t="inlineStr">
        <is>
          <t>LIQUIDITY PLAN (PAR # 202510090087 / 2025TEG-P0261)
PLAYOFFS &gt; Labor Cost &gt; Manpower &gt;
Assistant Floor Director
Total Budget = Php 24,000.00
Actual Cost = Php 24,000.00</t>
        </is>
      </c>
      <c r="AK1116"/>
    </row>
    <row r="1117" ht="25.5" customHeight="1">
      <c r="A1117" s="2" t="str">
        <f>=HYPERLINK("https://applink.larksuite.com/client/mini_program/open?appId=cli_9c7cc8a9a9edd105&amp;mode=appCenter&amp;path_pc=pc/pages/requested/index?instanceId=7565739503642545890&amp;source=bitable&amp;path=pages/detail/index?instanceId=7565739503642545890&amp;source=bitable", "202510270044")</f>
        <v>202510270044</v>
      </c>
      <c r="B1117" t="inlineStr">
        <is>
          <t>Approved</t>
        </is>
      </c>
      <c r="C1117" t="inlineStr">
        <is>
          <t>Procurement Order</t>
        </is>
      </c>
      <c r="D1117" s="3">
        <v>45957.481458333335</v>
      </c>
      <c r="E1117" s="3">
        <v>45957.68349537037</v>
      </c>
      <c r="F1117" t="inlineStr">
        <is>
          <t>Fatima Kathleen M. FLores</t>
        </is>
      </c>
      <c r="G1117" t="inlineStr">
        <is>
          <t>Procurement</t>
        </is>
      </c>
      <c r="H1117"/>
      <c r="I1117"/>
      <c r="J1117" t="inlineStr">
        <is>
          <t>Project</t>
        </is>
      </c>
      <c r="K1117" t="inlineStr">
        <is>
          <t>GG - Event Service</t>
        </is>
      </c>
      <c r="L1117" t="inlineStr">
        <is>
          <t>HOK Philippine Kings League - Fall Season Addendum</t>
        </is>
      </c>
      <c r="M1117" t="inlineStr">
        <is>
          <t>2025TEG-P0261</t>
        </is>
      </c>
      <c r="N1117" t="inlineStr">
        <is>
          <t>Frances Angelita Arreglado</t>
        </is>
      </c>
      <c r="O1117" t="inlineStr">
        <is>
          <t>202510090109-Frances Angelita Arreglado-费用报销 - 副本 - 副本 - 副本-2025-10-09 12:12:51</t>
        </is>
      </c>
      <c r="P1117" t="inlineStr">
        <is>
          <t>YES</t>
        </is>
      </c>
      <c r="Q1117"/>
      <c r="R1117" t="inlineStr">
        <is>
          <t>NO</t>
        </is>
      </c>
      <c r="S1117" t="inlineStr">
        <is>
          <t>Outsourced Broadcast Technical Assistant</t>
        </is>
      </c>
      <c r="T1117">
        <v>1</v>
      </c>
      <c r="U1117">
        <v>18000</v>
      </c>
      <c r="V1117" t="inlineStr">
        <is>
          <t>PHP</t>
        </is>
      </c>
      <c r="W1117">
        <v>18000</v>
      </c>
      <c r="X1117" s="2" t="str">
        <f>=HYPERLINK("https://www.larksuite.com/approval/admin/previewAttachment?key=PMi7DQIxEATQlmb_HpohOcsi4EgQyMnWjkRw6cshyBFiSThFCemKjDIGLF3DYxCtLVVESWn1PNf9Jfuc68P93EuP1d_HseZbgqWKMncbAOR2uZW7k-n4O34BAAD__w", "2 attachment(s)")</f>
        <v>2 attachment(s)</v>
      </c>
      <c r="Y1117" t="inlineStr">
        <is>
          <t>Bank Transfer</t>
        </is>
      </c>
      <c r="Z1117" t="inlineStr">
        <is>
          <t>VINCE RAFAEL GARCIA</t>
        </is>
      </c>
      <c r="AA1117" t="inlineStr">
        <is>
          <t>0576664233</t>
        </is>
      </c>
      <c r="AB1117" t="inlineStr">
        <is>
          <t>BPI</t>
        </is>
      </c>
      <c r="AC1117" t="inlineStr">
        <is>
          <t>7 Don Felipe St. Villa Cecilla Subdivision. Mambugan Antipolo City Rizal</t>
        </is>
      </c>
      <c r="AD1117" s="4">
        <v>45937</v>
      </c>
      <c r="AE1117" t="inlineStr">
        <is>
          <t>100% Full Payment - Nov. 7, 2025</t>
        </is>
      </c>
      <c r="AF1117" s="2"/>
      <c r="AG1117" t="inlineStr">
        <is>
          <t>NzQyNTk5MTgyNzQ4MTg3MDM0MTo1RTEzMThGQy1DNjkzLTQzRTYtQUE0Qy0xMTYyQjYxNDFENjgtMTozMTE5YTUxNWIzMGFiYzQyYzE5ZTUwNzMxYTI5ZGVhYjox</t>
        </is>
      </c>
      <c r="AH1117" t="inlineStr">
        <is>
          <t>VINCE RAFAEL GARCIA</t>
        </is>
      </c>
      <c r="AI1117"/>
      <c r="AJ1117" t="inlineStr">
        <is>
          <t>LIQUIDITY PLAN (PAR # 202510090087 / 2025TEG-P0261)
PLAYOFFS &gt; Labor Cost &gt; Manpower &gt;
Broadcast Technical Assistant
Total Budget = Php 21,000.00
Actual Cost = Php 18,000.00
Balance = Php 3,000.00</t>
        </is>
      </c>
      <c r="AK1117"/>
    </row>
    <row r="1118" ht="25.5" customHeight="1">
      <c r="A1118" s="2" t="str">
        <f>=HYPERLINK("https://applink.larksuite.com/client/mini_program/open?appId=cli_9c7cc8a9a9edd105&amp;mode=appCenter&amp;path_pc=pc/pages/requested/index?instanceId=7565738498595049179&amp;source=bitable&amp;path=pages/detail/index?instanceId=7565738498595049179&amp;source=bitable", "202510270041")</f>
        <v>202510270041</v>
      </c>
      <c r="B1118" t="inlineStr">
        <is>
          <t>Approved</t>
        </is>
      </c>
      <c r="C1118" t="inlineStr">
        <is>
          <t>Procurement Order</t>
        </is>
      </c>
      <c r="D1118" s="3">
        <v>45957.47875</v>
      </c>
      <c r="E1118" s="3">
        <v>45957.684270833335</v>
      </c>
      <c r="F1118" t="inlineStr">
        <is>
          <t>Fatima Kathleen M. FLores</t>
        </is>
      </c>
      <c r="G1118" t="inlineStr">
        <is>
          <t>Procurement</t>
        </is>
      </c>
      <c r="H1118"/>
      <c r="I1118"/>
      <c r="J1118" t="inlineStr">
        <is>
          <t>Project</t>
        </is>
      </c>
      <c r="K1118" t="inlineStr">
        <is>
          <t>GG - Event Service</t>
        </is>
      </c>
      <c r="L1118" t="inlineStr">
        <is>
          <t>HOK Philippine Kings League - Fall Season Addendum</t>
        </is>
      </c>
      <c r="M1118" t="inlineStr">
        <is>
          <t>2025TEG-P0261</t>
        </is>
      </c>
      <c r="N1118" t="inlineStr">
        <is>
          <t>Frances Angelita Arreglado</t>
        </is>
      </c>
      <c r="O1118" t="inlineStr">
        <is>
          <t>202510090109-Frances Angelita Arreglado-费用报销 - 副本 - 副本 - 副本-2025-10-09 12:12:51</t>
        </is>
      </c>
      <c r="P1118" t="inlineStr">
        <is>
          <t>YES</t>
        </is>
      </c>
      <c r="Q1118"/>
      <c r="R1118" t="inlineStr">
        <is>
          <t>NO</t>
        </is>
      </c>
      <c r="S1118" t="inlineStr">
        <is>
          <t>Outsourced EN Stream Engineer</t>
        </is>
      </c>
      <c r="T1118">
        <v>1</v>
      </c>
      <c r="U1118">
        <v>8000</v>
      </c>
      <c r="V1118" t="inlineStr">
        <is>
          <t>PHP</t>
        </is>
      </c>
      <c r="W1118">
        <v>8000</v>
      </c>
      <c r="X1118" s="2" t="str">
        <f>=HYPERLINK("https://www.larksuite.com/approval/admin/previewAttachment?key=PMg9CkJBDATgKyXZyU7Gy9j4WBR_eCBolbOLFrbfLLdZ6WPKIA-ZN3MmR0GVyq9SHe2kjM5gb_d1fOOy31jrcd09Ev06n9b29BQjjAMYZWZ--PsgAGnCfm6fAAAA__8", "2 attachment(s)")</f>
        <v>2 attachment(s)</v>
      </c>
      <c r="Y1118" t="inlineStr">
        <is>
          <t>Bank Transfer</t>
        </is>
      </c>
      <c r="Z1118" t="inlineStr">
        <is>
          <t>Remar John Bayona</t>
        </is>
      </c>
      <c r="AA1118" t="inlineStr">
        <is>
          <t>09458591894</t>
        </is>
      </c>
      <c r="AB1118" t="inlineStr">
        <is>
          <t>GCash</t>
        </is>
      </c>
      <c r="AC1118" t="inlineStr">
        <is>
          <t>Puntales Road,Concepcion,Iloilo</t>
        </is>
      </c>
      <c r="AD1118" s="4">
        <v>45939</v>
      </c>
      <c r="AE1118" t="inlineStr">
        <is>
          <t>100% Full Payment - Oct. 24, 2025</t>
        </is>
      </c>
      <c r="AF1118" s="2"/>
      <c r="AG1118" t="inlineStr">
        <is>
          <t>NzQyNTk5MTgyNzQ4MTg3MDM0MToxQThGNDM5My02Q0E3LTQ2OTctQkREMC0yNDJBQjQ3NTg2OEUtMTo3MWEyNjRmMDFlZjA1ZDZiMmZjYWFjMzcwM2E0NmRjZTox</t>
        </is>
      </c>
      <c r="AH1118" t="inlineStr">
        <is>
          <t>Remar John Bayona</t>
        </is>
      </c>
      <c r="AI1118"/>
      <c r="AJ1118" t="inlineStr">
        <is>
          <t>LIQUIDITY PLAN (PAR # 202510090087 / 2025TEG-P0261)
PLAYOFFS &gt; Labor Cost &gt; Manpower &gt;
EN Stream Engineer
Total Budget = Php 15,000.00
Actual Cost = Php 8,000.00
Balance = Php 7,000.00</t>
        </is>
      </c>
      <c r="AK1118"/>
    </row>
    <row r="1119" ht="25.5" customHeight="1">
      <c r="A1119" s="2" t="str">
        <f>=HYPERLINK("https://applink.larksuite.com/client/mini_program/open?appId=cli_9c7cc8a9a9edd105&amp;mode=appCenter&amp;path_pc=pc/pages/requested/index?instanceId=7565783074420625121&amp;source=bitable&amp;path=pages/detail/index?instanceId=7565783074420625121&amp;source=bitable", "202510270096")</f>
        <v>202510270096</v>
      </c>
      <c r="B1119" t="inlineStr">
        <is>
          <t>Approved</t>
        </is>
      </c>
      <c r="C1119" t="inlineStr">
        <is>
          <t>Procurement Order</t>
        </is>
      </c>
      <c r="D1119" s="3">
        <v>45957.59887731481</v>
      </c>
      <c r="E1119" s="3">
        <v>45957.65555555555</v>
      </c>
      <c r="F1119" t="inlineStr">
        <is>
          <t>Fatima Kathleen M. FLores</t>
        </is>
      </c>
      <c r="G1119" t="inlineStr">
        <is>
          <t>Procurement</t>
        </is>
      </c>
      <c r="H1119"/>
      <c r="I1119"/>
      <c r="J1119" t="inlineStr">
        <is>
          <t>Project</t>
        </is>
      </c>
      <c r="K1119" t="inlineStr">
        <is>
          <t>PDEI - Event Service</t>
        </is>
      </c>
      <c r="L1119" t="inlineStr">
        <is>
          <t>Bingo Plus Panalo Caravan</t>
        </is>
      </c>
      <c r="M1119" t="inlineStr">
        <is>
          <t>2025TEG-P0216</t>
        </is>
      </c>
      <c r="N1119" t="inlineStr">
        <is>
          <t>Ronelle Kylene Chaneco Lim</t>
        </is>
      </c>
      <c r="O1119" t="inlineStr">
        <is>
          <t>202510230023-Ronelle Kylene Chaneco Lim-费用报销 - 副本 - 副本 - 副本-2025-10-23 04:11:50</t>
        </is>
      </c>
      <c r="P1119" t="inlineStr">
        <is>
          <t>YES</t>
        </is>
      </c>
      <c r="Q1119"/>
      <c r="R1119" t="inlineStr">
        <is>
          <t>NO</t>
        </is>
      </c>
      <c r="S1119" t="inlineStr">
        <is>
          <t>Outsourced Project Manager (Caloocan &amp; Laguna)</t>
        </is>
      </c>
      <c r="T1119">
        <v>1</v>
      </c>
      <c r="U1119">
        <v>66700</v>
      </c>
      <c r="V1119" t="inlineStr">
        <is>
          <t>PHP</t>
        </is>
      </c>
      <c r="W1119">
        <v>66700</v>
      </c>
      <c r="X1119" s="2" t="str">
        <f>=HYPERLINK("https://www.larksuite.com/approval/admin/previewAttachment?key=PMhBCsJQDATQK02SSebHy7hpKQpVBKHi4p9dcNHtq2GokRbVYJs3bCorNQIiHeVpbtOnSQ2ZXHN9bNfMY4_Pcyxfvu7Y53FbtvVt2XKHgowBwC6nh0h2F_F3_AIAAP__", "2 attachment(s)")</f>
        <v>2 attachment(s)</v>
      </c>
      <c r="Y1119" t="inlineStr">
        <is>
          <t>Bank Transfer</t>
        </is>
      </c>
      <c r="Z1119" t="inlineStr">
        <is>
          <t>Roxanne Cabalu</t>
        </is>
      </c>
      <c r="AA1119" t="inlineStr">
        <is>
          <t>109430903637</t>
        </is>
      </c>
      <c r="AB1119" t="inlineStr">
        <is>
          <t>Unionbank</t>
        </is>
      </c>
      <c r="AC1119" t="inlineStr">
        <is>
          <t>74 Ilang ilang st Libis Espina St Caloocan City</t>
        </is>
      </c>
      <c r="AD1119" s="4">
        <v>45951</v>
      </c>
      <c r="AE1119" t="inlineStr">
        <is>
          <t>100% Full Payment - Oct. 31, 2025</t>
        </is>
      </c>
      <c r="AF1119" s="2"/>
      <c r="AG1119" t="inlineStr">
        <is>
          <t>NzQyNTk5MTgyNzQ4MTg3MDM0MTo5RjJFODM2OS05MUI5LTRBQkUtQjUxQi0xQ0EzMzM5RkJGMTYtMTplMjk3NjFjMjI4NGNmYjIwNzhhNTViN2QzYzY2ZmI2ODox</t>
        </is>
      </c>
      <c r="AH1119" t="inlineStr">
        <is>
          <t>Roxanne Cabalu</t>
        </is>
      </c>
      <c r="AI1119"/>
      <c r="AJ1119" t="inlineStr">
        <is>
          <t>LIQUIDITY PLAN (PAR # 202509300084 / 2025TEG-P0216)
PROCUREMENT COST ESTIMATE TAB &gt; MARKETING / TALENT &gt;
Marketing
Total Remaining Budget = Php 96,600.00
This Request  = Php 66,700.00
Balance = Php 29,900.00</t>
        </is>
      </c>
      <c r="AK1119"/>
    </row>
    <row r="1120" ht="25.5" customHeight="1">
      <c r="A1120" s="2" t="str">
        <f>=HYPERLINK("https://applink.larksuite.com/client/mini_program/open?appId=cli_9c7cc8a9a9edd105&amp;mode=appCenter&amp;path_pc=pc/pages/requested/index?instanceId=7565737332171689696&amp;source=bitable&amp;path=pages/detail/index?instanceId=7565737332171689696&amp;source=bitable", "202510270035")</f>
        <v>202510270035</v>
      </c>
      <c r="B1120" t="inlineStr">
        <is>
          <t>Approved</t>
        </is>
      </c>
      <c r="C1120" t="inlineStr">
        <is>
          <t>Procurement Order</t>
        </is>
      </c>
      <c r="D1120" s="3">
        <v>45957.47560185185</v>
      </c>
      <c r="E1120" s="3">
        <v>45957.68508101852</v>
      </c>
      <c r="F1120" t="inlineStr">
        <is>
          <t>Fatima Kathleen M. FLores</t>
        </is>
      </c>
      <c r="G1120" t="inlineStr">
        <is>
          <t>Procurement</t>
        </is>
      </c>
      <c r="H1120"/>
      <c r="I1120"/>
      <c r="J1120" t="inlineStr">
        <is>
          <t>Project</t>
        </is>
      </c>
      <c r="K1120" t="inlineStr">
        <is>
          <t>GG - Event Service</t>
        </is>
      </c>
      <c r="L1120" t="inlineStr">
        <is>
          <t>HOK Philippine Kings League - Fall Season Addendum</t>
        </is>
      </c>
      <c r="M1120" t="inlineStr">
        <is>
          <t>2025TEG-P0261</t>
        </is>
      </c>
      <c r="N1120" t="inlineStr">
        <is>
          <t>Frances Angelita Arreglado</t>
        </is>
      </c>
      <c r="O1120" t="inlineStr">
        <is>
          <t>202510090109-Frances Angelita Arreglado-费用报销 - 副本 - 副本 - 副本-2025-10-09 12:12:51</t>
        </is>
      </c>
      <c r="P1120" t="inlineStr">
        <is>
          <t>YES</t>
        </is>
      </c>
      <c r="Q1120"/>
      <c r="R1120" t="inlineStr">
        <is>
          <t>NO</t>
        </is>
      </c>
      <c r="S1120" t="inlineStr">
        <is>
          <t>Outsourced EN CG Operator</t>
        </is>
      </c>
      <c r="T1120">
        <v>1</v>
      </c>
      <c r="U1120">
        <v>10000</v>
      </c>
      <c r="V1120" t="inlineStr">
        <is>
          <t>PHP</t>
        </is>
      </c>
      <c r="W1120">
        <v>10000</v>
      </c>
      <c r="X1120" s="2" t="str">
        <f>=HYPERLINK("https://www.larksuite.com/approval/admin/previewAttachment?key=PMhBCsJADAXQK-Unmfz5XsbNlGKFloJUcDFnF1y4fdVh1RuiZCm4DJOtGoMRDqK6SjV9gpQRdM5lX-96fmI7rmOc236dY74fY11eaKK7MTKjmxlufw9mplRpP7dvAAAA__8", "2 attachment(s)")</f>
        <v>2 attachment(s)</v>
      </c>
      <c r="Y1120" t="inlineStr">
        <is>
          <t>Bank Transfer</t>
        </is>
      </c>
      <c r="Z1120" t="inlineStr">
        <is>
          <t>Louie Sebastianne Tangonan Atendido</t>
        </is>
      </c>
      <c r="AA1120" t="inlineStr">
        <is>
          <t>011899558880</t>
        </is>
      </c>
      <c r="AB1120" t="inlineStr">
        <is>
          <t>GOTYME BANK CORPORATION</t>
        </is>
      </c>
      <c r="AC1120" t="inlineStr">
        <is>
          <t>2 Balut St, Brgy Tonsuya, Malabon City</t>
        </is>
      </c>
      <c r="AD1120" s="4">
        <v>45939</v>
      </c>
      <c r="AE1120" t="inlineStr">
        <is>
          <t>100% Full Payment - Nov. 7, 2025</t>
        </is>
      </c>
      <c r="AF1120" s="2"/>
      <c r="AG1120" t="inlineStr">
        <is>
          <t>NzQyNTk5MTgyNzQ4MTg3MDM0MTpBRjg1NjdENC1GQjI4LTREQkUtOUUzNS04QzEwMUFBNkQwMzItMTpkODYwMTI3ZDg1OTc5YWZmYTE4YzEyMzM3YjdmNmUxMzox</t>
        </is>
      </c>
      <c r="AH1120" t="inlineStr">
        <is>
          <t>Louie Sebastianne Tangonan Atendido</t>
        </is>
      </c>
      <c r="AI1120"/>
      <c r="AJ1120" t="inlineStr">
        <is>
          <t>LIQUIDITY PLAN (PAR # 202510090087 / 2025TEG-P0261)
PLAYOFFS &gt; Labor Cost &gt; Manpower &gt;
EN CG Operator
Total Budget = Php 18,000.00
Actual Cost = Php 10,000.00
Balance = Php 8,000.00</t>
        </is>
      </c>
      <c r="AK1120"/>
    </row>
    <row r="1121" ht="25.5" customHeight="1">
      <c r="A1121" s="2" t="str">
        <f>=HYPERLINK("https://applink.larksuite.com/client/mini_program/open?appId=cli_9c7cc8a9a9edd105&amp;mode=appCenter&amp;path_pc=pc/pages/requested/index?instanceId=7565795381716504285&amp;source=bitable&amp;path=pages/detail/index?instanceId=7565795381716504285&amp;source=bitable", "202510270120")</f>
        <v>202510270120</v>
      </c>
      <c r="B1121" t="inlineStr">
        <is>
          <t>Approved</t>
        </is>
      </c>
      <c r="C1121" t="inlineStr">
        <is>
          <t>Procurement Order</t>
        </is>
      </c>
      <c r="D1121" s="3">
        <v>45957.63203703704</v>
      </c>
      <c r="E1121" s="3">
        <v>45957.68880787037</v>
      </c>
      <c r="F1121" t="inlineStr">
        <is>
          <t>Fatima Kathleen M. FLores</t>
        </is>
      </c>
      <c r="G1121" t="inlineStr">
        <is>
          <t>Procurement</t>
        </is>
      </c>
      <c r="H1121"/>
      <c r="I1121"/>
      <c r="J1121" t="inlineStr">
        <is>
          <t>Project</t>
        </is>
      </c>
      <c r="K1121" t="inlineStr">
        <is>
          <t>GG - Event Service</t>
        </is>
      </c>
      <c r="L1121" t="inlineStr">
        <is>
          <t>HOK Philippine Kings League - Fall Season</t>
        </is>
      </c>
      <c r="M1121" t="inlineStr">
        <is>
          <t>2025TEG-P0219</t>
        </is>
      </c>
      <c r="N1121" t="inlineStr">
        <is>
          <t>Reign Santos Fortea</t>
        </is>
      </c>
      <c r="O1121" t="inlineStr">
        <is>
          <t>202510150055-Reign Santos Fortea-费用报销 - 副本 - 副本 - 副本-2025-10-15 06:16:38</t>
        </is>
      </c>
      <c r="P1121" t="inlineStr">
        <is>
          <t>YES</t>
        </is>
      </c>
      <c r="Q1121"/>
      <c r="R1121" t="inlineStr">
        <is>
          <t>NO</t>
        </is>
      </c>
      <c r="S1121" t="inlineStr">
        <is>
          <t>Outsourced IT Support</t>
        </is>
      </c>
      <c r="T1121">
        <v>1</v>
      </c>
      <c r="U1121">
        <v>9900</v>
      </c>
      <c r="V1121" t="inlineStr">
        <is>
          <t>PHP</t>
        </is>
      </c>
      <c r="W1121">
        <v>9900</v>
      </c>
      <c r="X1121" s="2" t="str">
        <f>=HYPERLINK("https://www.larksuite.com/approval/admin/previewAttachment?key=PMgrDsJgEATgK83sa3a5DIamQbSKAEH8ZydBYL9qojrpNYihDbiUlZr0pliJsM5li9JAlGlt536l3s8w6HMcaj_X637btwdzZAZ5hDcAXv7uioiZCvwc3wAAAP__", "2 attachment(s)")</f>
        <v>2 attachment(s)</v>
      </c>
      <c r="Y1121" t="inlineStr">
        <is>
          <t>Bank Transfer</t>
        </is>
      </c>
      <c r="Z1121" t="inlineStr">
        <is>
          <t>Wilson Mazaredo</t>
        </is>
      </c>
      <c r="AA1121" t="inlineStr">
        <is>
          <t>09662375484</t>
        </is>
      </c>
      <c r="AB1121" t="inlineStr">
        <is>
          <t>GCash</t>
        </is>
      </c>
      <c r="AC1121" t="inlineStr">
        <is>
          <t>20 P. Ladia St. Proj 4. Quezon City</t>
        </is>
      </c>
      <c r="AD1121" s="4">
        <v>45937</v>
      </c>
      <c r="AE1121" t="inlineStr">
        <is>
          <t>100% Full Payment - Nov. 7, 2025</t>
        </is>
      </c>
      <c r="AF1121" s="2"/>
      <c r="AG1121" t="inlineStr">
        <is>
          <t>NzQyNTk5MTgyNzQ4MTg3MDM0MTo0Q0YxRTNDQS02MDU2LTQ0NkQtQTdERC0zRTJBMTAyOUIwQ0YtMTo5OGE1MWNmYzEwNWYwMGNlZjUzNmU2ZGJlNjY3OWQ5MDox</t>
        </is>
      </c>
      <c r="AH1121" t="inlineStr">
        <is>
          <t>Wilson Mazaredo</t>
        </is>
      </c>
      <c r="AI1121"/>
      <c r="AJ1121" t="inlineStr">
        <is>
          <t>LIQUIDITY PLAN (PAR # 202508190134 / 2025TEG-P0219)
INTERNAL 0820 COST ESTIMATE &gt; PLAYOFFS &gt;
Labor Cost &gt; Additional Broadcast Manpower &gt; IT Support
Total Budget = Php 9,900.00
Actual Cost = Php 9,900.00</t>
        </is>
      </c>
      <c r="AK1121"/>
    </row>
    <row r="1122" ht="25.5" customHeight="1">
      <c r="A1122" s="2" t="str">
        <f>=HYPERLINK("https://applink.larksuite.com/client/mini_program/open?appId=cli_9c7cc8a9a9edd105&amp;mode=appCenter&amp;path_pc=pc/pages/requested/index?instanceId=7565794145328008923&amp;source=bitable&amp;path=pages/detail/index?instanceId=7565794145328008923&amp;source=bitable", "202510270116")</f>
        <v>202510270116</v>
      </c>
      <c r="B1122" t="inlineStr">
        <is>
          <t>Approved</t>
        </is>
      </c>
      <c r="C1122" t="inlineStr">
        <is>
          <t>Procurement Order</t>
        </is>
      </c>
      <c r="D1122" s="3">
        <v>45957.628703703704</v>
      </c>
      <c r="E1122" s="3">
        <v>45957.689837962964</v>
      </c>
      <c r="F1122" t="inlineStr">
        <is>
          <t>Fatima Kathleen M. FLores</t>
        </is>
      </c>
      <c r="G1122" t="inlineStr">
        <is>
          <t>Procurement</t>
        </is>
      </c>
      <c r="H1122"/>
      <c r="I1122"/>
      <c r="J1122" t="inlineStr">
        <is>
          <t>Project</t>
        </is>
      </c>
      <c r="K1122" t="inlineStr">
        <is>
          <t>GG - Event Service</t>
        </is>
      </c>
      <c r="L1122" t="inlineStr">
        <is>
          <t>HOK Philippine Kings League - Fall Season</t>
        </is>
      </c>
      <c r="M1122" t="inlineStr">
        <is>
          <t>2025TEG-P0219</t>
        </is>
      </c>
      <c r="N1122" t="inlineStr">
        <is>
          <t>Reign Santos Fortea</t>
        </is>
      </c>
      <c r="O1122" t="inlineStr">
        <is>
          <t>202510150053-Reign Santos Fortea-费用报销 - 副本 - 副本 - 副本-2025-10-15 06:03:10</t>
        </is>
      </c>
      <c r="P1122" t="inlineStr">
        <is>
          <t>YES</t>
        </is>
      </c>
      <c r="Q1122"/>
      <c r="R1122" t="inlineStr">
        <is>
          <t>NO</t>
        </is>
      </c>
      <c r="S1122" t="inlineStr">
        <is>
          <t>Outsourced Logistics Associates</t>
        </is>
      </c>
      <c r="T1122">
        <v>1</v>
      </c>
      <c r="U1122">
        <v>15000</v>
      </c>
      <c r="V1122" t="inlineStr">
        <is>
          <t>PHP</t>
        </is>
      </c>
      <c r="W1122">
        <v>15000</v>
      </c>
      <c r="X1122" s="2" t="str">
        <f>=HYPERLINK("https://www.larksuite.com/approval/admin/previewAttachment?key=PMgxCgJBDAXQK_0kP_MnXsZml8HCXQRRq5xdsLB9YxrGTItRYJkXrJUjVTRm-ARmebS3SQWZXL0f63rPl7bHqfNwfbj6fdvW_rQsuUNBxgRgl7-HSFYN4uf4BgAA__8", "2 attachment(s)")</f>
        <v>2 attachment(s)</v>
      </c>
      <c r="Y1122" t="inlineStr">
        <is>
          <t>Bank Transfer</t>
        </is>
      </c>
      <c r="Z1122" t="inlineStr">
        <is>
          <t>RIC JACA</t>
        </is>
      </c>
      <c r="AA1122" t="inlineStr">
        <is>
          <t>09509516216</t>
        </is>
      </c>
      <c r="AB1122" t="inlineStr">
        <is>
          <t>GCash</t>
        </is>
      </c>
      <c r="AC1122" t="inlineStr">
        <is>
          <t>321 Sitio Langhaya Brgy. Dela Paz Antipolo Rizal</t>
        </is>
      </c>
      <c r="AD1122" s="4">
        <v>45936</v>
      </c>
      <c r="AE1122" t="inlineStr">
        <is>
          <t>100% Full Payment - Oct. 17, 2025</t>
        </is>
      </c>
      <c r="AF1122" s="2"/>
      <c r="AG1122" t="inlineStr">
        <is>
          <t>NzQyNTk5MTgyNzQ4MTg3MDM0MTo3M0Q1RTMxNi0zQTc2LTRFMUYtQThERC03NDQ1ODhDQjNDNzAtMTo2OGI1NWYwNWE0MWM3NWUwZWFjOGIxMzNjNjVhNGU1Yzox</t>
        </is>
      </c>
      <c r="AH1122" t="inlineStr">
        <is>
          <t>RIC JACA</t>
        </is>
      </c>
      <c r="AI1122"/>
      <c r="AJ1122" t="inlineStr">
        <is>
          <t>LIQUIDITY PLAN (PAR # 202508190134 / 2025TEG-P0219)
INTERNAL 0820 COST ESTIMATE &gt; PLAYOFFS &gt;
Labor Cost &gt; LOGISTICS &gt; Egress Manpower
Total Budget = Php 15,000.00
Actual Cost = Php 15,000.00</t>
        </is>
      </c>
      <c r="AK1122"/>
    </row>
    <row r="1123" ht="25.5" customHeight="1">
      <c r="A1123" s="2" t="str">
        <f>=HYPERLINK("https://applink.larksuite.com/client/mini_program/open?appId=cli_9c7cc8a9a9edd105&amp;mode=appCenter&amp;path_pc=pc/pages/requested/index?instanceId=7565786570960211680&amp;source=bitable&amp;path=pages/detail/index?instanceId=7565786570960211680&amp;source=bitable", "202510270101")</f>
        <v>202510270101</v>
      </c>
      <c r="B1123" t="inlineStr">
        <is>
          <t>Rejected</t>
        </is>
      </c>
      <c r="C1123" t="inlineStr">
        <is>
          <t>Procurement Order</t>
        </is>
      </c>
      <c r="D1123" s="3">
        <v>45957.608298611114</v>
      </c>
      <c r="E1123" s="3">
        <v>45957.69069444444</v>
      </c>
      <c r="F1123" t="inlineStr">
        <is>
          <t>Fatima Kathleen M. FLores</t>
        </is>
      </c>
      <c r="G1123" t="inlineStr">
        <is>
          <t>Procurement</t>
        </is>
      </c>
      <c r="H1123"/>
      <c r="I1123"/>
      <c r="J1123" t="inlineStr">
        <is>
          <t>Project</t>
        </is>
      </c>
      <c r="K1123" t="inlineStr">
        <is>
          <t>PDEI - Event Service</t>
        </is>
      </c>
      <c r="L1123" t="inlineStr">
        <is>
          <t>Bingo Plus Panalo Caravan</t>
        </is>
      </c>
      <c r="M1123" t="inlineStr">
        <is>
          <t>2025TEG-P0216</t>
        </is>
      </c>
      <c r="N1123" t="inlineStr">
        <is>
          <t>Ronelle Kylene Chaneco Lim</t>
        </is>
      </c>
      <c r="O1123" t="inlineStr">
        <is>
          <t>202510210066-Ronelle Kylene Chaneco Lim-费用报销 - 副本 - 副本 - 副本-2025-10-21 07:09:52</t>
        </is>
      </c>
      <c r="P1123" t="inlineStr">
        <is>
          <t>YES</t>
        </is>
      </c>
      <c r="Q1123"/>
      <c r="R1123" t="inlineStr">
        <is>
          <t>YES</t>
        </is>
      </c>
      <c r="S1123" t="inlineStr">
        <is>
          <t>Outsourced Host - Caloocan (Mama Emma)</t>
        </is>
      </c>
      <c r="T1123">
        <v>1</v>
      </c>
      <c r="U1123">
        <v>38900</v>
      </c>
      <c r="V1123" t="inlineStr">
        <is>
          <t>PHP</t>
        </is>
      </c>
      <c r="W1123">
        <v>38900</v>
      </c>
      <c r="X1123" s="2" t="str">
        <f>=HYPERLINK("https://www.larksuite.com/approval/admin/previewAttachment?key=PMhBCkIxDATQK82kaabxMm78fFSsCKLFRc4uuHD7YhAxOlskPGkJlnp0jehCBoyMgbKilBBlqm3ux-WXx21NrnX96HWv9_m0b0_2lBnU3NsAwMPfm9w9Mxw_xzcAAP__", "2 attachment(s)")</f>
        <v>2 attachment(s)</v>
      </c>
      <c r="Y1123" t="inlineStr">
        <is>
          <t>Bank Transfer</t>
        </is>
      </c>
      <c r="Z1123" t="inlineStr">
        <is>
          <t>Ma. Juanita Dela Cruz</t>
        </is>
      </c>
      <c r="AA1123" t="inlineStr">
        <is>
          <t>008750028842</t>
        </is>
      </c>
      <c r="AB1123" t="inlineStr">
        <is>
          <t>BDO</t>
        </is>
      </c>
      <c r="AC1123" t="inlineStr">
        <is>
          <t>4840 Valderama stm Pio Del Pilar Makati City</t>
        </is>
      </c>
      <c r="AD1123" s="4">
        <v>45951</v>
      </c>
      <c r="AE1123" t="inlineStr">
        <is>
          <t>100% Full Payment - Oct. 31, 2025</t>
        </is>
      </c>
      <c r="AF1123" s="2"/>
      <c r="AG1123" t="inlineStr">
        <is>
          <t>NzQyNTk5MTgyNzQ4MTg3MDM0MTo4NThCRDJBQS05RTU5LTQyNkQtQjVEQS0yRkU3MzdEMTU5MzAtMToyNmVkMjc5NjMwZDhiMGE3MzA4ZGNjNGE5MWZhOTE1NDox</t>
        </is>
      </c>
      <c r="AH1123" t="inlineStr">
        <is>
          <t>Ma. Juanita Dela Cruz</t>
        </is>
      </c>
      <c r="AI1123"/>
      <c r="AJ1123" t="inlineStr">
        <is>
          <t>LIQUIDITY PLAN (PAR # 202509300084 / 2025TEG-P0216)
PROCUREMENT COST ESTIMATE TAB &gt; MARKETING / TALENT &gt;
Host
Total Remaining Budget = (Php 16,850.00) NEGATIVE
Actual Cost = Php 38,900.00
Balance = (Php 55,750.00) OVER BUDGET</t>
        </is>
      </c>
      <c r="AK1123"/>
    </row>
    <row r="1124" ht="25.5" customHeight="1">
      <c r="A1124" s="2" t="str">
        <f>=HYPERLINK("https://applink.larksuite.com/client/mini_program/open?appId=cli_9c7cc8a9a9edd105&amp;mode=appCenter&amp;path_pc=pc/pages/requested/index?instanceId=7565784807163104993&amp;source=bitable&amp;path=pages/detail/index?instanceId=7565784807163104993&amp;source=bitable", "202510270097")</f>
        <v>202510270097</v>
      </c>
      <c r="B1124" t="inlineStr">
        <is>
          <t>Approved</t>
        </is>
      </c>
      <c r="C1124" t="inlineStr">
        <is>
          <t>Procurement Order</t>
        </is>
      </c>
      <c r="D1124" s="3">
        <v>45957.603541666664</v>
      </c>
      <c r="E1124" s="3">
        <v>45957.65851851852</v>
      </c>
      <c r="F1124" t="inlineStr">
        <is>
          <t>Fatima Kathleen M. FLores</t>
        </is>
      </c>
      <c r="G1124" t="inlineStr">
        <is>
          <t>Procurement</t>
        </is>
      </c>
      <c r="H1124"/>
      <c r="I1124"/>
      <c r="J1124" t="inlineStr">
        <is>
          <t>Project</t>
        </is>
      </c>
      <c r="K1124" t="inlineStr">
        <is>
          <t>PDEI - Event Service</t>
        </is>
      </c>
      <c r="L1124" t="inlineStr">
        <is>
          <t>Bingo Plus Panalo Caravan</t>
        </is>
      </c>
      <c r="M1124" t="inlineStr">
        <is>
          <t>2025TEG-P0216</t>
        </is>
      </c>
      <c r="N1124" t="inlineStr">
        <is>
          <t>Ronelle Kylene Chaneco Lim</t>
        </is>
      </c>
      <c r="O1124" t="inlineStr">
        <is>
          <t>202510140078-Ronelle Kylene Chaneco Lim-费用报销 - 副本 - 副本 - 副本-2025-10-14 09:37:10</t>
        </is>
      </c>
      <c r="P1124" t="inlineStr">
        <is>
          <t>YES</t>
        </is>
      </c>
      <c r="Q1124"/>
      <c r="R1124" t="inlineStr">
        <is>
          <t>NO</t>
        </is>
      </c>
      <c r="S1124" t="inlineStr">
        <is>
          <t>Outsourced Creative Director</t>
        </is>
      </c>
      <c r="T1124">
        <v>1</v>
      </c>
      <c r="U1124">
        <v>37500</v>
      </c>
      <c r="V1124" t="inlineStr">
        <is>
          <t>PHP</t>
        </is>
      </c>
      <c r="W1124">
        <v>37500</v>
      </c>
      <c r="X1124" s="2" t="str">
        <f>=HYPERLINK("https://www.larksuite.com/approval/admin/previewAttachment?key=PMgxCkIxEATQK81kNzsZL2Pj8hHESlCbnF2w-O2rRdSajDLSHAa3Zk2tXBAriLRjj03JEDW0-3lcc3yMbn3dD7P3-347-sVpjQFFZiwAvJweyky7En_HLwAA__8", "2 attachment(s)")</f>
        <v>2 attachment(s)</v>
      </c>
      <c r="Y1124" t="inlineStr">
        <is>
          <t>Bank Transfer</t>
        </is>
      </c>
      <c r="Z1124" t="inlineStr">
        <is>
          <t>Mike Eliss Claronino</t>
        </is>
      </c>
      <c r="AA1124" t="inlineStr">
        <is>
          <t>000010328173</t>
        </is>
      </c>
      <c r="AB1124" t="inlineStr">
        <is>
          <t>BDO</t>
        </is>
      </c>
      <c r="AC1124" t="inlineStr">
        <is>
          <t>070 Philand ext. Tandang Sora Pasong Tamo Q.C</t>
        </is>
      </c>
      <c r="AD1124" s="4">
        <v>45931</v>
      </c>
      <c r="AE1124" t="inlineStr">
        <is>
          <t>1st Payment - Oct. 24, 2025
Final Payment - Nov. 7, 2025</t>
        </is>
      </c>
      <c r="AF1124" s="2"/>
      <c r="AG1124" t="inlineStr">
        <is>
          <t>NzQyNTk5MTgyNzQ4MTg3MDM0MTo3ODE5NEVDNy0xM0MzLTQyMEMtOUJENy0xMTQxN0M4ODZERDktMTpmMGIwZjhhNGQxNDE2ZjMxNTMzMjJjODkwZWZlMWM2Mzox</t>
        </is>
      </c>
      <c r="AH1124" t="inlineStr">
        <is>
          <t>Mike Eliss Claronino</t>
        </is>
      </c>
      <c r="AI1124"/>
      <c r="AJ1124" t="inlineStr">
        <is>
          <t>LIQUIDITY PLAN (PAR # 202509300084 / 2025TEG-P0216)
PROCUREMENT COST ESTIMATE TAB &gt; CREATIVES &gt;
Creatives Package
Total Budget = Php 50,000.00
Actual Cost = Php 37,500.00
Balance = Php 12,500.00</t>
        </is>
      </c>
      <c r="AK1124"/>
    </row>
    <row r="1125" ht="25.5" customHeight="1">
      <c r="A1125" s="2" t="str">
        <f>=HYPERLINK("https://applink.larksuite.com/client/mini_program/open?appId=cli_9c7cc8a9a9edd105&amp;mode=appCenter&amp;path_pc=pc/pages/requested/index?instanceId=7565796689735405276&amp;source=bitable&amp;path=pages/detail/index?instanceId=7565796689735405276&amp;source=bitable", "202510270122")</f>
        <v>202510270122</v>
      </c>
      <c r="B1125" t="inlineStr">
        <is>
          <t>Approved</t>
        </is>
      </c>
      <c r="C1125" t="inlineStr">
        <is>
          <t>Procurement Order</t>
        </is>
      </c>
      <c r="D1125" s="3">
        <v>45957.635567129626</v>
      </c>
      <c r="E1125" s="3">
        <v>45958.66368055555</v>
      </c>
      <c r="F1125" t="inlineStr">
        <is>
          <t>Fatima Kathleen M. FLores</t>
        </is>
      </c>
      <c r="G1125" t="inlineStr">
        <is>
          <t>Procurement</t>
        </is>
      </c>
      <c r="H1125"/>
      <c r="I1125"/>
      <c r="J1125" t="inlineStr">
        <is>
          <t>Project</t>
        </is>
      </c>
      <c r="K1125" t="inlineStr">
        <is>
          <t>GG - Event Service</t>
        </is>
      </c>
      <c r="L1125" t="inlineStr">
        <is>
          <t>HOK Philippine Kings League - Fall Season</t>
        </is>
      </c>
      <c r="M1125" t="inlineStr">
        <is>
          <t>2025TEG-P0219</t>
        </is>
      </c>
      <c r="N1125" t="inlineStr">
        <is>
          <t>Frances Angelita Arreglado</t>
        </is>
      </c>
      <c r="O1125" t="inlineStr">
        <is>
          <t>202510150055-Reign Santos Fortea-费用报销 - 副本 - 副本 - 副本-2025-10-15 06:16:38</t>
        </is>
      </c>
      <c r="P1125" t="inlineStr">
        <is>
          <t>YES</t>
        </is>
      </c>
      <c r="Q1125"/>
      <c r="R1125" t="inlineStr">
        <is>
          <t>YES</t>
        </is>
      </c>
      <c r="S1125" t="inlineStr">
        <is>
          <t>Outsourced IT Support</t>
        </is>
      </c>
      <c r="T1125">
        <v>1</v>
      </c>
      <c r="U1125">
        <v>9900</v>
      </c>
      <c r="V1125" t="inlineStr">
        <is>
          <t>PHP</t>
        </is>
      </c>
      <c r="W1125">
        <v>9900</v>
      </c>
      <c r="X1125" s="2" t="str">
        <f>=HYPERLINK("https://www.larksuite.com/approval/admin/previewAttachment?key=PMg7CsJAGATgK83_nB0vY-MS1JBKCFjs2QWLtF8PQ4-yaCFlLthidVHdQ4xKlLOXLyMFGp1rHtv9e77eEcDcI-axr_P52ObHSnQHIzMGALtdHsxMqRN_xy8AAP__", "2 attachment(s)")</f>
        <v>2 attachment(s)</v>
      </c>
      <c r="Y1125" t="inlineStr">
        <is>
          <t>Bank Transfer</t>
        </is>
      </c>
      <c r="Z1125" t="inlineStr">
        <is>
          <t>Lawrence Yaco</t>
        </is>
      </c>
      <c r="AA1125" t="inlineStr">
        <is>
          <t>09062522647</t>
        </is>
      </c>
      <c r="AB1125" t="inlineStr">
        <is>
          <t>GCash</t>
        </is>
      </c>
      <c r="AC1125" t="inlineStr">
        <is>
          <t>B4 L10 J Abad Santos st Liamson Subdivision Guitnang Bayan 1 San Mateo Rizal</t>
        </is>
      </c>
      <c r="AD1125" s="4">
        <v>45937</v>
      </c>
      <c r="AE1125" t="inlineStr">
        <is>
          <t>100% Full Payment - Nov. 7, 2025</t>
        </is>
      </c>
      <c r="AF1125" s="2"/>
      <c r="AG1125" t="inlineStr">
        <is>
          <t>NzQyNTk5MTgyNzQ4MTg3MDM0MTpERkMwMTIxMS0yMUFDLTQzQ0EtQjRBRS03OTdDMDRBM0JGQkItMTo0NDExZTI0YTA1ZTE1OTQwODY5MWVhNDA4NDM4ZGI5NDox</t>
        </is>
      </c>
      <c r="AH1125" t="inlineStr">
        <is>
          <t>Lawrence Yaco</t>
        </is>
      </c>
      <c r="AI1125"/>
      <c r="AJ1125" t="inlineStr">
        <is>
          <t>LIQUIDITY PLAN (PAR # 202508190134 / 2025TEG-P0219)
INTERNAL 0820 COST ESTIMATE &gt; PLAYOFFS &gt;
Labor Cost &gt; Additional Broadcast Manpower &gt; IT Support
Total Remaining Budget = (Php 9,900.00) NEGATIVE BUDGET
Actual Cost = Php 9,900.00
Balance = (Php 19,800.00) OVER BUDGET</t>
        </is>
      </c>
      <c r="AK1125"/>
    </row>
    <row r="1126" ht="25.5" customHeight="1">
      <c r="A1126" s="2" t="str">
        <f>=HYPERLINK("https://applink.larksuite.com/client/mini_program/open?appId=cli_9c7cc8a9a9edd105&amp;mode=appCenter&amp;path_pc=pc/pages/requested/index?instanceId=7565796113194766048&amp;source=bitable&amp;path=pages/detail/index?instanceId=7565796113194766048&amp;source=bitable", "202510270121")</f>
        <v>202510270121</v>
      </c>
      <c r="B1126" t="inlineStr">
        <is>
          <t>Approved</t>
        </is>
      </c>
      <c r="C1126" t="inlineStr">
        <is>
          <t>Procurement Order</t>
        </is>
      </c>
      <c r="D1126" s="3">
        <v>45957.6340162037</v>
      </c>
      <c r="E1126" s="3">
        <v>45958.663310185184</v>
      </c>
      <c r="F1126" t="inlineStr">
        <is>
          <t>Fatima Kathleen M. FLores</t>
        </is>
      </c>
      <c r="G1126" t="inlineStr">
        <is>
          <t>Procurement</t>
        </is>
      </c>
      <c r="H1126"/>
      <c r="I1126"/>
      <c r="J1126" t="inlineStr">
        <is>
          <t>Project</t>
        </is>
      </c>
      <c r="K1126" t="inlineStr">
        <is>
          <t>GG - Event Service</t>
        </is>
      </c>
      <c r="L1126" t="inlineStr">
        <is>
          <t>HOK Philippine Kings League - Fall Season</t>
        </is>
      </c>
      <c r="M1126" t="inlineStr">
        <is>
          <t>2025TEG-P0219</t>
        </is>
      </c>
      <c r="N1126" t="inlineStr">
        <is>
          <t>Frances Angelita Arreglado</t>
        </is>
      </c>
      <c r="O1126" t="inlineStr">
        <is>
          <t>202510150055-Reign Santos Fortea-费用报销 - 副本 - 副本 - 副本-2025-10-15 06:16:38</t>
        </is>
      </c>
      <c r="P1126" t="inlineStr">
        <is>
          <t>YES</t>
        </is>
      </c>
      <c r="Q1126"/>
      <c r="R1126" t="inlineStr">
        <is>
          <t>YES</t>
        </is>
      </c>
      <c r="S1126" t="inlineStr">
        <is>
          <t>Outsourced IT Support</t>
        </is>
      </c>
      <c r="T1126">
        <v>1</v>
      </c>
      <c r="U1126">
        <v>9900</v>
      </c>
      <c r="V1126" t="inlineStr">
        <is>
          <t>PHP</t>
        </is>
      </c>
      <c r="W1126">
        <v>9900</v>
      </c>
      <c r="X1126" s="2" t="str">
        <f>=HYPERLINK("https://www.larksuite.com/approval/admin/previewAttachment?key=PMgxCgIxFATQK83k__zJeBkbl0UEF0FwSZGzCxa2rwZRozPKSLMZXOrV5SKDTlUhx2qLkiGqaW3P_Yo4PSdfZx6H-Vif-23f3uxWa1BkxgDAy99DmWlX4uf4BgAA__8", "2 attachment(s)")</f>
        <v>2 attachment(s)</v>
      </c>
      <c r="Y1126" t="inlineStr">
        <is>
          <t>Bank Transfer</t>
        </is>
      </c>
      <c r="Z1126" t="inlineStr">
        <is>
          <t>Jose Andrew A. Mazaredo</t>
        </is>
      </c>
      <c r="AA1126" t="inlineStr">
        <is>
          <t>09166309613</t>
        </is>
      </c>
      <c r="AB1126" t="inlineStr">
        <is>
          <t>GCash</t>
        </is>
      </c>
      <c r="AC1126" t="inlineStr">
        <is>
          <t>20 P. Ladia St. Proj 4. Quezon City</t>
        </is>
      </c>
      <c r="AD1126" s="4">
        <v>45937</v>
      </c>
      <c r="AE1126" t="inlineStr">
        <is>
          <t>100% Full Payment - Nov. 7, 2025</t>
        </is>
      </c>
      <c r="AF1126" s="2"/>
      <c r="AG1126" t="inlineStr">
        <is>
          <t>NzQyNTk5MTgyNzQ4MTg3MDM0MTpFQjg4Q0JDNC1BQ0M0LTQ5NDMtOEVENC1GMTY0M0RBMUE1RDgtMTpiZmYwMWRjMWQ4ZmViNzQ1NjQ3OGYxM2U2NzI5OGJlMDox</t>
        </is>
      </c>
      <c r="AH1126" t="inlineStr">
        <is>
          <t>Jose Andrew A. Mazaredo</t>
        </is>
      </c>
      <c r="AI1126"/>
      <c r="AJ1126" t="inlineStr">
        <is>
          <t>LIQUIDITY PLAN (PAR # 202508190134 / 2025TEG-P0219)
INTERNAL 0820 COST ESTIMATE &gt; PLAYOFFS &gt;
Labor Cost &gt; Additional Broadcast Manpower &gt; IT Support
Total Remaining Budget = Php 0.00
Actual Cost = Php 9,900.00
Balance = (Php 9,900.00) OVER BUDGET</t>
        </is>
      </c>
      <c r="AK1126"/>
    </row>
    <row r="1127" ht="25.5" customHeight="1">
      <c r="A1127" s="2" t="str">
        <f>=HYPERLINK("https://applink.larksuite.com/client/mini_program/open?appId=cli_9c7cc8a9a9edd105&amp;mode=appCenter&amp;path_pc=pc/pages/requested/index?instanceId=7565803446880833244&amp;source=bitable&amp;path=pages/detail/index?instanceId=7565803446880833244&amp;source=bitable", "202510270129")</f>
        <v>202510270129</v>
      </c>
      <c r="B1127" t="inlineStr">
        <is>
          <t>Approved</t>
        </is>
      </c>
      <c r="C1127" t="inlineStr">
        <is>
          <t>Procurement Order</t>
        </is>
      </c>
      <c r="D1127" s="3">
        <v>45957.65377314815</v>
      </c>
      <c r="E1127" s="3">
        <v>45958.673634259256</v>
      </c>
      <c r="F1127" t="inlineStr">
        <is>
          <t>Fatima Kathleen M. FLores</t>
        </is>
      </c>
      <c r="G1127" t="inlineStr">
        <is>
          <t>Procurement</t>
        </is>
      </c>
      <c r="H1127"/>
      <c r="I1127"/>
      <c r="J1127" t="inlineStr">
        <is>
          <t>Project</t>
        </is>
      </c>
      <c r="K1127" t="inlineStr">
        <is>
          <t>GG - Event Service</t>
        </is>
      </c>
      <c r="L1127" t="inlineStr">
        <is>
          <t>HOK Philippine Kings League - Fall Season</t>
        </is>
      </c>
      <c r="M1127" t="inlineStr">
        <is>
          <t>2025TEG-P0219</t>
        </is>
      </c>
      <c r="N1127" t="inlineStr">
        <is>
          <t>Frances Angelita Arreglado</t>
        </is>
      </c>
      <c r="O1127" t="inlineStr">
        <is>
          <t>202510150065-Reign Santos Fortea-费用报销 - 副本 - 副本 - 副本-2025-10-15 06:39:06</t>
        </is>
      </c>
      <c r="P1127" t="inlineStr">
        <is>
          <t>YES</t>
        </is>
      </c>
      <c r="Q1127"/>
      <c r="R1127" t="inlineStr">
        <is>
          <t>YES</t>
        </is>
      </c>
      <c r="S1127" t="inlineStr">
        <is>
          <t>Outsourced Teleprompter</t>
        </is>
      </c>
      <c r="T1127">
        <v>1</v>
      </c>
      <c r="U1127">
        <v>4000</v>
      </c>
      <c r="V1127" t="inlineStr">
        <is>
          <t>PHP</t>
        </is>
      </c>
      <c r="W1127">
        <v>4000</v>
      </c>
      <c r="X1127" s="2" t="str">
        <f>=HYPERLINK("https://www.larksuite.com/approval/admin/previewAttachment?key=PMg9CsJwDAXwK70kL19exsVSFNpJ_EOHnF1wcP1FCaJcLBps0YZMenjByKhCmSk5OpLZSEnN2c797r7kg9fy47iu85j1fOzbW7xTFWmkFQC5_d2SZHcQP8c3AAD__w", "2 attachment(s)")</f>
        <v>2 attachment(s)</v>
      </c>
      <c r="Y1127" t="inlineStr">
        <is>
          <t>Bank Transfer</t>
        </is>
      </c>
      <c r="Z1127" t="inlineStr">
        <is>
          <t>Nathaniel Esguerra</t>
        </is>
      </c>
      <c r="AA1127" t="inlineStr">
        <is>
          <t>09217369372</t>
        </is>
      </c>
      <c r="AB1127" t="inlineStr">
        <is>
          <t>GCash</t>
        </is>
      </c>
      <c r="AC1127" t="inlineStr">
        <is>
          <t>3417 Guernica St., Palanan, Makati</t>
        </is>
      </c>
      <c r="AD1127" s="4">
        <v>45939</v>
      </c>
      <c r="AE1127" t="inlineStr">
        <is>
          <t>100% Full Payment - Nov. 7, 2025</t>
        </is>
      </c>
      <c r="AF1127" s="2"/>
      <c r="AG1127" t="inlineStr">
        <is>
          <t>NzQyNTk5MTgyNzQ4MTg3MDM0MTpGQjBCMDQxQy01NzkwLTRDQTYtOTczOC00OUFCMkU5NjJCNzktMTo4MTQ3YjRlYzkzOTE2Y2FhOGQ2NmUzZWQ2NDMxMmZjMDox</t>
        </is>
      </c>
      <c r="AH1127" t="inlineStr">
        <is>
          <t>Nathaniel Esguerra</t>
        </is>
      </c>
      <c r="AI1127"/>
      <c r="AJ1127" t="inlineStr">
        <is>
          <t>Line item in CE is tagged as Internal with no cost.</t>
        </is>
      </c>
      <c r="AK1127"/>
    </row>
    <row r="1128" ht="25.5" customHeight="1">
      <c r="A1128" s="2" t="str">
        <f>=HYPERLINK("https://applink.larksuite.com/client/mini_program/open?appId=cli_9c7cc8a9a9edd105&amp;mode=appCenter&amp;path_pc=pc/pages/requested/index?instanceId=7563634906975191071&amp;source=bitable&amp;path=pages/detail/index?instanceId=7563634906975191071&amp;source=bitable", "202510210142")</f>
        <v>202510210142</v>
      </c>
      <c r="B1128" t="inlineStr">
        <is>
          <t>Approved</t>
        </is>
      </c>
      <c r="C1128" t="inlineStr">
        <is>
          <t>Procurement Order</t>
        </is>
      </c>
      <c r="D1128" s="3">
        <v>45951.80998842593</v>
      </c>
      <c r="E1128" s="3">
        <v>45958.68349537037</v>
      </c>
      <c r="F1128" t="inlineStr">
        <is>
          <t>Fatima Kathleen M. FLores</t>
        </is>
      </c>
      <c r="G1128" t="inlineStr">
        <is>
          <t>Procurement</t>
        </is>
      </c>
      <c r="H1128"/>
      <c r="I1128"/>
      <c r="J1128" t="inlineStr">
        <is>
          <t>Project</t>
        </is>
      </c>
      <c r="K1128" t="inlineStr">
        <is>
          <t>GG - Event Service</t>
        </is>
      </c>
      <c r="L1128" t="inlineStr">
        <is>
          <t>HOK Philippine Kings League - Fall Season</t>
        </is>
      </c>
      <c r="M1128" t="inlineStr">
        <is>
          <t>2025TEG-P0219</t>
        </is>
      </c>
      <c r="N1128" t="inlineStr">
        <is>
          <t>Frances Angelita Arreglado</t>
        </is>
      </c>
      <c r="O1128" t="inlineStr">
        <is>
          <t>202510020135-Carla Andrea Calma Crespo-费用报销 - 副本 - 副本 - 副本-2025-10-02 15:12:50</t>
        </is>
      </c>
      <c r="P1128" t="inlineStr">
        <is>
          <t>YES</t>
        </is>
      </c>
      <c r="Q1128"/>
      <c r="R1128" t="inlineStr">
        <is>
          <t>YES</t>
        </is>
      </c>
      <c r="S1128" t="inlineStr">
        <is>
          <t>Outsourced Talent (Osiris)</t>
        </is>
      </c>
      <c r="T1128">
        <v>1</v>
      </c>
      <c r="U1128">
        <v>41750</v>
      </c>
      <c r="V1128" t="inlineStr">
        <is>
          <t>PHP</t>
        </is>
      </c>
      <c r="W1128">
        <v>41750</v>
      </c>
      <c r="X1128" s="2" t="str">
        <f>=HYPERLINK("https://www.larksuite.com/approval/admin/previewAttachment?key=PMgxqgJBEATQK1VN93R1_cv8xGERcSNB2GDOLhiYvmqiejLKSHMY3JoVFWmUNWlC3GNTMkQN7XUe_3EKnU8_Rve1rv2-34714rTGgCIzGgD_fh7KTLsSX8cnAAD__w", "2 attachment(s)")</f>
        <v>2 attachment(s)</v>
      </c>
      <c r="Y1128" t="inlineStr">
        <is>
          <t>Bank Transfer</t>
        </is>
      </c>
      <c r="Z1128" t="inlineStr">
        <is>
          <t>Rogyn Raphael S. Manansala</t>
        </is>
      </c>
      <c r="AA1128" t="inlineStr">
        <is>
          <t>1096 6002 4240</t>
        </is>
      </c>
      <c r="AB1128" t="inlineStr">
        <is>
          <t>UnionBank of the Philippines</t>
        </is>
      </c>
      <c r="AC1128" t="inlineStr">
        <is>
          <t>Blk 5 Lot 2 Daisy St. Ferretville Subdivision, Brgy. San Roque, Rizal, Antipolo</t>
        </is>
      </c>
      <c r="AD1128" s="4">
        <v>45940</v>
      </c>
      <c r="AE1128" t="inlineStr">
        <is>
          <t>1st Payment - Oct. 24, 2025
Final Payment - Nov. 7, 2025</t>
        </is>
      </c>
      <c r="AF1128" s="2"/>
      <c r="AG1128" t="inlineStr">
        <is>
          <t>NzQyNTk5MTgyNzQ4MTg3MDM0MTo5MTVENTZFRS1DQUY4LTQ5QzktOEUzOS1GQjBGOEE3RTU2MDktMTo4MWUwNzljOGI2Y2FjNmYyMDBhYzIzZGUxMjE2NTE1NTox</t>
        </is>
      </c>
      <c r="AH1128" t="inlineStr">
        <is>
          <t>Rogyn Raphael S. Manansala</t>
        </is>
      </c>
      <c r="AI1128"/>
      <c r="AJ1128" t="inlineStr">
        <is>
          <t>LIQUIDITY PLAN (PAR # 202508190134 / 2025TEG-P0219)
INTERNAL 0820 COST ESTIMATE &gt; PLAYOFFS &gt;
Labor Cost &gt; TALENTS &gt; Casters (Playoffs)
Total Remaining Budget = (Php 202,650.00) NEGATIVE
Actual Cost = Php 41,750.00
Balance = (Php 244,400.00) OVER BUDGET</t>
        </is>
      </c>
      <c r="AK1128"/>
    </row>
    <row r="1129" ht="25.5" customHeight="1">
      <c r="A1129" s="2" t="str">
        <f>=HYPERLINK("https://applink.larksuite.com/client/mini_program/open?appId=cli_9c7cc8a9a9edd105&amp;mode=appCenter&amp;path_pc=pc/pages/requested/index?instanceId=7565828556429758171&amp;source=bitable&amp;path=pages/detail/index?instanceId=7565828556429758171&amp;source=bitable", "202510270160")</f>
        <v>202510270160</v>
      </c>
      <c r="B1129" t="inlineStr">
        <is>
          <t>Approved</t>
        </is>
      </c>
      <c r="C1129" t="inlineStr">
        <is>
          <t>Procurement Order</t>
        </is>
      </c>
      <c r="D1129" s="3">
        <v>45957.72143518519</v>
      </c>
      <c r="E1129" s="3">
        <v>45957.81966435185</v>
      </c>
      <c r="F1129" t="inlineStr">
        <is>
          <t>Fatima Kathleen M. FLores</t>
        </is>
      </c>
      <c r="G1129" t="inlineStr">
        <is>
          <t>Procurement</t>
        </is>
      </c>
      <c r="H1129"/>
      <c r="I1129"/>
      <c r="J1129" t="inlineStr">
        <is>
          <t>Project</t>
        </is>
      </c>
      <c r="K1129" t="inlineStr">
        <is>
          <t>PDEI - Event Service</t>
        </is>
      </c>
      <c r="L1129" t="inlineStr">
        <is>
          <t>MDL PH S6 Playoffs + Grand Finals Watch Party</t>
        </is>
      </c>
      <c r="M1129" t="inlineStr">
        <is>
          <t>2025TEG-P0197</t>
        </is>
      </c>
      <c r="N1129" t="inlineStr">
        <is>
          <t>Kervin</t>
        </is>
      </c>
      <c r="O1129" t="inlineStr">
        <is>
          <t>202510060097-Kervin-费用报销 - 副本 - 副本 - 副本-2025-10-06 09:12:52</t>
        </is>
      </c>
      <c r="P1129" t="inlineStr">
        <is>
          <t>YES</t>
        </is>
      </c>
      <c r="Q1129"/>
      <c r="R1129" t="inlineStr">
        <is>
          <t>NO</t>
        </is>
      </c>
      <c r="S1129" t="inlineStr">
        <is>
          <t>Outsourced Lighting Director</t>
        </is>
      </c>
      <c r="T1129">
        <v>1</v>
      </c>
      <c r="U1129">
        <v>4500</v>
      </c>
      <c r="V1129" t="inlineStr">
        <is>
          <t>PHP</t>
        </is>
      </c>
      <c r="W1129">
        <v>4500</v>
      </c>
      <c r="X1129" s="2" t="str">
        <f>=HYPERLINK("https://www.larksuite.com/approval/admin/previewAttachment?key=PMhBqgJBDATQK6XSlVTyL_M3MzQiuhJ6cNFnF1y4fVmwrMDINja8DVuRUV4RSW9FQdi-IbUJcu3zOf_nAC8_5rUeXPf3Xrdjni9Ey900yFFmhr-fD5HsTtrX7RMAAP__", "2 attachment(s)")</f>
        <v>2 attachment(s)</v>
      </c>
      <c r="Y1129" t="inlineStr">
        <is>
          <t>Bank Transfer</t>
        </is>
      </c>
      <c r="Z1129" t="inlineStr">
        <is>
          <t>Mark Anthony Flor</t>
        </is>
      </c>
      <c r="AA1129" t="inlineStr">
        <is>
          <t>09199712271</t>
        </is>
      </c>
      <c r="AB1129" t="inlineStr">
        <is>
          <t>GCash</t>
        </is>
      </c>
      <c r="AC1129" t="inlineStr">
        <is>
          <t>Blk179 Lot44 St. Cecilia Street, Deca Homes Loma de Gato, Marilao, Bulacan</t>
        </is>
      </c>
      <c r="AD1129" s="4">
        <v>45949</v>
      </c>
      <c r="AE1129" t="inlineStr">
        <is>
          <t>100% Full payment - Oct. 31, 2025</t>
        </is>
      </c>
      <c r="AF1129" s="2"/>
      <c r="AG1129" t="inlineStr">
        <is>
          <t>NzQyNTk5MTgyNzQ4MTg3MDM0MTpFREY2MkYxMi1FQjVCLTRGNjUtODI5QS04Njc5MEVGRDZEMzEtMTowOGZiYjk2OTAyOTRhMDhmODBmMmI5MzZiM2NhMWU2MTox</t>
        </is>
      </c>
      <c r="AH1129" t="inlineStr">
        <is>
          <t>Mark Anthony Flor</t>
        </is>
      </c>
      <c r="AI1129"/>
      <c r="AJ1129" t="inlineStr">
        <is>
          <t>LIQUIDITY PLAN (PAR # 202510060066 / 2025TEG-P0197)
(ONLINE) COST ESTIMATE &gt; 4. STAGING &amp; PRODUCTION &gt;
4.3 Manpower Arrangement &gt; FOR MDL FINALS &gt;
Lighting Director
Total Budget = Php 4,500.00
Actual Cost = Php 4,500.00</t>
        </is>
      </c>
      <c r="AK1129"/>
    </row>
    <row r="1130" ht="25.5" customHeight="1">
      <c r="A1130" s="2" t="str">
        <f>=HYPERLINK("https://applink.larksuite.com/client/mini_program/open?appId=cli_9c7cc8a9a9edd105&amp;mode=appCenter&amp;path_pc=pc/pages/requested/index?instanceId=7563633665033388064&amp;source=bitable&amp;path=pages/detail/index?instanceId=7563633665033388064&amp;source=bitable", "202510210140")</f>
        <v>202510210140</v>
      </c>
      <c r="B1130" t="inlineStr">
        <is>
          <t>Approved</t>
        </is>
      </c>
      <c r="C1130" t="inlineStr">
        <is>
          <t>Procurement Order</t>
        </is>
      </c>
      <c r="D1130" s="3">
        <v>45951.80664351852</v>
      </c>
      <c r="E1130" s="3">
        <v>45958.68440972222</v>
      </c>
      <c r="F1130" t="inlineStr">
        <is>
          <t>Fatima Kathleen M. FLores</t>
        </is>
      </c>
      <c r="G1130" t="inlineStr">
        <is>
          <t>Procurement</t>
        </is>
      </c>
      <c r="H1130"/>
      <c r="I1130"/>
      <c r="J1130" t="inlineStr">
        <is>
          <t>Project</t>
        </is>
      </c>
      <c r="K1130" t="inlineStr">
        <is>
          <t>GG - Event Service</t>
        </is>
      </c>
      <c r="L1130" t="inlineStr">
        <is>
          <t>HOK Philippine Kings League - Fall Season</t>
        </is>
      </c>
      <c r="M1130" t="inlineStr">
        <is>
          <t>2025TEG-P0219</t>
        </is>
      </c>
      <c r="N1130" t="inlineStr">
        <is>
          <t>Frances Angelita Arreglado</t>
        </is>
      </c>
      <c r="O1130" t="inlineStr">
        <is>
          <t>202510060108-Carla Andrea Calma Crespo-费用报销 - 副本 - 副本 - 副本-2025-10-06 09:26:42</t>
        </is>
      </c>
      <c r="P1130" t="inlineStr">
        <is>
          <t>YES</t>
        </is>
      </c>
      <c r="Q1130"/>
      <c r="R1130" t="inlineStr">
        <is>
          <t>YES</t>
        </is>
      </c>
      <c r="S1130" t="inlineStr">
        <is>
          <t>Outsourced Talent (Dash)</t>
        </is>
      </c>
      <c r="T1130">
        <v>1</v>
      </c>
      <c r="U1130">
        <v>46900</v>
      </c>
      <c r="V1130" t="inlineStr">
        <is>
          <t>PHP</t>
        </is>
      </c>
      <c r="W1130">
        <v>46900</v>
      </c>
      <c r="X1130" s="2" t="str">
        <f>=HYPERLINK("https://www.larksuite.com/approval/admin/previewAttachment?key=PMg5CsJgEAXgK72ZN6uXsUkILgiC8GMzZxcs0n5RgigXRsNatCGTHgwywkGyCmGjI5mNlNSc_XVcl9z9yS_ffPhGzLptx_4R71RF0owFQC6nM82sOwx_xy8AAP__", "2 attachment(s)")</f>
        <v>2 attachment(s)</v>
      </c>
      <c r="Y1130" t="inlineStr">
        <is>
          <t>Bank Transfer</t>
        </is>
      </c>
      <c r="Z1130" t="inlineStr">
        <is>
          <t>Eugene I. Esteban</t>
        </is>
      </c>
      <c r="AA1130" t="inlineStr">
        <is>
          <t>2000 5182 8177</t>
        </is>
      </c>
      <c r="AB1130" t="inlineStr">
        <is>
          <t>East West Banking Corporation</t>
        </is>
      </c>
      <c r="AC1130" t="inlineStr">
        <is>
          <t>131 P. Pablo St. 10th Ave. Caloocan City</t>
        </is>
      </c>
      <c r="AD1130" s="4">
        <v>45940</v>
      </c>
      <c r="AE1130" t="inlineStr">
        <is>
          <t>1st Payment - Oct. 24, 2025
Final Payment - Nov. 7, 2025</t>
        </is>
      </c>
      <c r="AF1130" s="2"/>
      <c r="AG1130" t="inlineStr">
        <is>
          <t>NzQyNTk5MTgyNzQ4MTg3MDM0MToxQzA2NUNENy01NjY5LTRERjYtQkQ0RS0xODI3QUJCQ0JBNkEtMTo2YWJhZDU3OTE0NWU2MzA1NDQzYzJkN2M5ZjExMWQ0NTox</t>
        </is>
      </c>
      <c r="AH1130" t="inlineStr">
        <is>
          <t>Eugene I. Esteban</t>
        </is>
      </c>
      <c r="AI1130"/>
      <c r="AJ1130" t="inlineStr">
        <is>
          <t>LIQUIDITY PLAN (PAR # 202508190134 / 2025TEG-P0219)
INTERNAL 0820 COST ESTIMATE &gt; PLAYOFFS &gt;
Labor Cost &gt; TALENTS &gt; Casters (Playoffs)
Total Remaining Budget = (Php 155,750.00) NEGATIVE
Actual Cost = Php 46,900.00
Balance = (Php 202,650.00) OVER BUDGET</t>
        </is>
      </c>
      <c r="AK1130"/>
    </row>
    <row r="1131" ht="25.5" customHeight="1">
      <c r="A1131" s="2" t="str">
        <f>=HYPERLINK("https://applink.larksuite.com/client/mini_program/open?appId=cli_9c7cc8a9a9edd105&amp;mode=appCenter&amp;path_pc=pc/pages/requested/index?instanceId=7565834416279260896&amp;source=bitable&amp;path=pages/detail/index?instanceId=7565834416279260896&amp;source=bitable", "202510270166")</f>
        <v>202510270166</v>
      </c>
      <c r="B1131" t="inlineStr">
        <is>
          <t>Approved</t>
        </is>
      </c>
      <c r="C1131" t="inlineStr">
        <is>
          <t>Procurement Order</t>
        </is>
      </c>
      <c r="D1131" s="3">
        <v>45957.737233796295</v>
      </c>
      <c r="E1131" s="3">
        <v>45957.820925925924</v>
      </c>
      <c r="F1131" t="inlineStr">
        <is>
          <t>Fatima Kathleen M. FLores</t>
        </is>
      </c>
      <c r="G1131" t="inlineStr">
        <is>
          <t>Procurement</t>
        </is>
      </c>
      <c r="H1131"/>
      <c r="I1131"/>
      <c r="J1131" t="inlineStr">
        <is>
          <t>Project</t>
        </is>
      </c>
      <c r="K1131" t="inlineStr">
        <is>
          <t>PDEI - Event Service</t>
        </is>
      </c>
      <c r="L1131" t="inlineStr">
        <is>
          <t>MDL PH S6 Playoffs + Grand Finals Watch Party</t>
        </is>
      </c>
      <c r="M1131" t="inlineStr">
        <is>
          <t>2025TEG-P0197</t>
        </is>
      </c>
      <c r="N1131" t="inlineStr">
        <is>
          <t>Kervin</t>
        </is>
      </c>
      <c r="O1131" t="inlineStr">
        <is>
          <t>202510060079-Kervin-费用报销 - 副本 - 副本 - 副本-2025-10-06 08:39:17</t>
        </is>
      </c>
      <c r="P1131" t="inlineStr">
        <is>
          <t>YES</t>
        </is>
      </c>
      <c r="Q1131"/>
      <c r="R1131" t="inlineStr">
        <is>
          <t>NO</t>
        </is>
      </c>
      <c r="S1131" t="inlineStr">
        <is>
          <t>Outsourced Staging and Onground Designer</t>
        </is>
      </c>
      <c r="T1131">
        <v>1</v>
      </c>
      <c r="U1131">
        <v>25000</v>
      </c>
      <c r="V1131" t="inlineStr">
        <is>
          <t>PHP</t>
        </is>
      </c>
      <c r="W1131">
        <v>25000</v>
      </c>
      <c r="X1131" s="2" t="str">
        <f>=HYPERLINK("https://www.larksuite.com/approval/admin/previewAttachment?key=PMgxCgIxFATQK838_PzJeBmbDYugayMsWuTsgoXtq0HU6GxlpBkGl3r10TJZIUdhuFYsSoao0JrHfn3yvQnnNI7P44513rZ9vtitCKhltgGAl783ZaZdiZ_jGwAA__8", "2 attachment(s)")</f>
        <v>2 attachment(s)</v>
      </c>
      <c r="Y1131" t="inlineStr">
        <is>
          <t>Bank Transfer</t>
        </is>
      </c>
      <c r="Z1131" t="inlineStr">
        <is>
          <t>Ezzard Slim Eguia</t>
        </is>
      </c>
      <c r="AA1131" t="inlineStr">
        <is>
          <t>6196 2357 26</t>
        </is>
      </c>
      <c r="AB1131" t="inlineStr">
        <is>
          <t>BPI</t>
        </is>
      </c>
      <c r="AC1131" t="inlineStr">
        <is>
          <t>34 Ambuklao St NPC Village, Pasong Tamo, QC</t>
        </is>
      </c>
      <c r="AD1131" s="4">
        <v>45919</v>
      </c>
      <c r="AE1131" t="inlineStr">
        <is>
          <t>100% Full payment - Oct. 31, 2025</t>
        </is>
      </c>
      <c r="AF1131" s="2"/>
      <c r="AG1131" t="inlineStr">
        <is>
          <t>NzQyNTk5MTgyNzQ4MTg3MDM0MToyMzNFMjZGRi0wQjIzLTRCMTUtQjNCMC1DRDM2OEVBMTEwNzItMTo3YmNlZGQzZDc3OGFjNzM3MGY0YzlmNDFmNzY4ZTIwOTox</t>
        </is>
      </c>
      <c r="AH1131" t="inlineStr">
        <is>
          <t>Ezzard Slim Eguia</t>
        </is>
      </c>
      <c r="AI1131"/>
      <c r="AJ1131" t="inlineStr">
        <is>
          <t>LIQUIDITY PLAN (PAR # 202510060066 / 2025TEG-P0197)
(ONLINE) COST ESTIMATE &gt; 4. STAGING &amp; PRODUCTION &gt;
4.3 Manpower Arrangement &gt; FOR MDL FINALS &gt;
Event Render
Total Budget = Php 25,000.00
Actual Cost = Php 25,000.00</t>
        </is>
      </c>
      <c r="AK1131"/>
    </row>
    <row r="1132" ht="25.5" customHeight="1">
      <c r="A1132" s="2" t="str">
        <f>=HYPERLINK("https://applink.larksuite.com/client/mini_program/open?appId=cli_9c7cc8a9a9edd105&amp;mode=appCenter&amp;path_pc=pc/pages/requested/index?instanceId=7565831985046851293&amp;source=bitable&amp;path=pages/detail/index?instanceId=7565831985046851293&amp;source=bitable", "202510270164")</f>
        <v>202510270164</v>
      </c>
      <c r="B1132" t="inlineStr">
        <is>
          <t>Approved</t>
        </is>
      </c>
      <c r="C1132" t="inlineStr">
        <is>
          <t>Procurement Order</t>
        </is>
      </c>
      <c r="D1132" s="3">
        <v>45957.73068287037</v>
      </c>
      <c r="E1132" s="3">
        <v>45957.821747685186</v>
      </c>
      <c r="F1132" t="inlineStr">
        <is>
          <t>Fatima Kathleen M. FLores</t>
        </is>
      </c>
      <c r="G1132" t="inlineStr">
        <is>
          <t>Procurement</t>
        </is>
      </c>
      <c r="H1132"/>
      <c r="I1132"/>
      <c r="J1132" t="inlineStr">
        <is>
          <t>Project</t>
        </is>
      </c>
      <c r="K1132" t="inlineStr">
        <is>
          <t>PDEI - Event Service</t>
        </is>
      </c>
      <c r="L1132" t="inlineStr">
        <is>
          <t>MDL PH S6 Playoffs + Grand Finals Watch Party</t>
        </is>
      </c>
      <c r="M1132" t="inlineStr">
        <is>
          <t>2025TEG-P0197</t>
        </is>
      </c>
      <c r="N1132" t="inlineStr">
        <is>
          <t>Kervin</t>
        </is>
      </c>
      <c r="O1132" t="inlineStr">
        <is>
          <t>202510060100-Kervin-费用报销 - 副本 - 副本 - 副本-2025-10-06 09:14:12</t>
        </is>
      </c>
      <c r="P1132" t="inlineStr">
        <is>
          <t>YES</t>
        </is>
      </c>
      <c r="Q1132"/>
      <c r="R1132" t="inlineStr">
        <is>
          <t>NO</t>
        </is>
      </c>
      <c r="S1132" t="inlineStr">
        <is>
          <t>Outsourced LED Operator</t>
        </is>
      </c>
      <c r="T1132">
        <v>1</v>
      </c>
      <c r="U1132">
        <v>2000</v>
      </c>
      <c r="V1132" t="inlineStr">
        <is>
          <t>PHP</t>
        </is>
      </c>
      <c r="W1132">
        <v>2000</v>
      </c>
      <c r="X1132" s="2" t="str">
        <f>=HYPERLINK("https://www.larksuite.com/approval/admin/previewAttachment?key=PMk5DsJADAXQK31vY38uQ8MoYkuFEqXx2REUad8bJRgVYoNwihLSGSPKhBXw3ymttSWTSEnNnutyfceGOuZjO57rjlfv99syPxJMVaS5WwGQy-mW7k4Ox9_xDQAA__8", "2 attachment(s)")</f>
        <v>2 attachment(s)</v>
      </c>
      <c r="Y1132" t="inlineStr">
        <is>
          <t>Bank Transfer</t>
        </is>
      </c>
      <c r="Z1132" t="inlineStr">
        <is>
          <t>John Mark Ramos</t>
        </is>
      </c>
      <c r="AA1132" t="inlineStr">
        <is>
          <t>0000007591426151</t>
        </is>
      </c>
      <c r="AB1132" t="inlineStr">
        <is>
          <t>RCBC</t>
        </is>
      </c>
      <c r="AC1132" t="inlineStr">
        <is>
          <t>Camella St. Patdu Compound South Green Heights, Putatan Muntinlupa City</t>
        </is>
      </c>
      <c r="AD1132" s="4">
        <v>45949</v>
      </c>
      <c r="AE1132" t="inlineStr">
        <is>
          <t>100% Full payment - Oct. 31, 2025</t>
        </is>
      </c>
      <c r="AF1132" s="2"/>
      <c r="AG1132" t="inlineStr">
        <is>
          <t>NzQyNTk5MTgyNzQ4MTg3MDM0MTo1M0IxNDlFRi01RDY0LTQyQ0UtOUVEOC0yOUI5NDlEOUE2QjQtMTpiODY2NmRmY2JhMTBiNjhhMjMyMTYyZTY1ZjE4NTZjZDox</t>
        </is>
      </c>
      <c r="AH1132" t="inlineStr">
        <is>
          <t>John Mark Ramos</t>
        </is>
      </c>
      <c r="AI1132"/>
      <c r="AJ1132" t="inlineStr">
        <is>
          <t>LIQUIDITY PLAN (PAR # 202510060066 / 2025TEG-P0197)
(ONLINE) COST ESTIMATE &gt; 4. STAGING &amp; PRODUCTION &gt;
4.3 Manpower Arrangement &gt; FOR MDL FINALS &gt;
Game Observer /  LED Operator
Total Budget = Php 3,000.00
Actual Cost = Php 2,000.00
Balance = Php 1,000.00</t>
        </is>
      </c>
      <c r="AK1132"/>
    </row>
    <row r="1133" ht="25.5" customHeight="1">
      <c r="A1133" s="2" t="str">
        <f>=HYPERLINK("https://applink.larksuite.com/client/mini_program/open?appId=cli_9c7cc8a9a9edd105&amp;mode=appCenter&amp;path_pc=pc/pages/requested/index?instanceId=7565830456122298076&amp;source=bitable&amp;path=pages/detail/index?instanceId=7565830456122298076&amp;source=bitable", "202510270163")</f>
        <v>202510270163</v>
      </c>
      <c r="B1133" t="inlineStr">
        <is>
          <t>Approved</t>
        </is>
      </c>
      <c r="C1133" t="inlineStr">
        <is>
          <t>Procurement Order</t>
        </is>
      </c>
      <c r="D1133" s="3">
        <v>45957.7265625</v>
      </c>
      <c r="E1133" s="3">
        <v>45957.82295138889</v>
      </c>
      <c r="F1133" t="inlineStr">
        <is>
          <t>Fatima Kathleen M. FLores</t>
        </is>
      </c>
      <c r="G1133" t="inlineStr">
        <is>
          <t>Procurement</t>
        </is>
      </c>
      <c r="H1133"/>
      <c r="I1133"/>
      <c r="J1133" t="inlineStr">
        <is>
          <t>Project</t>
        </is>
      </c>
      <c r="K1133" t="inlineStr">
        <is>
          <t>PDEI - Event Service</t>
        </is>
      </c>
      <c r="L1133" t="inlineStr">
        <is>
          <t>MDL PH S6 Playoffs + Grand Finals Watch Party</t>
        </is>
      </c>
      <c r="M1133" t="inlineStr">
        <is>
          <t>2025TEG-P0197</t>
        </is>
      </c>
      <c r="N1133" t="inlineStr">
        <is>
          <t>Kervin</t>
        </is>
      </c>
      <c r="O1133" t="inlineStr">
        <is>
          <t>202510060101-Kervin-费用报销 - 副本 - 副本 - 副本-2025-10-06 09:14:38</t>
        </is>
      </c>
      <c r="P1133" t="inlineStr">
        <is>
          <t>YES</t>
        </is>
      </c>
      <c r="Q1133"/>
      <c r="R1133" t="inlineStr">
        <is>
          <t>NO</t>
        </is>
      </c>
      <c r="S1133" t="inlineStr">
        <is>
          <t>Outsourced Broadcast Manager / Producer</t>
        </is>
      </c>
      <c r="T1133">
        <v>1</v>
      </c>
      <c r="U1133">
        <v>3500</v>
      </c>
      <c r="V1133" t="inlineStr">
        <is>
          <t>PHP</t>
        </is>
      </c>
      <c r="W1133">
        <v>3500</v>
      </c>
      <c r="X1133" s="2" t="str">
        <f>=HYPERLINK("https://www.larksuite.com/approval/admin/previewAttachment?key=PMi7DQIxEATQlmb2N16aIcE6QUCEzoLAtSMRkL4aRI2kVyOa1uBWVg5HZNHMekC1bVNqiDLt-TyumYun4Xx_5uyH73W_HfPFbJlBHuEDAC9_d0VEdwV-jm8AAAD__w", "2 attachment(s)")</f>
        <v>2 attachment(s)</v>
      </c>
      <c r="Y1133" t="inlineStr">
        <is>
          <t>Bank Transfer</t>
        </is>
      </c>
      <c r="Z1133" t="inlineStr">
        <is>
          <t>VINCE RAFAEL GARCIA</t>
        </is>
      </c>
      <c r="AA1133" t="inlineStr">
        <is>
          <t>0576664233</t>
        </is>
      </c>
      <c r="AB1133" t="inlineStr">
        <is>
          <t>BPI</t>
        </is>
      </c>
      <c r="AC1133" t="inlineStr">
        <is>
          <t>7 Don Felipe St. Villa Cecilla Subdivision. Mambugan Antipolo City Rizal</t>
        </is>
      </c>
      <c r="AD1133" s="4">
        <v>45949</v>
      </c>
      <c r="AE1133" t="inlineStr">
        <is>
          <t>100% Full payment - Oct. 31, 2025</t>
        </is>
      </c>
      <c r="AF1133" s="2"/>
      <c r="AG1133" t="inlineStr">
        <is>
          <t>NzQyNTk5MTgyNzQ4MTg3MDM0MTozQTU4QjVFRS0zQ0RELTQ5OEUtQkQyQy0wQTc5MTI3RTgxMzMtMTplNTAyODc1YmIzYjM1ZjM1YTVjODI0NmEwZDdlMDc4Nzox</t>
        </is>
      </c>
      <c r="AH1133" t="inlineStr">
        <is>
          <t>VINCE RAFAEL GARCIA</t>
        </is>
      </c>
      <c r="AI1133"/>
      <c r="AJ1133" t="inlineStr">
        <is>
          <t>LIQUIDITY PLAN (PAR # 202510060066 / 2025TEG-P0197)
(ONLINE) COST ESTIMATE &gt; 4. STAGING &amp; PRODUCTION &gt;
4.3 Manpower Arrangement &gt; FOR MDL FINALS &gt;
Broadcast Manager / Producer
Total Budget = Php 3,500.00
Actual Cost = Php 3,500.00</t>
        </is>
      </c>
      <c r="AK1133"/>
    </row>
    <row r="1134" ht="25.5" customHeight="1">
      <c r="A1134" s="2" t="str">
        <f>=HYPERLINK("https://applink.larksuite.com/client/mini_program/open?appId=cli_9c7cc8a9a9edd105&amp;mode=appCenter&amp;path_pc=pc/pages/requested/index?instanceId=7565829596868824799&amp;source=bitable&amp;path=pages/detail/index?instanceId=7565829596868824799&amp;source=bitable", "202510270162")</f>
        <v>202510270162</v>
      </c>
      <c r="B1134" t="inlineStr">
        <is>
          <t>Approved</t>
        </is>
      </c>
      <c r="C1134" t="inlineStr">
        <is>
          <t>Procurement Order</t>
        </is>
      </c>
      <c r="D1134" s="3">
        <v>45957.72424768518</v>
      </c>
      <c r="E1134" s="3">
        <v>45957.82372685185</v>
      </c>
      <c r="F1134" t="inlineStr">
        <is>
          <t>Fatima Kathleen M. FLores</t>
        </is>
      </c>
      <c r="G1134" t="inlineStr">
        <is>
          <t>Procurement</t>
        </is>
      </c>
      <c r="H1134"/>
      <c r="I1134"/>
      <c r="J1134" t="inlineStr">
        <is>
          <t>Project</t>
        </is>
      </c>
      <c r="K1134" t="inlineStr">
        <is>
          <t>PDEI - Event Service</t>
        </is>
      </c>
      <c r="L1134" t="inlineStr">
        <is>
          <t>MDL PH S6 Playoffs + Grand Finals Watch Party</t>
        </is>
      </c>
      <c r="M1134" t="inlineStr">
        <is>
          <t>2025TEG-P0197</t>
        </is>
      </c>
      <c r="N1134" t="inlineStr">
        <is>
          <t>Kervin</t>
        </is>
      </c>
      <c r="O1134" t="inlineStr">
        <is>
          <t>202510060098-Kervin-费用报销 - 副本 - 副本 - 副本-2025-10-06 09:13:31</t>
        </is>
      </c>
      <c r="P1134" t="inlineStr">
        <is>
          <t>YES</t>
        </is>
      </c>
      <c r="Q1134"/>
      <c r="R1134" t="inlineStr">
        <is>
          <t>NO</t>
        </is>
      </c>
      <c r="S1134" t="inlineStr">
        <is>
          <t>Outsourced Lighting Director</t>
        </is>
      </c>
      <c r="T1134">
        <v>1</v>
      </c>
      <c r="U1134">
        <v>16000</v>
      </c>
      <c r="V1134" t="inlineStr">
        <is>
          <t>PHP</t>
        </is>
      </c>
      <c r="W1134">
        <v>16000</v>
      </c>
      <c r="X1134" s="2" t="str">
        <f>=HYPERLINK("https://www.larksuite.com/approval/admin/previewAttachment?key=PMhBCgJRCAbgK6lP_f27TJvkEcTAQDDQwrMHLdp-WSpZoSspTjWKDiKjjMGsrDIHOTYKUKAwTB_73iv8uNrPs3t_XnM9H7vfGoSZYLmvEhG9_X3B3cl0-bl8AwAA__8", "2 attachment(s)")</f>
        <v>2 attachment(s)</v>
      </c>
      <c r="Y1134" t="inlineStr">
        <is>
          <t>Bank Transfer</t>
        </is>
      </c>
      <c r="Z1134" t="inlineStr">
        <is>
          <t>Allen Bert Araño</t>
        </is>
      </c>
      <c r="AA1134" t="inlineStr">
        <is>
          <t>109855637640</t>
        </is>
      </c>
      <c r="AB1134" t="inlineStr">
        <is>
          <t>Unionbank</t>
        </is>
      </c>
      <c r="AC1134" t="inlineStr">
        <is>
          <t>Marungko, Angat, Bulacan</t>
        </is>
      </c>
      <c r="AD1134" s="4">
        <v>45948</v>
      </c>
      <c r="AE1134" t="inlineStr">
        <is>
          <t>100% Full payment - Oct. 31, 2025</t>
        </is>
      </c>
      <c r="AF1134" s="2"/>
      <c r="AG1134" t="inlineStr">
        <is>
          <t>NzQyNTk5MTgyNzQ4MTg3MDM0MTo1MkI3NUU5Ri0zMjY3LTRCQ0UtOTBGMy1DRDlFOUY3QzI3MUItMTozYWMwYTUxYmI5N2ViYjQyNGUyNzAzYjI4Yzg4NTVmNDox</t>
        </is>
      </c>
      <c r="AH1134" t="inlineStr">
        <is>
          <t>Allen Bert Araño</t>
        </is>
      </c>
      <c r="AI1134"/>
      <c r="AJ1134" t="inlineStr">
        <is>
          <t>LIQUIDITY PLAN (PAR # 202510060066 / 2025TEG-P0197)
(ONLINE) COST ESTIMATE &gt; 4. STAGING &amp; PRODUCTION &gt;
4.3 Manpower Arrangement &gt; FOR MDL FINALS &gt;
Staging Technical Director 
Total Budget = Php 16,000.00
Actual Cost = Php 16,000.00</t>
        </is>
      </c>
      <c r="AK1134"/>
    </row>
    <row r="1135" ht="25.5" customHeight="1">
      <c r="A1135" s="2" t="str">
        <f>=HYPERLINK("https://applink.larksuite.com/client/mini_program/open?appId=cli_9c7cc8a9a9edd105&amp;mode=appCenter&amp;path_pc=pc/pages/requested/index?instanceId=7565835400342687456&amp;source=bitable&amp;path=pages/detail/index?instanceId=7565835400342687456&amp;source=bitable", "202510270167")</f>
        <v>202510270167</v>
      </c>
      <c r="B1135" t="inlineStr">
        <is>
          <t>Approved</t>
        </is>
      </c>
      <c r="C1135" t="inlineStr">
        <is>
          <t>Procurement Order</t>
        </is>
      </c>
      <c r="D1135" s="3">
        <v>45957.73988425926</v>
      </c>
      <c r="E1135" s="3">
        <v>45957.824224537035</v>
      </c>
      <c r="F1135" t="inlineStr">
        <is>
          <t>Fatima Kathleen M. FLores</t>
        </is>
      </c>
      <c r="G1135" t="inlineStr">
        <is>
          <t>Procurement</t>
        </is>
      </c>
      <c r="H1135"/>
      <c r="I1135"/>
      <c r="J1135" t="inlineStr">
        <is>
          <t>Project</t>
        </is>
      </c>
      <c r="K1135" t="inlineStr">
        <is>
          <t>PDEI - Event Service</t>
        </is>
      </c>
      <c r="L1135" t="inlineStr">
        <is>
          <t>MDL PH S6 Playoffs + Grand Finals Watch Party</t>
        </is>
      </c>
      <c r="M1135" t="inlineStr">
        <is>
          <t>2025TEG-P0197</t>
        </is>
      </c>
      <c r="N1135" t="inlineStr">
        <is>
          <t>Kervin</t>
        </is>
      </c>
      <c r="O1135" t="inlineStr">
        <is>
          <t>202510060102-Kervin-费用报销 - 副本 - 副本 - 副本-2025-10-06 09:15:13</t>
        </is>
      </c>
      <c r="P1135" t="inlineStr">
        <is>
          <t>YES</t>
        </is>
      </c>
      <c r="Q1135"/>
      <c r="R1135" t="inlineStr">
        <is>
          <t>NO</t>
        </is>
      </c>
      <c r="S1135" t="inlineStr">
        <is>
          <t>Outsourced Floor Director</t>
        </is>
      </c>
      <c r="T1135">
        <v>1</v>
      </c>
      <c r="U1135">
        <v>2500</v>
      </c>
      <c r="V1135" t="inlineStr">
        <is>
          <t>PHP</t>
        </is>
      </c>
      <c r="W1135">
        <v>2500</v>
      </c>
      <c r="X1135" s="2" t="str">
        <f>=HYPERLINK("https://www.larksuite.com/approval/admin/previewAttachment?key=PMg7qsJgEAXgLZ15npm7mdsYgogBQfxNM2sXLGy_LEFWiGXDW7Qhw8goCwfMNYseOTpCNihUznbs_7re91sd8Vh6xuucdb3s21OiqQqauxUA-fu50d270_F1fAIAAP__", "2 attachment(s)")</f>
        <v>2 attachment(s)</v>
      </c>
      <c r="Y1135" t="inlineStr">
        <is>
          <t>Bank Transfer</t>
        </is>
      </c>
      <c r="Z1135" t="inlineStr">
        <is>
          <t>Ralph Renzo V. Desamparado</t>
        </is>
      </c>
      <c r="AA1135" t="inlineStr">
        <is>
          <t>0968-222-2986</t>
        </is>
      </c>
      <c r="AB1135" t="inlineStr">
        <is>
          <t>GCash</t>
        </is>
      </c>
      <c r="AC1135" t="inlineStr">
        <is>
          <t>Blk 8 lot 9 Valencia St. Phase 1 Avida Santa Catalina Barangay Salawag City of Dasmariñas Cavite</t>
        </is>
      </c>
      <c r="AD1135" s="4">
        <v>45949</v>
      </c>
      <c r="AE1135" t="inlineStr">
        <is>
          <t>100% Full payment - Oct. 31, 2025</t>
        </is>
      </c>
      <c r="AF1135" s="2"/>
      <c r="AG1135" t="inlineStr">
        <is>
          <t>NzQyNTk5MTgyNzQ4MTg3MDM0MToxQTM5RkQxQS0yQUJGLTQ3NDMtODUwMy0yNUM0QUM0MzFFOUMtMTpiZGE4ODg4YzcyYjFlZGI3ZjYzNmE3ZTE0Nzc3MTgzYzox</t>
        </is>
      </c>
      <c r="AH1135" t="inlineStr">
        <is>
          <t>Ralph Renzo V. Desamparado</t>
        </is>
      </c>
      <c r="AI1135"/>
      <c r="AJ1135" t="inlineStr">
        <is>
          <t>LIQUIDITY PLAN (PAR # 202510060066 / 2025TEG-P0197)
(ONLINE) COST ESTIMATE &gt; 4. STAGING &amp; PRODUCTION &gt;
4.3 Manpower Arrangement &gt; FOR MDL FINALS &gt;
Floor Director
Total Budget = Php 2,500.00
Actual Cost = Php 2,500.00</t>
        </is>
      </c>
      <c r="AK1135"/>
    </row>
    <row r="1136" ht="25.5" customHeight="1">
      <c r="A1136" s="2" t="str">
        <f>=HYPERLINK("https://applink.larksuite.com/client/mini_program/open?appId=cli_9c7cc8a9a9edd105&amp;mode=appCenter&amp;path_pc=pc/pages/requested/index?instanceId=7565837514305474268&amp;source=bitable&amp;path=pages/detail/index?instanceId=7565837514305474268&amp;source=bitable", "202510270170")</f>
        <v>202510270170</v>
      </c>
      <c r="B1136" t="inlineStr">
        <is>
          <t>Approved</t>
        </is>
      </c>
      <c r="C1136" t="inlineStr">
        <is>
          <t>Procurement Order</t>
        </is>
      </c>
      <c r="D1136" s="3">
        <v>45957.7455787037</v>
      </c>
      <c r="E1136" s="3">
        <v>45957.82487268518</v>
      </c>
      <c r="F1136" t="inlineStr">
        <is>
          <t>Fatima Kathleen M. FLores</t>
        </is>
      </c>
      <c r="G1136" t="inlineStr">
        <is>
          <t>Procurement</t>
        </is>
      </c>
      <c r="H1136"/>
      <c r="I1136"/>
      <c r="J1136" t="inlineStr">
        <is>
          <t>Project</t>
        </is>
      </c>
      <c r="K1136" t="inlineStr">
        <is>
          <t>PDEI - Event Service</t>
        </is>
      </c>
      <c r="L1136" t="inlineStr">
        <is>
          <t>MDL PH S6 Playoffs + Grand Finals Watch Party</t>
        </is>
      </c>
      <c r="M1136" t="inlineStr">
        <is>
          <t>2025TEG-P0197</t>
        </is>
      </c>
      <c r="N1136" t="inlineStr">
        <is>
          <t>Kervin</t>
        </is>
      </c>
      <c r="O1136" t="inlineStr">
        <is>
          <t>202510060103-Kervin-费用报销 - 副本 - 副本 - 副本-2025-10-06 09:17:19</t>
        </is>
      </c>
      <c r="P1136" t="inlineStr">
        <is>
          <t>YES</t>
        </is>
      </c>
      <c r="Q1136"/>
      <c r="R1136" t="inlineStr">
        <is>
          <t>NO</t>
        </is>
      </c>
      <c r="S1136" t="inlineStr">
        <is>
          <t>Outsourced Usher</t>
        </is>
      </c>
      <c r="T1136">
        <v>1</v>
      </c>
      <c r="U1136">
        <v>1300</v>
      </c>
      <c r="V1136" t="inlineStr">
        <is>
          <t>PHP</t>
        </is>
      </c>
      <c r="W1136">
        <v>1300</v>
      </c>
      <c r="X1136" s="2" t="str">
        <f>=HYPERLINK("https://www.larksuite.com/approval/admin/previewAttachment?key=PMg9CsJAFATgK828v9nnZWwSFglEBCFgsWcXLGy_GkSNpFcjmtbgUlYOVzIcGQqrsWxRaogyrf2c9z4-2_Ok-5y8Xse6Htvc38yWGeQRPgDw9ndXRHRX4Of4BgAA__8", "2 attachment(s)")</f>
        <v>2 attachment(s)</v>
      </c>
      <c r="Y1136" t="inlineStr">
        <is>
          <t>Bank Transfer</t>
        </is>
      </c>
      <c r="Z1136" t="inlineStr">
        <is>
          <t>Tricia Flores</t>
        </is>
      </c>
      <c r="AA1136" t="inlineStr">
        <is>
          <t>09369153240</t>
        </is>
      </c>
      <c r="AB1136" t="inlineStr">
        <is>
          <t>GCash</t>
        </is>
      </c>
      <c r="AC1136" t="inlineStr">
        <is>
          <t>4 sitaw st. Libis bulelak, malanday, marikina city</t>
        </is>
      </c>
      <c r="AD1136" s="4">
        <v>45949</v>
      </c>
      <c r="AE1136" t="inlineStr">
        <is>
          <t>100% Full payment - Oct. 31, 2025</t>
        </is>
      </c>
      <c r="AF1136" s="2"/>
      <c r="AG1136" t="inlineStr">
        <is>
          <t>NzQyNTk5MTgyNzQ4MTg3MDM0MTo5N0U4QkY0Ni00MUYzLTQyMTYtQkJERS1DNzRFQ0FFOTFCNkItMTozNjE5NzBkNGM3ZDNkNWYxNjNhOGU3OWMyMzMwYzRhYjox</t>
        </is>
      </c>
      <c r="AH1136" t="inlineStr">
        <is>
          <t>Tricia Flores</t>
        </is>
      </c>
      <c r="AI1136"/>
      <c r="AJ1136" t="inlineStr">
        <is>
          <t>LIQUIDITY PLAN (PAR # 202510060066 / 2025TEG-P0197)
(ONLINE) COST ESTIMATE &gt; 4. STAGING &amp; PRODUCTION &gt;
4.3 Manpower Arrangement &gt; FOR MDL FINALS &gt;
Usher
Total Budget = Php 1,500.00
Actual Cost = Php 1,300.00
Balance = Php 200.00</t>
        </is>
      </c>
      <c r="AK1136"/>
    </row>
    <row r="1137" ht="25.5" customHeight="1">
      <c r="A1137" s="2" t="str">
        <f>=HYPERLINK("https://applink.larksuite.com/client/mini_program/open?appId=cli_9c7cc8a9a9edd105&amp;mode=appCenter&amp;path_pc=pc/pages/requested/index?instanceId=7565866776911711965&amp;source=bitable&amp;path=pages/detail/index?instanceId=7565866776911711965&amp;source=bitable", "202510270203")</f>
        <v>202510270203</v>
      </c>
      <c r="B1137" t="inlineStr">
        <is>
          <t>Approved</t>
        </is>
      </c>
      <c r="C1137" t="inlineStr">
        <is>
          <t>Procurement Order</t>
        </is>
      </c>
      <c r="D1137" s="3">
        <v>45957.82443287037</v>
      </c>
      <c r="E1137" s="3">
        <v>45958.67167824074</v>
      </c>
      <c r="F1137" t="inlineStr">
        <is>
          <t>Fatima Kathleen M. FLores</t>
        </is>
      </c>
      <c r="G1137" t="inlineStr">
        <is>
          <t>Procurement</t>
        </is>
      </c>
      <c r="H1137"/>
      <c r="I1137"/>
      <c r="J1137" t="inlineStr">
        <is>
          <t>Project</t>
        </is>
      </c>
      <c r="K1137" t="inlineStr">
        <is>
          <t>GG - Event Service</t>
        </is>
      </c>
      <c r="L1137" t="inlineStr">
        <is>
          <t>HOK Philippine Kings League - Fall Season</t>
        </is>
      </c>
      <c r="M1137" t="inlineStr">
        <is>
          <t>2025TEG-P0219</t>
        </is>
      </c>
      <c r="N1137" t="inlineStr">
        <is>
          <t>Reign Santos Fortea</t>
        </is>
      </c>
      <c r="O1137" t="inlineStr">
        <is>
          <t>202510150061-Reign Santos Fortea-费用报销 - 副本 - 副本 - 副本-2025-10-15 06:36:48</t>
        </is>
      </c>
      <c r="P1137" t="inlineStr">
        <is>
          <t>YES</t>
        </is>
      </c>
      <c r="Q1137"/>
      <c r="R1137" t="inlineStr">
        <is>
          <t>NO</t>
        </is>
      </c>
      <c r="S1137" t="inlineStr">
        <is>
          <t>Outsourced Lighting Director</t>
        </is>
      </c>
      <c r="T1137">
        <v>1</v>
      </c>
      <c r="U1137">
        <v>20000</v>
      </c>
      <c r="V1137" t="inlineStr">
        <is>
          <t>PHP</t>
        </is>
      </c>
      <c r="W1137">
        <v>20000</v>
      </c>
      <c r="X1137" s="2" t="str">
        <f>=HYPERLINK("https://www.larksuite.com/approval/admin/previewAttachment?key=PMhBCsJQDATQK838n2QSL-PGUrRYEKTFTc4uuHD7IolI54yCFUeBLQ_PCCmKFFnhPZpSQdRQL_t6_WyPkzyw5fPga-_zfluXN700BjTNZgLg5e9TZlYVhp_jGwAA__8", "2 attachment(s)")</f>
        <v>2 attachment(s)</v>
      </c>
      <c r="Y1137" t="inlineStr">
        <is>
          <t>Bank Transfer</t>
        </is>
      </c>
      <c r="Z1137" t="inlineStr">
        <is>
          <t>Jerry Dacallos</t>
        </is>
      </c>
      <c r="AA1137" t="inlineStr">
        <is>
          <t>09952250509</t>
        </is>
      </c>
      <c r="AB1137" t="inlineStr">
        <is>
          <t>GCash</t>
        </is>
      </c>
      <c r="AC1137" t="inlineStr">
        <is>
          <t>25 Basilio St. Acacia Malabon City</t>
        </is>
      </c>
      <c r="AD1137" s="4">
        <v>45939</v>
      </c>
      <c r="AE1137" t="inlineStr">
        <is>
          <t>1st Payment - Oct. 24, 2025
Final Payment - Nov. 7, 2025</t>
        </is>
      </c>
      <c r="AF1137" s="2"/>
      <c r="AG1137" t="inlineStr">
        <is>
          <t>NzQyNTk5MTgyNzQ4MTg3MDM0MTo4ODY3NDU4NC05MEM3LTRCNTQtQjdCOC1ENTk3REE3QjRFNUItMTo3Y2Q5OTIxMzY1MTQ3YzNjYzYwMTRlN2Y1MmNhNDQ4NDox</t>
        </is>
      </c>
      <c r="AH1137" t="inlineStr">
        <is>
          <t>Jerry Dacallos</t>
        </is>
      </c>
      <c r="AI1137"/>
      <c r="AJ1137" t="inlineStr">
        <is>
          <t>LIQUIDITY PLAN (PAR # 202508190134 / 2025TEG-P0219)
INTERNAL 0820 COST ESTIMATE &gt; PLAYOFFS &gt;
Labor Cost &gt; Additional Broadcast Manpower &gt; Lighting Operator
Total Budget = Php 21,000.00
Actual Cost = Php 20,000.00
Balance = Php 1,000.00</t>
        </is>
      </c>
      <c r="AK1137"/>
    </row>
    <row r="1138" ht="25.5" customHeight="1">
      <c r="A1138" s="2" t="str">
        <f>=HYPERLINK("https://applink.larksuite.com/client/mini_program/open?appId=cli_9c7cc8a9a9edd105&amp;mode=appCenter&amp;path_pc=pc/pages/requested/index?instanceId=7565836645874831073&amp;source=bitable&amp;path=pages/detail/index?instanceId=7565836645874831073&amp;source=bitable", "202510270168")</f>
        <v>202510270168</v>
      </c>
      <c r="B1138" t="inlineStr">
        <is>
          <t>Approved</t>
        </is>
      </c>
      <c r="C1138" t="inlineStr">
        <is>
          <t>Procurement Order</t>
        </is>
      </c>
      <c r="D1138" s="3">
        <v>45957.74324074074</v>
      </c>
      <c r="E1138" s="3">
        <v>45958.74475694444</v>
      </c>
      <c r="F1138" t="inlineStr">
        <is>
          <t>Fatima Kathleen M. FLores</t>
        </is>
      </c>
      <c r="G1138" t="inlineStr">
        <is>
          <t>Procurement</t>
        </is>
      </c>
      <c r="H1138"/>
      <c r="I1138"/>
      <c r="J1138" t="inlineStr">
        <is>
          <t>Project</t>
        </is>
      </c>
      <c r="K1138" t="inlineStr">
        <is>
          <t>PDEI - Event Service</t>
        </is>
      </c>
      <c r="L1138" t="inlineStr">
        <is>
          <t>MDL PH S6 Playoffs + Grand Finals Watch Party</t>
        </is>
      </c>
      <c r="M1138" t="inlineStr">
        <is>
          <t>2025TEG-P0197</t>
        </is>
      </c>
      <c r="N1138" t="inlineStr">
        <is>
          <t>Kervin</t>
        </is>
      </c>
      <c r="O1138" t="inlineStr">
        <is>
          <t>202510150073-Kervin-费用报销 - 副本 - 副本 - 副本-2025-10-15 07:00:24</t>
        </is>
      </c>
      <c r="P1138" t="inlineStr">
        <is>
          <t>YES</t>
        </is>
      </c>
      <c r="Q1138"/>
      <c r="R1138" t="inlineStr">
        <is>
          <t>YES</t>
        </is>
      </c>
      <c r="S1138" t="inlineStr">
        <is>
          <t>Outsourced IT Associate</t>
        </is>
      </c>
      <c r="T1138">
        <v>1</v>
      </c>
      <c r="U1138">
        <v>1670</v>
      </c>
      <c r="V1138" t="inlineStr">
        <is>
          <t>PHP</t>
        </is>
      </c>
      <c r="W1138">
        <v>1670</v>
      </c>
      <c r="X1138" s="2" t="str">
        <f>=HYPERLINK("https://www.larksuite.com/approval/admin/previewAttachment?key=PMhBCsJQDATQK02S-ZnEy7hpKYqtCELBxT-74MLtyzJkDYtssM0bNjVyVGRylFhhUEyfJjVkcs312K73sx987fLDls_-nOdt2da3jZY7FGQUALv8PUSyO4mf4xsAAP__", "2 attachment(s)")</f>
        <v>2 attachment(s)</v>
      </c>
      <c r="Y1138" t="inlineStr">
        <is>
          <t>Bank Transfer</t>
        </is>
      </c>
      <c r="Z1138" t="inlineStr">
        <is>
          <t>Marlon Albert Descartin</t>
        </is>
      </c>
      <c r="AA1138" t="inlineStr">
        <is>
          <t>09620865235</t>
        </is>
      </c>
      <c r="AB1138" t="inlineStr">
        <is>
          <t>GCash</t>
        </is>
      </c>
      <c r="AC1138" t="inlineStr">
        <is>
          <t>Phase 2 Blk 39 Lot 6 Lotus St., Tierra de Sta Maria, Brgy. Pulong Buhangin, Sta Maria Bulacan</t>
        </is>
      </c>
      <c r="AD1138" s="4">
        <v>45949</v>
      </c>
      <c r="AE1138" t="inlineStr">
        <is>
          <t>100% Full payment - Oct. 31, 2025</t>
        </is>
      </c>
      <c r="AF1138" s="2"/>
      <c r="AG1138" t="inlineStr">
        <is>
          <t>NzQyNTk5MTgyNzQ4MTg3MDM0MTo3RkE4REQxMC00NTRFLTQ0OTUtQjQzNC1GQTUwNDQyMjZCMkQtMTplMTU5ODEyNDI1ZWZiMjQwYzI4MmM0MGZmYWFmZjkxZjox</t>
        </is>
      </c>
      <c r="AH1138" t="inlineStr">
        <is>
          <t>Marlon Albert Descartin</t>
        </is>
      </c>
      <c r="AI1138"/>
      <c r="AJ1138" t="inlineStr">
        <is>
          <t>No line item in internal CE. Unbudgeted</t>
        </is>
      </c>
      <c r="AK1138"/>
    </row>
    <row r="1139" ht="25.5" customHeight="1">
      <c r="A1139" s="2" t="str">
        <f>=HYPERLINK("https://applink.larksuite.com/client/mini_program/open?appId=cli_9c7cc8a9a9edd105&amp;mode=appCenter&amp;path_pc=pc/pages/requested/index?instanceId=7565863706228166364&amp;source=bitable&amp;path=pages/detail/index?instanceId=7565863706228166364&amp;source=bitable", "202510270201")</f>
        <v>202510270201</v>
      </c>
      <c r="B1139" t="inlineStr">
        <is>
          <t>Approved</t>
        </is>
      </c>
      <c r="C1139" t="inlineStr">
        <is>
          <t>Procurement Order</t>
        </is>
      </c>
      <c r="D1139" s="3">
        <v>45957.816157407404</v>
      </c>
      <c r="E1139" s="3">
        <v>45958.686203703706</v>
      </c>
      <c r="F1139" t="inlineStr">
        <is>
          <t>Fatima Kathleen M. FLores</t>
        </is>
      </c>
      <c r="G1139" t="inlineStr">
        <is>
          <t>Procurement</t>
        </is>
      </c>
      <c r="H1139"/>
      <c r="I1139"/>
      <c r="J1139" t="inlineStr">
        <is>
          <t>Project</t>
        </is>
      </c>
      <c r="K1139" t="inlineStr">
        <is>
          <t>GG - Event Service</t>
        </is>
      </c>
      <c r="L1139" t="inlineStr">
        <is>
          <t>HOK Philippine Kings League - Fall Season Addendum</t>
        </is>
      </c>
      <c r="M1139" t="inlineStr">
        <is>
          <t>2025TEG-P0261</t>
        </is>
      </c>
      <c r="N1139" t="inlineStr">
        <is>
          <t>Frances Angelita Arreglado</t>
        </is>
      </c>
      <c r="O1139" t="inlineStr">
        <is>
          <t>202510200065-Frances Angelita Arreglado-费用报销 - 副本 - 副本 - 副本-2025-10-20 08:16:42</t>
        </is>
      </c>
      <c r="P1139" t="inlineStr">
        <is>
          <t>YES</t>
        </is>
      </c>
      <c r="Q1139"/>
      <c r="R1139" t="inlineStr">
        <is>
          <t>NO</t>
        </is>
      </c>
      <c r="S1139" t="inlineStr">
        <is>
          <t>Outsourced HMUA (24 casters)</t>
        </is>
      </c>
      <c r="T1139">
        <v>1</v>
      </c>
      <c r="U1139">
        <v>53400</v>
      </c>
      <c r="V1139" t="inlineStr">
        <is>
          <t>PHP</t>
        </is>
      </c>
      <c r="W1139">
        <v>53400</v>
      </c>
      <c r="X1139" s="2" t="str">
        <f>=HYPERLINK("https://www.larksuite.com/approval/admin/previewAttachment?key=PMg7CgJBEATQK1V_pmray5jssujCRKJi0GcXDEwfp4FzWLCQZV6w1uCYDIHu08hgtrdJBZlcva_jGkvPc9OZdX_XJ_p12479YaPkDkVmTAB2-XsoM6uY-Dm-AQAA__8", "2 attachment(s)")</f>
        <v>2 attachment(s)</v>
      </c>
      <c r="Y1139" t="inlineStr">
        <is>
          <t>Bank Transfer</t>
        </is>
      </c>
      <c r="Z1139" t="inlineStr">
        <is>
          <t>Hearty Christian Tandayag</t>
        </is>
      </c>
      <c r="AA1139" t="inlineStr">
        <is>
          <t>1689024811</t>
        </is>
      </c>
      <c r="AB1139" t="inlineStr">
        <is>
          <t>BPI</t>
        </is>
      </c>
      <c r="AC1139" t="inlineStr">
        <is>
          <t>7343 J Victor st. Pio del Pilar Makati City</t>
        </is>
      </c>
      <c r="AD1139" s="4">
        <v>45940</v>
      </c>
      <c r="AE1139" t="inlineStr">
        <is>
          <t>100% Full Payment - Oct. 31, 2025</t>
        </is>
      </c>
      <c r="AF1139" s="2"/>
      <c r="AG1139" t="inlineStr">
        <is>
          <t>NzQyNTk5MTgyNzQ4MTg3MDM0MTo0OTg5NkU4NC0yNjlBLTRBNTMtQjY0My0xMjQ3Qjc4M0Y1MzUtMTo5MTYwNmY4MWRlYzE2Y2QxNTRkODJkYTcwZGYyNDNjZjox</t>
        </is>
      </c>
      <c r="AH1139" t="inlineStr">
        <is>
          <t>Hearty Christian Tandayag</t>
        </is>
      </c>
      <c r="AI1139"/>
      <c r="AJ1139" t="inlineStr">
        <is>
          <t>LIQUIDITY PLAN (PAR # 202510090087 / 2025TEG-P0261)
REGULAR SEASON &gt; Talents &gt;
HMUA (additional for tri-cast)
HMUA (for Mara)
Stylist (for Mara)
Total Remaining Budget = Php 139,855.55 (Balance from over budget in Main CE)
Actual Cost = Php 76,800.00
Balance = Php 63,055.55</t>
        </is>
      </c>
      <c r="AK1139"/>
    </row>
    <row r="1140" ht="25.5" customHeight="1">
      <c r="A1140" s="2" t="str">
        <f>=HYPERLINK("https://applink.larksuite.com/client/mini_program/open?appId=cli_9c7cc8a9a9edd105&amp;mode=appCenter&amp;path_pc=pc/pages/requested/index?instanceId=7565863706228166364&amp;source=bitable&amp;path=pages/detail/index?instanceId=7565863706228166364&amp;source=bitable", "202510270201")</f>
        <v>202510270201</v>
      </c>
      <c r="B1140" t="inlineStr">
        <is>
          <t>Approved</t>
        </is>
      </c>
      <c r="C1140" t="inlineStr">
        <is>
          <t>Procurement Order</t>
        </is>
      </c>
      <c r="D1140" s="3">
        <v>45957.816157407404</v>
      </c>
      <c r="E1140" s="3">
        <v>45958.686203703706</v>
      </c>
      <c r="F1140" t="inlineStr">
        <is>
          <t>Fatima Kathleen M. FLores</t>
        </is>
      </c>
      <c r="G1140" t="inlineStr">
        <is>
          <t>Procurement</t>
        </is>
      </c>
      <c r="H1140"/>
      <c r="I1140"/>
      <c r="J1140" t="inlineStr">
        <is>
          <t>Project</t>
        </is>
      </c>
      <c r="K1140" t="inlineStr">
        <is>
          <t>GG - Event Service</t>
        </is>
      </c>
      <c r="L1140" t="inlineStr">
        <is>
          <t>HOK Philippine Kings League - Fall Season Addendum</t>
        </is>
      </c>
      <c r="M1140" t="inlineStr">
        <is>
          <t>2025TEG-P0261</t>
        </is>
      </c>
      <c r="N1140" t="inlineStr">
        <is>
          <t>Frances Angelita Arreglado</t>
        </is>
      </c>
      <c r="O1140" t="inlineStr">
        <is>
          <t>202510200065-Frances Angelita Arreglado-费用报销 - 副本 - 副本 - 副本-2025-10-20 08:16:42</t>
        </is>
      </c>
      <c r="P1140" t="inlineStr">
        <is>
          <t>YES</t>
        </is>
      </c>
      <c r="Q1140"/>
      <c r="R1140" t="inlineStr">
        <is>
          <t>NO</t>
        </is>
      </c>
      <c r="S1140" t="inlineStr">
        <is>
          <t>Outsourced HMUA (for Mara)</t>
        </is>
      </c>
      <c r="T1140">
        <v>1</v>
      </c>
      <c r="U1140">
        <v>23400</v>
      </c>
      <c r="V1140" t="inlineStr">
        <is>
          <t>PHP</t>
        </is>
      </c>
      <c r="W1140">
        <v>23400</v>
      </c>
      <c r="X1140" s="2" t="str">
        <f>=HYPERLINK("https://www.larksuite.com/approval/admin/previewAttachment?key=PMgxCgJBDAXQK-Unmf8nXsZml0UXphIVi5xdsLB9nDDOgWBZFrwMrcExGTK6T5DBbG9IZYJcva_jGkvPc9OZdX_XJ_p12479gVFyN0VmTDPD5e-hzKxi2s_xDQAA__8", "2 attachment(s)")</f>
        <v>2 attachment(s)</v>
      </c>
      <c r="Y1140"/>
      <c r="Z1140"/>
      <c r="AA1140"/>
      <c r="AB1140"/>
      <c r="AC1140"/>
      <c r="AD1140" s="4"/>
      <c r="AE1140"/>
      <c r="AF1140" s="2"/>
      <c r="AG1140" t="inlineStr">
        <is>
          <t>NzQyNTk5MTgyNzQ4MTg3MDM0MTo0OTg5NkU4NC0yNjlBLTRBNTMtQjY0My0xMjQ3Qjc4M0Y1MzUtMjoyODZjZjI1YWVjMzM3MjEyYzQyZjcyY2NiNzAxOWI1ODox</t>
        </is>
      </c>
      <c r="AH1140"/>
      <c r="AI1140"/>
      <c r="AJ1140" t="inlineStr">
        <is>
          <t>LIQUIDITY PLAN (PAR # 202510090087 / 2025TEG-P0261)
REGULAR SEASON &gt; Talents &gt;
HMUA (additional for tri-cast)
HMUA (for Mara)
Stylist (for Mara)
Total Remaining Budget = Php 139,855.55 (Balance from over budget in Main CE)
Actual Cost = Php 76,800.00
Balance = Php 63,055.55</t>
        </is>
      </c>
      <c r="AK1140"/>
    </row>
    <row r="1141" ht="25.5" customHeight="1">
      <c r="A1141" s="2" t="str">
        <f>=HYPERLINK("https://applink.larksuite.com/client/mini_program/open?appId=cli_9c7cc8a9a9edd105&amp;mode=appCenter&amp;path_pc=pc/pages/requested/index?instanceId=7565854839461187295&amp;source=bitable&amp;path=pages/detail/index?instanceId=7565854839461187295&amp;source=bitable", "202510270182")</f>
        <v>202510270182</v>
      </c>
      <c r="B1141" t="inlineStr">
        <is>
          <t>Approved</t>
        </is>
      </c>
      <c r="C1141" t="inlineStr">
        <is>
          <t>Procurement Order</t>
        </is>
      </c>
      <c r="D1141" s="3">
        <v>45957.79226851852</v>
      </c>
      <c r="E1141" s="3">
        <v>45958.7725462963</v>
      </c>
      <c r="F1141" t="inlineStr">
        <is>
          <t>Fatima Kathleen M. FLores</t>
        </is>
      </c>
      <c r="G1141" t="inlineStr">
        <is>
          <t>Procurement</t>
        </is>
      </c>
      <c r="H1141"/>
      <c r="I1141"/>
      <c r="J1141" t="inlineStr">
        <is>
          <t>Project</t>
        </is>
      </c>
      <c r="K1141" t="inlineStr">
        <is>
          <t>PDEI - Event Service</t>
        </is>
      </c>
      <c r="L1141" t="inlineStr">
        <is>
          <t>MPL PH S16 - Regular Season</t>
        </is>
      </c>
      <c r="M1141" t="inlineStr">
        <is>
          <t>2025TEG-P0214</t>
        </is>
      </c>
      <c r="N1141" t="inlineStr">
        <is>
          <t>Katherine Denise Lee Sy</t>
        </is>
      </c>
      <c r="O1141" t="inlineStr">
        <is>
          <t>202510140092-Katherine Denise Lee Sy-费用报销 - 副本 - 副本 - 副本-2025-10-14 10:23:35</t>
        </is>
      </c>
      <c r="P1141" t="inlineStr">
        <is>
          <t>YES</t>
        </is>
      </c>
      <c r="Q1141"/>
      <c r="R1141" t="inlineStr">
        <is>
          <t>NO</t>
        </is>
      </c>
      <c r="S1141" t="inlineStr">
        <is>
          <t>Outsourced LED Director / Resolume Operator</t>
        </is>
      </c>
      <c r="T1141">
        <v>1</v>
      </c>
      <c r="U1141">
        <v>27500</v>
      </c>
      <c r="V1141" t="inlineStr">
        <is>
          <t>PHP</t>
        </is>
      </c>
      <c r="W1141">
        <v>27500</v>
      </c>
      <c r="X1141" s="2" t="str">
        <f>=HYPERLINK("https://www.larksuite.com/approval/admin/previewAttachment?key=PMg9CgJRDATgK-Vnksl4GZt9LDbaCKLFO7tgYfv1uPWUZ8sgD5lvVtcUJoV2H4Zqx3ZSRmdwr_t5pUceWJ_3gh6q_bod53p6iRHGBHLMzC9_TwKQGvZz-wYAAP__", "2 attachment(s)")</f>
        <v>2 attachment(s)</v>
      </c>
      <c r="Y1141" t="inlineStr">
        <is>
          <t>Bank Transfer</t>
        </is>
      </c>
      <c r="Z1141" t="inlineStr">
        <is>
          <t>Remar John Bayona</t>
        </is>
      </c>
      <c r="AA1141" t="inlineStr">
        <is>
          <t>09458591894</t>
        </is>
      </c>
      <c r="AB1141" t="inlineStr">
        <is>
          <t>GCash</t>
        </is>
      </c>
      <c r="AC1141" t="inlineStr">
        <is>
          <t>Puntales Road, Concepcion, Iloilo</t>
        </is>
      </c>
      <c r="AD1141" s="4">
        <v>45943</v>
      </c>
      <c r="AE1141" t="inlineStr">
        <is>
          <t>1st Payment - Oct. 31, 2025
Final Payment - Nov. 14, 2025</t>
        </is>
      </c>
      <c r="AF1141" s="2"/>
      <c r="AG1141" t="inlineStr">
        <is>
          <t>NzQyNTk5MTgyNzQ4MTg3MDM0MTpBRThDNDQwRi05NUQyLTRGREYtOTFCRC0wOEI1OUJGQzQ4ODktMTplOWJkYTAwYzc4ZTA4YzZiNDc0NGQxNmFhNTg1ZjI0NDox</t>
        </is>
      </c>
      <c r="AH1141" t="inlineStr">
        <is>
          <t>Remar John Bayona</t>
        </is>
      </c>
      <c r="AI1141"/>
      <c r="AJ1141" t="inlineStr">
        <is>
          <t>LIQUIDITY PLAN (PAR # 202509020093 / 2025TEG-P0214)
REGULAR SEASON CE TAB &gt; MANPOWER EXECUTION &gt;
LED Operator 
Total Budget = Php 82,500.00
This Request = Php 27,500.00
Balance = Php 55,000.00</t>
        </is>
      </c>
      <c r="AK1141"/>
    </row>
    <row r="1142" ht="25.5" customHeight="1">
      <c r="A1142" s="2" t="str">
        <f>=HYPERLINK("https://applink.larksuite.com/client/mini_program/open?appId=cli_9c7cc8a9a9edd105&amp;mode=appCenter&amp;path_pc=pc/pages/requested/index?instanceId=7565847605612220129&amp;source=bitable&amp;path=pages/detail/index?instanceId=7565847605612220129&amp;source=bitable", "202510270178")</f>
        <v>202510270178</v>
      </c>
      <c r="B1142" t="inlineStr">
        <is>
          <t>Approved</t>
        </is>
      </c>
      <c r="C1142" t="inlineStr">
        <is>
          <t>Procurement Order</t>
        </is>
      </c>
      <c r="D1142" s="3">
        <v>45957.77276620371</v>
      </c>
      <c r="E1142" s="3">
        <v>45958.728530092594</v>
      </c>
      <c r="F1142" t="inlineStr">
        <is>
          <t>Fatima Kathleen M. FLores</t>
        </is>
      </c>
      <c r="G1142" t="inlineStr">
        <is>
          <t>Procurement</t>
        </is>
      </c>
      <c r="H1142"/>
      <c r="I1142"/>
      <c r="J1142" t="inlineStr">
        <is>
          <t>Project</t>
        </is>
      </c>
      <c r="K1142" t="inlineStr">
        <is>
          <t>PDEI - Game Marketing</t>
        </is>
      </c>
      <c r="L1142" t="inlineStr">
        <is>
          <t>WCG 2025 Creator Rumble</t>
        </is>
      </c>
      <c r="M1142" t="inlineStr">
        <is>
          <t>2025TEG-P0041</t>
        </is>
      </c>
      <c r="N1142" t="inlineStr">
        <is>
          <t>Maura Aurel Atilano Yap</t>
        </is>
      </c>
      <c r="O1142" t="inlineStr">
        <is>
          <t>202510080076-Maura Aurel Atilano Yap-费用报销 - 副本 - 副本 - 副本-2025-10-08 11:41:21</t>
        </is>
      </c>
      <c r="P1142" t="inlineStr">
        <is>
          <t>YES</t>
        </is>
      </c>
      <c r="Q1142"/>
      <c r="R1142" t="inlineStr">
        <is>
          <t>NO</t>
        </is>
      </c>
      <c r="S1142" t="inlineStr">
        <is>
          <t>Outsourced CG Operator</t>
        </is>
      </c>
      <c r="T1142">
        <v>1</v>
      </c>
      <c r="U1142">
        <v>20000</v>
      </c>
      <c r="V1142" t="inlineStr">
        <is>
          <t>PHP</t>
        </is>
      </c>
      <c r="W1142">
        <v>20000</v>
      </c>
      <c r="X1142" s="2" t="str">
        <f>=HYPERLINK("https://www.larksuite.com/approval/admin/previewAttachment?key=PMgxjsJQDATQK8342x57L7MNUUSR0CAiGp8diYL2ZRFZwZUNb1qDo8goVyKSZgZajw2lhijTbOf-f8QLdb159qMOt7nut317Mlpm0HJfBYB_P19y9-50fB2fAAAA__8", "2 attachment(s)")</f>
        <v>2 attachment(s)</v>
      </c>
      <c r="Y1142" t="inlineStr">
        <is>
          <t>Bank Transfer</t>
        </is>
      </c>
      <c r="Z1142" t="inlineStr">
        <is>
          <t>Franz Adrian Cruz Abrenica</t>
        </is>
      </c>
      <c r="AA1142" t="inlineStr">
        <is>
          <t>1094 2955 9930</t>
        </is>
      </c>
      <c r="AB1142" t="inlineStr">
        <is>
          <t>Unionbank</t>
        </is>
      </c>
      <c r="AC1142" t="inlineStr">
        <is>
          <t>Block 83 Lot 16 Patricia Homes 8, Magat Salamat Street, Brgy. Concepcion Dos, Marikina City</t>
        </is>
      </c>
      <c r="AD1142" s="4">
        <v>45912</v>
      </c>
      <c r="AE1142" t="inlineStr">
        <is>
          <t>1st Payment - Oct. 31, 2025
Final Payment - Nov. 7, 2025</t>
        </is>
      </c>
      <c r="AF1142" s="2"/>
      <c r="AG1142" t="inlineStr">
        <is>
          <t>NzQyNTk5MTgyNzQ4MTg3MDM0MToyQjc2QTQzQy0yRDZFLTRBQkItQUIyRi1BRjUwRDFFOTYyRDktMTphODNjZjFlMjg4MzMzMjdlN2JjNjIxOGE3OGJkNjc3MDox</t>
        </is>
      </c>
      <c r="AH1142" t="inlineStr">
        <is>
          <t>Franz Adrian Cruz Abrenica</t>
        </is>
      </c>
      <c r="AI1142"/>
      <c r="AJ1142" t="inlineStr">
        <is>
          <t>LIQUIDITY PLAN (PAR # 202505160019 / 2025TEG-P0041)
FOR RENTAL/ FABRICATION/ PRODUCTION &gt; Group Draw &amp; Creator Rumble Pt. 1 &gt;
Broadcast Technical Package
Total Remaining Budget = Php 94,000.00
Actual Cost = Php 20,000.00
Balance = Php 74,000.00</t>
        </is>
      </c>
      <c r="AK1142"/>
    </row>
    <row r="1143" ht="25.5" customHeight="1">
      <c r="A1143" s="2" t="str">
        <f>=HYPERLINK("https://applink.larksuite.com/client/mini_program/open?appId=cli_9c7cc8a9a9edd105&amp;mode=appCenter&amp;path_pc=pc/pages/requested/index?instanceId=7565915076255813340&amp;source=bitable&amp;path=pages/detail/index?instanceId=7565915076255813340&amp;source=bitable", "202510270220")</f>
        <v>202510270220</v>
      </c>
      <c r="B1143" t="inlineStr">
        <is>
          <t>Approved</t>
        </is>
      </c>
      <c r="C1143" t="inlineStr">
        <is>
          <t>Procurement Order</t>
        </is>
      </c>
      <c r="D1143" s="3">
        <v>45957.95459490741</v>
      </c>
      <c r="E1143" s="3">
        <v>45958.79761574074</v>
      </c>
      <c r="F1143" t="inlineStr">
        <is>
          <t>Fatima Kathleen M. FLores</t>
        </is>
      </c>
      <c r="G1143" t="inlineStr">
        <is>
          <t>Procurement</t>
        </is>
      </c>
      <c r="H1143"/>
      <c r="I1143"/>
      <c r="J1143" t="inlineStr">
        <is>
          <t>Project</t>
        </is>
      </c>
      <c r="K1143" t="inlineStr">
        <is>
          <t>PDEI - Slash</t>
        </is>
      </c>
      <c r="L1143" t="inlineStr">
        <is>
          <t>Digicon 2025</t>
        </is>
      </c>
      <c r="M1143" t="inlineStr">
        <is>
          <t>2025TEG-P0264</t>
        </is>
      </c>
      <c r="N1143" t="inlineStr">
        <is>
          <t>Yuki Berico</t>
        </is>
      </c>
      <c r="O1143" t="inlineStr">
        <is>
          <t>202510010072-Yuki Berico-费用报销 - 副本 - 副本 - 副本-2025-10-01 08:22:03</t>
        </is>
      </c>
      <c r="P1143" t="inlineStr">
        <is>
          <t>YES</t>
        </is>
      </c>
      <c r="Q1143"/>
      <c r="R1143" t="inlineStr">
        <is>
          <t>NO</t>
        </is>
      </c>
      <c r="S1143" t="inlineStr">
        <is>
          <t>Outsourced Slash On-Ground Support</t>
        </is>
      </c>
      <c r="T1143">
        <v>1</v>
      </c>
      <c r="U1143">
        <v>14400</v>
      </c>
      <c r="V1143" t="inlineStr">
        <is>
          <t>PHP</t>
        </is>
      </c>
      <c r="W1143">
        <v>14400</v>
      </c>
      <c r="X1143" s="2" t="str">
        <f>=HYPERLINK("https://www.larksuite.com/approval/admin/previewAttachment?key=PMg7qoIxFATgLc2c1-TczdzGnyBBKyFgkbULFrZfDaJG0qsRTWvwKCubCZVlDroHjh1KDVGmcz3nv2i-Hmv7mtve6-z7bV4vZssM8ggfAPj3c1dEdFfg6_gEAAD__w", "2 attachment(s)")</f>
        <v>2 attachment(s)</v>
      </c>
      <c r="Y1143" t="inlineStr">
        <is>
          <t>Bank Transfer</t>
        </is>
      </c>
      <c r="Z1143" t="inlineStr">
        <is>
          <t>Jhun Aldrin Manes</t>
        </is>
      </c>
      <c r="AA1143" t="inlineStr">
        <is>
          <t>09668330217</t>
        </is>
      </c>
      <c r="AB1143" t="inlineStr">
        <is>
          <t>GCash</t>
        </is>
      </c>
      <c r="AC1143" t="inlineStr">
        <is>
          <t>2042 Candido St. Brgy. Mapulang Lupa. Valenzuela City</t>
        </is>
      </c>
      <c r="AD1143" s="4">
        <v>45946</v>
      </c>
      <c r="AE1143" t="inlineStr">
        <is>
          <t>100% Full Payment - Oct. 31, 2025</t>
        </is>
      </c>
      <c r="AF1143" s="2"/>
      <c r="AG1143" t="inlineStr">
        <is>
          <t>NzQyNTk5MTgyNzQ4MTg3MDM0MTozODA3MjI1OS0zNzZFLTQ2MDktQURBRS1FRDY5MkEyM0JDNEUtMToxMTgzOTI5NzA1OGViNDE2Njg3YmFkOGY2YjcwMzRmYjox</t>
        </is>
      </c>
      <c r="AH1143" t="inlineStr">
        <is>
          <t>Jhun Aldrin Manes</t>
        </is>
      </c>
      <c r="AI1143"/>
      <c r="AJ1143" t="inlineStr">
        <is>
          <t>LIQUIDITY PLAN (PAR # 202509090002 / 2025TEG-P0264)
Outsource Onground Slash Tech Support
Total Budget = Php 14,400.00
Actual Cost = Php 14,400.00</t>
        </is>
      </c>
      <c r="AK1143"/>
    </row>
    <row r="1144" ht="25.5" customHeight="1">
      <c r="A1144" s="2" t="str">
        <f>=HYPERLINK("https://applink.larksuite.com/client/mini_program/open?appId=cli_9c7cc8a9a9edd105&amp;mode=appCenter&amp;path_pc=pc/pages/requested/index?instanceId=7565923166225190622&amp;source=bitable&amp;path=pages/detail/index?instanceId=7565923166225190622&amp;source=bitable", "202510270227")</f>
        <v>202510270227</v>
      </c>
      <c r="B1144" t="inlineStr">
        <is>
          <t>Approved</t>
        </is>
      </c>
      <c r="C1144" t="inlineStr">
        <is>
          <t>Procurement Order</t>
        </is>
      </c>
      <c r="D1144" s="3">
        <v>45957.97638888889</v>
      </c>
      <c r="E1144" s="3">
        <v>45960.63681712963</v>
      </c>
      <c r="F1144" t="inlineStr">
        <is>
          <t>Fatima Kathleen M. FLores</t>
        </is>
      </c>
      <c r="G1144" t="inlineStr">
        <is>
          <t>Procurement</t>
        </is>
      </c>
      <c r="H1144"/>
      <c r="I1144"/>
      <c r="J1144" t="inlineStr">
        <is>
          <t>GAE</t>
        </is>
      </c>
      <c r="K1144"/>
      <c r="L1144"/>
      <c r="M1144"/>
      <c r="N1144"/>
      <c r="O1144" t="inlineStr">
        <is>
          <t>202510030027-Sharon-费用报销 - 副本 - 副本-2025-10-03 03:12:04</t>
        </is>
      </c>
      <c r="P1144"/>
      <c r="Q1144" t="inlineStr">
        <is>
          <t>Procurement</t>
        </is>
      </c>
      <c r="R1144"/>
      <c r="S1144" t="inlineStr">
        <is>
          <t>Outsourced Procurement Associate</t>
        </is>
      </c>
      <c r="T1144">
        <v>1</v>
      </c>
      <c r="U1144">
        <v>25000</v>
      </c>
      <c r="V1144" t="inlineStr">
        <is>
          <t>PHP</t>
        </is>
      </c>
      <c r="W1144">
        <v>25000</v>
      </c>
      <c r="X1144" s="2" t="str">
        <f>=HYPERLINK("https://www.larksuite.com/approval/admin/previewAttachment?key=PMg9CsJAEAXgK71587fjZWyyBIkkBMRYzdkFC9svhiCGi0bBSliQTg8vqkSQLoUgmy2ZhZRk9tzX-7Yfz3N7X_o5pp9LX49lnS_xShKpZjoAyO3vmmZWFYaf4xsAAP__", "2 attachment(s)")</f>
        <v>2 attachment(s)</v>
      </c>
      <c r="Y1144" t="inlineStr">
        <is>
          <t>Bank Transfer</t>
        </is>
      </c>
      <c r="Z1144" t="inlineStr">
        <is>
          <t>Zaira Villar</t>
        </is>
      </c>
      <c r="AA1144" t="inlineStr">
        <is>
          <t>09454490798</t>
        </is>
      </c>
      <c r="AB1144" t="inlineStr">
        <is>
          <t>GCash</t>
        </is>
      </c>
      <c r="AC1144" t="inlineStr">
        <is>
          <t>3852 F. Nazario St. Brgy. Singkamas Makati City</t>
        </is>
      </c>
      <c r="AD1144" s="4">
        <v>45950</v>
      </c>
      <c r="AE1144" t="inlineStr">
        <is>
          <t>1st Payment - Oct. 31, 2025
Final Payment - Nov. 28, 2025</t>
        </is>
      </c>
      <c r="AF1144" s="2"/>
      <c r="AG1144" t="inlineStr">
        <is>
          <t>NzQyNTk5MTgyNzQ4MTg3MDM0MTo4NTdFQjI1NC1EMjM0LTQ1NzktOERCOS00QzY2RUE1ODUzN0UtMTpmZTYyMWI0ODhiMzRlNzIxYTdjYWIzYWIzMmUzZWM0ZTox</t>
        </is>
      </c>
      <c r="AH1144" t="inlineStr">
        <is>
          <t>Zaira Villar</t>
        </is>
      </c>
      <c r="AI1144"/>
      <c r="AJ1144"/>
      <c r="AK1144"/>
    </row>
    <row r="1145" ht="25.5" customHeight="1">
      <c r="A1145" s="2" t="str">
        <f>=HYPERLINK("https://applink.larksuite.com/client/mini_program/open?appId=cli_9c7cc8a9a9edd105&amp;mode=appCenter&amp;path_pc=pc/pages/requested/index?instanceId=7565919854130106081&amp;source=bitable&amp;path=pages/detail/index?instanceId=7565919854130106081&amp;source=bitable", "202510270223")</f>
        <v>202510270223</v>
      </c>
      <c r="B1145" t="inlineStr">
        <is>
          <t>Approved</t>
        </is>
      </c>
      <c r="C1145" t="inlineStr">
        <is>
          <t>Procurement Order</t>
        </is>
      </c>
      <c r="D1145" s="3">
        <v>45957.967465277776</v>
      </c>
      <c r="E1145" s="3">
        <v>45958.7127662037</v>
      </c>
      <c r="F1145" t="inlineStr">
        <is>
          <t>Fatima Kathleen M. FLores</t>
        </is>
      </c>
      <c r="G1145" t="inlineStr">
        <is>
          <t>Procurement</t>
        </is>
      </c>
      <c r="H1145"/>
      <c r="I1145"/>
      <c r="J1145" t="inlineStr">
        <is>
          <t>Project</t>
        </is>
      </c>
      <c r="K1145" t="inlineStr">
        <is>
          <t>PDEI - Game Marketing</t>
        </is>
      </c>
      <c r="L1145" t="inlineStr">
        <is>
          <t>SMDC Heroes Clash Community Arena Tournament Year 3</t>
        </is>
      </c>
      <c r="M1145" t="inlineStr">
        <is>
          <t>2025TEG-P0247</t>
        </is>
      </c>
      <c r="N1145" t="inlineStr">
        <is>
          <t>Clifford Markus Ortiz Martinez</t>
        </is>
      </c>
      <c r="O1145" t="inlineStr">
        <is>
          <t>202510140108-Clifford Markus Ortiz Martinez-费用报销 - 副本 - 副本 - 副本-2025-10-14 12:09:33</t>
        </is>
      </c>
      <c r="P1145" t="inlineStr">
        <is>
          <t>YES</t>
        </is>
      </c>
      <c r="Q1145"/>
      <c r="R1145" t="inlineStr">
        <is>
          <t>NO</t>
        </is>
      </c>
      <c r="S1145" t="inlineStr">
        <is>
          <t>Outsourced Vision Mixer/Game Observer</t>
        </is>
      </c>
      <c r="T1145">
        <v>1</v>
      </c>
      <c r="U1145">
        <v>6000</v>
      </c>
      <c r="V1145" t="inlineStr">
        <is>
          <t>PHP</t>
        </is>
      </c>
      <c r="W1145">
        <v>6000</v>
      </c>
      <c r="X1145" s="2" t="str">
        <f>=HYPERLINK("https://www.larksuite.com/approval/admin/previewAttachment?key=PMg9CsJAFATgK828v9nnZWwMwQUDgihY7NkFi7RfDaJG0qsRTWtwKSubPTLoIAqDyxalhijT2o79-sg3fE7N42vgc33ut317MVtmkEf4AMDL6a6I6K7A3_ELAAD__w", "2 attachment(s)")</f>
        <v>2 attachment(s)</v>
      </c>
      <c r="Y1145" t="inlineStr">
        <is>
          <t>Bank Transfer</t>
        </is>
      </c>
      <c r="Z1145" t="inlineStr">
        <is>
          <t>Darryl Tesorero</t>
        </is>
      </c>
      <c r="AA1145" t="inlineStr">
        <is>
          <t>011922322770</t>
        </is>
      </c>
      <c r="AB1145" t="inlineStr">
        <is>
          <t>GoTyme Bank</t>
        </is>
      </c>
      <c r="AC1145" t="inlineStr">
        <is>
          <t>Blk. 12, Lot 9, Mantala Subd., Laura Drive Ave., Brgy. Bagumbayan, Taguig</t>
        </is>
      </c>
      <c r="AD1145" s="4">
        <v>45948</v>
      </c>
      <c r="AE1145" t="inlineStr">
        <is>
          <t>100% Full Payment - Oct. 31, 2025</t>
        </is>
      </c>
      <c r="AF1145" s="2"/>
      <c r="AG1145" t="inlineStr">
        <is>
          <t>NzQyNTk5MTgyNzQ4MTg3MDM0MTo4NjRCRDlFMi1FMzEwLTRCMTQtOTUxOS1DRDUzNTMyMUIyRkQtMTpkNzNhYmQ5NDU4YmVkMDhjNDJlMmY3NzYxYjk1NzlhYTox</t>
        </is>
      </c>
      <c r="AH1145" t="inlineStr">
        <is>
          <t>Darryl Tesorero</t>
        </is>
      </c>
      <c r="AI1145"/>
      <c r="AJ1145" t="inlineStr">
        <is>
          <t>LIQUIDITY PLAN (PAR # 202509190067 / 2025TEG-P0247)
MPLACE &gt; Broadcast Associate
LIGHT &gt; Broadcast Associate
Total Budget = Php 8,800.00
Actual Cost = Php 6,000.00
Balance = Php 2,800.00</t>
        </is>
      </c>
      <c r="AK1145"/>
    </row>
    <row r="1146" ht="25.5" customHeight="1">
      <c r="A1146" s="2" t="str">
        <f>=HYPERLINK("https://applink.larksuite.com/client/mini_program/open?appId=cli_9c7cc8a9a9edd105&amp;mode=appCenter&amp;path_pc=pc/pages/requested/index?instanceId=7565918600251330272&amp;source=bitable&amp;path=pages/detail/index?instanceId=7565918600251330272&amp;source=bitable", "202510270222")</f>
        <v>202510270222</v>
      </c>
      <c r="B1146" t="inlineStr">
        <is>
          <t>Approved</t>
        </is>
      </c>
      <c r="C1146" t="inlineStr">
        <is>
          <t>Procurement Order</t>
        </is>
      </c>
      <c r="D1146" s="3">
        <v>45957.96408564815</v>
      </c>
      <c r="E1146" s="3">
        <v>45958.71363425926</v>
      </c>
      <c r="F1146" t="inlineStr">
        <is>
          <t>Fatima Kathleen M. FLores</t>
        </is>
      </c>
      <c r="G1146" t="inlineStr">
        <is>
          <t>Procurement</t>
        </is>
      </c>
      <c r="H1146"/>
      <c r="I1146"/>
      <c r="J1146" t="inlineStr">
        <is>
          <t>Project</t>
        </is>
      </c>
      <c r="K1146" t="inlineStr">
        <is>
          <t>PDEI - Game Marketing</t>
        </is>
      </c>
      <c r="L1146" t="inlineStr">
        <is>
          <t>SMDC Heroes Clash Community Arena Tournament Year 3</t>
        </is>
      </c>
      <c r="M1146" t="inlineStr">
        <is>
          <t>2025TEG-P0247</t>
        </is>
      </c>
      <c r="N1146" t="inlineStr">
        <is>
          <t>Clifford Markus Ortiz Martinez</t>
        </is>
      </c>
      <c r="O1146" t="inlineStr">
        <is>
          <t>202510140108-Clifford Markus Ortiz Martinez-费用报销 - 副本 - 副本 - 副本-2025-10-14 12:09:33</t>
        </is>
      </c>
      <c r="P1146" t="inlineStr">
        <is>
          <t>YES</t>
        </is>
      </c>
      <c r="Q1146"/>
      <c r="R1146" t="inlineStr">
        <is>
          <t>NO</t>
        </is>
      </c>
      <c r="S1146" t="inlineStr">
        <is>
          <t>Outsourced Vision Mixer/Game Observer</t>
        </is>
      </c>
      <c r="T1146">
        <v>1</v>
      </c>
      <c r="U1146">
        <v>4000</v>
      </c>
      <c r="V1146" t="inlineStr">
        <is>
          <t>PHP</t>
        </is>
      </c>
      <c r="W1146">
        <v>4000</v>
      </c>
      <c r="X1146" s="2" t="str">
        <f>=HYPERLINK("https://www.larksuite.com/approval/admin/previewAttachment?key=PMgxCgJBDAXQK_2fZJL5XsZmlkXBrYTFLXJ2wcL25SRyDnoKIZrArpFDnAnYoDusrK1ZJRTLqrdjv1_n84gXP0tLxNXnY-3bm0NlhvIInwB4-7tXREgZ-Dm-AQAA__8", "2 attachment(s)")</f>
        <v>2 attachment(s)</v>
      </c>
      <c r="Y1146" t="inlineStr">
        <is>
          <t>Bank Transfer</t>
        </is>
      </c>
      <c r="Z1146" t="inlineStr">
        <is>
          <t>John Lloyd Colico</t>
        </is>
      </c>
      <c r="AA1146" t="inlineStr">
        <is>
          <t>0596347382</t>
        </is>
      </c>
      <c r="AB1146" t="inlineStr">
        <is>
          <t>BPI</t>
        </is>
      </c>
      <c r="AC1146" t="inlineStr">
        <is>
          <t>Block 5 lot 2 The enclave BF Homes International Las Piñas</t>
        </is>
      </c>
      <c r="AD1146" s="4">
        <v>45941</v>
      </c>
      <c r="AE1146" t="inlineStr">
        <is>
          <t>100% Full Payment - Oct. 31, 2025</t>
        </is>
      </c>
      <c r="AF1146" s="2"/>
      <c r="AG1146" t="inlineStr">
        <is>
          <t>NzQyNTk5MTgyNzQ4MTg3MDM0MTozQzFGMTYzQy0wMkYxLTQ1NTYtQTEyRC1DODZEMTlBNzg2NDUtMTpkMDMwNjJlMWQ5Y2NjNzY2ODU4ZDM0ODVhZGRkOGE0MDox</t>
        </is>
      </c>
      <c r="AH1146" t="inlineStr">
        <is>
          <t>John Lloyd Colico</t>
        </is>
      </c>
      <c r="AI1146"/>
      <c r="AJ1146" t="inlineStr">
        <is>
          <t>LIQUIDITY PLAN (PAR # 202509190067 / 2025TEG-P0247)
SUN &gt; Broadcast Associate
Total Budget = Php 4,400.00
Actual Cost = Php 4,000.00
Balance = Php 400.00</t>
        </is>
      </c>
      <c r="AK1146"/>
    </row>
    <row r="1147" ht="25.5" customHeight="1">
      <c r="A1147" s="2" t="str">
        <f>=HYPERLINK("https://applink.larksuite.com/client/mini_program/open?appId=cli_9c7cc8a9a9edd105&amp;mode=appCenter&amp;path_pc=pc/pages/requested/index?instanceId=7565916338137353950&amp;source=bitable&amp;path=pages/detail/index?instanceId=7565916338137353950&amp;source=bitable", "202510270221")</f>
        <v>202510270221</v>
      </c>
      <c r="B1147" t="inlineStr">
        <is>
          <t>Approved</t>
        </is>
      </c>
      <c r="C1147" t="inlineStr">
        <is>
          <t>Procurement Order</t>
        </is>
      </c>
      <c r="D1147" s="3">
        <v>45957.95798611111</v>
      </c>
      <c r="E1147" s="3">
        <v>45958.79472222222</v>
      </c>
      <c r="F1147" t="inlineStr">
        <is>
          <t>Fatima Kathleen M. FLores</t>
        </is>
      </c>
      <c r="G1147" t="inlineStr">
        <is>
          <t>Procurement</t>
        </is>
      </c>
      <c r="H1147"/>
      <c r="I1147"/>
      <c r="J1147" t="inlineStr">
        <is>
          <t>Project</t>
        </is>
      </c>
      <c r="K1147" t="inlineStr">
        <is>
          <t>PDEI - Slash</t>
        </is>
      </c>
      <c r="L1147" t="inlineStr">
        <is>
          <t>Digicon 2025</t>
        </is>
      </c>
      <c r="M1147" t="inlineStr">
        <is>
          <t>2025TEG-P0264</t>
        </is>
      </c>
      <c r="N1147" t="inlineStr">
        <is>
          <t>Yuki Berico</t>
        </is>
      </c>
      <c r="O1147" t="inlineStr">
        <is>
          <t>202510140021-Arvin Evangelista Dela Cruz-费用报销 - 副本 - 副本 - 副本-2025-10-14 03:45:28</t>
        </is>
      </c>
      <c r="P1147" t="inlineStr">
        <is>
          <t>YES</t>
        </is>
      </c>
      <c r="Q1147"/>
      <c r="R1147" t="inlineStr">
        <is>
          <t>NO</t>
        </is>
      </c>
      <c r="S1147" t="inlineStr">
        <is>
          <t>Outsourced SDE Team</t>
        </is>
      </c>
      <c r="T1147">
        <v>1</v>
      </c>
      <c r="U1147">
        <v>65000</v>
      </c>
      <c r="V1147" t="inlineStr">
        <is>
          <t>PHP</t>
        </is>
      </c>
      <c r="W1147">
        <v>65000</v>
      </c>
      <c r="X1147" s="2" t="str">
        <f>=HYPERLINK("https://www.larksuite.com/approval/admin/previewAttachment?key=PMgxCsJQEATQK8382d3562VsDEEkVkKs_tkFi7SvJlEzqWpEczS4nJXNkiZlpTqxxqLdMD28tvd-h74v5jydcTiOdT4f-_ZhtseAFaEJgLfL5YjorsDf8QsAAP__", "2 attachment(s)")</f>
        <v>2 attachment(s)</v>
      </c>
      <c r="Y1147" t="inlineStr">
        <is>
          <t>Bank Transfer</t>
        </is>
      </c>
      <c r="Z1147" t="inlineStr">
        <is>
          <t>Harold Lance Pialda</t>
        </is>
      </c>
      <c r="AA1147" t="inlineStr">
        <is>
          <t>0000050859073</t>
        </is>
      </c>
      <c r="AB1147" t="inlineStr">
        <is>
          <t>Security Bank</t>
        </is>
      </c>
      <c r="AC1147" t="inlineStr">
        <is>
          <t>Unit 6 M Gabriel Compound Fairview Quezon City</t>
        </is>
      </c>
      <c r="AD1147" s="4">
        <v>45946</v>
      </c>
      <c r="AE1147" t="inlineStr">
        <is>
          <t>100% Full Payment - Oct. 31, 2025</t>
        </is>
      </c>
      <c r="AF1147" s="2"/>
      <c r="AG1147" t="inlineStr">
        <is>
          <t>NzQyNTk5MTgyNzQ4MTg3MDM0MToyOTExNEE0QS00MDZDLTQyQUYtOUM0OC1FM0REM0QzMkEzRDgtMToyMmE4YmNiODc0N2IzNjg4YWRmYTJiMjMxNzBhNTU0MDox</t>
        </is>
      </c>
      <c r="AH1147" t="inlineStr">
        <is>
          <t>Harold Lance Pialda</t>
        </is>
      </c>
      <c r="AI1147"/>
      <c r="AJ1147" t="inlineStr">
        <is>
          <t>LIQUIDITY PLAN (PAR # 202509090002 / 2025TEG-P0264)
SDE Team
Total Budget = Php 65,000.00
Actual Cost = Php 65,000.00</t>
        </is>
      </c>
      <c r="AK1147"/>
    </row>
    <row r="1148" ht="25.5" customHeight="1">
      <c r="A1148" s="2" t="str">
        <f>=HYPERLINK("https://applink.larksuite.com/client/mini_program/open?appId=cli_9c7cc8a9a9edd105&amp;mode=appCenter&amp;path_pc=pc/pages/requested/index?instanceId=7565927392191991518&amp;source=bitable&amp;path=pages/detail/index?instanceId=7565927392191991518&amp;source=bitable", "202510270228")</f>
        <v>202510270228</v>
      </c>
      <c r="B1148" t="inlineStr">
        <is>
          <t>Approved</t>
        </is>
      </c>
      <c r="C1148" t="inlineStr">
        <is>
          <t>Procurement Order</t>
        </is>
      </c>
      <c r="D1148" s="3">
        <v>45957.98777777778</v>
      </c>
      <c r="E1148" s="3">
        <v>45958.39020833333</v>
      </c>
      <c r="F1148" t="inlineStr">
        <is>
          <t>Fatima Kathleen M. FLores</t>
        </is>
      </c>
      <c r="G1148" t="inlineStr">
        <is>
          <t>Procurement</t>
        </is>
      </c>
      <c r="H1148"/>
      <c r="I1148"/>
      <c r="J1148" t="inlineStr">
        <is>
          <t>Project</t>
        </is>
      </c>
      <c r="K1148" t="inlineStr">
        <is>
          <t>GG - Event Service</t>
        </is>
      </c>
      <c r="L1148" t="inlineStr">
        <is>
          <t>KIC 2025 - Hotel Accommodation</t>
        </is>
      </c>
      <c r="M1148" t="inlineStr">
        <is>
          <t>2025TEG-P0294</t>
        </is>
      </c>
      <c r="N1148" t="inlineStr">
        <is>
          <t>Frances Angelita Arreglado</t>
        </is>
      </c>
      <c r="O1148" t="inlineStr">
        <is>
          <t>202510270204-Frances Angelita Arreglado-费用报销 - 副本 - 副本 - 副本-2025-10-27 11:47:15</t>
        </is>
      </c>
      <c r="P1148" t="inlineStr">
        <is>
          <t>NO</t>
        </is>
      </c>
      <c r="Q1148"/>
      <c r="R1148" t="inlineStr">
        <is>
          <t>NO</t>
        </is>
      </c>
      <c r="S1148" t="inlineStr">
        <is>
          <t>Hotel Accommodation - Batch 1 / 26 rooms / 11 nights (Nov. 9 to 19, 2025)</t>
        </is>
      </c>
      <c r="T1148">
        <v>1</v>
      </c>
      <c r="U1148">
        <v>1672000</v>
      </c>
      <c r="V1148" t="inlineStr">
        <is>
          <t>PHP</t>
        </is>
      </c>
      <c r="W1148">
        <v>1672000</v>
      </c>
      <c r="X1148" s="2"/>
      <c r="Y1148" t="inlineStr">
        <is>
          <t>Bank Transfer</t>
        </is>
      </c>
      <c r="Z1148" t="inlineStr">
        <is>
          <t>Makati North Hotel Ventures, Inc</t>
        </is>
      </c>
      <c r="AA1148" t="inlineStr">
        <is>
          <t>1511-0004-71</t>
        </is>
      </c>
      <c r="AB1148" t="inlineStr">
        <is>
          <t>BPI</t>
        </is>
      </c>
      <c r="AC1148" t="inlineStr">
        <is>
          <t>Makati City</t>
        </is>
      </c>
      <c r="AD1148" s="4">
        <v>45970</v>
      </c>
      <c r="AE1148" t="inlineStr">
        <is>
          <t>50% Down Payment - Nov. 4, 2025
50% Final Payment - Nov. 18, 2025</t>
        </is>
      </c>
      <c r="AF1148" s="2"/>
      <c r="AG1148" t="inlineStr">
        <is>
          <t>NzQyNTk5MTgyNzQ4MTg3MDM0MTpDMUQ5RUJDQS00RTAxLTRCQjMtQTE3Ny1BNjA2NkZEMzY0RUItMTpiYTFmMDdlM2ZhMTRjY2QzMDcxMDNhY2Y1ZDgyMTJjNTox</t>
        </is>
      </c>
      <c r="AH1148" t="inlineStr">
        <is>
          <t>SEDA Residences Makati</t>
        </is>
      </c>
      <c r="AI1148"/>
      <c r="AJ1148" t="inlineStr">
        <is>
          <t>LIQUIDITY PLAN (PAR # 202510270161 / 2025TEG-P0294)
HOTEL ACCOMMODATION - SEDA Residences Makati &gt;
BATCH 1: November 9-19, 2025
BATCH 1: November 9-19, 2025
Total Budget = Php 5,016,000.00
Actual Cost = Php 5,016,000.00</t>
        </is>
      </c>
      <c r="AK1148"/>
    </row>
    <row r="1149" ht="25.5" customHeight="1">
      <c r="A1149" s="2" t="str">
        <f>=HYPERLINK("https://applink.larksuite.com/client/mini_program/open?appId=cli_9c7cc8a9a9edd105&amp;mode=appCenter&amp;path_pc=pc/pages/requested/index?instanceId=7565927392191991518&amp;source=bitable&amp;path=pages/detail/index?instanceId=7565927392191991518&amp;source=bitable", "202510270228")</f>
        <v>202510270228</v>
      </c>
      <c r="B1149" t="inlineStr">
        <is>
          <t>Approved</t>
        </is>
      </c>
      <c r="C1149" t="inlineStr">
        <is>
          <t>Procurement Order</t>
        </is>
      </c>
      <c r="D1149" s="3">
        <v>45957.98777777778</v>
      </c>
      <c r="E1149" s="3">
        <v>45958.39020833333</v>
      </c>
      <c r="F1149" t="inlineStr">
        <is>
          <t>Fatima Kathleen M. FLores</t>
        </is>
      </c>
      <c r="G1149" t="inlineStr">
        <is>
          <t>Procurement</t>
        </is>
      </c>
      <c r="H1149"/>
      <c r="I1149"/>
      <c r="J1149" t="inlineStr">
        <is>
          <t>Project</t>
        </is>
      </c>
      <c r="K1149" t="inlineStr">
        <is>
          <t>GG - Event Service</t>
        </is>
      </c>
      <c r="L1149" t="inlineStr">
        <is>
          <t>KIC 2025 - Hotel Accommodation</t>
        </is>
      </c>
      <c r="M1149" t="inlineStr">
        <is>
          <t>2025TEG-P0294</t>
        </is>
      </c>
      <c r="N1149" t="inlineStr">
        <is>
          <t>Frances Angelita Arreglado</t>
        </is>
      </c>
      <c r="O1149" t="inlineStr">
        <is>
          <t>202510270204-Frances Angelita Arreglado-费用报销 - 副本 - 副本 - 副本-2025-10-27 11:47:15</t>
        </is>
      </c>
      <c r="P1149" t="inlineStr">
        <is>
          <t>NO</t>
        </is>
      </c>
      <c r="Q1149"/>
      <c r="R1149" t="inlineStr">
        <is>
          <t>NO</t>
        </is>
      </c>
      <c r="S1149" t="inlineStr">
        <is>
          <t>Hotel Accommodation - Batch 2 / 26 rooms / 22 nights (Nov. 9 to 19, 2025)</t>
        </is>
      </c>
      <c r="T1149">
        <v>1</v>
      </c>
      <c r="U1149">
        <v>3344000</v>
      </c>
      <c r="V1149" t="inlineStr">
        <is>
          <t>PHP</t>
        </is>
      </c>
      <c r="W1149">
        <v>3344000</v>
      </c>
      <c r="X1149" s="2" t="str">
        <f>=HYPERLINK("https://www.larksuite.com/approval/admin/previewAttachment?key=PMg7CgJBEATQK1X1Z3rKy5jssoggCKI7SZ9dMDB9YxJjJn0IIZrArhwpK5dRlJicbc0qoVhWvT-OK_y8v5_rxLnWpuzPbTv2F1NlhvIInwB4-btXREgj8HN-AwAA__8", "2 attachment(s)")</f>
        <v>2 attachment(s)</v>
      </c>
      <c r="Y1149"/>
      <c r="Z1149"/>
      <c r="AA1149"/>
      <c r="AB1149"/>
      <c r="AC1149"/>
      <c r="AD1149" s="4"/>
      <c r="AE1149"/>
      <c r="AF1149" s="2"/>
      <c r="AG1149" t="inlineStr">
        <is>
          <t>NzQyNTk5MTgyNzQ4MTg3MDM0MTpDMUQ5RUJDQS00RTAxLTRCQjMtQTE3Ny1BNjA2NkZEMzY0RUItMjozZTIzNGYxOGQxNzVmNzM0MjQxNjdkMjc2YTBiZmNmZjox</t>
        </is>
      </c>
      <c r="AH1149"/>
      <c r="AI1149"/>
      <c r="AJ1149" t="inlineStr">
        <is>
          <t>LIQUIDITY PLAN (PAR # 202510270161 / 2025TEG-P0294)
HOTEL ACCOMMODATION - SEDA Residences Makati &gt;
BATCH 1: November 9-19, 2025
BATCH 1: November 9-19, 2025
Total Budget = Php 5,016,000.00
Actual Cost = Php 5,016,000.00</t>
        </is>
      </c>
      <c r="AK1149"/>
    </row>
    <row r="1150" ht="25.5" customHeight="1">
      <c r="A1150" s="2" t="str">
        <f>=HYPERLINK("https://applink.larksuite.com/client/mini_program/open?appId=cli_9c7cc8a9a9edd105&amp;mode=appCenter&amp;path_pc=pc/pages/requested/index?instanceId=7565921486129598174&amp;source=bitable&amp;path=pages/detail/index?instanceId=7565921486129598174&amp;source=bitable", "202510270225")</f>
        <v>202510270225</v>
      </c>
      <c r="B1150" t="inlineStr">
        <is>
          <t>Approved</t>
        </is>
      </c>
      <c r="C1150" t="inlineStr">
        <is>
          <t>Procurement Order</t>
        </is>
      </c>
      <c r="D1150" s="3">
        <v>45957.971863425926</v>
      </c>
      <c r="E1150" s="3">
        <v>45958.71837962963</v>
      </c>
      <c r="F1150" t="inlineStr">
        <is>
          <t>Fatima Kathleen M. FLores</t>
        </is>
      </c>
      <c r="G1150" t="inlineStr">
        <is>
          <t>Procurement</t>
        </is>
      </c>
      <c r="H1150"/>
      <c r="I1150"/>
      <c r="J1150" t="inlineStr">
        <is>
          <t>Project</t>
        </is>
      </c>
      <c r="K1150" t="inlineStr">
        <is>
          <t>PDEI - Game Marketing</t>
        </is>
      </c>
      <c r="L1150" t="inlineStr">
        <is>
          <t>SMDC Heroes Clash Community Arena Tournament Year 3</t>
        </is>
      </c>
      <c r="M1150" t="inlineStr">
        <is>
          <t>2025TEG-P0247</t>
        </is>
      </c>
      <c r="N1150" t="inlineStr">
        <is>
          <t>Clifford Markus Ortiz Martinez</t>
        </is>
      </c>
      <c r="O1150" t="inlineStr">
        <is>
          <t>202510170092-Clifford Markus Ortiz Martinez-费用报销 - 副本 - 副本 - 副本-2025-10-17 11:14:28</t>
        </is>
      </c>
      <c r="P1150" t="inlineStr">
        <is>
          <t>YES</t>
        </is>
      </c>
      <c r="Q1150"/>
      <c r="R1150" t="inlineStr">
        <is>
          <t>YES</t>
        </is>
      </c>
      <c r="S1150" t="inlineStr">
        <is>
          <t>Outsourced Game Referee</t>
        </is>
      </c>
      <c r="T1150">
        <v>1</v>
      </c>
      <c r="U1150">
        <v>3000</v>
      </c>
      <c r="V1150" t="inlineStr">
        <is>
          <t>PHP</t>
        </is>
      </c>
      <c r="W1150">
        <v>3000</v>
      </c>
      <c r="X1150" s="2" t="str">
        <f>=HYPERLINK("https://www.larksuite.com/approval/admin/previewAttachment?key=PMhBCsIwEAXQK82f_Mzkexk3liCVFkFoVnN2wYXbFwMWo6OFjILLUNmjy8ERcHUNJMsLmbJEetZ2zPt-nK_34j7neXGxrudjbh90pbtlI9swM9z-3pKkFLSf2zcAAP__", "2 attachment(s)")</f>
        <v>2 attachment(s)</v>
      </c>
      <c r="Y1150" t="inlineStr">
        <is>
          <t>Bank Transfer</t>
        </is>
      </c>
      <c r="Z1150" t="inlineStr">
        <is>
          <t>Yves Pinangang Enriquez</t>
        </is>
      </c>
      <c r="AA1150" t="inlineStr">
        <is>
          <t>017943173225</t>
        </is>
      </c>
      <c r="AB1150" t="inlineStr">
        <is>
          <t>GoTyme Bank</t>
        </is>
      </c>
      <c r="AC1150" t="inlineStr">
        <is>
          <t>13 Pangasinan Street, Brgy. Alicia, Quezon City</t>
        </is>
      </c>
      <c r="AD1150" s="4">
        <v>45948</v>
      </c>
      <c r="AE1150" t="inlineStr">
        <is>
          <t>100% Full Payment - Oct. 31, 2025</t>
        </is>
      </c>
      <c r="AF1150" s="2"/>
      <c r="AG1150" t="inlineStr">
        <is>
          <t>NzQyNTk5MTgyNzQ4MTg3MDM0MToxMkJDOUJCQy1GNDNBLTQzOUMtQkJGMS05MkNDRUZCM0E1NTItMTo0Mzk4OTY3OWNhOWMzNTc4ZTRlNzg5MjdjNDkxZTlkYjox</t>
        </is>
      </c>
      <c r="AH1150" t="inlineStr">
        <is>
          <t>Yves Pinangang Enriquez</t>
        </is>
      </c>
      <c r="AI1150"/>
      <c r="AJ1150" t="inlineStr">
        <is>
          <t>LIQUIDITY PLAN (PAR # 202509190067 / 2025TEG-P0247)
LIGHT &gt; Broadcast Package (INTERNAL)
Total Remaining Budget = Php 24,900.00
Actual Cost = Php 3,000.00
Balance = Php 21,900.00
^ line item tagged as INTERNAL in CE</t>
        </is>
      </c>
      <c r="AK1150"/>
    </row>
    <row r="1151" ht="25.5" customHeight="1">
      <c r="A1151" s="2" t="str">
        <f>=HYPERLINK("https://applink.larksuite.com/client/mini_program/open?appId=cli_9c7cc8a9a9edd105&amp;mode=appCenter&amp;path_pc=pc/pages/requested/index?instanceId=7565922055514754783&amp;source=bitable&amp;path=pages/detail/index?instanceId=7565922055514754783&amp;source=bitable", "202510270226")</f>
        <v>202510270226</v>
      </c>
      <c r="B1151" t="inlineStr">
        <is>
          <t>Approved</t>
        </is>
      </c>
      <c r="C1151" t="inlineStr">
        <is>
          <t>Procurement Order</t>
        </is>
      </c>
      <c r="D1151" s="3">
        <v>45957.97340277778</v>
      </c>
      <c r="E1151" s="3">
        <v>45958.718773148146</v>
      </c>
      <c r="F1151" t="inlineStr">
        <is>
          <t>Fatima Kathleen M. FLores</t>
        </is>
      </c>
      <c r="G1151" t="inlineStr">
        <is>
          <t>Procurement</t>
        </is>
      </c>
      <c r="H1151"/>
      <c r="I1151"/>
      <c r="J1151" t="inlineStr">
        <is>
          <t>Project</t>
        </is>
      </c>
      <c r="K1151" t="inlineStr">
        <is>
          <t>PDEI - Game Marketing</t>
        </is>
      </c>
      <c r="L1151" t="inlineStr">
        <is>
          <t>SMDC Heroes Clash Community Arena Tournament Year 3</t>
        </is>
      </c>
      <c r="M1151" t="inlineStr">
        <is>
          <t>2025TEG-P0247</t>
        </is>
      </c>
      <c r="N1151" t="inlineStr">
        <is>
          <t>Clifford Markus Ortiz Martinez</t>
        </is>
      </c>
      <c r="O1151" t="inlineStr">
        <is>
          <t>202510170092-Clifford Markus Ortiz Martinez-费用报销 - 副本 - 副本 - 副本-2025-10-17 11:14:28</t>
        </is>
      </c>
      <c r="P1151" t="inlineStr">
        <is>
          <t>YES</t>
        </is>
      </c>
      <c r="Q1151"/>
      <c r="R1151" t="inlineStr">
        <is>
          <t>YES</t>
        </is>
      </c>
      <c r="S1151" t="inlineStr">
        <is>
          <t>Outsourced Game Referee</t>
        </is>
      </c>
      <c r="T1151">
        <v>1</v>
      </c>
      <c r="U1151">
        <v>3000</v>
      </c>
      <c r="V1151" t="inlineStr">
        <is>
          <t>PHP</t>
        </is>
      </c>
      <c r="W1151">
        <v>3000</v>
      </c>
      <c r="X1151" s="2" t="str">
        <f>=HYPERLINK("https://www.larksuite.com/approval/admin/previewAttachment?key=PMgxDsIwDAXQK_3v2Pkxl2FpFFGpTKgIBp8diaHr64PoI9h6wpOWYCl6pBkigq5wjVZWlBKiTDWf635-92PjtM86j6m93o9tzRcjZQY19zYA8HZ5k7tndsff8QsAAP__", "2 attachment(s)")</f>
        <v>2 attachment(s)</v>
      </c>
      <c r="Y1151" t="inlineStr">
        <is>
          <t>Bank Transfer</t>
        </is>
      </c>
      <c r="Z1151" t="inlineStr">
        <is>
          <t>Jimmy Montero Zapata Jr.</t>
        </is>
      </c>
      <c r="AA1151" t="inlineStr">
        <is>
          <t>8419297101</t>
        </is>
      </c>
      <c r="AB1151" t="inlineStr">
        <is>
          <t>BPI</t>
        </is>
      </c>
      <c r="AC1151" t="inlineStr">
        <is>
          <t>278E Sta,Teresita St, Sampaloc Manila</t>
        </is>
      </c>
      <c r="AD1151" s="4">
        <v>45948</v>
      </c>
      <c r="AE1151" t="inlineStr">
        <is>
          <t>100% Full Payment - Oct. 31, 2025</t>
        </is>
      </c>
      <c r="AF1151" s="2"/>
      <c r="AG1151" t="inlineStr">
        <is>
          <t>NzQyNTk5MTgyNzQ4MTg3MDM0MTo2RTlDOEIxNi00REU1LTRCM0YtQjI4Ri1BMjJCN0Q3ODZCMjctMTplMTU4MjE2ZGZkOTU2ZDAyY2Q0MmUzOTQ2YTU0YTJlNDox</t>
        </is>
      </c>
      <c r="AH1151" t="inlineStr">
        <is>
          <t>Jimmy Montero Zapata Jr.</t>
        </is>
      </c>
      <c r="AI1151"/>
      <c r="AJ1151" t="inlineStr">
        <is>
          <t>LIQUIDITY PLAN (PAR # 202509190067 / 2025TEG-P0247)
LIGHT &gt; Broadcast Package (INTERNAL)
Total Remaining Budget = Php 21,900.00
Actual Cost = Php 3,000.00
Balance = Php 18,900.00
^ line item tagged as INTERNAL in CE</t>
        </is>
      </c>
      <c r="AK1151"/>
    </row>
    <row r="1152" ht="25.5" customHeight="1">
      <c r="A1152" s="2" t="str">
        <f>=HYPERLINK("https://applink.larksuite.com/client/mini_program/open?appId=cli_9c7cc8a9a9edd105&amp;mode=appCenter&amp;path_pc=pc/pages/requested/index?instanceId=7566105649432514270&amp;source=bitable&amp;path=pages/detail/index?instanceId=7566105649432514270&amp;source=bitable", "202510280029")</f>
        <v>202510280029</v>
      </c>
      <c r="B1152" t="inlineStr">
        <is>
          <t>Approved</t>
        </is>
      </c>
      <c r="C1152" t="inlineStr">
        <is>
          <t>Procurement Order</t>
        </is>
      </c>
      <c r="D1152" s="3">
        <v>45958.468148148146</v>
      </c>
      <c r="E1152" s="3">
        <v>45958.73228009259</v>
      </c>
      <c r="F1152" t="inlineStr">
        <is>
          <t>Fatima Kathleen M. FLores</t>
        </is>
      </c>
      <c r="G1152" t="inlineStr">
        <is>
          <t>Procurement</t>
        </is>
      </c>
      <c r="H1152"/>
      <c r="I1152"/>
      <c r="J1152" t="inlineStr">
        <is>
          <t>Project</t>
        </is>
      </c>
      <c r="K1152" t="inlineStr">
        <is>
          <t>PDEI - Game Marketing</t>
        </is>
      </c>
      <c r="L1152" t="inlineStr">
        <is>
          <t>WCG 2025 Creator Rumble</t>
        </is>
      </c>
      <c r="M1152" t="inlineStr">
        <is>
          <t>2025TEG-P0041</t>
        </is>
      </c>
      <c r="N1152" t="inlineStr">
        <is>
          <t>Maura Aurel Atilano Yap</t>
        </is>
      </c>
      <c r="O1152" t="inlineStr">
        <is>
          <t>202510070064-Maura Aurel Atilano Yap-费用报销 - 副本 - 副本 - 副本-2025-10-07 08:21:55</t>
        </is>
      </c>
      <c r="P1152" t="inlineStr">
        <is>
          <t>YES</t>
        </is>
      </c>
      <c r="Q1152"/>
      <c r="R1152" t="inlineStr">
        <is>
          <t>NO</t>
        </is>
      </c>
      <c r="S1152" t="inlineStr">
        <is>
          <t>Outsourced Show Director (Oct. 24 to 26, 2025)</t>
        </is>
      </c>
      <c r="T1152">
        <v>1</v>
      </c>
      <c r="U1152">
        <v>30000</v>
      </c>
      <c r="V1152" t="inlineStr">
        <is>
          <t>PHP</t>
        </is>
      </c>
      <c r="W1152">
        <v>30000</v>
      </c>
      <c r="X1152" s="2" t="str">
        <f>=HYPERLINK("https://www.larksuite.com/approval/admin/previewAttachment?key=PMgxDsJADATAL63tPe-Zz9AkikCnVEiBxm9HoqCdnIacwyILLPOCtUamYSSL4cPoQnubVJDJ1ft53J9XrXUqNvcP1ruvx3bsLxsldyjImADs9vcQyaokfo5vAAAA__8", "2 attachment(s)")</f>
        <v>2 attachment(s)</v>
      </c>
      <c r="Y1152" t="inlineStr">
        <is>
          <t>Bank Transfer</t>
        </is>
      </c>
      <c r="Z1152" t="inlineStr">
        <is>
          <t>PAOLO LUIS NAVARRO</t>
        </is>
      </c>
      <c r="AA1152" t="inlineStr">
        <is>
          <t>1669371663</t>
        </is>
      </c>
      <c r="AB1152" t="inlineStr">
        <is>
          <t>BPI</t>
        </is>
      </c>
      <c r="AC1152" t="inlineStr">
        <is>
          <t>Goodwill Homes 1, Quezon City</t>
        </is>
      </c>
      <c r="AD1152" s="4">
        <v>45954</v>
      </c>
      <c r="AE1152" t="inlineStr">
        <is>
          <t>100% Full Payment - Nov. 7, 2025</t>
        </is>
      </c>
      <c r="AF1152" s="2"/>
      <c r="AG1152" t="inlineStr">
        <is>
          <t>NzQyNTk5MTgyNzQ4MTg3MDM0MToyODIyOTk3Qy0xMTU2LTRCREQtODZFMC00MUI1RDI5RTdGMkQtMTo5YzZlZjVhNjFiODFkYWUwYWMzYzc2NWM3ODA2OWQxMDox</t>
        </is>
      </c>
      <c r="AH1152" t="inlineStr">
        <is>
          <t>PAOLO LUIS NAVARRO</t>
        </is>
      </c>
      <c r="AI1152"/>
      <c r="AJ1152" t="inlineStr">
        <is>
          <t>LIQUIDITY PLAN (PAR # 202505160019 / 2025TEG-P0041)
MANPOWER &gt; Broadcast &amp; Production &gt;
Show Director 
Total Remaining Budget = Php 39,000.00
Actual Cost = Php 30,000.00
Balance = Php 9,000.00</t>
        </is>
      </c>
      <c r="AK1152"/>
    </row>
    <row r="1153" ht="25.5" customHeight="1">
      <c r="A1153" s="2" t="str">
        <f>=HYPERLINK("https://applink.larksuite.com/client/mini_program/open?appId=cli_9c7cc8a9a9edd105&amp;mode=appCenter&amp;path_pc=pc/pages/requested/index?instanceId=7566104167517834978&amp;source=bitable&amp;path=pages/detail/index?instanceId=7566104167517834978&amp;source=bitable", "202510280028")</f>
        <v>202510280028</v>
      </c>
      <c r="B1153" t="inlineStr">
        <is>
          <t>Approved</t>
        </is>
      </c>
      <c r="C1153" t="inlineStr">
        <is>
          <t>Procurement Order</t>
        </is>
      </c>
      <c r="D1153" s="3">
        <v>45958.464155092595</v>
      </c>
      <c r="E1153" s="3">
        <v>45958.73311342593</v>
      </c>
      <c r="F1153" t="inlineStr">
        <is>
          <t>Fatima Kathleen M. FLores</t>
        </is>
      </c>
      <c r="G1153" t="inlineStr">
        <is>
          <t>Procurement</t>
        </is>
      </c>
      <c r="H1153"/>
      <c r="I1153"/>
      <c r="J1153" t="inlineStr">
        <is>
          <t>Project</t>
        </is>
      </c>
      <c r="K1153" t="inlineStr">
        <is>
          <t>PDEI - Game Marketing</t>
        </is>
      </c>
      <c r="L1153" t="inlineStr">
        <is>
          <t>WCG 2025 Creator Rumble</t>
        </is>
      </c>
      <c r="M1153" t="inlineStr">
        <is>
          <t>2025TEG-P0041</t>
        </is>
      </c>
      <c r="N1153" t="inlineStr">
        <is>
          <t>Maura Aurel Atilano Yap</t>
        </is>
      </c>
      <c r="O1153" t="inlineStr">
        <is>
          <t>202509290022-Maura Aurel Atilano Yap-费用报销 - 副本 - 副本 - 副本-2025-09-29 04:43:40</t>
        </is>
      </c>
      <c r="P1153" t="inlineStr">
        <is>
          <t>YES</t>
        </is>
      </c>
      <c r="Q1153"/>
      <c r="R1153" t="inlineStr">
        <is>
          <t>NO</t>
        </is>
      </c>
      <c r="S1153" t="inlineStr">
        <is>
          <t>Outsourced Stage Technical Director</t>
        </is>
      </c>
      <c r="T1153">
        <v>1</v>
      </c>
      <c r="U1153">
        <v>19500</v>
      </c>
      <c r="V1153" t="inlineStr">
        <is>
          <t>PHP</t>
        </is>
      </c>
      <c r="W1153">
        <v>19500</v>
      </c>
      <c r="X1153" s="2" t="str">
        <f>=HYPERLINK("https://www.larksuite.com/approval/admin/previewAttachment?key=PMhBqgJBDATQK1Wl06nkX-ZvHAbFEQSxZ5WzCy7cvkgicnJEwYtWYGtGEM7QpHJ4KduaUkGUqbfH_m_rPI7b-TaZ1v3Z63rZtxdnyQwa7iMB8O_nQ-5eFY6v4xMAAP__", "2 attachment(s)")</f>
        <v>2 attachment(s)</v>
      </c>
      <c r="Y1153" t="inlineStr">
        <is>
          <t>Bank Transfer</t>
        </is>
      </c>
      <c r="Z1153" t="inlineStr">
        <is>
          <t>Allen Bert Araño</t>
        </is>
      </c>
      <c r="AA1153" t="inlineStr">
        <is>
          <t>109855637640</t>
        </is>
      </c>
      <c r="AB1153" t="inlineStr">
        <is>
          <t>Unionbank</t>
        </is>
      </c>
      <c r="AC1153" t="inlineStr">
        <is>
          <t>Marungko, Angat, Bulacan</t>
        </is>
      </c>
      <c r="AD1153" s="4">
        <v>45954</v>
      </c>
      <c r="AE1153" t="inlineStr">
        <is>
          <t>100% Full Payment - Nov. 7, 2025</t>
        </is>
      </c>
      <c r="AF1153" s="2"/>
      <c r="AG1153" t="inlineStr">
        <is>
          <t>NzQyNTk5MTgyNzQ4MTg3MDM0MTo0MUU1OUNCQy05OEExLTRGQjAtOTQ0NS1GMTA0QzhCRkE1RTEtMTozOTgzMzQ2NmI2NjU5NzQyNzNkYzhlZmNhZmUyODgxNjox</t>
        </is>
      </c>
      <c r="AH1153" t="inlineStr">
        <is>
          <t>Allen Bert Araño</t>
        </is>
      </c>
      <c r="AI1153"/>
      <c r="AJ1153" t="inlineStr">
        <is>
          <t>LIQUIDITY PLAN (PAR # 202505160019 / 2025TEG-P0041)
MANPOWER &gt; Broadcast &amp; Production &gt;
Technical Director 
Total Budget = Php 37,500.00
Actual Cost = Php 19,500.00
Balance = Php 18,000.00</t>
        </is>
      </c>
      <c r="AK1153"/>
    </row>
    <row r="1154" ht="25.5" customHeight="1">
      <c r="A1154" s="2" t="str">
        <f>=HYPERLINK("https://applink.larksuite.com/client/mini_program/open?appId=cli_9c7cc8a9a9edd105&amp;mode=appCenter&amp;path_pc=pc/pages/requested/index?instanceId=7565840477262466781&amp;source=bitable&amp;path=pages/detail/index?instanceId=7565840477262466781&amp;source=bitable", "202510270172")</f>
        <v>202510270172</v>
      </c>
      <c r="B1154" t="inlineStr">
        <is>
          <t>Recalled</t>
        </is>
      </c>
      <c r="C1154" t="inlineStr">
        <is>
          <t>Procurement Order</t>
        </is>
      </c>
      <c r="D1154" s="3">
        <v>45957.75356481481</v>
      </c>
      <c r="E1154" s="3">
        <v>45958.67065972222</v>
      </c>
      <c r="F1154" t="inlineStr">
        <is>
          <t>Fatima Kathleen M. FLores</t>
        </is>
      </c>
      <c r="G1154" t="inlineStr">
        <is>
          <t>Procurement</t>
        </is>
      </c>
      <c r="H1154"/>
      <c r="I1154"/>
      <c r="J1154" t="inlineStr">
        <is>
          <t>Project</t>
        </is>
      </c>
      <c r="K1154" t="inlineStr">
        <is>
          <t>PDEI - Event Service</t>
        </is>
      </c>
      <c r="L1154" t="inlineStr">
        <is>
          <t>Bingo Plus Panalo Caravan</t>
        </is>
      </c>
      <c r="M1154" t="inlineStr">
        <is>
          <t>2025TEG-P0216</t>
        </is>
      </c>
      <c r="N1154" t="inlineStr">
        <is>
          <t>Ronelle Kylene Chaneco Lim</t>
        </is>
      </c>
      <c r="O1154" t="inlineStr">
        <is>
          <t>202510200085-Ronelle Kylene Chaneco Lim-费用报销 - 副本 - 副本 - 副本-2025-10-20 09:55:40</t>
        </is>
      </c>
      <c r="P1154" t="inlineStr">
        <is>
          <t>YES</t>
        </is>
      </c>
      <c r="Q1154"/>
      <c r="R1154" t="inlineStr">
        <is>
          <t>YES</t>
        </is>
      </c>
      <c r="S1154" t="inlineStr">
        <is>
          <t>Outsourced Brand Ambassador / Ushers (Caloocan &amp; Laguna)</t>
        </is>
      </c>
      <c r="T1154">
        <v>1</v>
      </c>
      <c r="U1154">
        <v>16400</v>
      </c>
      <c r="V1154" t="inlineStr">
        <is>
          <t>PHP</t>
        </is>
      </c>
      <c r="W1154">
        <v>16400</v>
      </c>
      <c r="X1154" s="2" t="str">
        <f>=HYPERLINK("https://www.larksuite.com/approval/admin/previewAttachment?key=PMhBCgIxDAXQK_2kv_mNl3FjGRyLIojjKmcXXLh9MQwxurVIMM0TVurRB0HJwxmhYeVlUkImV837dn7e9vXZE-vtcz2OOq6Xbb6sp9yhRrYBwE5_byKZGcTP8Q0AAP__", "2 attachment(s)")</f>
        <v>2 attachment(s)</v>
      </c>
      <c r="Y1154" t="inlineStr">
        <is>
          <t>Bank Transfer</t>
        </is>
      </c>
      <c r="Z1154" t="inlineStr">
        <is>
          <t>Jasmine Dava</t>
        </is>
      </c>
      <c r="AA1154" t="inlineStr">
        <is>
          <t>09664084097</t>
        </is>
      </c>
      <c r="AB1154" t="inlineStr">
        <is>
          <t>GCash</t>
        </is>
      </c>
      <c r="AC1154" t="inlineStr">
        <is>
          <t>1559 1st st. Fabie Subdivision Paco, Manila</t>
        </is>
      </c>
      <c r="AD1154" s="4">
        <v>45951</v>
      </c>
      <c r="AE1154" t="inlineStr">
        <is>
          <t>100% Full Payment - Oct. 31, 2025</t>
        </is>
      </c>
      <c r="AF1154" s="2"/>
      <c r="AG1154" t="inlineStr">
        <is>
          <t>NzQyNTk5MTgyNzQ4MTg3MDM0MTo1M0Y0NzJFRi04QTM5LTQ3MzYtOUUzNy0zQkE1MkE2NkQ1MjAtMTpjYmNiMzc2YzdiOTgxOGMxMGJiM2ZiNTU2YTMxNTFjZTox</t>
        </is>
      </c>
      <c r="AH1154" t="inlineStr">
        <is>
          <t>Jasmine Dava</t>
        </is>
      </c>
      <c r="AI1154"/>
      <c r="AJ1154" t="inlineStr">
        <is>
          <t>This is part of RR PROJECT EXECUTION line items:
LIQUIDITY PLAN (PAR # 202509300084 / 2025TEG-P0216)
PROCUREMENT COST ESTIMATE TAB &gt; 
RR Project Execution &gt;
Runners and Logistics</t>
        </is>
      </c>
      <c r="AK1154"/>
    </row>
    <row r="1155" ht="25.5" customHeight="1">
      <c r="A1155" s="2" t="str">
        <f>=HYPERLINK("https://applink.larksuite.com/client/mini_program/open?appId=cli_9c7cc8a9a9edd105&amp;mode=appCenter&amp;path_pc=pc/pages/requested/index?instanceId=7565791396213296860&amp;source=bitable&amp;path=pages/detail/index?instanceId=7565791396213296860&amp;source=bitable", "202510270109")</f>
        <v>202510270109</v>
      </c>
      <c r="B1155" t="inlineStr">
        <is>
          <t>Approved</t>
        </is>
      </c>
      <c r="C1155" t="inlineStr">
        <is>
          <t>Procurement Order</t>
        </is>
      </c>
      <c r="D1155" s="3">
        <v>45957.621296296296</v>
      </c>
      <c r="E1155" s="3">
        <v>45958.69081018519</v>
      </c>
      <c r="F1155" t="inlineStr">
        <is>
          <t>Fatima Kathleen M. FLores</t>
        </is>
      </c>
      <c r="G1155" t="inlineStr">
        <is>
          <t>Procurement</t>
        </is>
      </c>
      <c r="H1155"/>
      <c r="I1155"/>
      <c r="J1155" t="inlineStr">
        <is>
          <t>Project</t>
        </is>
      </c>
      <c r="K1155" t="inlineStr">
        <is>
          <t>PDEI - Event Service</t>
        </is>
      </c>
      <c r="L1155" t="inlineStr">
        <is>
          <t>Bingo Plus Panalo Caravan</t>
        </is>
      </c>
      <c r="M1155" t="inlineStr">
        <is>
          <t>2025TEG-P0216</t>
        </is>
      </c>
      <c r="N1155" t="inlineStr">
        <is>
          <t>Ronelle Kylene Chaneco Lim</t>
        </is>
      </c>
      <c r="O1155" t="inlineStr">
        <is>
          <t>202510170001-Ronelle Kylene Chaneco Lim-费用报销 - 副本 - 副本 - 副本-2025-10-17 00:39:39</t>
        </is>
      </c>
      <c r="P1155" t="inlineStr">
        <is>
          <t>YES</t>
        </is>
      </c>
      <c r="Q1155"/>
      <c r="R1155" t="inlineStr">
        <is>
          <t>YES</t>
        </is>
      </c>
      <c r="S1155" t="inlineStr">
        <is>
          <t>Outsourced Broadcast Manager</t>
        </is>
      </c>
      <c r="T1155">
        <v>1</v>
      </c>
      <c r="U1155">
        <v>11700</v>
      </c>
      <c r="V1155" t="inlineStr">
        <is>
          <t>PHP</t>
        </is>
      </c>
      <c r="W1155">
        <v>11700</v>
      </c>
      <c r="X1155" s="2" t="str">
        <f>=HYPERLINK("https://www.larksuite.com/approval/admin/previewAttachment?key=PMgxDgIxDATAL-3aju3lMzScTlxBGqSIJm9HoqCdbCJ70FMI0QTuGjlKdKXRTdmJbZtVQrGs9vE679dS85p9rfkZ89zr-TiPN4fKDOUR3gB4-7tXREgZ-Dm-AQAA__8", "2 attachment(s)")</f>
        <v>2 attachment(s)</v>
      </c>
      <c r="Y1155" t="inlineStr">
        <is>
          <t>Bank Transfer</t>
        </is>
      </c>
      <c r="Z1155" t="inlineStr">
        <is>
          <t>Kenneth Singian</t>
        </is>
      </c>
      <c r="AA1155" t="inlineStr">
        <is>
          <t>09176559151</t>
        </is>
      </c>
      <c r="AB1155" t="inlineStr">
        <is>
          <t>GCash</t>
        </is>
      </c>
      <c r="AC1155" t="inlineStr">
        <is>
          <t>84 Montreal St. Cubao Quezon City</t>
        </is>
      </c>
      <c r="AD1155" s="4">
        <v>45941</v>
      </c>
      <c r="AE1155" t="inlineStr">
        <is>
          <t>100% Full Payment - Oct. 31, 2025</t>
        </is>
      </c>
      <c r="AF1155" s="2"/>
      <c r="AG1155" t="inlineStr">
        <is>
          <t>NzQyNTk5MTgyNzQ4MTg3MDM0MTo2QUVDRTM4NS05Q0NDLTRBNTUtOTVFNi1FNzIyOUFGNjc4NjktMTo5NWIyNWNiMGM1Yzg0ZDlkYTNjODQ3MWJkZWQ4YzU0Mzox</t>
        </is>
      </c>
      <c r="AH1155" t="inlineStr">
        <is>
          <t>Kenneth Singian</t>
        </is>
      </c>
      <c r="AI1155"/>
      <c r="AJ1155" t="inlineStr">
        <is>
          <t>LIQUIDITY PLAN (PAR # 202509300084 / 2025TEG-P0216)
PROCUREMENT COST ESTIMATE TAB &gt; PROJECT PLANNING &gt;
Broadcast Manager
Total Budget = Php 10,000.00
This Request  = Php 11,700.00
Balance = (Php 1,700.00) OVER BUDGET</t>
        </is>
      </c>
      <c r="AK1155"/>
    </row>
    <row r="1156" ht="25.5" customHeight="1">
      <c r="A1156" s="2" t="str">
        <f>=HYPERLINK("https://applink.larksuite.com/client/mini_program/open?appId=cli_9c7cc8a9a9edd105&amp;mode=appCenter&amp;path_pc=pc/pages/requested/index?instanceId=7565789536479940320&amp;source=bitable&amp;path=pages/detail/index?instanceId=7565789536479940320&amp;source=bitable", "202510270106")</f>
        <v>202510270106</v>
      </c>
      <c r="B1156" t="inlineStr">
        <is>
          <t>Approved</t>
        </is>
      </c>
      <c r="C1156" t="inlineStr">
        <is>
          <t>Procurement Order</t>
        </is>
      </c>
      <c r="D1156" s="3">
        <v>45957.61628472222</v>
      </c>
      <c r="E1156" s="3">
        <v>45958.69349537037</v>
      </c>
      <c r="F1156" t="inlineStr">
        <is>
          <t>Fatima Kathleen M. FLores</t>
        </is>
      </c>
      <c r="G1156" t="inlineStr">
        <is>
          <t>Procurement</t>
        </is>
      </c>
      <c r="H1156"/>
      <c r="I1156"/>
      <c r="J1156" t="inlineStr">
        <is>
          <t>Project</t>
        </is>
      </c>
      <c r="K1156" t="inlineStr">
        <is>
          <t>PDEI - Event Service</t>
        </is>
      </c>
      <c r="L1156" t="inlineStr">
        <is>
          <t>Bingo Plus Panalo Caravan</t>
        </is>
      </c>
      <c r="M1156" t="inlineStr">
        <is>
          <t>2025TEG-P0216</t>
        </is>
      </c>
      <c r="N1156" t="inlineStr">
        <is>
          <t>Ronelle Kylene Chaneco Lim</t>
        </is>
      </c>
      <c r="O1156" t="inlineStr">
        <is>
          <t>202510170101-Ronelle Kylene Chaneco Lim-费用报销 - 副本 - 副本 - 副本-2025-10-17 12:24:55</t>
        </is>
      </c>
      <c r="P1156" t="inlineStr">
        <is>
          <t>YES</t>
        </is>
      </c>
      <c r="Q1156"/>
      <c r="R1156" t="inlineStr">
        <is>
          <t>YES</t>
        </is>
      </c>
      <c r="S1156" t="inlineStr">
        <is>
          <t>Outsourced Ushers (Pampanga)</t>
        </is>
      </c>
      <c r="T1156">
        <v>1</v>
      </c>
      <c r="U1156">
        <v>46500</v>
      </c>
      <c r="V1156" t="inlineStr">
        <is>
          <t>PHP</t>
        </is>
      </c>
      <c r="W1156">
        <v>46500</v>
      </c>
      <c r="X1156" s="2" t="str">
        <f>=HYPERLINK("https://www.larksuite.com/approval/admin/previewAttachment?key=PMg9ioIxGATgK837O5m9zDZ-BBUUQZBY5OyChe3Tw9CjLFpImQu2WV0cquiklAjH9m2kQKNzH7f5P8Pul8f7utactmq_zqd5PK1EdzAyYwCwv58HM1PqxNfxCQAA__8", "2 attachment(s)")</f>
        <v>2 attachment(s)</v>
      </c>
      <c r="Y1156" t="inlineStr">
        <is>
          <t>Bank Transfer</t>
        </is>
      </c>
      <c r="Z1156" t="inlineStr">
        <is>
          <t>Russel Valencia</t>
        </is>
      </c>
      <c r="AA1156" t="inlineStr">
        <is>
          <t>3866 1749 02</t>
        </is>
      </c>
      <c r="AB1156" t="inlineStr">
        <is>
          <t>Landbank</t>
        </is>
      </c>
      <c r="AC1156" t="inlineStr">
        <is>
          <t>312 Zone 5 San Matias Santa Rita Pampanga</t>
        </is>
      </c>
      <c r="AD1156" s="4">
        <v>45949</v>
      </c>
      <c r="AE1156" t="inlineStr">
        <is>
          <t>100% Full Payment - Oct. 31, 2025</t>
        </is>
      </c>
      <c r="AF1156" s="2"/>
      <c r="AG1156" t="inlineStr">
        <is>
          <t>NzQyNTk5MTgyNzQ4MTg3MDM0MTpGNUM2MzBEMS04OEM0LTRGMEYtODg0QS1DNUI4REFEOEU5QUUtMTplZmJhMjAwOTMzZGIzZDYzODQxM2M1N2Q4ZGRmN2I2Yjox</t>
        </is>
      </c>
      <c r="AH1156" t="inlineStr">
        <is>
          <t>Russel Valencia</t>
        </is>
      </c>
      <c r="AI1156"/>
      <c r="AJ1156" t="inlineStr">
        <is>
          <t>This is part of RR PROJECT EXECUTION line items:
LIQUIDITY PLAN (PAR # 202509300084 / 2025TEG-P0216)
PROCUREMENT COST ESTIMATE TAB &gt; RR Project Execution &gt;
Runners and Logistics</t>
        </is>
      </c>
      <c r="AK1156"/>
    </row>
    <row r="1157" ht="25.5" customHeight="1">
      <c r="A1157" s="2" t="str">
        <f>=HYPERLINK("https://applink.larksuite.com/client/mini_program/open?appId=cli_9c7cc8a9a9edd105&amp;mode=appCenter&amp;path_pc=pc/pages/requested/index?instanceId=7565788257280069339&amp;source=bitable&amp;path=pages/detail/index?instanceId=7565788257280069339&amp;source=bitable", "202510270104")</f>
        <v>202510270104</v>
      </c>
      <c r="B1157" t="inlineStr">
        <is>
          <t>Approved</t>
        </is>
      </c>
      <c r="C1157" t="inlineStr">
        <is>
          <t>Procurement Order</t>
        </is>
      </c>
      <c r="D1157" s="3">
        <v>45957.61283564815</v>
      </c>
      <c r="E1157" s="3">
        <v>45958.69449074074</v>
      </c>
      <c r="F1157" t="inlineStr">
        <is>
          <t>Fatima Kathleen M. FLores</t>
        </is>
      </c>
      <c r="G1157" t="inlineStr">
        <is>
          <t>Procurement</t>
        </is>
      </c>
      <c r="H1157"/>
      <c r="I1157"/>
      <c r="J1157" t="inlineStr">
        <is>
          <t>Project</t>
        </is>
      </c>
      <c r="K1157" t="inlineStr">
        <is>
          <t>PDEI - Event Service</t>
        </is>
      </c>
      <c r="L1157" t="inlineStr">
        <is>
          <t>Bingo Plus Panalo Caravan</t>
        </is>
      </c>
      <c r="M1157" t="inlineStr">
        <is>
          <t>2025TEG-P0216</t>
        </is>
      </c>
      <c r="N1157" t="inlineStr">
        <is>
          <t>Ronelle Kylene Chaneco Lim</t>
        </is>
      </c>
      <c r="O1157" t="inlineStr">
        <is>
          <t>202510170101-Ronelle Kylene Chaneco Lim-费用报销 - 副本 - 副本 - 副本-2025-10-17 12:24:55</t>
        </is>
      </c>
      <c r="P1157" t="inlineStr">
        <is>
          <t>YES</t>
        </is>
      </c>
      <c r="Q1157"/>
      <c r="R1157" t="inlineStr">
        <is>
          <t>YES</t>
        </is>
      </c>
      <c r="S1157" t="inlineStr">
        <is>
          <t>Outsourced Logistics Associates (Pampanga)</t>
        </is>
      </c>
      <c r="T1157">
        <v>1</v>
      </c>
      <c r="U1157">
        <v>12000</v>
      </c>
      <c r="V1157" t="inlineStr">
        <is>
          <t>PHP</t>
        </is>
      </c>
      <c r="W1157">
        <v>12000</v>
      </c>
      <c r="X1157" s="2" t="str">
        <f>=HYPERLINK("https://www.larksuite.com/approval/admin/previewAttachment?key=PMg7qgJhDAXgLZ08T3I3cxuHQX8UBgQfRdYuWNh-WYKsEMuGt2hDhpHBKg1qAdlmPTpCNihUznbb_ymK47r0vY7XZT3ncT7t212iqQqauxUA-fu50d270_F1fAIAAP__", "2 attachment(s)")</f>
        <v>2 attachment(s)</v>
      </c>
      <c r="Y1157" t="inlineStr">
        <is>
          <t>Bank Transfer</t>
        </is>
      </c>
      <c r="Z1157" t="inlineStr">
        <is>
          <t>RIC JACA</t>
        </is>
      </c>
      <c r="AA1157" t="inlineStr">
        <is>
          <t>09509516216</t>
        </is>
      </c>
      <c r="AB1157" t="inlineStr">
        <is>
          <t>GCash</t>
        </is>
      </c>
      <c r="AC1157" t="inlineStr">
        <is>
          <t>321 Sitio Langhaya Brgy. Dela Paz Antipolo Rizal</t>
        </is>
      </c>
      <c r="AD1157" s="4">
        <v>45940</v>
      </c>
      <c r="AE1157" t="inlineStr">
        <is>
          <t>100% Full Payment - Oct. 31, 2025</t>
        </is>
      </c>
      <c r="AF1157" s="2"/>
      <c r="AG1157" t="inlineStr">
        <is>
          <t>NzQyNTk5MTgyNzQ4MTg3MDM0MToxNTY2NTEzNS1CODRFLTQxNEItQTZCOS04MzM0MDlDMkFFMjEtMTphYTdmNmNlNGQ1OTdiYjcyMmJiZTg1NjA2ODc3MDM1OTox</t>
        </is>
      </c>
      <c r="AH1157" t="inlineStr">
        <is>
          <t>RIC JACA</t>
        </is>
      </c>
      <c r="AI1157"/>
      <c r="AJ1157" t="inlineStr">
        <is>
          <t>This is part of RR PROJECT EXECUTION line items:
LIQUIDITY PLAN (PAR # 202509300084 / 2025TEG-P0216)
PROCUREMENT COST ESTIMATE TAB &gt; RR Project Execution &gt;
Runners and Logistics</t>
        </is>
      </c>
      <c r="AK1157"/>
    </row>
    <row r="1158" ht="25.5" customHeight="1">
      <c r="A1158" s="2" t="str">
        <f>=HYPERLINK("https://applink.larksuite.com/client/mini_program/open?appId=cli_9c7cc8a9a9edd105&amp;mode=appCenter&amp;path_pc=pc/pages/requested/index?instanceId=7565780748515462875&amp;source=bitable&amp;path=pages/detail/index?instanceId=7565780748515462875&amp;source=bitable", "202510270094")</f>
        <v>202510270094</v>
      </c>
      <c r="B1158" t="inlineStr">
        <is>
          <t>Approved</t>
        </is>
      </c>
      <c r="C1158" t="inlineStr">
        <is>
          <t>Procurement Order</t>
        </is>
      </c>
      <c r="D1158" s="3">
        <v>45957.59260416667</v>
      </c>
      <c r="E1158" s="3">
        <v>45958.695393518516</v>
      </c>
      <c r="F1158" t="inlineStr">
        <is>
          <t>Fatima Kathleen M. FLores</t>
        </is>
      </c>
      <c r="G1158" t="inlineStr">
        <is>
          <t>Procurement</t>
        </is>
      </c>
      <c r="H1158"/>
      <c r="I1158"/>
      <c r="J1158" t="inlineStr">
        <is>
          <t>Project</t>
        </is>
      </c>
      <c r="K1158" t="inlineStr">
        <is>
          <t>PDEI - Event Service</t>
        </is>
      </c>
      <c r="L1158" t="inlineStr">
        <is>
          <t>Bingo Plus Panalo Caravan</t>
        </is>
      </c>
      <c r="M1158" t="inlineStr">
        <is>
          <t>2025TEG-P0216</t>
        </is>
      </c>
      <c r="N1158" t="inlineStr">
        <is>
          <t>Ronelle Kylene Chaneco Lim</t>
        </is>
      </c>
      <c r="O1158" t="inlineStr">
        <is>
          <t>202510170017-Ronelle Kylene Chaneco Lim-费用报销 - 副本 - 副本 - 副本-2025-10-17 03:15:32</t>
        </is>
      </c>
      <c r="P1158" t="inlineStr">
        <is>
          <t>YES</t>
        </is>
      </c>
      <c r="Q1158"/>
      <c r="R1158" t="inlineStr">
        <is>
          <t>YES</t>
        </is>
      </c>
      <c r="S1158" t="inlineStr">
        <is>
          <t>Outsourced Show Caller / Stage Manager (Pampanga, Caloocan &amp; Laguna)</t>
        </is>
      </c>
      <c r="T1158">
        <v>1</v>
      </c>
      <c r="U1158">
        <v>16700</v>
      </c>
      <c r="V1158" t="inlineStr">
        <is>
          <t>PHP</t>
        </is>
      </c>
      <c r="W1158">
        <v>16700</v>
      </c>
      <c r="X1158" s="2" t="str">
        <f>=HYPERLINK("https://www.larksuite.com/approval/admin/previewAttachment?key=PMhBCsNACAXQK30d9Wsv003CUAJZlWRWnr3QRbYvUhDpMqJgJVqQpoczQUsXt9Ckt7aQBQqVvZ_zvV16rFG4znXPY_X92eb-FS-qgsNsJAB5PT5oZlVh-Dt-AQAA__8", "2 attachment(s)")</f>
        <v>2 attachment(s)</v>
      </c>
      <c r="Y1158" t="inlineStr">
        <is>
          <t>Bank Transfer</t>
        </is>
      </c>
      <c r="Z1158" t="inlineStr">
        <is>
          <t>Tiny F. Tuzon</t>
        </is>
      </c>
      <c r="AA1158" t="inlineStr">
        <is>
          <t>4026595655</t>
        </is>
      </c>
      <c r="AB1158" t="inlineStr">
        <is>
          <t>BPI</t>
        </is>
      </c>
      <c r="AC1158" t="inlineStr">
        <is>
          <t>1 Lourdes St. Saint Mary Subdivision Nangka Marikina City</t>
        </is>
      </c>
      <c r="AD1158" s="4">
        <v>45949</v>
      </c>
      <c r="AE1158" t="inlineStr">
        <is>
          <t>100% Full Payment  - Oct. 31, 2025</t>
        </is>
      </c>
      <c r="AF1158" s="2"/>
      <c r="AG1158" t="inlineStr">
        <is>
          <t>NzQyNTk5MTgyNzQ4MTg3MDM0MTpBQjVERjU4OS1DRDI4LTRGQjgtQUJEMy1EMjVCM0JDNUZFM0EtMTo5ODUxMmFhMDBkNWM1ZmQ3ZTkwYTVjMzIxZDgzZDE2MTox</t>
        </is>
      </c>
      <c r="AH1158" t="inlineStr">
        <is>
          <t>Tiny F. Tuzon</t>
        </is>
      </c>
      <c r="AI1158"/>
      <c r="AJ1158" t="inlineStr">
        <is>
          <t>This is part of RR PROJECT EXECUTION line items:
LIQUIDITY PLAN (PAR # 202509300084 / 2025TEG-P0216)
PROCUREMENT COST ESTIMATE TAB &gt; 
RR Project Execution &gt;
Logistics Manager &amp; Production Manager (INTERNAL)</t>
        </is>
      </c>
      <c r="AK1158"/>
    </row>
    <row r="1159" ht="25.5" customHeight="1">
      <c r="A1159" s="2" t="str">
        <f>=HYPERLINK("https://applink.larksuite.com/client/mini_program/open?appId=cli_9c7cc8a9a9edd105&amp;mode=appCenter&amp;path_pc=pc/pages/requested/index?instanceId=7565778384832220891&amp;source=bitable&amp;path=pages/detail/index?instanceId=7565778384832220891&amp;source=bitable", "202510270093")</f>
        <v>202510270093</v>
      </c>
      <c r="B1159" t="inlineStr">
        <is>
          <t>Approved</t>
        </is>
      </c>
      <c r="C1159" t="inlineStr">
        <is>
          <t>Procurement Order</t>
        </is>
      </c>
      <c r="D1159" s="3">
        <v>45957.58623842592</v>
      </c>
      <c r="E1159" s="3">
        <v>45958.696238425924</v>
      </c>
      <c r="F1159" t="inlineStr">
        <is>
          <t>Fatima Kathleen M. FLores</t>
        </is>
      </c>
      <c r="G1159" t="inlineStr">
        <is>
          <t>Procurement</t>
        </is>
      </c>
      <c r="H1159"/>
      <c r="I1159"/>
      <c r="J1159" t="inlineStr">
        <is>
          <t>Project</t>
        </is>
      </c>
      <c r="K1159" t="inlineStr">
        <is>
          <t>PDEI - Event Service</t>
        </is>
      </c>
      <c r="L1159" t="inlineStr">
        <is>
          <t>Bingo Plus Panalo Caravan</t>
        </is>
      </c>
      <c r="M1159" t="inlineStr">
        <is>
          <t>2025TEG-P0216</t>
        </is>
      </c>
      <c r="N1159" t="inlineStr">
        <is>
          <t>Ronelle Kylene Chaneco Lim</t>
        </is>
      </c>
      <c r="O1159" t="inlineStr">
        <is>
          <t>202510230017-Ronelle Kylene Chaneco Lim-费用报销 - 副本 - 副本 - 副本-2025-10-23 03:33:55</t>
        </is>
      </c>
      <c r="P1159" t="inlineStr">
        <is>
          <t>YES</t>
        </is>
      </c>
      <c r="Q1159"/>
      <c r="R1159" t="inlineStr">
        <is>
          <t>YES</t>
        </is>
      </c>
      <c r="S1159" t="inlineStr">
        <is>
          <t>Outsourced Security and Safety Team (Pampanga, Caloocan &amp; Laguna)</t>
        </is>
      </c>
      <c r="T1159">
        <v>1</v>
      </c>
      <c r="U1159">
        <v>279000</v>
      </c>
      <c r="V1159" t="inlineStr">
        <is>
          <t>PHP</t>
        </is>
      </c>
      <c r="W1159">
        <v>279000</v>
      </c>
      <c r="X1159" s="2" t="str">
        <f>=HYPERLINK("https://www.larksuite.com/approval/admin/previewAttachment?key=PMg7DsJADATQK40_67G5DA2rCFBSIQW28NmRKGhfpCByiEXBS7QgzRGDTEtPU1VkSWsLWaBQ2fPYrrB3rX0ea7fH-Xn2eb9t8yWjqAqauyUAufzd6O5V4fg5vgEAAP__", "2 attachment(s)")</f>
        <v>2 attachment(s)</v>
      </c>
      <c r="Y1159" t="inlineStr">
        <is>
          <t>Bank Transfer</t>
        </is>
      </c>
      <c r="Z1159" t="inlineStr">
        <is>
          <t>JEROME T. CAPOQUIAN</t>
        </is>
      </c>
      <c r="AA1159" t="inlineStr">
        <is>
          <t>9599094366</t>
        </is>
      </c>
      <c r="AB1159" t="inlineStr">
        <is>
          <t>BPI</t>
        </is>
      </c>
      <c r="AC1159" t="inlineStr">
        <is>
          <t>BLOCK 5 LOT 7 PHASE 2 SHINEVILLE MAMBUGAN ANTIPOLO CITY</t>
        </is>
      </c>
      <c r="AD1159" s="4">
        <v>45949</v>
      </c>
      <c r="AE1159" t="inlineStr">
        <is>
          <t>50% Down Payment upon confirmation
50% Final Payment upon completion of services</t>
        </is>
      </c>
      <c r="AF1159" s="2"/>
      <c r="AG1159" t="inlineStr">
        <is>
          <t>NzQyNTk5MTgyNzQ4MTg3MDM0MTowODAxMTkyNC0xN0IwLTQ3NTEtODgzNy0zMkU3QjIwMzM4RDYtMTo5ZWY2NTMzYjBkZDY5ZTJkOWQyMDk4MmEwZWIyYWUwMTox</t>
        </is>
      </c>
      <c r="AH1159" t="inlineStr">
        <is>
          <t>JEROME T. CAPOQUIAN</t>
        </is>
      </c>
      <c r="AI1159"/>
      <c r="AJ1159" t="inlineStr">
        <is>
          <t>This is part of RR PROJECT EXECUTION line items:
LIQUIDITY PLAN (PAR # 202509300084 / 2025TEG-P0216)
PROCUREMENT COST ESTIMATE TAB &gt; 
RR Project Execution &gt;
Security
Medical Team with Ambulance</t>
        </is>
      </c>
      <c r="AK1159"/>
    </row>
    <row r="1160" ht="25.5" customHeight="1">
      <c r="A1160" s="2" t="str">
        <f>=HYPERLINK("https://applink.larksuite.com/client/mini_program/open?appId=cli_9c7cc8a9a9edd105&amp;mode=appCenter&amp;path_pc=pc/pages/requested/index?instanceId=7565761071168900833&amp;source=bitable&amp;path=pages/detail/index?instanceId=7565761071168900833&amp;source=bitable", "202510270079")</f>
        <v>202510270079</v>
      </c>
      <c r="B1160" t="inlineStr">
        <is>
          <t>Approved</t>
        </is>
      </c>
      <c r="C1160" t="inlineStr">
        <is>
          <t>Procurement Order</t>
        </is>
      </c>
      <c r="D1160" s="3">
        <v>45957.53958333333</v>
      </c>
      <c r="E1160" s="3">
        <v>45958.6975</v>
      </c>
      <c r="F1160" t="inlineStr">
        <is>
          <t>Fatima Kathleen M. FLores</t>
        </is>
      </c>
      <c r="G1160" t="inlineStr">
        <is>
          <t>Procurement</t>
        </is>
      </c>
      <c r="H1160"/>
      <c r="I1160"/>
      <c r="J1160" t="inlineStr">
        <is>
          <t>Project</t>
        </is>
      </c>
      <c r="K1160" t="inlineStr">
        <is>
          <t>PDEI - Event Service</t>
        </is>
      </c>
      <c r="L1160" t="inlineStr">
        <is>
          <t>Bingo Plus Panalo Caravan</t>
        </is>
      </c>
      <c r="M1160" t="inlineStr">
        <is>
          <t>2025TEG-P0216</t>
        </is>
      </c>
      <c r="N1160" t="inlineStr">
        <is>
          <t>Ronelle Kylene Chaneco Lim</t>
        </is>
      </c>
      <c r="O1160" t="inlineStr">
        <is>
          <t>202510200085-Ronelle Kylene Chaneco Lim-费用报销 - 副本 - 副本 - 副本-2025-10-20 09:55:40</t>
        </is>
      </c>
      <c r="P1160" t="inlineStr">
        <is>
          <t>YES</t>
        </is>
      </c>
      <c r="Q1160"/>
      <c r="R1160" t="inlineStr">
        <is>
          <t>YES</t>
        </is>
      </c>
      <c r="S1160" t="inlineStr">
        <is>
          <t>Outsourced Ushers</t>
        </is>
      </c>
      <c r="T1160">
        <v>1</v>
      </c>
      <c r="U1160">
        <v>9000</v>
      </c>
      <c r="V1160" t="inlineStr">
        <is>
          <t>PHP</t>
        </is>
      </c>
      <c r="W1160">
        <v>9000</v>
      </c>
      <c r="X1160" s="2" t="str">
        <f>=HYPERLINK("https://www.larksuite.com/approval/admin/previewAttachment?key=PMgxCgJBDAXQK_2fZPITL2PjsijrwoCg1ZxdsLB9WUTWoGcjmtbg0sihJERmNVDuyxalhiirtZ37tWL48Tlt1nzycaz3_bZvL46WGeQRXgB4-bsrIroz8HN8AwAA__8", "2 attachment(s)")</f>
        <v>2 attachment(s)</v>
      </c>
      <c r="Y1160" t="inlineStr">
        <is>
          <t>Bank Transfer</t>
        </is>
      </c>
      <c r="Z1160" t="inlineStr">
        <is>
          <t>Marc Kevin Serrano</t>
        </is>
      </c>
      <c r="AA1160" t="inlineStr">
        <is>
          <t>1519218972</t>
        </is>
      </c>
      <c r="AB1160" t="inlineStr">
        <is>
          <t>BPI</t>
        </is>
      </c>
      <c r="AC1160" t="inlineStr">
        <is>
          <t>3 Don Guillermo Street, Barangay Holy Spirit, Commonwealth, Quezon City,</t>
        </is>
      </c>
      <c r="AD1160" s="4">
        <v>45951</v>
      </c>
      <c r="AE1160" t="inlineStr">
        <is>
          <t>100% Full Payment - Oct. 31, 2025</t>
        </is>
      </c>
      <c r="AF1160" s="2"/>
      <c r="AG1160" t="inlineStr">
        <is>
          <t>NzQyNTk5MTgyNzQ4MTg3MDM0MTo3N0JCQTU1MS03QTBDLTRDNTctODFCRS0zNjVERDgzNDIzMUUtMTo2ZTkxMzRmMDQ3ZGVjNzM2ZWI5OWI3NTFhMTUzYjQzZDox</t>
        </is>
      </c>
      <c r="AH1160" t="inlineStr">
        <is>
          <t>Marc Kevin Serrano</t>
        </is>
      </c>
      <c r="AI1160"/>
      <c r="AJ1160" t="inlineStr">
        <is>
          <t>No line item in internal CE. Over Budget</t>
        </is>
      </c>
      <c r="AK1160"/>
    </row>
    <row r="1161" ht="25.5" customHeight="1">
      <c r="A1161" s="2" t="str">
        <f>=HYPERLINK("https://applink.larksuite.com/client/mini_program/open?appId=cli_9c7cc8a9a9edd105&amp;mode=appCenter&amp;path_pc=pc/pages/requested/index?instanceId=7565759867999456991&amp;source=bitable&amp;path=pages/detail/index?instanceId=7565759867999456991&amp;source=bitable", "202510270077")</f>
        <v>202510270077</v>
      </c>
      <c r="B1161" t="inlineStr">
        <is>
          <t>Approved</t>
        </is>
      </c>
      <c r="C1161" t="inlineStr">
        <is>
          <t>Procurement Order</t>
        </is>
      </c>
      <c r="D1161" s="3">
        <v>45957.53633101852</v>
      </c>
      <c r="E1161" s="3">
        <v>45958.7003125</v>
      </c>
      <c r="F1161" t="inlineStr">
        <is>
          <t>Fatima Kathleen M. FLores</t>
        </is>
      </c>
      <c r="G1161" t="inlineStr">
        <is>
          <t>Procurement</t>
        </is>
      </c>
      <c r="H1161"/>
      <c r="I1161"/>
      <c r="J1161" t="inlineStr">
        <is>
          <t>Project</t>
        </is>
      </c>
      <c r="K1161" t="inlineStr">
        <is>
          <t>PDEI - Event Service</t>
        </is>
      </c>
      <c r="L1161" t="inlineStr">
        <is>
          <t>Bingo Plus Panalo Caravan</t>
        </is>
      </c>
      <c r="M1161" t="inlineStr">
        <is>
          <t>2025TEG-P0216</t>
        </is>
      </c>
      <c r="N1161" t="inlineStr">
        <is>
          <t>Ronelle Kylene Chaneco Lim</t>
        </is>
      </c>
      <c r="O1161" t="inlineStr">
        <is>
          <t>202510200085-Ronelle Kylene Chaneco Lim-费用报销 - 副本 - 副本 - 副本-2025-10-20 09:55:40</t>
        </is>
      </c>
      <c r="P1161" t="inlineStr">
        <is>
          <t>YES</t>
        </is>
      </c>
      <c r="Q1161"/>
      <c r="R1161" t="inlineStr">
        <is>
          <t>YES</t>
        </is>
      </c>
      <c r="S1161" t="inlineStr">
        <is>
          <t>Outsourced Logistics Associates (Caloocan &amp; Laguna)</t>
        </is>
      </c>
      <c r="T1161">
        <v>1</v>
      </c>
      <c r="U1161">
        <v>34000</v>
      </c>
      <c r="V1161" t="inlineStr">
        <is>
          <t>PHP</t>
        </is>
      </c>
      <c r="W1161">
        <v>34000</v>
      </c>
      <c r="X1161" s="2" t="str">
        <f>=HYPERLINK("https://www.larksuite.com/approval/admin/previewAttachment?key=PMg9jkIxDATgK9nO2JPZy2yTpyfET4Uglc-OREH71XSrmT5KBnnIvJmVTM2iJGRJ3tFOyuiM2cfj_F-vuO6Fwb2F-63fl3UeT08xwjiAMc3M_34-CEAq2NftEwAA__8", "2 attachment(s)")</f>
        <v>2 attachment(s)</v>
      </c>
      <c r="Y1161" t="inlineStr">
        <is>
          <t>Bank Transfer</t>
        </is>
      </c>
      <c r="Z1161" t="inlineStr">
        <is>
          <t>RIC JACA</t>
        </is>
      </c>
      <c r="AA1161" t="inlineStr">
        <is>
          <t>09509516216</t>
        </is>
      </c>
      <c r="AB1161" t="inlineStr">
        <is>
          <t>GCash</t>
        </is>
      </c>
      <c r="AC1161" t="inlineStr">
        <is>
          <t>321 Sitio Langhaya Brgy. Dela Paz Antipolo Rizal</t>
        </is>
      </c>
      <c r="AD1161" s="4">
        <v>45951</v>
      </c>
      <c r="AE1161" t="inlineStr">
        <is>
          <t>100% Full Payment - Oct. 31, 2025</t>
        </is>
      </c>
      <c r="AF1161" s="2"/>
      <c r="AG1161" t="inlineStr">
        <is>
          <t>NzQyNTk5MTgyNzQ4MTg3MDM0MTo3QzhCRUREQi1DMTdFLTQzQzAtODg5QS0xNjIyNERBRkE0NjMtMTplZjM3NWQ4MGNlZWU5NTQxMjBkNjhiYzRjNGYzZjFiZjox</t>
        </is>
      </c>
      <c r="AH1161" t="inlineStr">
        <is>
          <t>RIC JACA</t>
        </is>
      </c>
      <c r="AI1161"/>
      <c r="AJ1161" t="inlineStr">
        <is>
          <t>This is part of RR PROJECT EXECUTION line items:
LIQUIDITY PLAN (PAR # 202509300084 / 2025TEG-P0216)
PROCUREMENT COST ESTIMATE TAB &gt; RR Project Execution &gt;
Runners and Logistics</t>
        </is>
      </c>
      <c r="AK1161"/>
    </row>
    <row r="1162" ht="25.5" customHeight="1">
      <c r="A1162" s="2" t="str">
        <f>=HYPERLINK("https://applink.larksuite.com/client/mini_program/open?appId=cli_9c7cc8a9a9edd105&amp;mode=appCenter&amp;path_pc=pc/pages/requested/index?instanceId=7565758695116689122&amp;source=bitable&amp;path=pages/detail/index?instanceId=7565758695116689122&amp;source=bitable", "202510270074")</f>
        <v>202510270074</v>
      </c>
      <c r="B1162" t="inlineStr">
        <is>
          <t>Approved</t>
        </is>
      </c>
      <c r="C1162" t="inlineStr">
        <is>
          <t>Procurement Order</t>
        </is>
      </c>
      <c r="D1162" s="3">
        <v>45957.533171296294</v>
      </c>
      <c r="E1162" s="3">
        <v>45958.70149305555</v>
      </c>
      <c r="F1162" t="inlineStr">
        <is>
          <t>Fatima Kathleen M. FLores</t>
        </is>
      </c>
      <c r="G1162" t="inlineStr">
        <is>
          <t>Procurement</t>
        </is>
      </c>
      <c r="H1162"/>
      <c r="I1162"/>
      <c r="J1162" t="inlineStr">
        <is>
          <t>Project</t>
        </is>
      </c>
      <c r="K1162" t="inlineStr">
        <is>
          <t>PDEI - Event Service</t>
        </is>
      </c>
      <c r="L1162" t="inlineStr">
        <is>
          <t>Bingo Plus Panalo Caravan</t>
        </is>
      </c>
      <c r="M1162" t="inlineStr">
        <is>
          <t>2025TEG-P0216</t>
        </is>
      </c>
      <c r="N1162" t="inlineStr">
        <is>
          <t>Ronelle Kylene Chaneco Lim</t>
        </is>
      </c>
      <c r="O1162" t="inlineStr">
        <is>
          <t>202510200085-Ronelle Kylene Chaneco Lim-费用报销 - 副本 - 副本 - 副本-2025-10-20 09:55:40</t>
        </is>
      </c>
      <c r="P1162" t="inlineStr">
        <is>
          <t>YES</t>
        </is>
      </c>
      <c r="Q1162"/>
      <c r="R1162" t="inlineStr">
        <is>
          <t>YES</t>
        </is>
      </c>
      <c r="S1162" t="inlineStr">
        <is>
          <t>Outsourced On-ground Manpower (Caloocan &amp; Laguna)</t>
        </is>
      </c>
      <c r="T1162">
        <v>1</v>
      </c>
      <c r="U1162">
        <v>47000</v>
      </c>
      <c r="V1162" t="inlineStr">
        <is>
          <t>PHP</t>
        </is>
      </c>
      <c r="W1162">
        <v>47000</v>
      </c>
      <c r="X1162" s="2" t="str">
        <f>=HYPERLINK("https://www.larksuite.com/approval/admin/previewAttachment?key=PMi7jYIxEATglmbW-5pr5hIsi-SPEIbEtSMRkH7ZRHZwpOCiCTwVGRWdCjKzRbNjh1VCsazPvNa_7dfQvlwTK57vs--3NR8MlRlquI8GwL-fj3J3KR1fxycAAP__", "2 attachment(s)")</f>
        <v>2 attachment(s)</v>
      </c>
      <c r="Y1162" t="inlineStr">
        <is>
          <t>Bank Transfer</t>
        </is>
      </c>
      <c r="Z1162" t="inlineStr">
        <is>
          <t>CELSO ESTRADA JR.</t>
        </is>
      </c>
      <c r="AA1162" t="inlineStr">
        <is>
          <t>0079-2006-1269</t>
        </is>
      </c>
      <c r="AB1162" t="inlineStr">
        <is>
          <t>BDO</t>
        </is>
      </c>
      <c r="AC1162" t="inlineStr">
        <is>
          <t>29 Kappi Ville Katihan St. Brgy Poblacion, Muntinlupa City</t>
        </is>
      </c>
      <c r="AD1162" s="4">
        <v>45951</v>
      </c>
      <c r="AE1162" t="inlineStr">
        <is>
          <t>100% Full Payment - Oct. 31, 2025</t>
        </is>
      </c>
      <c r="AF1162" s="2"/>
      <c r="AG1162" t="inlineStr">
        <is>
          <t>NzQyNTk5MTgyNzQ4MTg3MDM0MTpGM0JERjIzNy1DRjg0LTRERUEtQTM3MC03Njk5MUE0RUVGODgtMTo3MTI4ODgwMWFlZmIwMGUwMWFiMTRmYmU4YWVmYjRjMTox</t>
        </is>
      </c>
      <c r="AH1162" t="inlineStr">
        <is>
          <t>CELSO ESTRADA JR.</t>
        </is>
      </c>
      <c r="AI1162"/>
      <c r="AJ1162" t="inlineStr">
        <is>
          <t>No line items in internal CE. OVER BUDGET</t>
        </is>
      </c>
      <c r="AK1162"/>
    </row>
    <row r="1163" ht="25.5" customHeight="1">
      <c r="A1163" s="2" t="str">
        <f>=HYPERLINK("https://applink.larksuite.com/client/mini_program/open?appId=cli_9c7cc8a9a9edd105&amp;mode=appCenter&amp;path_pc=pc/pages/requested/index?instanceId=7565757309738045147&amp;source=bitable&amp;path=pages/detail/index?instanceId=7565757309738045147&amp;source=bitable", "202510270073")</f>
        <v>202510270073</v>
      </c>
      <c r="B1163" t="inlineStr">
        <is>
          <t>Approved</t>
        </is>
      </c>
      <c r="C1163" t="inlineStr">
        <is>
          <t>Procurement Order</t>
        </is>
      </c>
      <c r="D1163" s="3">
        <v>45957.529444444444</v>
      </c>
      <c r="E1163" s="3">
        <v>45958.703101851854</v>
      </c>
      <c r="F1163" t="inlineStr">
        <is>
          <t>Fatima Kathleen M. FLores</t>
        </is>
      </c>
      <c r="G1163" t="inlineStr">
        <is>
          <t>Procurement</t>
        </is>
      </c>
      <c r="H1163"/>
      <c r="I1163"/>
      <c r="J1163" t="inlineStr">
        <is>
          <t>Project</t>
        </is>
      </c>
      <c r="K1163" t="inlineStr">
        <is>
          <t>PDEI - Event Service</t>
        </is>
      </c>
      <c r="L1163" t="inlineStr">
        <is>
          <t>Bingo Plus Panalo Caravan</t>
        </is>
      </c>
      <c r="M1163" t="inlineStr">
        <is>
          <t>2025TEG-P0216</t>
        </is>
      </c>
      <c r="N1163" t="inlineStr">
        <is>
          <t>Ronelle Kylene Chaneco Lim</t>
        </is>
      </c>
      <c r="O1163" t="inlineStr">
        <is>
          <t>202510200085-Ronelle Kylene Chaneco Lim-费用报销 - 副本 - 副本 - 副本-2025-10-20 09:55:40</t>
        </is>
      </c>
      <c r="P1163" t="inlineStr">
        <is>
          <t>YES</t>
        </is>
      </c>
      <c r="Q1163"/>
      <c r="R1163" t="inlineStr">
        <is>
          <t>YES</t>
        </is>
      </c>
      <c r="S1163" t="inlineStr">
        <is>
          <t>Outsourced Brand Ambassadors / Ushers (Caloocan &amp; Laguna)</t>
        </is>
      </c>
      <c r="T1163">
        <v>1</v>
      </c>
      <c r="U1163">
        <v>16400</v>
      </c>
      <c r="V1163" t="inlineStr">
        <is>
          <t>PHP</t>
        </is>
      </c>
      <c r="W1163">
        <v>16400</v>
      </c>
      <c r="X1163" s="2" t="str">
        <f>=HYPERLINK("https://www.larksuite.com/approval/admin/previewAttachment?key=PMhLCgIxEATQK1Wnq1JpL-PGYfAziiBkl7MLLty-PgJ9KLIXWNEKsawuy4lyDlBBr7bCLjjcxtqe-1maR0p3vh9-Hbc1r5d9-4TKrcFJ5gAQp7-nSVZ14uf4BgAA__8", "2 attachment(s)")</f>
        <v>2 attachment(s)</v>
      </c>
      <c r="Y1163" t="inlineStr">
        <is>
          <t>Bank Transfer</t>
        </is>
      </c>
      <c r="Z1163" t="inlineStr">
        <is>
          <t>Jasmine Dava</t>
        </is>
      </c>
      <c r="AA1163" t="inlineStr">
        <is>
          <t>09664084097</t>
        </is>
      </c>
      <c r="AB1163" t="inlineStr">
        <is>
          <t>GCash</t>
        </is>
      </c>
      <c r="AC1163" t="inlineStr">
        <is>
          <t>1559 1st st. Fabie Subdivision Paco, Manila</t>
        </is>
      </c>
      <c r="AD1163" s="4">
        <v>45951</v>
      </c>
      <c r="AE1163" t="inlineStr">
        <is>
          <t>100% Full Payment - Oct. 31, 2025</t>
        </is>
      </c>
      <c r="AF1163" s="2"/>
      <c r="AG1163" t="inlineStr">
        <is>
          <t>NzQyNTk5MTgyNzQ4MTg3MDM0MTpGQTlFQUU0NS0yQTk4LTQwNzEtOEExNC1FNDM3MTE3MUE3MUQtMTo5ZGZlN2ViMzdkMmZiZDY2ZTYyZGMzNTM3MTA2MDE3OTox</t>
        </is>
      </c>
      <c r="AH1163" t="inlineStr">
        <is>
          <t>Jasmine Dava</t>
        </is>
      </c>
      <c r="AI1163"/>
      <c r="AJ1163" t="inlineStr">
        <is>
          <t>This is part of RR PROJECT EXECUTION line items:
LIQUIDITY PLAN (PAR # 202509300084 / 2025TEG-P0216)
PROCUREMENT COST ESTIMATE TAB &gt; RR Project Execution &gt;
Registration 
Runners and Logistics
Booth Manpower</t>
        </is>
      </c>
      <c r="AK1163"/>
    </row>
    <row r="1164" ht="25.5" customHeight="1">
      <c r="A1164" s="2" t="str">
        <f>=HYPERLINK("https://applink.larksuite.com/client/mini_program/open?appId=cli_9c7cc8a9a9edd105&amp;mode=appCenter&amp;path_pc=pc/pages/requested/index?instanceId=7565756307685248732&amp;source=bitable&amp;path=pages/detail/index?instanceId=7565756307685248732&amp;source=bitable", "202510270070")</f>
        <v>202510270070</v>
      </c>
      <c r="B1164" t="inlineStr">
        <is>
          <t>Approved</t>
        </is>
      </c>
      <c r="C1164" t="inlineStr">
        <is>
          <t>Procurement Order</t>
        </is>
      </c>
      <c r="D1164" s="3">
        <v>45957.52673611111</v>
      </c>
      <c r="E1164" s="3">
        <v>45958.70445601852</v>
      </c>
      <c r="F1164" t="inlineStr">
        <is>
          <t>Fatima Kathleen M. FLores</t>
        </is>
      </c>
      <c r="G1164" t="inlineStr">
        <is>
          <t>Procurement</t>
        </is>
      </c>
      <c r="H1164"/>
      <c r="I1164"/>
      <c r="J1164" t="inlineStr">
        <is>
          <t>Project</t>
        </is>
      </c>
      <c r="K1164" t="inlineStr">
        <is>
          <t>PDEI - Event Service</t>
        </is>
      </c>
      <c r="L1164" t="inlineStr">
        <is>
          <t>Bingo Plus Panalo Caravan</t>
        </is>
      </c>
      <c r="M1164" t="inlineStr">
        <is>
          <t>2025TEG-P0216</t>
        </is>
      </c>
      <c r="N1164" t="inlineStr">
        <is>
          <t>Ronelle Kylene Chaneco Lim</t>
        </is>
      </c>
      <c r="O1164" t="inlineStr">
        <is>
          <t>202510200085-Ronelle Kylene Chaneco Lim-费用报销 - 副本 - 副本 - 副本-2025-10-20 09:55:40</t>
        </is>
      </c>
      <c r="P1164" t="inlineStr">
        <is>
          <t>YES</t>
        </is>
      </c>
      <c r="Q1164"/>
      <c r="R1164" t="inlineStr">
        <is>
          <t>YES</t>
        </is>
      </c>
      <c r="S1164" t="inlineStr">
        <is>
          <t>Outsourced Ushers (Caloocan &amp; Laguna)</t>
        </is>
      </c>
      <c r="T1164">
        <v>1</v>
      </c>
      <c r="U1164">
        <v>12000</v>
      </c>
      <c r="V1164" t="inlineStr">
        <is>
          <t>PHP</t>
        </is>
      </c>
      <c r="W1164">
        <v>12000</v>
      </c>
      <c r="X1164" s="2" t="str">
        <f>=HYPERLINK("https://www.larksuite.com/approval/admin/previewAttachment?key=PMg7qsJgEAXgLZ15npm7mdsYftQQEYRYzdoFC9svS5AVYtnwFm3IMDIYaWBWqBdNR0fIBoVasx3rX8-39aP3dYvjvj_nvF7W9pJoqoLmbgVA_n5udPfudHwdnwAAAP__", "2 attachment(s)")</f>
        <v>2 attachment(s)</v>
      </c>
      <c r="Y1164" t="inlineStr">
        <is>
          <t>Bank Transfer</t>
        </is>
      </c>
      <c r="Z1164" t="inlineStr">
        <is>
          <t>Nicole Alexus Santos</t>
        </is>
      </c>
      <c r="AA1164" t="inlineStr">
        <is>
          <t>09935250106</t>
        </is>
      </c>
      <c r="AB1164" t="inlineStr">
        <is>
          <t>GCash</t>
        </is>
      </c>
      <c r="AC1164" t="inlineStr">
        <is>
          <t>Blk. 8 lot 4 XDE Village, Brgy. Laguerta, Calamba, Laguna</t>
        </is>
      </c>
      <c r="AD1164" s="4">
        <v>45952</v>
      </c>
      <c r="AE1164" t="inlineStr">
        <is>
          <t>100% Full Payment - Oct. 31, 2025</t>
        </is>
      </c>
      <c r="AF1164" s="2"/>
      <c r="AG1164" t="inlineStr">
        <is>
          <t>NzQyNTk5MTgyNzQ4MTg3MDM0MTo1NUVEQUQ5NS01NEZGLTQ2NTktQUIyNC1DOTRBQkQyMTU0RTktMTo3NTVhNTU5NmI3MThmY2FlMDA3ZDM5YzQzNmE5ZjFjODox</t>
        </is>
      </c>
      <c r="AH1164" t="inlineStr">
        <is>
          <t>Nicole Alexus Santos</t>
        </is>
      </c>
      <c r="AI1164"/>
      <c r="AJ1164" t="inlineStr">
        <is>
          <t>This is part of RR PROJECT EXECUTION line items:
LIQUIDITY PLAN (PAR # 202509300084 / 2025TEG-P0216)
PROCUREMENT COST ESTIMATE TAB &gt; RR Project Execution &gt;
Registration 
Runners and Logistics
Booth Manpower
Ingress Manpower
Egress Manpower</t>
        </is>
      </c>
      <c r="AK1164"/>
    </row>
    <row r="1165" ht="25.5" customHeight="1">
      <c r="A1165" s="2" t="str">
        <f>=HYPERLINK("https://applink.larksuite.com/client/mini_program/open?appId=cli_9c7cc8a9a9edd105&amp;mode=appCenter&amp;path_pc=pc/pages/requested/index?instanceId=7566119243528277726&amp;source=bitable&amp;path=pages/detail/index?instanceId=7566119243528277726&amp;source=bitable", "202510280048")</f>
        <v>202510280048</v>
      </c>
      <c r="B1165" t="inlineStr">
        <is>
          <t>Approved</t>
        </is>
      </c>
      <c r="C1165" t="inlineStr">
        <is>
          <t>Procurement Order</t>
        </is>
      </c>
      <c r="D1165" s="3">
        <v>45958.50478009259</v>
      </c>
      <c r="E1165" s="3">
        <v>45958.821064814816</v>
      </c>
      <c r="F1165" t="inlineStr">
        <is>
          <t>Fatima Kathleen M. FLores</t>
        </is>
      </c>
      <c r="G1165" t="inlineStr">
        <is>
          <t>Procurement</t>
        </is>
      </c>
      <c r="H1165"/>
      <c r="I1165"/>
      <c r="J1165" t="inlineStr">
        <is>
          <t>Project</t>
        </is>
      </c>
      <c r="K1165" t="inlineStr">
        <is>
          <t>GG - Event Service</t>
        </is>
      </c>
      <c r="L1165" t="inlineStr">
        <is>
          <t>KIC 2025 - Venue</t>
        </is>
      </c>
      <c r="M1165" t="inlineStr">
        <is>
          <t>2025TEG-P0291</t>
        </is>
      </c>
      <c r="N1165" t="inlineStr">
        <is>
          <t>Frances Angelita Arreglado</t>
        </is>
      </c>
      <c r="O1165" t="inlineStr">
        <is>
          <t>202510270134-Frances Angelita Arreglado-费用报销 - 副本 - 副本 - 副本-2025-10-27 08:07:41</t>
        </is>
      </c>
      <c r="P1165" t="inlineStr">
        <is>
          <t>NO</t>
        </is>
      </c>
      <c r="Q1165"/>
      <c r="R1165" t="inlineStr">
        <is>
          <t>NO</t>
        </is>
      </c>
      <c r="S1165" t="inlineStr">
        <is>
          <t>Venue Rental (Nov. 24 to 30, 2025)</t>
        </is>
      </c>
      <c r="T1165">
        <v>1</v>
      </c>
      <c r="U1165">
        <v>3712800</v>
      </c>
      <c r="V1165" t="inlineStr">
        <is>
          <t>PHP</t>
        </is>
      </c>
      <c r="W1165">
        <v>3712800</v>
      </c>
      <c r="X1165" s="2"/>
      <c r="Y1165" t="inlineStr">
        <is>
          <t>Bank Transfer</t>
        </is>
      </c>
      <c r="Z1165" t="inlineStr">
        <is>
          <t>Bay City Commercial Ventures Corp.</t>
        </is>
      </c>
      <c r="AA1165" t="inlineStr">
        <is>
          <t>0011-1887-53</t>
        </is>
      </c>
      <c r="AB1165" t="inlineStr">
        <is>
          <t>BPI</t>
        </is>
      </c>
      <c r="AC1165" t="inlineStr">
        <is>
          <t>5/F Ayala Malls Manila Bay Admin Offic</t>
        </is>
      </c>
      <c r="AD1165" s="4">
        <v>45985</v>
      </c>
      <c r="AE1165" t="inlineStr">
        <is>
          <t>50% Down Payment upon confirmation
50% Final Payment before ingress</t>
        </is>
      </c>
      <c r="AF1165" s="2" t="str">
        <f>=HYPERLINK("https://www.larksuite.com/approval/admin/previewAttachment?key=TMg9CgJBDAXgK72XZPLjZWxcFhkZEcRFi5xdsLL9PAnPQfWCFaXAjuFOlpgOSYkI8ZZmRCEYkr2t_TzX_RaPVcdnvvGafVwv-_akpzqshhkLAE9_TqJSXX-ObwAAAP__", "1 attachment(s)")</f>
        <v>1 attachment(s)</v>
      </c>
      <c r="AG1165" t="inlineStr">
        <is>
          <t>NzQyNTk5MTgyNzQ4MTg3MDM0MTpGQTQyRDcyRS00MjI4LTQyOTEtQkY3QS0xNDY2ODVGNTAzNDYtMTozOWQ2MGMxZWUyMGE1N2JjMGM2ZDJmOTIxYWZmYWQ0MTox</t>
        </is>
      </c>
      <c r="AH1165" t="inlineStr">
        <is>
          <t>Ayala Malls Manila Bay</t>
        </is>
      </c>
      <c r="AI1165"/>
      <c r="AJ1165" t="inlineStr">
        <is>
          <t>LIQUIDITY PLAN (PAR # 202510220110 / 2025TEG-P0291)
VENUE RENTAL - Ayala Malls Manila Bay
Total Budget = Php 5,311,040.00
Actual Cost = Php 5,311,040.00</t>
        </is>
      </c>
      <c r="AK1165"/>
    </row>
    <row r="1166" ht="25.5" customHeight="1">
      <c r="A1166" s="2" t="str">
        <f>=HYPERLINK("https://applink.larksuite.com/client/mini_program/open?appId=cli_9c7cc8a9a9edd105&amp;mode=appCenter&amp;path_pc=pc/pages/requested/index?instanceId=7566119243528277726&amp;source=bitable&amp;path=pages/detail/index?instanceId=7566119243528277726&amp;source=bitable", "202510280048")</f>
        <v>202510280048</v>
      </c>
      <c r="B1166" t="inlineStr">
        <is>
          <t>Approved</t>
        </is>
      </c>
      <c r="C1166" t="inlineStr">
        <is>
          <t>Procurement Order</t>
        </is>
      </c>
      <c r="D1166" s="3">
        <v>45958.50478009259</v>
      </c>
      <c r="E1166" s="3">
        <v>45958.821064814816</v>
      </c>
      <c r="F1166" t="inlineStr">
        <is>
          <t>Fatima Kathleen M. FLores</t>
        </is>
      </c>
      <c r="G1166" t="inlineStr">
        <is>
          <t>Procurement</t>
        </is>
      </c>
      <c r="H1166"/>
      <c r="I1166"/>
      <c r="J1166" t="inlineStr">
        <is>
          <t>Project</t>
        </is>
      </c>
      <c r="K1166" t="inlineStr">
        <is>
          <t>GG - Event Service</t>
        </is>
      </c>
      <c r="L1166" t="inlineStr">
        <is>
          <t>KIC 2025 - Venue</t>
        </is>
      </c>
      <c r="M1166" t="inlineStr">
        <is>
          <t>2025TEG-P0291</t>
        </is>
      </c>
      <c r="N1166" t="inlineStr">
        <is>
          <t>Frances Angelita Arreglado</t>
        </is>
      </c>
      <c r="O1166" t="inlineStr">
        <is>
          <t>202510270134-Frances Angelita Arreglado-费用报销 - 副本 - 副本 - 副本-2025-10-27 08:07:41</t>
        </is>
      </c>
      <c r="P1166" t="inlineStr">
        <is>
          <t>NO</t>
        </is>
      </c>
      <c r="Q1166"/>
      <c r="R1166" t="inlineStr">
        <is>
          <t>NO</t>
        </is>
      </c>
      <c r="S1166" t="inlineStr">
        <is>
          <t>AD Placement Fee (Dome Banner)</t>
        </is>
      </c>
      <c r="T1166">
        <v>1</v>
      </c>
      <c r="U1166">
        <v>1176000</v>
      </c>
      <c r="V1166" t="inlineStr">
        <is>
          <t>PHP</t>
        </is>
      </c>
      <c r="W1166">
        <v>1176000</v>
      </c>
      <c r="X1166" s="2"/>
      <c r="Y1166"/>
      <c r="Z1166"/>
      <c r="AA1166"/>
      <c r="AB1166"/>
      <c r="AC1166"/>
      <c r="AD1166" s="4"/>
      <c r="AE1166"/>
      <c r="AF1166" s="2"/>
      <c r="AG1166" t="inlineStr">
        <is>
          <t>NzQyNTk5MTgyNzQ4MTg3MDM0MTpGQTQyRDcyRS00MjI4LTQyOTEtQkY3QS0xNDY2ODVGNTAzNDYtMjpjN2Q0ZTY5ZjgxY2ZjMmM2NjgxZGVkNWE4ODljYWQ4ZDox</t>
        </is>
      </c>
      <c r="AH1166"/>
      <c r="AI1166"/>
      <c r="AJ1166" t="inlineStr">
        <is>
          <t>LIQUIDITY PLAN (PAR # 202510220110 / 2025TEG-P0291)
VENUE RENTAL - Ayala Malls Manila Bay
Total Budget = Php 5,311,040.00
Actual Cost = Php 5,311,040.00</t>
        </is>
      </c>
      <c r="AK1166"/>
    </row>
    <row r="1167" ht="25.5" customHeight="1">
      <c r="A1167" s="2" t="str">
        <f>=HYPERLINK("https://applink.larksuite.com/client/mini_program/open?appId=cli_9c7cc8a9a9edd105&amp;mode=appCenter&amp;path_pc=pc/pages/requested/index?instanceId=7566119243528277726&amp;source=bitable&amp;path=pages/detail/index?instanceId=7566119243528277726&amp;source=bitable", "202510280048")</f>
        <v>202510280048</v>
      </c>
      <c r="B1167" t="inlineStr">
        <is>
          <t>Approved</t>
        </is>
      </c>
      <c r="C1167" t="inlineStr">
        <is>
          <t>Procurement Order</t>
        </is>
      </c>
      <c r="D1167" s="3">
        <v>45958.50478009259</v>
      </c>
      <c r="E1167" s="3">
        <v>45958.821064814816</v>
      </c>
      <c r="F1167" t="inlineStr">
        <is>
          <t>Fatima Kathleen M. FLores</t>
        </is>
      </c>
      <c r="G1167" t="inlineStr">
        <is>
          <t>Procurement</t>
        </is>
      </c>
      <c r="H1167"/>
      <c r="I1167"/>
      <c r="J1167" t="inlineStr">
        <is>
          <t>Project</t>
        </is>
      </c>
      <c r="K1167" t="inlineStr">
        <is>
          <t>GG - Event Service</t>
        </is>
      </c>
      <c r="L1167" t="inlineStr">
        <is>
          <t>KIC 2025 - Venue</t>
        </is>
      </c>
      <c r="M1167" t="inlineStr">
        <is>
          <t>2025TEG-P0291</t>
        </is>
      </c>
      <c r="N1167" t="inlineStr">
        <is>
          <t>Frances Angelita Arreglado</t>
        </is>
      </c>
      <c r="O1167" t="inlineStr">
        <is>
          <t>202510270134-Frances Angelita Arreglado-费用报销 - 副本 - 副本 - 副本-2025-10-27 08:07:41</t>
        </is>
      </c>
      <c r="P1167" t="inlineStr">
        <is>
          <t>NO</t>
        </is>
      </c>
      <c r="Q1167"/>
      <c r="R1167" t="inlineStr">
        <is>
          <t>NO</t>
        </is>
      </c>
      <c r="S1167" t="inlineStr">
        <is>
          <t>EQUIPMENT &amp; RENTAL FEES - INGRESS &amp; EGRESS</t>
        </is>
      </c>
      <c r="T1167">
        <v>1</v>
      </c>
      <c r="U1167">
        <v>61600</v>
      </c>
      <c r="V1167" t="inlineStr">
        <is>
          <t>PHP</t>
        </is>
      </c>
      <c r="W1167">
        <v>61600</v>
      </c>
      <c r="X1167" s="2"/>
      <c r="Y1167"/>
      <c r="Z1167"/>
      <c r="AA1167"/>
      <c r="AB1167"/>
      <c r="AC1167"/>
      <c r="AD1167" s="4"/>
      <c r="AE1167"/>
      <c r="AF1167" s="2"/>
      <c r="AG1167" t="inlineStr">
        <is>
          <t>NzQyNTk5MTgyNzQ4MTg3MDM0MTpGQTQyRDcyRS00MjI4LTQyOTEtQkY3QS0xNDY2ODVGNTAzNDYtMzpiNjQwNzY3M2JiY2NjODY3ODc3Y2ZlMTk1MzMzODI3YTox</t>
        </is>
      </c>
      <c r="AH1167"/>
      <c r="AI1167"/>
      <c r="AJ1167" t="inlineStr">
        <is>
          <t>LIQUIDITY PLAN (PAR # 202510220110 / 2025TEG-P0291)
VENUE RENTAL - Ayala Malls Manila Bay
Total Budget = Php 5,311,040.00
Actual Cost = Php 5,311,040.00</t>
        </is>
      </c>
      <c r="AK1167"/>
    </row>
    <row r="1168" ht="25.5" customHeight="1">
      <c r="A1168" s="2" t="str">
        <f>=HYPERLINK("https://applink.larksuite.com/client/mini_program/open?appId=cli_9c7cc8a9a9edd105&amp;mode=appCenter&amp;path_pc=pc/pages/requested/index?instanceId=7566119243528277726&amp;source=bitable&amp;path=pages/detail/index?instanceId=7566119243528277726&amp;source=bitable", "202510280048")</f>
        <v>202510280048</v>
      </c>
      <c r="B1168" t="inlineStr">
        <is>
          <t>Approved</t>
        </is>
      </c>
      <c r="C1168" t="inlineStr">
        <is>
          <t>Procurement Order</t>
        </is>
      </c>
      <c r="D1168" s="3">
        <v>45958.50478009259</v>
      </c>
      <c r="E1168" s="3">
        <v>45958.821064814816</v>
      </c>
      <c r="F1168" t="inlineStr">
        <is>
          <t>Fatima Kathleen M. FLores</t>
        </is>
      </c>
      <c r="G1168" t="inlineStr">
        <is>
          <t>Procurement</t>
        </is>
      </c>
      <c r="H1168"/>
      <c r="I1168"/>
      <c r="J1168" t="inlineStr">
        <is>
          <t>Project</t>
        </is>
      </c>
      <c r="K1168" t="inlineStr">
        <is>
          <t>GG - Event Service</t>
        </is>
      </c>
      <c r="L1168" t="inlineStr">
        <is>
          <t>KIC 2025 - Venue</t>
        </is>
      </c>
      <c r="M1168" t="inlineStr">
        <is>
          <t>2025TEG-P0291</t>
        </is>
      </c>
      <c r="N1168" t="inlineStr">
        <is>
          <t>Frances Angelita Arreglado</t>
        </is>
      </c>
      <c r="O1168" t="inlineStr">
        <is>
          <t>202510270134-Frances Angelita Arreglado-费用报销 - 副本 - 副本 - 副本-2025-10-27 08:07:41</t>
        </is>
      </c>
      <c r="P1168" t="inlineStr">
        <is>
          <t>NO</t>
        </is>
      </c>
      <c r="Q1168"/>
      <c r="R1168" t="inlineStr">
        <is>
          <t>NO</t>
        </is>
      </c>
      <c r="S1168" t="inlineStr">
        <is>
          <t>INCIDENTAL FEES - MANPOWER &amp; ELECTRICITY</t>
        </is>
      </c>
      <c r="T1168">
        <v>1</v>
      </c>
      <c r="U1168">
        <v>360640</v>
      </c>
      <c r="V1168" t="inlineStr">
        <is>
          <t>PHP</t>
        </is>
      </c>
      <c r="W1168">
        <v>360640</v>
      </c>
      <c r="X1168" s="2" t="str">
        <f>=HYPERLINK("https://www.larksuite.com/approval/admin/previewAttachment?key=PMhBCgIxDAXQK_2fpPmNl3HjMEilIoiDLnp2wYXbl53I3uhZiKIVuNQyybLwZt0kWS5blAqirK9t7ucx7zc9Zh2f8cZrrON62bcnW8kM8gjvAHj6uysiqjLwc_8GAAD__w", "2 attachment(s)")</f>
        <v>2 attachment(s)</v>
      </c>
      <c r="Y1168"/>
      <c r="Z1168"/>
      <c r="AA1168"/>
      <c r="AB1168"/>
      <c r="AC1168"/>
      <c r="AD1168" s="4"/>
      <c r="AE1168"/>
      <c r="AF1168" s="2"/>
      <c r="AG1168" t="inlineStr">
        <is>
          <t>NzQyNTk5MTgyNzQ4MTg3MDM0MTpGQTQyRDcyRS00MjI4LTQyOTEtQkY3QS0xNDY2ODVGNTAzNDYtNDpiZDMzNmQyZjQ4Yzk4NGZiYjNiM2ZhZTcwNWZkYjA2ZDox</t>
        </is>
      </c>
      <c r="AH1168"/>
      <c r="AI1168"/>
      <c r="AJ1168" t="inlineStr">
        <is>
          <t>LIQUIDITY PLAN (PAR # 202510220110 / 2025TEG-P0291)
VENUE RENTAL - Ayala Malls Manila Bay
Total Budget = Php 5,311,040.00
Actual Cost = Php 5,311,040.00</t>
        </is>
      </c>
      <c r="AK1168"/>
    </row>
    <row r="1169" ht="25.5" customHeight="1">
      <c r="A1169" s="2" t="str">
        <f>=HYPERLINK("https://applink.larksuite.com/client/mini_program/open?appId=cli_9c7cc8a9a9edd105&amp;mode=appCenter&amp;path_pc=pc/pages/requested/index?instanceId=7566115642097585883&amp;source=bitable&amp;path=pages/detail/index?instanceId=7566115642097585883&amp;source=bitable", "202510280044")</f>
        <v>202510280044</v>
      </c>
      <c r="B1169" t="inlineStr">
        <is>
          <t>Approved</t>
        </is>
      </c>
      <c r="C1169" t="inlineStr">
        <is>
          <t>Procurement Order</t>
        </is>
      </c>
      <c r="D1169" s="3">
        <v>45958.49508101852</v>
      </c>
      <c r="E1169" s="3">
        <v>45958.74553240741</v>
      </c>
      <c r="F1169" t="inlineStr">
        <is>
          <t>Fatima Kathleen M. FLores</t>
        </is>
      </c>
      <c r="G1169" t="inlineStr">
        <is>
          <t>Procurement</t>
        </is>
      </c>
      <c r="H1169"/>
      <c r="I1169"/>
      <c r="J1169" t="inlineStr">
        <is>
          <t>Project</t>
        </is>
      </c>
      <c r="K1169" t="inlineStr">
        <is>
          <t>PDEI - Event Service</t>
        </is>
      </c>
      <c r="L1169" t="inlineStr">
        <is>
          <t>MDL PH S6 Playoffs + Grand Finals Watch Party</t>
        </is>
      </c>
      <c r="M1169" t="inlineStr">
        <is>
          <t>2025TEG-P0197</t>
        </is>
      </c>
      <c r="N1169" t="inlineStr">
        <is>
          <t>Kervin</t>
        </is>
      </c>
      <c r="O1169" t="inlineStr">
        <is>
          <t>202510060096-Kervin-费用报销 - 副本 - 副本 - 副本-2025-10-06 09:12:06</t>
        </is>
      </c>
      <c r="P1169" t="inlineStr">
        <is>
          <t>YES</t>
        </is>
      </c>
      <c r="Q1169"/>
      <c r="R1169" t="inlineStr">
        <is>
          <t>NO</t>
        </is>
      </c>
      <c r="S1169" t="inlineStr">
        <is>
          <t>Outsourced Road Manager</t>
        </is>
      </c>
      <c r="T1169">
        <v>1</v>
      </c>
      <c r="U1169">
        <v>2000</v>
      </c>
      <c r="V1169" t="inlineStr">
        <is>
          <t>PHP</t>
        </is>
      </c>
      <c r="W1169">
        <v>2000</v>
      </c>
      <c r="X1169" s="2" t="str">
        <f>=HYPERLINK("https://www.larksuite.com/approval/admin/previewAttachment?key=PMg9CsJAEAXgK703O79exsYlqJBKXGMxZxcs0n6ehKdxeEGLUmCHuZPmKqiwtMzR0owoBEOy575dj-djLeAzj_d31t7rftvmi1YhghiqIwHwcvoIVa1yxd_xCwAA__8", "2 attachment(s)")</f>
        <v>2 attachment(s)</v>
      </c>
      <c r="Y1169" t="inlineStr">
        <is>
          <t>Bank Transfer</t>
        </is>
      </c>
      <c r="Z1169" t="inlineStr">
        <is>
          <t>Kimberly Ramos</t>
        </is>
      </c>
      <c r="AA1169" t="inlineStr">
        <is>
          <t>2703911772885</t>
        </is>
      </c>
      <c r="AB1169" t="inlineStr">
        <is>
          <t>Metrobank</t>
        </is>
      </c>
      <c r="AC1169" t="inlineStr">
        <is>
          <t>53 Rosal Street Miguelito Homes Gen. T. De Leon Valenzuela City</t>
        </is>
      </c>
      <c r="AD1169" s="4">
        <v>45949</v>
      </c>
      <c r="AE1169" t="inlineStr">
        <is>
          <t>100% Full Payment - Oct. 31, 2025</t>
        </is>
      </c>
      <c r="AF1169" s="2"/>
      <c r="AG1169" t="inlineStr">
        <is>
          <t>NzQyNTk5MTgyNzQ4MTg3MDM0MTo3RjE0MEQ0NC05MDE5LTRGNzctQUI2OS0zMDU4RTczMzFCMkMtMTplODg5OWQ5NzU5OGY2MjY5YmU0MDEzN2I1M2QwODQ2YTox</t>
        </is>
      </c>
      <c r="AH1169" t="inlineStr">
        <is>
          <t>Kimberly Ramos</t>
        </is>
      </c>
      <c r="AI1169"/>
      <c r="AJ1169" t="inlineStr">
        <is>
          <t>LIQUIDITY PLAN (PAR # 202510060066 / 2025TEG-P0197)
(ONLINE) COST ESTIMATE &gt; 4. STAGING &amp; PRODUCTION &gt;
4.3 Manpower Arrangement &gt; FOR MDL FINALS &gt;
Talent Manager
Total Budget = Php 3,500.00
Actual Cost = Php 2,000.00
Balance = Php 1,500.00</t>
        </is>
      </c>
      <c r="AK1169"/>
    </row>
    <row r="1170" ht="25.5" customHeight="1">
      <c r="A1170" s="2" t="str">
        <f>=HYPERLINK("https://applink.larksuite.com/client/mini_program/open?appId=cli_9c7cc8a9a9edd105&amp;mode=appCenter&amp;path_pc=pc/pages/requested/index?instanceId=7566098279277055709&amp;source=bitable&amp;path=pages/detail/index?instanceId=7566098279277055709&amp;source=bitable", "202510280017")</f>
        <v>202510280017</v>
      </c>
      <c r="B1170" t="inlineStr">
        <is>
          <t>Approved</t>
        </is>
      </c>
      <c r="C1170" t="inlineStr">
        <is>
          <t>Procurement Order</t>
        </is>
      </c>
      <c r="D1170" s="3">
        <v>45958.448287037034</v>
      </c>
      <c r="E1170" s="3">
        <v>45958.80923611111</v>
      </c>
      <c r="F1170" t="inlineStr">
        <is>
          <t>Fatima Kathleen M. FLores</t>
        </is>
      </c>
      <c r="G1170" t="inlineStr">
        <is>
          <t>Procurement</t>
        </is>
      </c>
      <c r="H1170"/>
      <c r="I1170"/>
      <c r="J1170" t="inlineStr">
        <is>
          <t>Project</t>
        </is>
      </c>
      <c r="K1170" t="inlineStr">
        <is>
          <t>PDEI - Event Service</t>
        </is>
      </c>
      <c r="L1170" t="inlineStr">
        <is>
          <t>Bingo Plus Panalo Caravan</t>
        </is>
      </c>
      <c r="M1170" t="inlineStr">
        <is>
          <t>2025TEG-P0216</t>
        </is>
      </c>
      <c r="N1170" t="inlineStr">
        <is>
          <t>Ronelle Kylene Chaneco Lim</t>
        </is>
      </c>
      <c r="O1170" t="inlineStr">
        <is>
          <t>202510210066-Ronelle Kylene Chaneco Lim-费用报销 - 副本 - 副本 - 副本-2025-10-21 07:09:52</t>
        </is>
      </c>
      <c r="P1170" t="inlineStr">
        <is>
          <t>YES</t>
        </is>
      </c>
      <c r="Q1170"/>
      <c r="R1170" t="inlineStr">
        <is>
          <t>YES</t>
        </is>
      </c>
      <c r="S1170" t="inlineStr">
        <is>
          <t>Outsourced Host - Caloocan (Mama Emma)</t>
        </is>
      </c>
      <c r="T1170">
        <v>1</v>
      </c>
      <c r="U1170">
        <v>38900</v>
      </c>
      <c r="V1170" t="inlineStr">
        <is>
          <t>PHP</t>
        </is>
      </c>
      <c r="W1170">
        <v>38900</v>
      </c>
      <c r="X1170" s="2" t="str">
        <f>=HYPERLINK("https://www.larksuite.com/approval/admin/previewAttachment?key=PMi7jQJBEATQlKq_NXXJnMNqhAMOYtfq2JEwcF8vQ6-yaCFlLtiwuqHllJOoIjQ-Rgo0-prjsf9pHlH7fV379GfOeb_t42UluoORGQuA_f08mJlSJ76OTwAAAP__", "2 attachment(s)")</f>
        <v>2 attachment(s)</v>
      </c>
      <c r="Y1170" t="inlineStr">
        <is>
          <t>Bank Transfer</t>
        </is>
      </c>
      <c r="Z1170" t="inlineStr">
        <is>
          <t>Ma. Juanita Dela Cruz</t>
        </is>
      </c>
      <c r="AA1170" t="inlineStr">
        <is>
          <t>008750028842</t>
        </is>
      </c>
      <c r="AB1170" t="inlineStr">
        <is>
          <t>BDO</t>
        </is>
      </c>
      <c r="AC1170" t="inlineStr">
        <is>
          <t>4840 Valderama stm Pio Del Pilar Makati City</t>
        </is>
      </c>
      <c r="AD1170" s="4">
        <v>45951</v>
      </c>
      <c r="AE1170" t="inlineStr">
        <is>
          <t>100% Full Payment - Oct. 31, 2025</t>
        </is>
      </c>
      <c r="AF1170" s="2"/>
      <c r="AG1170" t="inlineStr">
        <is>
          <t>NzQyNTk5MTgyNzQ4MTg3MDM0MTpFNjEyNjRDOS01NDFDLTQ2MTgtQURGRi1BNjdBMkE2RDdDOTUtMTozMzZlOTMyNjA3OGIyMGEzOWM3ZDBjMGM2NzRmODRjMDox</t>
        </is>
      </c>
      <c r="AH1170" t="inlineStr">
        <is>
          <t>Ma. Juanita Dela Cruz</t>
        </is>
      </c>
      <c r="AI1170"/>
      <c r="AJ1170" t="inlineStr">
        <is>
          <t>LIQUIDITY PLAN (PAR # 202509300084 / 2025TEG-P0216)
PROCUREMENT COST ESTIMATE TAB &gt; MARKETING / TALENT &gt;
Host
Total Remaining Budget = (Php 16,850.00) NEGATIVE
Actual Cost = Php 38,900.00
Balance = (Php 55,750.00) OVER BUDGET</t>
        </is>
      </c>
      <c r="AK1170"/>
    </row>
    <row r="1171" ht="25.5" customHeight="1">
      <c r="A1171" s="2" t="str">
        <f>=HYPERLINK("https://applink.larksuite.com/client/mini_program/open?appId=cli_9c7cc8a9a9edd105&amp;mode=appCenter&amp;path_pc=pc/pages/requested/index?instanceId=7566099300984344286&amp;source=bitable&amp;path=pages/detail/index?instanceId=7566099300984344286&amp;source=bitable", "202510280021")</f>
        <v>202510280021</v>
      </c>
      <c r="B1171" t="inlineStr">
        <is>
          <t>Approved</t>
        </is>
      </c>
      <c r="C1171" t="inlineStr">
        <is>
          <t>Procurement Order</t>
        </is>
      </c>
      <c r="D1171" s="3">
        <v>45958.45104166667</v>
      </c>
      <c r="E1171" s="3">
        <v>45958.807754629626</v>
      </c>
      <c r="F1171" t="inlineStr">
        <is>
          <t>Fatima Kathleen M. FLores</t>
        </is>
      </c>
      <c r="G1171" t="inlineStr">
        <is>
          <t>Procurement</t>
        </is>
      </c>
      <c r="H1171"/>
      <c r="I1171"/>
      <c r="J1171" t="inlineStr">
        <is>
          <t>Project</t>
        </is>
      </c>
      <c r="K1171" t="inlineStr">
        <is>
          <t>PDEI - Event Service</t>
        </is>
      </c>
      <c r="L1171" t="inlineStr">
        <is>
          <t>Bingo Plus Panalo Caravan</t>
        </is>
      </c>
      <c r="M1171" t="inlineStr">
        <is>
          <t>2025TEG-P0216</t>
        </is>
      </c>
      <c r="N1171" t="inlineStr">
        <is>
          <t>Ronelle Kylene Chaneco Lim</t>
        </is>
      </c>
      <c r="O1171" t="inlineStr">
        <is>
          <t>202510210067-Ronelle Kylene Chaneco Lim-费用报销 - 副本 - 副本 - 副本-2025-10-21 07:10:31</t>
        </is>
      </c>
      <c r="P1171" t="inlineStr">
        <is>
          <t>YES</t>
        </is>
      </c>
      <c r="Q1171"/>
      <c r="R1171" t="inlineStr">
        <is>
          <t>YES</t>
        </is>
      </c>
      <c r="S1171" t="inlineStr">
        <is>
          <t>Outsourced Host (Joe Star Scream)</t>
        </is>
      </c>
      <c r="T1171">
        <v>1</v>
      </c>
      <c r="U1171">
        <v>66800</v>
      </c>
      <c r="V1171" t="inlineStr">
        <is>
          <t>PHP</t>
        </is>
      </c>
      <c r="W1171">
        <v>66800</v>
      </c>
      <c r="X1171" s="2" t="str">
        <f>=HYPERLINK("https://www.larksuite.com/approval/admin/previewAttachment?key=PMgxCkJBDATQK02S2STjZWz283ERK0Gx2LMLFrYv25A9LFKgzAXbNTIhBaBmkN65fVuVUFbe-3ic1-YAPusd88651n7d5nk8bajcUUFGA7DL36NISkn8HN8AAAD__w", "2 attachment(s)")</f>
        <v>2 attachment(s)</v>
      </c>
      <c r="Y1171" t="inlineStr">
        <is>
          <t>Bank Transfer</t>
        </is>
      </c>
      <c r="Z1171" t="inlineStr">
        <is>
          <t>Carlo Patrick Torres</t>
        </is>
      </c>
      <c r="AA1171" t="inlineStr">
        <is>
          <t>8249126552</t>
        </is>
      </c>
      <c r="AB1171" t="inlineStr">
        <is>
          <t>BPI</t>
        </is>
      </c>
      <c r="AC1171" t="inlineStr">
        <is>
          <t>L8 B5 Doña Trinidad St. Ireneville 1 Brgy. BF Homes, Sucat Parañaque City</t>
        </is>
      </c>
      <c r="AD1171" s="4">
        <v>45949</v>
      </c>
      <c r="AE1171" t="inlineStr">
        <is>
          <t>1st Payment - Oct. 31, 2025
Final Payment - Nov. 7, 2025</t>
        </is>
      </c>
      <c r="AF1171" s="2"/>
      <c r="AG1171" t="inlineStr">
        <is>
          <t>NzQyNTk5MTgyNzQ4MTg3MDM0MTpDQkQ4NDE5NC1ERTM4LTQzM0UtQTg5Qi1ENTFERjBFNUNENTAtMToyZDdjMzQ4YzhkNzY1YWU4ZTY2MGQ3NDk1ZDYyNDZjOTox</t>
        </is>
      </c>
      <c r="AH1171" t="inlineStr">
        <is>
          <t>Carlo Patrick Torres</t>
        </is>
      </c>
      <c r="AI1171"/>
      <c r="AJ1171" t="inlineStr">
        <is>
          <t>LIQUIDITY PLAN (PAR # 202509300084 / 2025TEG-P0216)
PROCUREMENT COST ESTIMATE TAB &gt; MARKETING / TALENT &gt;
Host
Total Remaining Budget = Php 49,950.00
Actual Cost = Php 66,800.00
Balance = (Php 16,850.00) OVER BUDGET</t>
        </is>
      </c>
      <c r="AK1171"/>
    </row>
    <row r="1172" ht="25.5" customHeight="1">
      <c r="A1172" s="2" t="str">
        <f>=HYPERLINK("https://applink.larksuite.com/client/mini_program/open?appId=cli_9c7cc8a9a9edd105&amp;mode=appCenter&amp;path_pc=pc/pages/requested/index?instanceId=7566110654105423584&amp;source=bitable&amp;path=pages/detail/index?instanceId=7566110654105423584&amp;source=bitable", "202510280041")</f>
        <v>202510280041</v>
      </c>
      <c r="B1172" t="inlineStr">
        <is>
          <t>Approved</t>
        </is>
      </c>
      <c r="C1172" t="inlineStr">
        <is>
          <t>Procurement Order</t>
        </is>
      </c>
      <c r="D1172" s="3">
        <v>45958.48163194444</v>
      </c>
      <c r="E1172" s="3">
        <v>45958.73388888889</v>
      </c>
      <c r="F1172" t="inlineStr">
        <is>
          <t>Fatima Kathleen M. FLores</t>
        </is>
      </c>
      <c r="G1172" t="inlineStr">
        <is>
          <t>Procurement</t>
        </is>
      </c>
      <c r="H1172"/>
      <c r="I1172"/>
      <c r="J1172" t="inlineStr">
        <is>
          <t>Project</t>
        </is>
      </c>
      <c r="K1172" t="inlineStr">
        <is>
          <t>PDEI - Game Marketing</t>
        </is>
      </c>
      <c r="L1172" t="inlineStr">
        <is>
          <t>WCG 2025 Creator Rumble</t>
        </is>
      </c>
      <c r="M1172" t="inlineStr">
        <is>
          <t>2025TEG-P0041</t>
        </is>
      </c>
      <c r="N1172" t="inlineStr">
        <is>
          <t>Maura Aurel Atilano Yap</t>
        </is>
      </c>
      <c r="O1172" t="inlineStr">
        <is>
          <t>202510230095-Maura Aurel Atilano Yap-费用报销 - 副本 - 副本 - 副本-2025-10-23 10:03:26</t>
        </is>
      </c>
      <c r="P1172" t="inlineStr">
        <is>
          <t>YES</t>
        </is>
      </c>
      <c r="Q1172"/>
      <c r="R1172" t="inlineStr">
        <is>
          <t>NO</t>
        </is>
      </c>
      <c r="S1172" t="inlineStr">
        <is>
          <t>Outsourced Talent Caster (Mlo)</t>
        </is>
      </c>
      <c r="T1172">
        <v>1</v>
      </c>
      <c r="U1172">
        <v>20000</v>
      </c>
      <c r="V1172" t="inlineStr">
        <is>
          <t>PHP</t>
        </is>
      </c>
      <c r="W1172">
        <v>20000</v>
      </c>
      <c r="X1172" s="2" t="str">
        <f>=HYPERLINK("https://www.larksuite.com/approval/admin/previewAttachment?key=PMg9CsJAEAXgK703vztexmZDUDQiCIvNnF2wSPvFIGI4NQpWlAI7PYJEuBFuoj6spZlZSKaM3o79-uJ3zocu8Lnex73Xbe7bh14pglQzHQB4OV3TzKrC8Hf8AgAA__8", "2 attachment(s)")</f>
        <v>2 attachment(s)</v>
      </c>
      <c r="Y1172" t="inlineStr">
        <is>
          <t>Bank Transfer</t>
        </is>
      </c>
      <c r="Z1172" t="inlineStr">
        <is>
          <t>Polo Pueyo Medina</t>
        </is>
      </c>
      <c r="AA1172" t="inlineStr">
        <is>
          <t>1093 2059 7837</t>
        </is>
      </c>
      <c r="AB1172" t="inlineStr">
        <is>
          <t>Unionbank</t>
        </is>
      </c>
      <c r="AC1172" t="inlineStr">
        <is>
          <t>Phase 8 Block 6 Lot 21 Rambutan Street Carmona Estates, Brgy. Lantic, Carmona, Cavite</t>
        </is>
      </c>
      <c r="AD1172" s="4">
        <v>45955</v>
      </c>
      <c r="AE1172" t="inlineStr">
        <is>
          <t>100% Full Payment - Nov. 7, 2025</t>
        </is>
      </c>
      <c r="AF1172" s="2"/>
      <c r="AG1172" t="inlineStr">
        <is>
          <t>NzQyNTk5MTgyNzQ4MTg3MDM0MTpDM0NBOUY1Ni0xODEzLTQ0RUUtQkNDOS0zNUMyREY5RTQzOUUtMTpjNDE3OTE4NmYxOGVhMjczNTIwYTNkNzE4YmUyOGI3Zjox</t>
        </is>
      </c>
      <c r="AH1172" t="inlineStr">
        <is>
          <t>Polo Pueyo Medina</t>
        </is>
      </c>
      <c r="AI1172"/>
      <c r="AJ1172" t="inlineStr">
        <is>
          <t>LIQUIDITY PLAN (PAR # 202505160019 / 2025TEG-P0041)
TALENT-RELATED COSTS &gt; KOLs
Total Remaining Budget = Php 203,400.00
Actual Cost = Php 20,000.00
Balance = Php 183,400.00</t>
        </is>
      </c>
      <c r="AK1172"/>
    </row>
    <row r="1173" ht="25.5" customHeight="1">
      <c r="A1173" s="2" t="str">
        <f>=HYPERLINK("https://applink.larksuite.com/client/mini_program/open?appId=cli_9c7cc8a9a9edd105&amp;mode=appCenter&amp;path_pc=pc/pages/requested/index?instanceId=7566108359884082913&amp;source=bitable&amp;path=pages/detail/index?instanceId=7566108359884082913&amp;source=bitable", "202510280033")</f>
        <v>202510280033</v>
      </c>
      <c r="B1173" t="inlineStr">
        <is>
          <t>Approved</t>
        </is>
      </c>
      <c r="C1173" t="inlineStr">
        <is>
          <t>Procurement Order</t>
        </is>
      </c>
      <c r="D1173" s="3">
        <v>45958.47545138889</v>
      </c>
      <c r="E1173" s="3">
        <v>45958.73447916667</v>
      </c>
      <c r="F1173" t="inlineStr">
        <is>
          <t>Fatima Kathleen M. FLores</t>
        </is>
      </c>
      <c r="G1173" t="inlineStr">
        <is>
          <t>Procurement</t>
        </is>
      </c>
      <c r="H1173"/>
      <c r="I1173"/>
      <c r="J1173" t="inlineStr">
        <is>
          <t>Project</t>
        </is>
      </c>
      <c r="K1173" t="inlineStr">
        <is>
          <t>PDEI - Game Marketing</t>
        </is>
      </c>
      <c r="L1173" t="inlineStr">
        <is>
          <t>WCG 2025 Creator Rumble</t>
        </is>
      </c>
      <c r="M1173" t="inlineStr">
        <is>
          <t>2025TEG-P0041</t>
        </is>
      </c>
      <c r="N1173" t="inlineStr">
        <is>
          <t>Maura Aurel Atilano Yap</t>
        </is>
      </c>
      <c r="O1173" t="inlineStr">
        <is>
          <t>202510230095-Maura Aurel Atilano Yap-费用报销 - 副本 - 副本 - 副本-2025-10-23 10:03:26</t>
        </is>
      </c>
      <c r="P1173" t="inlineStr">
        <is>
          <t>YES</t>
        </is>
      </c>
      <c r="Q1173"/>
      <c r="R1173" t="inlineStr">
        <is>
          <t>NO</t>
        </is>
      </c>
      <c r="S1173" t="inlineStr">
        <is>
          <t>Outsourced Talent Caster</t>
        </is>
      </c>
      <c r="T1173">
        <v>1</v>
      </c>
      <c r="U1173">
        <v>20000</v>
      </c>
      <c r="V1173" t="inlineStr">
        <is>
          <t>PHP</t>
        </is>
      </c>
      <c r="W1173">
        <v>20000</v>
      </c>
      <c r="X1173" s="2" t="str">
        <f>=HYPERLINK("https://www.larksuite.com/approval/admin/previewAttachment?key=PMgrDsJgEATgK83se7kMhj8NgtaQEhB7dhIE9osiopwaDWtKg5MeQZR6VxlKmjoyzGwkU2rWvl11z_MUf6_Po45D53W_betJ7xRBqpkWAF7-rmlm3WH4Ob4BAAD__w", "2 attachment(s)")</f>
        <v>2 attachment(s)</v>
      </c>
      <c r="Y1173" t="inlineStr">
        <is>
          <t>Bank Transfer</t>
        </is>
      </c>
      <c r="Z1173" t="inlineStr">
        <is>
          <t>Michaella Gonzales</t>
        </is>
      </c>
      <c r="AA1173" t="inlineStr">
        <is>
          <t>09167583353</t>
        </is>
      </c>
      <c r="AB1173" t="inlineStr">
        <is>
          <t>GCash</t>
        </is>
      </c>
      <c r="AC1173" t="inlineStr">
        <is>
          <t>1273 Carnation Street, Brgy. Malinta, Valenzuela City</t>
        </is>
      </c>
      <c r="AD1173" s="4">
        <v>45955</v>
      </c>
      <c r="AE1173" t="inlineStr">
        <is>
          <t>100% Full Payment - Nov. 7, 2025</t>
        </is>
      </c>
      <c r="AF1173" s="2"/>
      <c r="AG1173" t="inlineStr">
        <is>
          <t>NzQyNTk5MTgyNzQ4MTg3MDM0MTpEQUE1ODRBRC1BMkE5LTRGRjgtOTU0Ni1CQkM0OEI0QzFBRjktMTpkNjE3MDMyMzFiMGI2NDVlYzg1MzY3MTUxNzg2YmQ5Zjox</t>
        </is>
      </c>
      <c r="AH1173" t="inlineStr">
        <is>
          <t>Michaella Gonzales</t>
        </is>
      </c>
      <c r="AI1173"/>
      <c r="AJ1173" t="inlineStr">
        <is>
          <t>LIQUIDITY PLAN (PAR # 202505160019 / 2025TEG-P0041)
TALENT-RELATED COSTS &gt; KOLs
Total Remaining Budget = Php 223,400.00
Actual Cost = Php 20,000.00
Balance = Php 203,400.00</t>
        </is>
      </c>
      <c r="AK1173"/>
    </row>
    <row r="1174" ht="25.5" customHeight="1">
      <c r="A1174" s="2" t="str">
        <f>=HYPERLINK("https://applink.larksuite.com/client/mini_program/open?appId=cli_9c7cc8a9a9edd105&amp;mode=appCenter&amp;path_pc=pc/pages/requested/index?instanceId=7566106777679335136&amp;source=bitable&amp;path=pages/detail/index?instanceId=7566106777679335136&amp;source=bitable", "202510280030")</f>
        <v>202510280030</v>
      </c>
      <c r="B1174" t="inlineStr">
        <is>
          <t>Approved</t>
        </is>
      </c>
      <c r="C1174" t="inlineStr">
        <is>
          <t>Procurement Order</t>
        </is>
      </c>
      <c r="D1174" s="3">
        <v>45958.47119212963</v>
      </c>
      <c r="E1174" s="3">
        <v>45958.783483796295</v>
      </c>
      <c r="F1174" t="inlineStr">
        <is>
          <t>Fatima Kathleen M. FLores</t>
        </is>
      </c>
      <c r="G1174" t="inlineStr">
        <is>
          <t>Procurement</t>
        </is>
      </c>
      <c r="H1174"/>
      <c r="I1174"/>
      <c r="J1174" t="inlineStr">
        <is>
          <t>Project</t>
        </is>
      </c>
      <c r="K1174" t="inlineStr">
        <is>
          <t>PDEI - Game Marketing</t>
        </is>
      </c>
      <c r="L1174" t="inlineStr">
        <is>
          <t>WCG 2025 Creator Rumble</t>
        </is>
      </c>
      <c r="M1174" t="inlineStr">
        <is>
          <t>2025TEG-P0041</t>
        </is>
      </c>
      <c r="N1174" t="inlineStr">
        <is>
          <t>Maura Aurel Atilano Yap</t>
        </is>
      </c>
      <c r="O1174" t="inlineStr">
        <is>
          <t>202510160032-Maura Aurel Atilano Yap-费用报销 - 副本 - 副本 - 副本-2025-10-16 06:20:37</t>
        </is>
      </c>
      <c r="P1174" t="inlineStr">
        <is>
          <t>YES</t>
        </is>
      </c>
      <c r="Q1174"/>
      <c r="R1174" t="inlineStr">
        <is>
          <t>NO</t>
        </is>
      </c>
      <c r="S1174" t="inlineStr">
        <is>
          <t>Outsourced Road Manager (Oct. 25 to 26, 2025)</t>
        </is>
      </c>
      <c r="T1174">
        <v>1</v>
      </c>
      <c r="U1174">
        <v>2000</v>
      </c>
      <c r="V1174" t="inlineStr">
        <is>
          <t>PHP</t>
        </is>
      </c>
      <c r="W1174">
        <v>2000</v>
      </c>
      <c r="X1174" s="2" t="str">
        <f>=HYPERLINK("https://www.larksuite.com/approval/admin/previewAttachment?key=PMkxDgJRCATQK80AnwEvY-NmY1ytTOw4u9Fi2_eyiKxFz0Y0rcHRyiRSUqrdfzk2lBqirGZ77VfR3J8m2eOIdcznftu3N1fLDPIILwC8nO6KiO4M_B3fAAAA__8", "2 attachment(s)")</f>
        <v>2 attachment(s)</v>
      </c>
      <c r="Y1174" t="inlineStr">
        <is>
          <t>Bank Transfer</t>
        </is>
      </c>
      <c r="Z1174" t="inlineStr">
        <is>
          <t>Kimberly Ramos</t>
        </is>
      </c>
      <c r="AA1174" t="inlineStr">
        <is>
          <t>2703911772885</t>
        </is>
      </c>
      <c r="AB1174" t="inlineStr">
        <is>
          <t>Metrobank</t>
        </is>
      </c>
      <c r="AC1174" t="inlineStr">
        <is>
          <t>53 Rosal Street Miguelito Homes Gen. T. De Leon Valenzuela City</t>
        </is>
      </c>
      <c r="AD1174" s="4">
        <v>45955</v>
      </c>
      <c r="AE1174" t="inlineStr">
        <is>
          <t>100% Full Payment - Nov. 7, 2025</t>
        </is>
      </c>
      <c r="AF1174" s="2"/>
      <c r="AG1174" t="inlineStr">
        <is>
          <t>NzQyNTk5MTgyNzQ4MTg3MDM0MTpBNDk5RTRGQS05RUQ0LTRCMjYtQkEyQi1DODUyMDM5ODcyRTItMTozMjIxNDM0YjhhMzc5M2MwMWVhYjY4OGE3MDM5MjZlNzox</t>
        </is>
      </c>
      <c r="AH1174" t="inlineStr">
        <is>
          <t>Kimberly Ramos</t>
        </is>
      </c>
      <c r="AI1174"/>
      <c r="AJ1174" t="inlineStr">
        <is>
          <t>LIQUIDITY PLAN (PAR # 202505160019 / 2025TEG-P0041)
MANPOWER &gt; Talent Management &gt;
Road Manager
Total Remaining Budget = Php 9,750.00
Actual Cost = Php 2,000.00
Balance = Php 7,750.00</t>
        </is>
      </c>
      <c r="AK1174"/>
    </row>
    <row r="1175" ht="25.5" customHeight="1">
      <c r="A1175" s="2" t="str">
        <f>=HYPERLINK("https://applink.larksuite.com/client/mini_program/open?appId=cli_9c7cc8a9a9edd105&amp;mode=appCenter&amp;path_pc=pc/pages/requested/index?instanceId=7566179381895237345&amp;source=bitable&amp;path=pages/detail/index?instanceId=7566179381895237345&amp;source=bitable", "202510280131")</f>
        <v>202510280131</v>
      </c>
      <c r="B1175" t="inlineStr">
        <is>
          <t>Approved</t>
        </is>
      </c>
      <c r="C1175" t="inlineStr">
        <is>
          <t>Procurement Order</t>
        </is>
      </c>
      <c r="D1175" s="3">
        <v>45958.66684027778</v>
      </c>
      <c r="E1175" s="3">
        <v>45958.758518518516</v>
      </c>
      <c r="F1175" t="inlineStr">
        <is>
          <t>Fatima Kathleen M. FLores</t>
        </is>
      </c>
      <c r="G1175" t="inlineStr">
        <is>
          <t>Procurement</t>
        </is>
      </c>
      <c r="H1175"/>
      <c r="I1175"/>
      <c r="J1175" t="inlineStr">
        <is>
          <t>Project</t>
        </is>
      </c>
      <c r="K1175" t="inlineStr">
        <is>
          <t>PDEI - Event Service</t>
        </is>
      </c>
      <c r="L1175" t="inlineStr">
        <is>
          <t>MPL PH S16 - Playoffs</t>
        </is>
      </c>
      <c r="M1175" t="inlineStr">
        <is>
          <t>2025TEG-P0215</t>
        </is>
      </c>
      <c r="N1175" t="inlineStr">
        <is>
          <t>Katherine Denise Lee Sy</t>
        </is>
      </c>
      <c r="O1175" t="inlineStr">
        <is>
          <t>202510010046-Katherine Denise Lee Sy-费用报销 - 副本 - 副本 - 副本-2025-10-01 05:23:15</t>
        </is>
      </c>
      <c r="P1175" t="inlineStr">
        <is>
          <t>YES</t>
        </is>
      </c>
      <c r="Q1175"/>
      <c r="R1175" t="inlineStr">
        <is>
          <t>NO</t>
        </is>
      </c>
      <c r="S1175" t="inlineStr">
        <is>
          <t>Outsourced Asst. Staging Director (Oct. 16 to 24, 2025)</t>
        </is>
      </c>
      <c r="T1175">
        <v>1</v>
      </c>
      <c r="U1175">
        <v>54000</v>
      </c>
      <c r="V1175" t="inlineStr">
        <is>
          <t>PHP</t>
        </is>
      </c>
      <c r="W1175">
        <v>54000</v>
      </c>
      <c r="X1175" s="2" t="str">
        <f>=HYPERLINK("https://www.larksuite.com/approval/admin/previewAttachment?key=PMg9CgJBDAXgK738TF7iZWwcBlFWFkTFImcXLLb9IgWRQywKXqIFaY4IYVlK1lCj-WhtIQsUavbc1hn2uXF_3Vdu8_vY-329rPmUUVQFzd0SgJwON7p7VTj-jl8AAAD__w", "2 attachment(s)")</f>
        <v>2 attachment(s)</v>
      </c>
      <c r="Y1175" t="inlineStr">
        <is>
          <t>Bank Transfer</t>
        </is>
      </c>
      <c r="Z1175" t="inlineStr">
        <is>
          <t>Allen Bert Araño</t>
        </is>
      </c>
      <c r="AA1175" t="inlineStr">
        <is>
          <t>109855637640</t>
        </is>
      </c>
      <c r="AB1175" t="inlineStr">
        <is>
          <t>Unionbank</t>
        </is>
      </c>
      <c r="AC1175" t="inlineStr">
        <is>
          <t>Marungko, Angat, Bulacan</t>
        </is>
      </c>
      <c r="AD1175" s="4">
        <v>45946</v>
      </c>
      <c r="AE1175" t="inlineStr">
        <is>
          <t>1st Payment - Nov. 14, 2025
Final Payment - Nov. 28, 2025</t>
        </is>
      </c>
      <c r="AF1175" s="2"/>
      <c r="AG1175" t="inlineStr">
        <is>
          <t>NzQyNTk5MTgyNzQ4MTg3MDM0MTozMDQ2OUFCMC01MjNDLTRDQTktODUzQS0zRTgzNjNBMDcwRkItMTo1MjhjYjg5MGY5NDU4YTRmMDM5MzJjMDI0N2FmYTE2Nzox</t>
        </is>
      </c>
      <c r="AH1175" t="inlineStr">
        <is>
          <t>Allen Bert Araño</t>
        </is>
      </c>
      <c r="AI1175"/>
      <c r="AJ1175" t="inlineStr">
        <is>
          <t>LIQUIDITY PLAN (PAR # 202509020094 / 2025TEG-P0215)
4.7 Manpower Arrangement &gt; MANPOWER PIC &gt;
Assistant Technical Director Ingress (Allen and JM)
Assistant Technical Director Event
Total Remaining Budget = Php 58,500.00
Actual Cost = Php 54,000.00
Balance = Php 4,500.00</t>
        </is>
      </c>
      <c r="AK1175"/>
    </row>
    <row r="1176" ht="25.5" customHeight="1">
      <c r="A1176" s="2" t="str">
        <f>=HYPERLINK("https://applink.larksuite.com/client/mini_program/open?appId=cli_9c7cc8a9a9edd105&amp;mode=appCenter&amp;path_pc=pc/pages/requested/index?instanceId=7566177941063732956&amp;source=bitable&amp;path=pages/detail/index?instanceId=7566177941063732956&amp;source=bitable", "202510280127")</f>
        <v>202510280127</v>
      </c>
      <c r="B1176" t="inlineStr">
        <is>
          <t>Approved</t>
        </is>
      </c>
      <c r="C1176" t="inlineStr">
        <is>
          <t>Procurement Order</t>
        </is>
      </c>
      <c r="D1176" s="3">
        <v>45958.66296296296</v>
      </c>
      <c r="E1176" s="3">
        <v>45958.75608796296</v>
      </c>
      <c r="F1176" t="inlineStr">
        <is>
          <t>Fatima Kathleen M. FLores</t>
        </is>
      </c>
      <c r="G1176" t="inlineStr">
        <is>
          <t>Procurement</t>
        </is>
      </c>
      <c r="H1176"/>
      <c r="I1176"/>
      <c r="J1176" t="inlineStr">
        <is>
          <t>Project</t>
        </is>
      </c>
      <c r="K1176" t="inlineStr">
        <is>
          <t>PDEI - Event Service</t>
        </is>
      </c>
      <c r="L1176" t="inlineStr">
        <is>
          <t>MPL PH S16 - Playoffs</t>
        </is>
      </c>
      <c r="M1176" t="inlineStr">
        <is>
          <t>2025TEG-P0215</t>
        </is>
      </c>
      <c r="N1176" t="inlineStr">
        <is>
          <t>Katherine Denise Lee Sy</t>
        </is>
      </c>
      <c r="O1176" t="inlineStr">
        <is>
          <t>202510010046-Katherine Denise Lee Sy-费用报销 - 副本 - 副本 - 副本-2025-10-01 05:23:15</t>
        </is>
      </c>
      <c r="P1176" t="inlineStr">
        <is>
          <t>YES</t>
        </is>
      </c>
      <c r="Q1176"/>
      <c r="R1176" t="inlineStr">
        <is>
          <t>NO</t>
        </is>
      </c>
      <c r="S1176" t="inlineStr">
        <is>
          <t>Outsourced Staging Director (Oct. 16 to 24, 2025)</t>
        </is>
      </c>
      <c r="T1176">
        <v>1</v>
      </c>
      <c r="U1176">
        <v>54000</v>
      </c>
      <c r="V1176" t="inlineStr">
        <is>
          <t>PHP</t>
        </is>
      </c>
      <c r="W1176">
        <v>54000</v>
      </c>
      <c r="X1176" s="2" t="str">
        <f>=HYPERLINK("https://www.larksuite.com/approval/admin/previewAttachment?key=PMg7jsJAEATQK1X1d3ovs8lYIyRjEmQQQZ8dQUD6YhAxnBoFK0qBnR7BzDIiNFXKo6U_gmTK6O1Y_7tc93k7X8c5uZ7ej8tc251eKYJUMx0A-PdzTTOrCsPX8Q4AAP__", "2 attachment(s)")</f>
        <v>2 attachment(s)</v>
      </c>
      <c r="Y1176" t="inlineStr">
        <is>
          <t>Bank Transfer</t>
        </is>
      </c>
      <c r="Z1176" t="inlineStr">
        <is>
          <t>John Martin Señorosa</t>
        </is>
      </c>
      <c r="AA1176" t="inlineStr">
        <is>
          <t>09458006005</t>
        </is>
      </c>
      <c r="AB1176" t="inlineStr">
        <is>
          <t>GCash</t>
        </is>
      </c>
      <c r="AC1176" t="inlineStr">
        <is>
          <t>45 calia II st. Bayan Bayanan Malabon City</t>
        </is>
      </c>
      <c r="AD1176" s="4">
        <v>45946</v>
      </c>
      <c r="AE1176" t="inlineStr">
        <is>
          <t>1st Payment - Nov. 14, 2025
Final Payment - Nov. 28, 2025</t>
        </is>
      </c>
      <c r="AF1176" s="2"/>
      <c r="AG1176" t="inlineStr">
        <is>
          <t>NzQyNTk5MTgyNzQ4MTg3MDM0MTo3RkNEODUyMy05MDM0LTRGNDItOTMzRi0xQThEREUzRjUzRjQtMTo1NWZjZjYwZGNlMDdjMTk1MWI4OWZhOTI1MmRlM2NiNDox</t>
        </is>
      </c>
      <c r="AH1176" t="inlineStr">
        <is>
          <t>John Martin Señorosa</t>
        </is>
      </c>
      <c r="AI1176"/>
      <c r="AJ1176" t="inlineStr">
        <is>
          <t>LIQUIDITY PLAN (PAR # 202509020094 / 2025TEG-P0215)
4.7 Manpower Arrangement &gt; MANPOWER PIC &gt;
Assistant Technical Director Ingress (Allen and JM)
Total Budget = Php 75,000.00
Actual Cost = Php 54,000.00
Balance = Php 21,000.00</t>
        </is>
      </c>
      <c r="AK1176"/>
    </row>
    <row r="1177" ht="25.5" customHeight="1">
      <c r="A1177" s="2" t="str">
        <f>=HYPERLINK("https://applink.larksuite.com/client/mini_program/open?appId=cli_9c7cc8a9a9edd105&amp;mode=appCenter&amp;path_pc=pc/pages/requested/index?instanceId=7566185793761382109&amp;source=bitable&amp;path=pages/detail/index?instanceId=7566185793761382109&amp;source=bitable", "202510280142")</f>
        <v>202510280142</v>
      </c>
      <c r="B1177" t="inlineStr">
        <is>
          <t>Approved</t>
        </is>
      </c>
      <c r="C1177" t="inlineStr">
        <is>
          <t>Procurement Order</t>
        </is>
      </c>
      <c r="D1177" s="3">
        <v>45958.68412037037</v>
      </c>
      <c r="E1177" s="3">
        <v>45960.73672453704</v>
      </c>
      <c r="F1177" t="inlineStr">
        <is>
          <t>Fatima Kathleen M. FLores</t>
        </is>
      </c>
      <c r="G1177" t="inlineStr">
        <is>
          <t>Procurement</t>
        </is>
      </c>
      <c r="H1177"/>
      <c r="I1177"/>
      <c r="J1177" t="inlineStr">
        <is>
          <t>CAPEX</t>
        </is>
      </c>
      <c r="K1177"/>
      <c r="L1177"/>
      <c r="M1177"/>
      <c r="N1177"/>
      <c r="O1177" t="inlineStr">
        <is>
          <t>202510090077-Rachel Anne Aquino-费用报销 - 副本 - 副本 - 副本-2025-10-09 07:59:27</t>
        </is>
      </c>
      <c r="P1177"/>
      <c r="Q1177" t="inlineStr">
        <is>
          <t>IT</t>
        </is>
      </c>
      <c r="R1177"/>
      <c r="S1177" t="inlineStr">
        <is>
          <t>Cat6 RJ45 Dual Layer PassThrough</t>
        </is>
      </c>
      <c r="T1177">
        <v>400</v>
      </c>
      <c r="U1177">
        <v>16.5</v>
      </c>
      <c r="V1177" t="inlineStr">
        <is>
          <t>PHP</t>
        </is>
      </c>
      <c r="W1177">
        <v>6600</v>
      </c>
      <c r="X1177" s="2" t="str">
        <f>=HYPERLINK("https://www.larksuite.com/approval/admin/previewAttachment?key=PMgxCgJBDAXQK_2fZPITL2PjsrigIIjiFHN2wcL2ZRFZg56NaFqDSyOTNdSupJcRvWxRaoiyWtt9P7_mcVOXPeqYH4_1vl727cnRMoM8wgsAT393RUR3Bn6ObwAAAP__", "2 attachment(s)")</f>
        <v>2 attachment(s)</v>
      </c>
      <c r="Y1177" t="inlineStr">
        <is>
          <t>Bank Transfer</t>
        </is>
      </c>
      <c r="Z1177" t="inlineStr">
        <is>
          <t>Iglobe Technology Marketing</t>
        </is>
      </c>
      <c r="AA1177" t="inlineStr">
        <is>
          <t>003450095980</t>
        </is>
      </c>
      <c r="AB1177" t="inlineStr">
        <is>
          <t>BDO</t>
        </is>
      </c>
      <c r="AC1177" t="inlineStr">
        <is>
          <t>Unit K3/F Gilmore Comml Plaza, Gilmore Ave., cor. Aurora Blvd., New Manila, QC</t>
        </is>
      </c>
      <c r="AD1177" s="4">
        <v>45960</v>
      </c>
      <c r="AE1177" t="inlineStr">
        <is>
          <t>100% Full Payment before delivery</t>
        </is>
      </c>
      <c r="AF1177" s="2"/>
      <c r="AG1177" t="inlineStr">
        <is>
          <t>NzQyNTk5MTgyNzQ4MTg3MDM0MToxRDQyQkIyOS1BRkFFLTRGQkUtQTU1OC1DMTM4N0Y0MDdERTktMTo3NTA0NDQwODI5MTkyNWU2ZDdlZDFkMzBmMzQxZWE4Mjox</t>
        </is>
      </c>
      <c r="AH1177" t="inlineStr">
        <is>
          <t>Iglobe Technology Marketing</t>
        </is>
      </c>
      <c r="AI1177"/>
      <c r="AJ1177"/>
      <c r="AK1177"/>
    </row>
    <row r="1178" ht="25.5" customHeight="1">
      <c r="A1178" s="2" t="str">
        <f>=HYPERLINK("https://applink.larksuite.com/client/mini_program/open?appId=cli_9c7cc8a9a9edd105&amp;mode=appCenter&amp;path_pc=pc/pages/requested/index?instanceId=7566182630920638178&amp;source=bitable&amp;path=pages/detail/index?instanceId=7566182630920638178&amp;source=bitable", "202510280136")</f>
        <v>202510280136</v>
      </c>
      <c r="B1178" t="inlineStr">
        <is>
          <t>Approved</t>
        </is>
      </c>
      <c r="C1178" t="inlineStr">
        <is>
          <t>Procurement Order</t>
        </is>
      </c>
      <c r="D1178" s="3">
        <v>45958.67560185185</v>
      </c>
      <c r="E1178" s="3">
        <v>45965.727534722224</v>
      </c>
      <c r="F1178" t="inlineStr">
        <is>
          <t>Fatima Kathleen M. FLores</t>
        </is>
      </c>
      <c r="G1178" t="inlineStr">
        <is>
          <t>Procurement</t>
        </is>
      </c>
      <c r="H1178"/>
      <c r="I1178"/>
      <c r="J1178" t="inlineStr">
        <is>
          <t>Project</t>
        </is>
      </c>
      <c r="K1178" t="inlineStr">
        <is>
          <t>PDEI - Event Service</t>
        </is>
      </c>
      <c r="L1178" t="inlineStr">
        <is>
          <t>MPL PH S16 - Playoffs</t>
        </is>
      </c>
      <c r="M1178" t="inlineStr">
        <is>
          <t>2025TEG-P0215</t>
        </is>
      </c>
      <c r="N1178" t="inlineStr">
        <is>
          <t>Katherine Denise Lee Sy</t>
        </is>
      </c>
      <c r="O1178" t="inlineStr">
        <is>
          <t>202510070017-Katherine Denise Lee Sy-费用报销 - 副本 - 副本 - 副本-2025-10-07 04:19:09</t>
        </is>
      </c>
      <c r="P1178" t="inlineStr">
        <is>
          <t>YES</t>
        </is>
      </c>
      <c r="Q1178"/>
      <c r="R1178" t="inlineStr">
        <is>
          <t>YES</t>
        </is>
      </c>
      <c r="S1178" t="inlineStr">
        <is>
          <t>Outsourced Ushers (Oct. 22 to 26, 2025)</t>
        </is>
      </c>
      <c r="T1178">
        <v>1</v>
      </c>
      <c r="U1178">
        <v>48000</v>
      </c>
      <c r="V1178" t="inlineStr">
        <is>
          <t>PHP</t>
        </is>
      </c>
      <c r="W1178">
        <v>48000</v>
      </c>
      <c r="X1178" s="2" t="str">
        <f>=HYPERLINK("https://www.larksuite.com/approval/admin/previewAttachment?key=PMg7DgJhCATgK80APwNexsbNxkesjBoLzm5iYftlEVmLno1oWoOjlcmydLQhvagaG0oNUVaz3fcj_H0Vfb_c7PPsNa_zad8eXC0zyCO8APDwd1dEdGfg5_gGAAD__w", "2 attachment(s)")</f>
        <v>2 attachment(s)</v>
      </c>
      <c r="Y1178" t="inlineStr">
        <is>
          <t>Bank Transfer</t>
        </is>
      </c>
      <c r="Z1178" t="inlineStr">
        <is>
          <t>Marc Kevin Serrano</t>
        </is>
      </c>
      <c r="AA1178" t="inlineStr">
        <is>
          <t>1519218972</t>
        </is>
      </c>
      <c r="AB1178" t="inlineStr">
        <is>
          <t>BPI</t>
        </is>
      </c>
      <c r="AC1178" t="inlineStr">
        <is>
          <t>3 Don Guillermo Street, Barangay Holy Spirit, Commonwealth, Quezon City, Metro Manila, 112</t>
        </is>
      </c>
      <c r="AD1178" s="4">
        <v>45952</v>
      </c>
      <c r="AE1178" t="inlineStr">
        <is>
          <t>1st Payment - Nov. 21, 2025
Final Payment - Dec. 5, 2025</t>
        </is>
      </c>
      <c r="AF1178" s="2"/>
      <c r="AG1178" t="inlineStr">
        <is>
          <t>NzQyNTk5MTgyNzQ4MTg3MDM0MTpBRUVCQjE1OS0xQTE2LTQ0NUItQjI5Qy03Qzk3NUZEOTJFNkEtMTo1ODNkZjEwMDEyN2VjOTRiMzBlNzYzNmQ2NDlmNTI5ZTox</t>
        </is>
      </c>
      <c r="AH1178" t="inlineStr">
        <is>
          <t>Marc Kevin Serrano</t>
        </is>
      </c>
      <c r="AI1178"/>
      <c r="AJ1178" t="inlineStr">
        <is>
          <t>LIQUIDITY PLAN (PAR # 202509020094 / 2025TEG-P0215)
4.7 Manpower Arrangement &gt; MANPOWER PIC &gt;
Ushers
Total Budget = Php 39,000.00
Actual Cost = Php 48,000.00
Balance = (Php 9,000.00) OVER BUDGET
^ over budget to be charged to a RUNNING ADDENDUM</t>
        </is>
      </c>
      <c r="AK1178"/>
    </row>
    <row r="1179" ht="25.5" customHeight="1">
      <c r="A1179" s="2" t="str">
        <f>=HYPERLINK("https://applink.larksuite.com/client/mini_program/open?appId=cli_9c7cc8a9a9edd105&amp;mode=appCenter&amp;path_pc=pc/pages/requested/index?instanceId=7565858277502750431&amp;source=bitable&amp;path=pages/detail/index?instanceId=7565858277502750431&amp;source=bitable", "202510270185")</f>
        <v>202510270185</v>
      </c>
      <c r="B1179" t="inlineStr">
        <is>
          <t>Approved</t>
        </is>
      </c>
      <c r="C1179" t="inlineStr">
        <is>
          <t>Procurement Order</t>
        </is>
      </c>
      <c r="D1179" s="3">
        <v>45957.80152777778</v>
      </c>
      <c r="E1179" s="3">
        <v>45960.746469907404</v>
      </c>
      <c r="F1179" t="inlineStr">
        <is>
          <t>Fatima Kathleen M. FLores</t>
        </is>
      </c>
      <c r="G1179" t="inlineStr">
        <is>
          <t>Procurement</t>
        </is>
      </c>
      <c r="H1179"/>
      <c r="I1179"/>
      <c r="J1179" t="inlineStr">
        <is>
          <t>Project</t>
        </is>
      </c>
      <c r="K1179" t="inlineStr">
        <is>
          <t>PDEI - Event Service</t>
        </is>
      </c>
      <c r="L1179" t="inlineStr">
        <is>
          <t>MPL PH S16 - Playoffs</t>
        </is>
      </c>
      <c r="M1179" t="inlineStr">
        <is>
          <t>2025TEG-P0215</t>
        </is>
      </c>
      <c r="N1179" t="inlineStr">
        <is>
          <t>Katherine Denise Lee Sy</t>
        </is>
      </c>
      <c r="O1179" t="inlineStr">
        <is>
          <t>202510010042-Katherine Denise Lee Sy-费用报销 - 副本 - 副本 - 副本-2025-10-01 05:07:57</t>
        </is>
      </c>
      <c r="P1179" t="inlineStr">
        <is>
          <t>YES</t>
        </is>
      </c>
      <c r="Q1179"/>
      <c r="R1179" t="inlineStr">
        <is>
          <t>YES</t>
        </is>
      </c>
      <c r="S1179" t="inlineStr">
        <is>
          <t>Outsourced Technical Director</t>
        </is>
      </c>
      <c r="T1179">
        <v>1</v>
      </c>
      <c r="U1179">
        <v>75000</v>
      </c>
      <c r="V1179" t="inlineStr">
        <is>
          <t>PHP</t>
        </is>
      </c>
      <c r="W1179">
        <v>75000</v>
      </c>
      <c r="X1179" s="2" t="str">
        <f>=HYPERLINK("https://www.larksuite.com/approval/admin/previewAttachment?key=PMgxqkJRDATQLU2SyZ3kb-Y3Pi42ygNBscjaBQvbs8qwKi1Wg23esFGurCyXEq4Ew8bHpIZMXnPc9v8O4wvvTd3jPHOe18s-HpYtdyjIKAD29_MQye5FfB2fAAAA__8", "2 attachment(s)")</f>
        <v>2 attachment(s)</v>
      </c>
      <c r="Y1179" t="inlineStr">
        <is>
          <t>Bank Transfer</t>
        </is>
      </c>
      <c r="Z1179" t="inlineStr">
        <is>
          <t>Jordan Swing</t>
        </is>
      </c>
      <c r="AA1179" t="inlineStr">
        <is>
          <t>001560339452</t>
        </is>
      </c>
      <c r="AB1179" t="inlineStr">
        <is>
          <t>BDO</t>
        </is>
      </c>
      <c r="AC1179" t="inlineStr">
        <is>
          <t>723 P Gomez St Brgy Hagdan Bato Itaas Mandaluyong City</t>
        </is>
      </c>
      <c r="AD1179" s="4">
        <v>45926</v>
      </c>
      <c r="AE1179" t="inlineStr">
        <is>
          <t>1st Payment - Oct. 31, 2025
Final Payment - Nov. 14, 2025</t>
        </is>
      </c>
      <c r="AF1179" s="2"/>
      <c r="AG1179" t="inlineStr">
        <is>
          <t>NzQyNTk5MTgyNzQ4MTg3MDM0MTo4MTdCOUFCOS1DQ0U3LTQ5NkItODAwMi02OUE1RjcyOUUzRjQtMTpkMjA2ZTc4YzNlOWYyZWEyZTcwZDIzZmY0ODRjOTBjNzox</t>
        </is>
      </c>
      <c r="AH1179" t="inlineStr">
        <is>
          <t>Jordan Swing</t>
        </is>
      </c>
      <c r="AI1179"/>
      <c r="AJ1179" t="inlineStr">
        <is>
          <t>LIQUIDITY PLAN (PAR # 202509020094 / 2025TEG-P0215)
4.7 Manpower Arrangement &gt; MANPOWER PIC &gt;
Head Technical Director PLAYOFFS
Total Budget = Php 30,000.00
Actual Cost = Php 75,000.00
Balance = (Php 45,000.00) OVER BUDGET</t>
        </is>
      </c>
      <c r="AK1179"/>
    </row>
    <row r="1180" ht="25.5" customHeight="1">
      <c r="A1180" s="2" t="str">
        <f>=HYPERLINK("https://applink.larksuite.com/client/mini_program/open?appId=cli_9c7cc8a9a9edd105&amp;mode=appCenter&amp;path_pc=pc/pages/requested/index?instanceId=7565856259849588445&amp;source=bitable&amp;path=pages/detail/index?instanceId=7565856259849588445&amp;source=bitable", "202510270183")</f>
        <v>202510270183</v>
      </c>
      <c r="B1180" t="inlineStr">
        <is>
          <t>Approved</t>
        </is>
      </c>
      <c r="C1180" t="inlineStr">
        <is>
          <t>Procurement Order</t>
        </is>
      </c>
      <c r="D1180" s="3">
        <v>45957.79609953704</v>
      </c>
      <c r="E1180" s="3">
        <v>45960.74435185185</v>
      </c>
      <c r="F1180" t="inlineStr">
        <is>
          <t>Fatima Kathleen M. FLores</t>
        </is>
      </c>
      <c r="G1180" t="inlineStr">
        <is>
          <t>Procurement</t>
        </is>
      </c>
      <c r="H1180"/>
      <c r="I1180"/>
      <c r="J1180" t="inlineStr">
        <is>
          <t>Project</t>
        </is>
      </c>
      <c r="K1180" t="inlineStr">
        <is>
          <t>PDEI - Event Service</t>
        </is>
      </c>
      <c r="L1180" t="inlineStr">
        <is>
          <t>MPL PH S16 Addendum</t>
        </is>
      </c>
      <c r="M1180" t="inlineStr">
        <is>
          <t>2025TEG-P0269</t>
        </is>
      </c>
      <c r="N1180" t="inlineStr">
        <is>
          <t>Katherine Denise Lee Sy</t>
        </is>
      </c>
      <c r="O1180" t="inlineStr">
        <is>
          <t>202510140026-Katherine Denise Lee Sy-费用报销 - 副本 - 副本 - 副本-2025-10-14 04:24:19</t>
        </is>
      </c>
      <c r="P1180" t="inlineStr">
        <is>
          <t>YES</t>
        </is>
      </c>
      <c r="Q1180"/>
      <c r="R1180" t="inlineStr">
        <is>
          <t>YES</t>
        </is>
      </c>
      <c r="S1180" t="inlineStr">
        <is>
          <t>Outsourced Liaison Officer</t>
        </is>
      </c>
      <c r="T1180">
        <v>1</v>
      </c>
      <c r="U1180">
        <v>3000</v>
      </c>
      <c r="V1180" t="inlineStr">
        <is>
          <t>PHP</t>
        </is>
      </c>
      <c r="W1180">
        <v>3000</v>
      </c>
      <c r="X1180" s="2" t="str">
        <f>=HYPERLINK("https://www.larksuite.com/approval/admin/previewAttachment?key=PMg9CsJQEATgK83um9kfL2OTEAwaEIRAind2wcL2izJEyUY02OYNm6lQKVxdbFWRmj4ts5GWXnM9tvt17sfz9Zaw7Jcd83ws2_oxdbojBzkKgN3-PpJkdxA_xzcAAP__", "2 attachment(s)")</f>
        <v>2 attachment(s)</v>
      </c>
      <c r="Y1180" t="inlineStr">
        <is>
          <t>Bank Transfer</t>
        </is>
      </c>
      <c r="Z1180" t="inlineStr">
        <is>
          <t>Annie Lou Novilla</t>
        </is>
      </c>
      <c r="AA1180" t="inlineStr">
        <is>
          <t>1579-273832</t>
        </is>
      </c>
      <c r="AB1180" t="inlineStr">
        <is>
          <t>BPI</t>
        </is>
      </c>
      <c r="AC1180" t="inlineStr">
        <is>
          <t>24 Samson St.Baritan Malabon City</t>
        </is>
      </c>
      <c r="AD1180" s="4">
        <v>45924</v>
      </c>
      <c r="AE1180" t="inlineStr">
        <is>
          <t>100% Full payment - Oct. 31, 2025</t>
        </is>
      </c>
      <c r="AF1180" s="2"/>
      <c r="AG1180" t="inlineStr">
        <is>
          <t>NzQyNTk5MTgyNzQ4MTg3MDM0MTpFMzkwQUIwOC1ENzY5LTQ0RjYtQkM0OS1BMTZDODIxMjdCMjMtMTozOGU1Njc2NzljYWZmY2RjM2QwMDhhYzlhYTFhNzBlNTox</t>
        </is>
      </c>
      <c r="AH1180" t="inlineStr">
        <is>
          <t>Annie Lou Novilla</t>
        </is>
      </c>
      <c r="AI1180"/>
      <c r="AJ1180" t="inlineStr">
        <is>
          <t>This is to be charged to a RUNNING ADDENDUM.</t>
        </is>
      </c>
      <c r="AK1180"/>
    </row>
    <row r="1181" ht="25.5" customHeight="1">
      <c r="A1181" s="2" t="str">
        <f>=HYPERLINK("https://applink.larksuite.com/client/mini_program/open?appId=cli_9c7cc8a9a9edd105&amp;mode=appCenter&amp;path_pc=pc/pages/requested/index?instanceId=7565753253124640475&amp;source=bitable&amp;path=pages/detail/index?instanceId=7565753253124640475&amp;source=bitable", "202510270068")</f>
        <v>202510270068</v>
      </c>
      <c r="B1181" t="inlineStr">
        <is>
          <t>Approved</t>
        </is>
      </c>
      <c r="C1181" t="inlineStr">
        <is>
          <t>Procurement Order</t>
        </is>
      </c>
      <c r="D1181" s="3">
        <v>45957.51850694444</v>
      </c>
      <c r="E1181" s="3">
        <v>45960.74054398148</v>
      </c>
      <c r="F1181" t="inlineStr">
        <is>
          <t>Fatima Kathleen M. FLores</t>
        </is>
      </c>
      <c r="G1181" t="inlineStr">
        <is>
          <t>Procurement</t>
        </is>
      </c>
      <c r="H1181"/>
      <c r="I1181"/>
      <c r="J1181" t="inlineStr">
        <is>
          <t>Project</t>
        </is>
      </c>
      <c r="K1181" t="inlineStr">
        <is>
          <t>PDEI - Event Service</t>
        </is>
      </c>
      <c r="L1181" t="inlineStr">
        <is>
          <t>MPL PH S16 - Playoffs</t>
        </is>
      </c>
      <c r="M1181" t="inlineStr">
        <is>
          <t>2025TEG-P0215</t>
        </is>
      </c>
      <c r="N1181" t="inlineStr">
        <is>
          <t>Katherine Denise Lee Sy</t>
        </is>
      </c>
      <c r="O1181" t="inlineStr">
        <is>
          <t>202510150110-Katherine Denise Lee Sy-费用报销 - 副本 - 副本 - 副本-2025-10-15 09:34:33</t>
        </is>
      </c>
      <c r="P1181" t="inlineStr">
        <is>
          <t>YES</t>
        </is>
      </c>
      <c r="Q1181"/>
      <c r="R1181" t="inlineStr">
        <is>
          <t>YES</t>
        </is>
      </c>
      <c r="S1181" t="inlineStr">
        <is>
          <t>Outsourced LED Xpression / Unreal Operator</t>
        </is>
      </c>
      <c r="T1181">
        <v>1</v>
      </c>
      <c r="U1181">
        <v>20000</v>
      </c>
      <c r="V1181" t="inlineStr">
        <is>
          <t>PHP</t>
        </is>
      </c>
      <c r="W1181">
        <v>20000</v>
      </c>
      <c r="X1181" s="2" t="str">
        <f>=HYPERLINK("https://www.larksuite.com/approval/admin/previewAttachment?key=PMgxqoJBDATgK02SSWbzLvMafxZF1kb40WLPLljYfjUMNdKiGmzzhm1lpTI8w5xFULl9m9SQycc-1vxfb5yvJB5z3Y23fV4v83hattyhIGMAsL-fh0h2F_F1fAIAAP__", "2 attachment(s)")</f>
        <v>2 attachment(s)</v>
      </c>
      <c r="Y1181" t="inlineStr">
        <is>
          <t>Bank Transfer</t>
        </is>
      </c>
      <c r="Z1181" t="inlineStr">
        <is>
          <t>Patrick Adam Peralta</t>
        </is>
      </c>
      <c r="AA1181" t="inlineStr">
        <is>
          <t>109330391917</t>
        </is>
      </c>
      <c r="AB1181" t="inlineStr">
        <is>
          <t>Unionbank</t>
        </is>
      </c>
      <c r="AC1181" t="inlineStr">
        <is>
          <t>Blk 71 lot 20 Milflores St Rizal Makati City</t>
        </is>
      </c>
      <c r="AD1181" s="4">
        <v>45947</v>
      </c>
      <c r="AE1181" t="inlineStr">
        <is>
          <t>1st Payment - Nov. 14, 2025
Final Payment - Nov. 28, 2025</t>
        </is>
      </c>
      <c r="AF1181" s="2"/>
      <c r="AG1181" t="inlineStr">
        <is>
          <t>NzQyNTk5MTgyNzQ4MTg3MDM0MTpDNEZDMUQ1RS05Qzc3LTQ3QTUtOTQxNi00MzU4NTFFNTE4OTgtMTo2NmNlNjM2MWU2MzY2NGUyNGRiYWU3NWRkZTM2YjBmMTox</t>
        </is>
      </c>
      <c r="AH1181" t="inlineStr">
        <is>
          <t>Patrick Adam Peralta</t>
        </is>
      </c>
      <c r="AI1181"/>
      <c r="AJ1181" t="inlineStr">
        <is>
          <t>No line item in internal CE.</t>
        </is>
      </c>
      <c r="AK1181"/>
    </row>
    <row r="1182" ht="25.5" customHeight="1">
      <c r="A1182" s="2" t="str">
        <f>=HYPERLINK("https://applink.larksuite.com/client/mini_program/open?appId=cli_9c7cc8a9a9edd105&amp;mode=appCenter&amp;path_pc=pc/pages/requested/index?instanceId=7565852912119746267&amp;source=bitable&amp;path=pages/detail/index?instanceId=7565852912119746267&amp;source=bitable", "202510270180")</f>
        <v>202510270180</v>
      </c>
      <c r="B1182" t="inlineStr">
        <is>
          <t>Approved</t>
        </is>
      </c>
      <c r="C1182" t="inlineStr">
        <is>
          <t>Procurement Order</t>
        </is>
      </c>
      <c r="D1182" s="3">
        <v>45957.78707175926</v>
      </c>
      <c r="E1182" s="3">
        <v>45958.76645833333</v>
      </c>
      <c r="F1182" t="inlineStr">
        <is>
          <t>Fatima Kathleen M. FLores</t>
        </is>
      </c>
      <c r="G1182" t="inlineStr">
        <is>
          <t>Procurement</t>
        </is>
      </c>
      <c r="H1182"/>
      <c r="I1182"/>
      <c r="J1182" t="inlineStr">
        <is>
          <t>Project</t>
        </is>
      </c>
      <c r="K1182" t="inlineStr">
        <is>
          <t>PDEI - Event Service</t>
        </is>
      </c>
      <c r="L1182" t="inlineStr">
        <is>
          <t>MPL PH S16 - Regular Season</t>
        </is>
      </c>
      <c r="M1182" t="inlineStr">
        <is>
          <t>2025TEG-P0214</t>
        </is>
      </c>
      <c r="N1182" t="inlineStr">
        <is>
          <t>Katherine Denise Lee Sy</t>
        </is>
      </c>
      <c r="O1182" t="inlineStr">
        <is>
          <t>202510140018-Katherine Denise Lee Sy-费用报销 - 副本 - 副本 - 副本-2025-10-14 03:16:07</t>
        </is>
      </c>
      <c r="P1182" t="inlineStr">
        <is>
          <t>YES</t>
        </is>
      </c>
      <c r="Q1182"/>
      <c r="R1182" t="inlineStr">
        <is>
          <t>YES</t>
        </is>
      </c>
      <c r="S1182" t="inlineStr">
        <is>
          <t>Outsourced API Operator</t>
        </is>
      </c>
      <c r="T1182">
        <v>1</v>
      </c>
      <c r="U1182">
        <v>36850</v>
      </c>
      <c r="V1182" t="inlineStr">
        <is>
          <t>PHP</t>
        </is>
      </c>
      <c r="W1182">
        <v>36850</v>
      </c>
      <c r="X1182" s="2" t="str">
        <f>=HYPERLINK("https://www.larksuite.com/approval/admin/previewAttachment?key=PMgxDsJADATAL-36fLaXz9AQRZAoFdJ1fjsSRdqJIqImRwgumsDOGbOmiUYqPSyyrZkpJNOqt2t_fpZOvw5fB88a6PV-7duXU2mGHO6jAPBx-0h3l8Lxd_wCAAD__w", "2 attachment(s)")</f>
        <v>2 attachment(s)</v>
      </c>
      <c r="Y1182" t="inlineStr">
        <is>
          <t>Bank Transfer</t>
        </is>
      </c>
      <c r="Z1182" t="inlineStr">
        <is>
          <t>Jay Lawrence Rivera</t>
        </is>
      </c>
      <c r="AA1182" t="inlineStr">
        <is>
          <t>0000049934381</t>
        </is>
      </c>
      <c r="AB1182" t="inlineStr">
        <is>
          <t>Security Bank</t>
        </is>
      </c>
      <c r="AC1182" t="inlineStr">
        <is>
          <t>023 Kasunduan St. Brgy. Commonwealth Quezon City</t>
        </is>
      </c>
      <c r="AD1182" s="4">
        <v>45943</v>
      </c>
      <c r="AE1182" t="inlineStr">
        <is>
          <t>1st Payment - Oct. 31, 2025
Final Payment - Nov. 14, 2025</t>
        </is>
      </c>
      <c r="AF1182" s="2"/>
      <c r="AG1182" t="inlineStr">
        <is>
          <t>NzQyNTk5MTgyNzQ4MTg3MDM0MTo0OUVERUMzRS1GMjI4LTQ1NjYtQkIwMS01Mzk2MEQ3NjI3NEEtMTpkYjRhMzJkMTI0OGNkNTZkNDg1MzlhODMzOTJhNGI5YTox</t>
        </is>
      </c>
      <c r="AH1182" t="inlineStr">
        <is>
          <t>Jay Lawrence Rivera</t>
        </is>
      </c>
      <c r="AI1182"/>
      <c r="AJ1182" t="inlineStr">
        <is>
          <t>LIQUIDITY PLAN (PAR # 202509020093 / 2025TEG-P0214)
REGULAR SEASON CE TAB &gt; BROADCAST TECHNICALS (TUCK IN HERE) &gt;
API Engineering
Total Remaining Budget = Php 36,650.00
This Request = Php 36,850.00
Balance = (Php 200.00) OVER BUDGET</t>
        </is>
      </c>
      <c r="AK1182"/>
    </row>
    <row r="1183" ht="25.5" customHeight="1">
      <c r="A1183" s="2" t="str">
        <f>=HYPERLINK("https://applink.larksuite.com/client/mini_program/open?appId=cli_9c7cc8a9a9edd105&amp;mode=appCenter&amp;path_pc=pc/pages/requested/index?instanceId=7565869317925899995&amp;source=bitable&amp;path=pages/detail/index?instanceId=7565869317925899995&amp;source=bitable", "202510270206")</f>
        <v>202510270206</v>
      </c>
      <c r="B1183" t="inlineStr">
        <is>
          <t>Approved</t>
        </is>
      </c>
      <c r="C1183" t="inlineStr">
        <is>
          <t>Procurement Order</t>
        </is>
      </c>
      <c r="D1183" s="3">
        <v>45957.83128472222</v>
      </c>
      <c r="E1183" s="3">
        <v>45960.75203703704</v>
      </c>
      <c r="F1183" t="inlineStr">
        <is>
          <t>Fatima Kathleen M. FLores</t>
        </is>
      </c>
      <c r="G1183" t="inlineStr">
        <is>
          <t>Procurement</t>
        </is>
      </c>
      <c r="H1183"/>
      <c r="I1183"/>
      <c r="J1183" t="inlineStr">
        <is>
          <t>Project</t>
        </is>
      </c>
      <c r="K1183" t="inlineStr">
        <is>
          <t>GG - Event Service</t>
        </is>
      </c>
      <c r="L1183" t="inlineStr">
        <is>
          <t>HOK Philippine Kings League - Fall Season</t>
        </is>
      </c>
      <c r="M1183" t="inlineStr">
        <is>
          <t>2025TEG-P0219</t>
        </is>
      </c>
      <c r="N1183" t="inlineStr">
        <is>
          <t>Frances Angelita Arreglado</t>
        </is>
      </c>
      <c r="O1183" t="inlineStr">
        <is>
          <t>202510150060-Reign Santos Fortea-费用报销 - 副本 - 副本 - 副本-2025-10-15 06:35:24</t>
        </is>
      </c>
      <c r="P1183" t="inlineStr">
        <is>
          <t>YES</t>
        </is>
      </c>
      <c r="Q1183"/>
      <c r="R1183" t="inlineStr">
        <is>
          <t>YES</t>
        </is>
      </c>
      <c r="S1183" t="inlineStr">
        <is>
          <t>Outsourced Asst. Broadcast Technical Director</t>
        </is>
      </c>
      <c r="T1183">
        <v>1</v>
      </c>
      <c r="U1183">
        <v>27200</v>
      </c>
      <c r="V1183" t="inlineStr">
        <is>
          <t>PHP</t>
        </is>
      </c>
      <c r="W1183">
        <v>27200</v>
      </c>
      <c r="X1183" s="2" t="str">
        <f>=HYPERLINK("https://www.larksuite.com/approval/admin/previewAttachment?key=PMg9CsJAFATgK828fX_jZWwMQQOKIKzVnl2wSPtlE9nBkYKLJnBVZHRqsGTRkhTLFquEYlmv7blfIybx-iLm4334seb9tm8fhsoMNdxHA-Dl9FHuLqXj7_gFAAD__w", "2 attachment(s)")</f>
        <v>2 attachment(s)</v>
      </c>
      <c r="Y1183" t="inlineStr">
        <is>
          <t>Bank Transfer</t>
        </is>
      </c>
      <c r="Z1183" t="inlineStr">
        <is>
          <t>Kenneth Singian</t>
        </is>
      </c>
      <c r="AA1183" t="inlineStr">
        <is>
          <t>09176559151</t>
        </is>
      </c>
      <c r="AB1183" t="inlineStr">
        <is>
          <t>GCash</t>
        </is>
      </c>
      <c r="AC1183" t="inlineStr">
        <is>
          <t>84 Montreal St. Cubao Quezon City</t>
        </is>
      </c>
      <c r="AD1183" s="4">
        <v>45937</v>
      </c>
      <c r="AE1183" t="inlineStr">
        <is>
          <t>1st Payment - Oct. 24, 2025
Final Payment - Nov. 7, 2025</t>
        </is>
      </c>
      <c r="AF1183" s="2"/>
      <c r="AG1183" t="inlineStr">
        <is>
          <t>NzQyNTk5MTgyNzQ4MTg3MDM0MTo1N0UxNEYyMi04MTlDLTRBM0YtOEU5Ny02OUZDRUYxOUQ5RDgtMTpkMWJhYmMwMWI3YzViNDJlOWIzYTkxYzI5YWU0MDljMTox</t>
        </is>
      </c>
      <c r="AH1183" t="inlineStr">
        <is>
          <t>Kenneth Singian</t>
        </is>
      </c>
      <c r="AI1183"/>
      <c r="AJ1183" t="inlineStr">
        <is>
          <t>No line item in internal CE. Unbudgeted</t>
        </is>
      </c>
      <c r="AK1183"/>
    </row>
    <row r="1184" ht="25.5" customHeight="1">
      <c r="A1184" s="2" t="str">
        <f>=HYPERLINK("https://applink.larksuite.com/client/mini_program/open?appId=cli_9c7cc8a9a9edd105&amp;mode=appCenter&amp;path_pc=pc/pages/requested/index?instanceId=7565868595054382811&amp;source=bitable&amp;path=pages/detail/index?instanceId=7565868595054382811&amp;source=bitable", "202510270205")</f>
        <v>202510270205</v>
      </c>
      <c r="B1184" t="inlineStr">
        <is>
          <t>Approved</t>
        </is>
      </c>
      <c r="C1184" t="inlineStr">
        <is>
          <t>Procurement Order</t>
        </is>
      </c>
      <c r="D1184" s="3">
        <v>45957.8293287037</v>
      </c>
      <c r="E1184" s="3">
        <v>45960.75034722222</v>
      </c>
      <c r="F1184" t="inlineStr">
        <is>
          <t>Fatima Kathleen M. FLores</t>
        </is>
      </c>
      <c r="G1184" t="inlineStr">
        <is>
          <t>Procurement</t>
        </is>
      </c>
      <c r="H1184"/>
      <c r="I1184"/>
      <c r="J1184" t="inlineStr">
        <is>
          <t>Project</t>
        </is>
      </c>
      <c r="K1184" t="inlineStr">
        <is>
          <t>GG - Event Service</t>
        </is>
      </c>
      <c r="L1184" t="inlineStr">
        <is>
          <t>HOK Philippine Kings League - Fall Season</t>
        </is>
      </c>
      <c r="M1184" t="inlineStr">
        <is>
          <t>2025TEG-P0219</t>
        </is>
      </c>
      <c r="N1184" t="inlineStr">
        <is>
          <t>Frances Angelita Arreglado</t>
        </is>
      </c>
      <c r="O1184" t="inlineStr">
        <is>
          <t>202510150060-Reign Santos Fortea-费用报销 - 副本 - 副本 - 副本-2025-10-15 06:35:24</t>
        </is>
      </c>
      <c r="P1184" t="inlineStr">
        <is>
          <t>YES</t>
        </is>
      </c>
      <c r="Q1184"/>
      <c r="R1184" t="inlineStr">
        <is>
          <t>YES</t>
        </is>
      </c>
      <c r="S1184" t="inlineStr">
        <is>
          <t>Outsourced Asst. Technical Director</t>
        </is>
      </c>
      <c r="T1184">
        <v>1</v>
      </c>
      <c r="U1184">
        <v>33000</v>
      </c>
      <c r="V1184" t="inlineStr">
        <is>
          <t>PHP</t>
        </is>
      </c>
      <c r="W1184">
        <v>33000</v>
      </c>
      <c r="X1184" s="2" t="str">
        <f>=HYPERLINK("https://www.larksuite.com/approval/admin/previewAttachment?key=PMg5CgJREATQK1X13l7GxGFwwUlE-UmfXTAwfVFElFOjYU1pcNLDK8rb4aYlRY4MMxvJlJrtuZ-Tovf3cdywHmvVfK6XfXvRO0WQaqYFgKe_a5pZdxh-jm8AAAD__w", "2 attachment(s)")</f>
        <v>2 attachment(s)</v>
      </c>
      <c r="Y1184" t="inlineStr">
        <is>
          <t>Bank Transfer</t>
        </is>
      </c>
      <c r="Z1184" t="inlineStr">
        <is>
          <t>Ricardo Cuevas</t>
        </is>
      </c>
      <c r="AA1184" t="inlineStr">
        <is>
          <t>200039521228</t>
        </is>
      </c>
      <c r="AB1184" t="inlineStr">
        <is>
          <t>EastWest Banking Corporation</t>
        </is>
      </c>
      <c r="AC1184" t="inlineStr">
        <is>
          <t>130 F. Acab St. Caloocan City</t>
        </is>
      </c>
      <c r="AD1184" s="4">
        <v>45937</v>
      </c>
      <c r="AE1184" t="inlineStr">
        <is>
          <t>1st Payment - Oct. 24, 2025
Final Payment - Nov. 7, 2025</t>
        </is>
      </c>
      <c r="AF1184" s="2"/>
      <c r="AG1184" t="inlineStr">
        <is>
          <t>NzQyNTk5MTgyNzQ4MTg3MDM0MTpCMTIxRTdERS1EMDUzLTQ5MjItQjEzOS0wODIzMkVGMDhCMzAtMTo1YTFhN2U2NWJjNDNmNjllOTQzYmExZDFjYjYzZGIwYTox</t>
        </is>
      </c>
      <c r="AH1184" t="inlineStr">
        <is>
          <t>Ricardo Cuevas</t>
        </is>
      </c>
      <c r="AI1184"/>
      <c r="AJ1184" t="inlineStr">
        <is>
          <t>LIQUIDITY PLAN (PAR # 202508190134 / 2025TEG-P0219)
INTERNAL 0820 COST ESTIMATE &gt; PLAYOFFS &gt;
Labor Cost &gt; Additional Broadcast Manpower &gt; Assistant TD
Total Budget = Php 15,000.00
Actual Cost = Php 33,000.00
Balance = (Php 18,000.00) OVER BUDGET</t>
        </is>
      </c>
      <c r="AK1184"/>
    </row>
    <row r="1185" ht="25.5" customHeight="1">
      <c r="A1185" s="2" t="str">
        <f>=HYPERLINK("https://applink.larksuite.com/client/mini_program/open?appId=cli_9c7cc8a9a9edd105&amp;mode=appCenter&amp;path_pc=pc/pages/requested/index?instanceId=7565812003747417819&amp;source=bitable&amp;path=pages/detail/index?instanceId=7565812003747417819&amp;source=bitable", "202510270137")</f>
        <v>202510270137</v>
      </c>
      <c r="B1185" t="inlineStr">
        <is>
          <t>Approved</t>
        </is>
      </c>
      <c r="C1185" t="inlineStr">
        <is>
          <t>Procurement Order</t>
        </is>
      </c>
      <c r="D1185" s="3">
        <v>45957.676828703705</v>
      </c>
      <c r="E1185" s="3">
        <v>45964.71773148148</v>
      </c>
      <c r="F1185" t="inlineStr">
        <is>
          <t>Fatima Kathleen M. FLores</t>
        </is>
      </c>
      <c r="G1185" t="inlineStr">
        <is>
          <t>Procurement</t>
        </is>
      </c>
      <c r="H1185"/>
      <c r="I1185"/>
      <c r="J1185" t="inlineStr">
        <is>
          <t>Project</t>
        </is>
      </c>
      <c r="K1185" t="inlineStr">
        <is>
          <t>GG - Event Service</t>
        </is>
      </c>
      <c r="L1185" t="inlineStr">
        <is>
          <t>HOK Philippine Kings League - Fall Season</t>
        </is>
      </c>
      <c r="M1185" t="inlineStr">
        <is>
          <t>2025TEG-P0219</t>
        </is>
      </c>
      <c r="N1185" t="inlineStr">
        <is>
          <t>Frances Angelita Arreglado</t>
        </is>
      </c>
      <c r="O1185" t="inlineStr">
        <is>
          <t>202510150059-Reign Santos Fortea-费用报销 - 副本 - 副本 - 副本-2025-10-15 06:33:49</t>
        </is>
      </c>
      <c r="P1185" t="inlineStr">
        <is>
          <t>YES</t>
        </is>
      </c>
      <c r="Q1185"/>
      <c r="R1185" t="inlineStr">
        <is>
          <t>YES</t>
        </is>
      </c>
      <c r="S1185" t="inlineStr">
        <is>
          <t>Outsourced Game Observer</t>
        </is>
      </c>
      <c r="T1185">
        <v>1</v>
      </c>
      <c r="U1185">
        <v>13500</v>
      </c>
      <c r="V1185" t="inlineStr">
        <is>
          <t>PHP</t>
        </is>
      </c>
      <c r="W1185">
        <v>13500</v>
      </c>
      <c r="X1185" s="2" t="str">
        <f>=HYPERLINK("https://www.larksuite.com/approval/admin/previewAttachment?key=PMi7DcJgDATgle78-M9mGRqiiILQIELl2ZEoaL9VxKqkr0Y0rcFRriwa4AoFVeyxodQQZTXbsV8f-UZ9_Ch_nnnYnPfbvr2YLTPII7wA8PJ3V0R0r8DP8Q0AAP__", "2 attachment(s)")</f>
        <v>2 attachment(s)</v>
      </c>
      <c r="Y1185" t="inlineStr">
        <is>
          <t>Bank Transfer</t>
        </is>
      </c>
      <c r="Z1185" t="inlineStr">
        <is>
          <t>John Radilh Mancao</t>
        </is>
      </c>
      <c r="AA1185" t="inlineStr">
        <is>
          <t>010060106856</t>
        </is>
      </c>
      <c r="AB1185" t="inlineStr">
        <is>
          <t>Gotyme bank</t>
        </is>
      </c>
      <c r="AC1185" t="inlineStr">
        <is>
          <t>302 A ALAGAO ST. COMEMBO, TAGUIG CITY</t>
        </is>
      </c>
      <c r="AD1185" s="4">
        <v>45937</v>
      </c>
      <c r="AE1185" t="inlineStr">
        <is>
          <t>100% Full Payment - Nov. 7, 2025</t>
        </is>
      </c>
      <c r="AF1185" s="2"/>
      <c r="AG1185" t="inlineStr">
        <is>
          <t>NzQyNTk5MTgyNzQ4MTg3MDM0MTpEQzMzN0EzMS1DQjFGLTRFQkQtQUNDQi04MkYxODdEMjgzNDktMTpmN2QyZWUwZDI2ZjY2ZWY5ZTBhNzg2OWJiZDNiM2NhZTox</t>
        </is>
      </c>
      <c r="AH1185" t="inlineStr">
        <is>
          <t>John Radilh Mancao</t>
        </is>
      </c>
      <c r="AI1185"/>
      <c r="AJ1185" t="inlineStr">
        <is>
          <t>Line item in CE is tagged as Internal with no cost.</t>
        </is>
      </c>
      <c r="AK1185"/>
    </row>
    <row r="1186" ht="25.5" customHeight="1">
      <c r="A1186" s="2" t="str">
        <f>=HYPERLINK("https://applink.larksuite.com/client/mini_program/open?appId=cli_9c7cc8a9a9edd105&amp;mode=appCenter&amp;path_pc=pc/pages/requested/index?instanceId=7565871128447602397&amp;source=bitable&amp;path=pages/detail/index?instanceId=7565871128447602397&amp;source=bitable", "202510270207")</f>
        <v>202510270207</v>
      </c>
      <c r="B1186" t="inlineStr">
        <is>
          <t>Approved</t>
        </is>
      </c>
      <c r="C1186" t="inlineStr">
        <is>
          <t>Procurement Order</t>
        </is>
      </c>
      <c r="D1186" s="3">
        <v>45957.83615740741</v>
      </c>
      <c r="E1186" s="3">
        <v>45964.71921296296</v>
      </c>
      <c r="F1186" t="inlineStr">
        <is>
          <t>Fatima Kathleen M. FLores</t>
        </is>
      </c>
      <c r="G1186" t="inlineStr">
        <is>
          <t>Procurement</t>
        </is>
      </c>
      <c r="H1186"/>
      <c r="I1186"/>
      <c r="J1186" t="inlineStr">
        <is>
          <t>Project</t>
        </is>
      </c>
      <c r="K1186" t="inlineStr">
        <is>
          <t>GG - Event Service</t>
        </is>
      </c>
      <c r="L1186" t="inlineStr">
        <is>
          <t>HOK Philippine Kings League - Fall Season</t>
        </is>
      </c>
      <c r="M1186" t="inlineStr">
        <is>
          <t>2025TEG-P0219</t>
        </is>
      </c>
      <c r="N1186" t="inlineStr">
        <is>
          <t>Frances Angelita Arreglado</t>
        </is>
      </c>
      <c r="O1186" t="inlineStr">
        <is>
          <t>202510170109-Reign Santos Fortea-费用报销 - 副本 - 副本 - 副本-2025-10-17 13:13:49</t>
        </is>
      </c>
      <c r="P1186" t="inlineStr">
        <is>
          <t>YES</t>
        </is>
      </c>
      <c r="Q1186"/>
      <c r="R1186" t="inlineStr">
        <is>
          <t>YES</t>
        </is>
      </c>
      <c r="S1186" t="inlineStr">
        <is>
          <t>Outsourced Lead Stream Engineer</t>
        </is>
      </c>
      <c r="T1186">
        <v>1</v>
      </c>
      <c r="U1186">
        <v>4000</v>
      </c>
      <c r="V1186" t="inlineStr">
        <is>
          <t>PHP</t>
        </is>
      </c>
      <c r="W1186">
        <v>4000</v>
      </c>
      <c r="X1186" s="2" t="str">
        <f>=HYPERLINK("https://www.larksuite.com/approval/admin/previewAttachment?key=PMgxCgJBDAXQK_2fyeQnXsbGZbBwQRB3bXJ2wcL2RRKRkyMKXrQCWzNmirR0V8BGqa0pFURZ9ravK3U-t_d67B_DOY8-7re1vThLZtBwHwmAl78PuXtVOH6ObwAAAP__", "2 attachment(s)")</f>
        <v>2 attachment(s)</v>
      </c>
      <c r="Y1186" t="inlineStr">
        <is>
          <t>Bank Transfer</t>
        </is>
      </c>
      <c r="Z1186" t="inlineStr">
        <is>
          <t>John Mark Ramos</t>
        </is>
      </c>
      <c r="AA1186" t="inlineStr">
        <is>
          <t>0000007591426151</t>
        </is>
      </c>
      <c r="AB1186" t="inlineStr">
        <is>
          <t>RCBC</t>
        </is>
      </c>
      <c r="AC1186" t="inlineStr">
        <is>
          <t>Camella St. Patdu Compound South Green Heights, Putatan Muntinlupa City</t>
        </is>
      </c>
      <c r="AD1186" s="4">
        <v>45937</v>
      </c>
      <c r="AE1186" t="inlineStr">
        <is>
          <t>100% Full Payment - Nov. 7, 2025</t>
        </is>
      </c>
      <c r="AF1186" s="2"/>
      <c r="AG1186" t="inlineStr">
        <is>
          <t>NzQyNTk5MTgyNzQ4MTg3MDM0MTo4OUY4OTQ0NC0yNDI4LTQ2QTItOTNEQS1CMTMxMzVFQzM4MTktMTpkMGViODRmOGI2ZjNhODE4NjdiMmQyNzI4OGMxZmVkNTox</t>
        </is>
      </c>
      <c r="AH1186" t="inlineStr">
        <is>
          <t>John Mark Ramos</t>
        </is>
      </c>
      <c r="AI1186"/>
      <c r="AJ1186" t="inlineStr">
        <is>
          <t>LIQUIDITY PLAN (PAR # 202508190134 / 2025TEG-P0219)
INTERNAL 0820 COST ESTIMATE &gt; PLAYOFFS &gt;
Labor Cost &gt; BROADCAST &amp; PRODUCTION &gt;
Lead Stream Engineer 
Total Remaining Budget = (Php 5,000.00) NEGATIVE
Actual Cost = Php 4,000.00
Balance = (Php 9,000.00) OVER BUDGET</t>
        </is>
      </c>
      <c r="AK1186"/>
    </row>
    <row r="1187" ht="25.5" customHeight="1">
      <c r="A1187" s="2" t="str">
        <f>=HYPERLINK("https://applink.larksuite.com/client/mini_program/open?appId=cli_9c7cc8a9a9edd105&amp;mode=appCenter&amp;path_pc=pc/pages/requested/index?instanceId=7566496157136899809&amp;source=bitable&amp;path=pages/detail/index?instanceId=7566496157136899809&amp;source=bitable", "202510290034")</f>
        <v>202510290034</v>
      </c>
      <c r="B1187" t="inlineStr">
        <is>
          <t>Approved</t>
        </is>
      </c>
      <c r="C1187" t="inlineStr">
        <is>
          <t>Procurement Order</t>
        </is>
      </c>
      <c r="D1187" s="3">
        <v>45959.52048611111</v>
      </c>
      <c r="E1187" s="3">
        <v>45960.324212962965</v>
      </c>
      <c r="F1187" t="inlineStr">
        <is>
          <t>Fatima Kathleen M. FLores</t>
        </is>
      </c>
      <c r="G1187" t="inlineStr">
        <is>
          <t>Procurement</t>
        </is>
      </c>
      <c r="H1187"/>
      <c r="I1187"/>
      <c r="J1187" t="inlineStr">
        <is>
          <t>Project</t>
        </is>
      </c>
      <c r="K1187" t="inlineStr">
        <is>
          <t>PDEI - Event Service</t>
        </is>
      </c>
      <c r="L1187" t="inlineStr">
        <is>
          <t>MDL PH S6 Playoffs + Grand Finals Watch Party</t>
        </is>
      </c>
      <c r="M1187" t="inlineStr">
        <is>
          <t>2025TEG-P0197</t>
        </is>
      </c>
      <c r="N1187" t="inlineStr">
        <is>
          <t>Kervin</t>
        </is>
      </c>
      <c r="O1187" t="inlineStr">
        <is>
          <t>202510060085-Kervin-费用报销 - 副本 - 副本 - 副本-2025-10-06 09:00:06</t>
        </is>
      </c>
      <c r="P1187" t="inlineStr">
        <is>
          <t>YES</t>
        </is>
      </c>
      <c r="Q1187"/>
      <c r="R1187" t="inlineStr">
        <is>
          <t>NO</t>
        </is>
      </c>
      <c r="S1187" t="inlineStr">
        <is>
          <t>Outsourced Highlights / Replay Operator</t>
        </is>
      </c>
      <c r="T1187">
        <v>1</v>
      </c>
      <c r="U1187">
        <v>4500</v>
      </c>
      <c r="V1187" t="inlineStr">
        <is>
          <t>PHP</t>
        </is>
      </c>
      <c r="W1187">
        <v>4500</v>
      </c>
      <c r="X1187" s="2" t="str">
        <f>=HYPERLINK("https://www.larksuite.com/approval/admin/previewAttachment?key=PMgxDsJADATAL-36fLaXz9AQRYCUCnFK47cjUaSdKCJqcoTgognsnBGu4EyOKKmgtmamkEyr3o79fr5f66yaR32XLfZ6Pvbtw6k0Qw73UQB4u3yku0vh-Dt-AQAA__8", "2 attachment(s)")</f>
        <v>2 attachment(s)</v>
      </c>
      <c r="Y1187" t="inlineStr">
        <is>
          <t>Bank Transfer</t>
        </is>
      </c>
      <c r="Z1187" t="inlineStr">
        <is>
          <t>Franz Adrian Cruz Abrenica</t>
        </is>
      </c>
      <c r="AA1187" t="inlineStr">
        <is>
          <t>1094 2955 9930</t>
        </is>
      </c>
      <c r="AB1187" t="inlineStr">
        <is>
          <t>Unionbank</t>
        </is>
      </c>
      <c r="AC1187" t="inlineStr">
        <is>
          <t>Block 83 Lot 16 Patricia Homes 8, Magat Salamat Street, Brgy. Concepcion Dos, Marikina City</t>
        </is>
      </c>
      <c r="AD1187" s="4">
        <v>45947</v>
      </c>
      <c r="AE1187" t="inlineStr">
        <is>
          <t>100% Full Payment - Nov. 7, 2025</t>
        </is>
      </c>
      <c r="AF1187" s="2"/>
      <c r="AG1187" t="inlineStr">
        <is>
          <t>NzQyNTk5MTgyNzQ4MTg3MDM0MTpGMjlDMTcwMS00NjE5LTQ4MUEtQTRBMy0zNDlEQjc4NTdBM0YtMTpkYTI2Y2QyNjE3ZWJmZTY4ZTMwNGYyN2I0NTRmZjVlZDox</t>
        </is>
      </c>
      <c r="AH1187" t="inlineStr">
        <is>
          <t>Franz Adrian Cruz Abrenica</t>
        </is>
      </c>
      <c r="AI1187"/>
      <c r="AJ1187" t="inlineStr">
        <is>
          <t>LIQUIDITY PLAN (PAR # 202510060066 / 2025TEG-P0197)
(ONLINE) COST ESTIMATE &gt; 4. STAGING &amp; PRODUCTION &gt;
4.3 Manpower Arrangement &gt; FROM REGULAR SEASON &gt;
Highlights / Replay
Total Budget = Php 6,600.00
Actual Cost = Php 4,500.00
Balance = Php 2,100.00</t>
        </is>
      </c>
      <c r="AK1187"/>
    </row>
    <row r="1188" ht="25.5" customHeight="1">
      <c r="A1188" s="2" t="str">
        <f>=HYPERLINK("https://applink.larksuite.com/client/mini_program/open?appId=cli_9c7cc8a9a9edd105&amp;mode=appCenter&amp;path_pc=pc/pages/requested/index?instanceId=7566494878658563808&amp;source=bitable&amp;path=pages/detail/index?instanceId=7566494878658563808&amp;source=bitable", "202510290033")</f>
        <v>202510290033</v>
      </c>
      <c r="B1188" t="inlineStr">
        <is>
          <t>Approved</t>
        </is>
      </c>
      <c r="C1188" t="inlineStr">
        <is>
          <t>Procurement Order</t>
        </is>
      </c>
      <c r="D1188" s="3">
        <v>45959.51703703704</v>
      </c>
      <c r="E1188" s="3">
        <v>45960.32461805556</v>
      </c>
      <c r="F1188" t="inlineStr">
        <is>
          <t>Fatima Kathleen M. FLores</t>
        </is>
      </c>
      <c r="G1188" t="inlineStr">
        <is>
          <t>Procurement</t>
        </is>
      </c>
      <c r="H1188"/>
      <c r="I1188"/>
      <c r="J1188" t="inlineStr">
        <is>
          <t>Project</t>
        </is>
      </c>
      <c r="K1188" t="inlineStr">
        <is>
          <t>PDEI - Event Service</t>
        </is>
      </c>
      <c r="L1188" t="inlineStr">
        <is>
          <t>MDL PH S6 Playoffs + Grand Finals Watch Party</t>
        </is>
      </c>
      <c r="M1188" t="inlineStr">
        <is>
          <t>2025TEG-P0197</t>
        </is>
      </c>
      <c r="N1188" t="inlineStr">
        <is>
          <t>Kervin</t>
        </is>
      </c>
      <c r="O1188" t="inlineStr">
        <is>
          <t>202510060084-Kervin-费用报销 - 副本 - 副本 - 副本-2025-10-06 08:59:32</t>
        </is>
      </c>
      <c r="P1188" t="inlineStr">
        <is>
          <t>YES</t>
        </is>
      </c>
      <c r="Q1188"/>
      <c r="R1188" t="inlineStr">
        <is>
          <t>NO</t>
        </is>
      </c>
      <c r="S1188" t="inlineStr">
        <is>
          <t>Outsourced Teleprompter</t>
        </is>
      </c>
      <c r="T1188">
        <v>1</v>
      </c>
      <c r="U1188">
        <v>4500</v>
      </c>
      <c r="V1188" t="inlineStr">
        <is>
          <t>PHP</t>
        </is>
      </c>
      <c r="W1188">
        <v>4500</v>
      </c>
      <c r="X1188" s="2" t="str">
        <f>=HYPERLINK("https://www.larksuite.com/approval/admin/previewAttachment?key=PMgxrsJADATQK43XXs_Mv8xviCKQkgop0OzZkShoXyvQmpFtlGMYsTi7yyWqp2anoDVWkAaDQ2s79_9XPXAeyeNt-cK67rd9e8Y0xwCzKgUg_n6erCq7C1_HJwAA__8", "2 attachment(s)")</f>
        <v>2 attachment(s)</v>
      </c>
      <c r="Y1188" t="inlineStr">
        <is>
          <t>Bank Transfer</t>
        </is>
      </c>
      <c r="Z1188" t="inlineStr">
        <is>
          <t>Sheinna Mae Landig Nuñezca</t>
        </is>
      </c>
      <c r="AA1188" t="inlineStr">
        <is>
          <t>09938307484</t>
        </is>
      </c>
      <c r="AB1188" t="inlineStr">
        <is>
          <t>GCash</t>
        </is>
      </c>
      <c r="AC1188" t="inlineStr">
        <is>
          <t>B90 L24 Roma Amor St Brgy Rizal, Taguig City</t>
        </is>
      </c>
      <c r="AD1188" s="4">
        <v>45947</v>
      </c>
      <c r="AE1188" t="inlineStr">
        <is>
          <t>100% Full Payment - Nov. 7, 2025</t>
        </is>
      </c>
      <c r="AF1188" s="2"/>
      <c r="AG1188" t="inlineStr">
        <is>
          <t>NzQyNTk5MTgyNzQ4MTg3MDM0MTowQjY1NUJCNy02NTM2LTQzMUMtOTc4MS03Mjg1NzBGMUIyNDAtMTo2YmQzNjc4ZWM4MWIwOTI3ZTEzOGRiZGY3ZTFiYzlkNTox</t>
        </is>
      </c>
      <c r="AH1188" t="inlineStr">
        <is>
          <t>Sheinna Mae Landig Nuñezca</t>
        </is>
      </c>
      <c r="AI1188"/>
      <c r="AJ1188" t="inlineStr">
        <is>
          <t>LIQUIDITY PLAN (PAR # 202510060066 / 2025TEG-P0197)
(ONLINE) COST ESTIMATE &gt; 4. STAGING &amp; PRODUCTION &gt;
4.3 Manpower Arrangement &gt; FROM REGULAR SEASON &gt;
Teleprompter
Total Budget = Php 4,500.00
Actual Cost = Php 4,500.00</t>
        </is>
      </c>
      <c r="AK1188"/>
    </row>
    <row r="1189" ht="25.5" customHeight="1">
      <c r="A1189" s="2" t="str">
        <f>=HYPERLINK("https://applink.larksuite.com/client/mini_program/open?appId=cli_9c7cc8a9a9edd105&amp;mode=appCenter&amp;path_pc=pc/pages/requested/index?instanceId=7566493662822010594&amp;source=bitable&amp;path=pages/detail/index?instanceId=7566493662822010594&amp;source=bitable", "202510290030")</f>
        <v>202510290030</v>
      </c>
      <c r="B1189" t="inlineStr">
        <is>
          <t>Approved</t>
        </is>
      </c>
      <c r="C1189" t="inlineStr">
        <is>
          <t>Procurement Order</t>
        </is>
      </c>
      <c r="D1189" s="3">
        <v>45959.513761574075</v>
      </c>
      <c r="E1189" s="3">
        <v>45960.325370370374</v>
      </c>
      <c r="F1189" t="inlineStr">
        <is>
          <t>Fatima Kathleen M. FLores</t>
        </is>
      </c>
      <c r="G1189" t="inlineStr">
        <is>
          <t>Procurement</t>
        </is>
      </c>
      <c r="H1189"/>
      <c r="I1189"/>
      <c r="J1189" t="inlineStr">
        <is>
          <t>Project</t>
        </is>
      </c>
      <c r="K1189" t="inlineStr">
        <is>
          <t>PDEI - Event Service</t>
        </is>
      </c>
      <c r="L1189" t="inlineStr">
        <is>
          <t>MDL PH S6 Playoffs + Grand Finals Watch Party</t>
        </is>
      </c>
      <c r="M1189" t="inlineStr">
        <is>
          <t>2025TEG-P0197</t>
        </is>
      </c>
      <c r="N1189" t="inlineStr">
        <is>
          <t>Kervin</t>
        </is>
      </c>
      <c r="O1189" t="inlineStr">
        <is>
          <t>202510060078-Kervin-费用报销 - 副本 - 副本 - 副本-2025-10-06 08:37:48</t>
        </is>
      </c>
      <c r="P1189" t="inlineStr">
        <is>
          <t>NO</t>
        </is>
      </c>
      <c r="Q1189"/>
      <c r="R1189" t="inlineStr">
        <is>
          <t>NO</t>
        </is>
      </c>
      <c r="S1189" t="inlineStr">
        <is>
          <t>Outsourced Videographer</t>
        </is>
      </c>
      <c r="T1189">
        <v>1</v>
      </c>
      <c r="U1189">
        <v>12320</v>
      </c>
      <c r="V1189" t="inlineStr">
        <is>
          <t>PHP</t>
        </is>
      </c>
      <c r="W1189">
        <v>12320</v>
      </c>
      <c r="X1189" s="2" t="str">
        <f>=HYPERLINK("https://www.larksuite.com/approval/admin/previewAttachment?key=PMg9CgJBDAXgK70kb_LjZWx2GUQcEGS0ytkFC9vPU-A5xLzAEi1Ix3BnmbumKgSj2NoSUQgJzT7XvFI_z4l93B87sHa_b8c8XzIqVBFGWgKQy98tSFY58XN8AwAA__8", "2 attachment(s)")</f>
        <v>2 attachment(s)</v>
      </c>
      <c r="Y1189" t="inlineStr">
        <is>
          <t>Bank Transfer</t>
        </is>
      </c>
      <c r="Z1189" t="inlineStr">
        <is>
          <t>Ryan Matias</t>
        </is>
      </c>
      <c r="AA1189" t="inlineStr">
        <is>
          <t>1996 2285 79</t>
        </is>
      </c>
      <c r="AB1189" t="inlineStr">
        <is>
          <t>BPI</t>
        </is>
      </c>
      <c r="AC1189" t="inlineStr">
        <is>
          <t>Antipolo City</t>
        </is>
      </c>
      <c r="AD1189" s="4">
        <v>45949</v>
      </c>
      <c r="AE1189" t="inlineStr">
        <is>
          <t>50% Down payment upon confirmation
50% Final Payment - 30 days upon completion of services</t>
        </is>
      </c>
      <c r="AF1189" s="2"/>
      <c r="AG1189" t="inlineStr">
        <is>
          <t>NzQyNTk5MTgyNzQ4MTg3MDM0MTo0NkM1OERCOC02QjI2LTQyMEYtQkZERS02Q0VCMjNEMUU3MkYtMTpmYTQ0NzdjNjMyMGFiOWE5OTVhNzg5ZjgzODNhYTQ0Njox</t>
        </is>
      </c>
      <c r="AH1189" t="inlineStr">
        <is>
          <t>Ryan Matias</t>
        </is>
      </c>
      <c r="AI1189"/>
      <c r="AJ1189" t="inlineStr">
        <is>
          <t>LIQUIDITY PLAN (PAR # 202510060066 / 2025TEG-P0197)
(ONLINE) COST ESTIMATE &gt; 4. STAGING &amp; PRODUCTION &gt;
4.2 Camera System Package &gt; Ryan Matias Team
Total Budget = Php 13,000.00
Actual Cost = Php 12,320.00
Balance = Php 680.00</t>
        </is>
      </c>
      <c r="AK1189"/>
    </row>
    <row r="1190" ht="25.5" customHeight="1">
      <c r="A1190" s="2" t="str">
        <f>=HYPERLINK("https://applink.larksuite.com/client/mini_program/open?appId=cli_9c7cc8a9a9edd105&amp;mode=appCenter&amp;path_pc=pc/pages/requested/index?instanceId=7566545499734478556&amp;source=bitable&amp;path=pages/detail/index?instanceId=7566545499734478556&amp;source=bitable", "202510290091")</f>
        <v>202510290091</v>
      </c>
      <c r="B1190" t="inlineStr">
        <is>
          <t>Approved</t>
        </is>
      </c>
      <c r="C1190" t="inlineStr">
        <is>
          <t>Procurement Order</t>
        </is>
      </c>
      <c r="D1190" s="3">
        <v>45959.65346064815</v>
      </c>
      <c r="E1190" s="3">
        <v>45960.33006944445</v>
      </c>
      <c r="F1190" t="inlineStr">
        <is>
          <t>Fatima Kathleen M. FLores</t>
        </is>
      </c>
      <c r="G1190" t="inlineStr">
        <is>
          <t>Procurement</t>
        </is>
      </c>
      <c r="H1190"/>
      <c r="I1190"/>
      <c r="J1190" t="inlineStr">
        <is>
          <t>Project</t>
        </is>
      </c>
      <c r="K1190" t="inlineStr">
        <is>
          <t>PDEI - Game Marketing</t>
        </is>
      </c>
      <c r="L1190" t="inlineStr">
        <is>
          <t>Phase 2 - Wargaming Computer Shop Activation</t>
        </is>
      </c>
      <c r="M1190" t="inlineStr">
        <is>
          <t>2025TEG-P0207</t>
        </is>
      </c>
      <c r="N1190" t="inlineStr">
        <is>
          <t>Clifford Markus Ortiz Martinez</t>
        </is>
      </c>
      <c r="O1190" t="inlineStr">
        <is>
          <t>202509290051-Clifford Markus Ortiz Martinez-费用报销 - 副本 - 副本 - 副本-2025-09-29 06:37:20</t>
        </is>
      </c>
      <c r="P1190" t="inlineStr">
        <is>
          <t>NO</t>
        </is>
      </c>
      <c r="Q1190"/>
      <c r="R1190" t="inlineStr">
        <is>
          <t>NO</t>
        </is>
      </c>
      <c r="S1190" t="inlineStr">
        <is>
          <t>PC RENTALS (per hour) - Additional</t>
        </is>
      </c>
      <c r="T1190">
        <v>26</v>
      </c>
      <c r="U1190">
        <v>80</v>
      </c>
      <c r="V1190" t="inlineStr">
        <is>
          <t>PHP</t>
        </is>
      </c>
      <c r="W1190">
        <v>2080</v>
      </c>
      <c r="X1190" s="2" t="str">
        <f>=HYPERLINK("https://www.larksuite.com/approval/admin/previewAttachment?key=PMs7CsJQEAXQLd2Zd-fnZmzyCAYNCIKfYtYuWqQ9cDwFnibDCyzRgnSYu9FYFYOMNPPWlohCSGj23Nfzixvei96uY98-99nPy7LOh1iFKn5vJAA5HT6CZJUTf8c3AAD__w", "2 attachment(s)")</f>
        <v>2 attachment(s)</v>
      </c>
      <c r="Y1190" t="inlineStr">
        <is>
          <t>Bank Transfer</t>
        </is>
      </c>
      <c r="Z1190" t="inlineStr">
        <is>
          <t>Manila Esports Icafe Inc.</t>
        </is>
      </c>
      <c r="AA1190" t="inlineStr">
        <is>
          <t>002908019834</t>
        </is>
      </c>
      <c r="AB1190" t="inlineStr">
        <is>
          <t>BDO</t>
        </is>
      </c>
      <c r="AC1190" t="inlineStr">
        <is>
          <t>Unit 2A, 2nd Floor, H&amp;L Santiago Building, McArthur HighWay, Barangay marulas, Valenzuela City</t>
        </is>
      </c>
      <c r="AD1190" s="4">
        <v>45934</v>
      </c>
      <c r="AE1190" t="inlineStr">
        <is>
          <t>100% Full Payment upon completion of services</t>
        </is>
      </c>
      <c r="AF1190" s="2"/>
      <c r="AG1190" t="inlineStr">
        <is>
          <t>NzQyNTk5MTgyNzQ4MTg3MDM0MTpFQkIwM0Y3OC1EOUIyLTQ2MTItQTU2Qy0xMUZCQUFBNTQxOUEtMTpmZGZjMWYwMmRhZWY2NTZlNmMxMWE3ZjQ5MzU2NGM5MDox</t>
        </is>
      </c>
      <c r="AH1190" t="inlineStr">
        <is>
          <t>KDM</t>
        </is>
      </c>
      <c r="AI1190"/>
      <c r="AJ1190" t="inlineStr">
        <is>
          <t>LIQUIDITY PLAN (PAR # 202507100065 / 2025TEG-P0207)
RENTALS &amp; MARKETING &gt; Contingency: Additional Hours
Total Budget = Php 20,000.00
Actual Cost = Php 2,080.00
Balance = Php 17,920.00</t>
        </is>
      </c>
      <c r="AK1190"/>
    </row>
    <row r="1191" ht="25.5" customHeight="1">
      <c r="A1191" s="2" t="str">
        <f>=HYPERLINK("https://applink.larksuite.com/client/mini_program/open?appId=cli_9c7cc8a9a9edd105&amp;mode=appCenter&amp;path_pc=pc/pages/requested/index?instanceId=7566505387218702047&amp;source=bitable&amp;path=pages/detail/index?instanceId=7566505387218702047&amp;source=bitable", "202510290046")</f>
        <v>202510290046</v>
      </c>
      <c r="B1191" t="inlineStr">
        <is>
          <t>Approved</t>
        </is>
      </c>
      <c r="C1191" t="inlineStr">
        <is>
          <t>Procurement Order</t>
        </is>
      </c>
      <c r="D1191" s="3">
        <v>45959.5453587963</v>
      </c>
      <c r="E1191" s="3">
        <v>45960.32642361111</v>
      </c>
      <c r="F1191" t="inlineStr">
        <is>
          <t>Fatima Kathleen M. FLores</t>
        </is>
      </c>
      <c r="G1191" t="inlineStr">
        <is>
          <t>Procurement</t>
        </is>
      </c>
      <c r="H1191"/>
      <c r="I1191"/>
      <c r="J1191" t="inlineStr">
        <is>
          <t>Project</t>
        </is>
      </c>
      <c r="K1191" t="inlineStr">
        <is>
          <t>PDEI - Event Service</t>
        </is>
      </c>
      <c r="L1191" t="inlineStr">
        <is>
          <t>MDL PH S6 Playoffs + Grand Finals Watch Party</t>
        </is>
      </c>
      <c r="M1191" t="inlineStr">
        <is>
          <t>2025TEG-P0197</t>
        </is>
      </c>
      <c r="N1191" t="inlineStr">
        <is>
          <t>Kervin</t>
        </is>
      </c>
      <c r="O1191" t="inlineStr">
        <is>
          <t>202510060090-Kervin-费用报销 - 副本 - 副本 - 副本-2025-10-06 09:02:38</t>
        </is>
      </c>
      <c r="P1191" t="inlineStr">
        <is>
          <t>YES</t>
        </is>
      </c>
      <c r="Q1191"/>
      <c r="R1191" t="inlineStr">
        <is>
          <t>NO</t>
        </is>
      </c>
      <c r="S1191" t="inlineStr">
        <is>
          <t>Outsourced HMUA</t>
        </is>
      </c>
      <c r="T1191">
        <v>1</v>
      </c>
      <c r="U1191">
        <v>15600</v>
      </c>
      <c r="V1191" t="inlineStr">
        <is>
          <t>PHP</t>
        </is>
      </c>
      <c r="W1191">
        <v>15600</v>
      </c>
      <c r="X1191" s="2" t="str">
        <f>=HYPERLINK("https://www.larksuite.com/approval/admin/previewAttachment?key=PMgxCgJBDAXQK_2fZPITL2OzyyCs2giLFnN2wcL2ZRFZg56NaFqDSyNzYHjJWIIhtGxRaoiyWvtjXqcz7Pn-bPd5HDjXedvm_uJomUEe4QWAl7-7IqI7Az_HNwAA__8", "2 attachment(s)")</f>
        <v>2 attachment(s)</v>
      </c>
      <c r="Y1191" t="inlineStr">
        <is>
          <t>Bank Transfer</t>
        </is>
      </c>
      <c r="Z1191" t="inlineStr">
        <is>
          <t>Grace Filomeno</t>
        </is>
      </c>
      <c r="AA1191" t="inlineStr">
        <is>
          <t>007340484415</t>
        </is>
      </c>
      <c r="AB1191" t="inlineStr">
        <is>
          <t>BDO</t>
        </is>
      </c>
      <c r="AC1191" t="inlineStr">
        <is>
          <t>89 T Santos St. San Jose, Rodriguez, Rizal</t>
        </is>
      </c>
      <c r="AD1191" s="4">
        <v>45947</v>
      </c>
      <c r="AE1191" t="inlineStr">
        <is>
          <t>100% Full Payment - Nov. 7, 2025</t>
        </is>
      </c>
      <c r="AF1191" s="2"/>
      <c r="AG1191" t="inlineStr">
        <is>
          <t>NzQyNTk5MTgyNzQ4MTg3MDM0MTpDQTg4OENGNy1FNkE4LTRCQjUtOUI0NC0xMUY1M0U3OUNDQ0EtMTowMzVlYjhlYjI3NDI0Y2RjNTExMTZiOThiZjQ1Y2M4Mjox</t>
        </is>
      </c>
      <c r="AH1191" t="inlineStr">
        <is>
          <t>Grace Filomeno</t>
        </is>
      </c>
      <c r="AI1191"/>
      <c r="AJ1191" t="inlineStr">
        <is>
          <t>LIQUIDITY PLAN (PAR # 202510060066 / 2025TEG-P0197)
(ONLINE) COST ESTIMATE &gt; 4. STAGING &amp; PRODUCTION &gt;
4.3 Manpower Arrangement &gt; FROM REGULAR SEASON &gt;
HMUA
Total Budget = Php 16,600.00
Actual Cost = Php 15,600.00
Balance = Php 600.00</t>
        </is>
      </c>
      <c r="AK1191"/>
    </row>
    <row r="1192" ht="25.5" customHeight="1">
      <c r="A1192" s="2" t="str">
        <f>=HYPERLINK("https://applink.larksuite.com/client/mini_program/open?appId=cli_9c7cc8a9a9edd105&amp;mode=appCenter&amp;path_pc=pc/pages/requested/index?instanceId=7566504273270329053&amp;source=bitable&amp;path=pages/detail/index?instanceId=7566504273270329053&amp;source=bitable", "202510290045")</f>
        <v>202510290045</v>
      </c>
      <c r="B1192" t="inlineStr">
        <is>
          <t>Approved</t>
        </is>
      </c>
      <c r="C1192" t="inlineStr">
        <is>
          <t>Procurement Order</t>
        </is>
      </c>
      <c r="D1192" s="3">
        <v>45959.54236111111</v>
      </c>
      <c r="E1192" s="3">
        <v>45960.327511574076</v>
      </c>
      <c r="F1192" t="inlineStr">
        <is>
          <t>Fatima Kathleen M. FLores</t>
        </is>
      </c>
      <c r="G1192" t="inlineStr">
        <is>
          <t>Procurement</t>
        </is>
      </c>
      <c r="H1192"/>
      <c r="I1192"/>
      <c r="J1192" t="inlineStr">
        <is>
          <t>Project</t>
        </is>
      </c>
      <c r="K1192" t="inlineStr">
        <is>
          <t>PDEI - Event Service</t>
        </is>
      </c>
      <c r="L1192" t="inlineStr">
        <is>
          <t>MDL PH S6 Playoffs + Grand Finals Watch Party</t>
        </is>
      </c>
      <c r="M1192" t="inlineStr">
        <is>
          <t>2025TEG-P0197</t>
        </is>
      </c>
      <c r="N1192" t="inlineStr">
        <is>
          <t>Kervin</t>
        </is>
      </c>
      <c r="O1192" t="inlineStr">
        <is>
          <t>202510060089-Kervin-费用报销 - 副本 - 副本 - 副本-2025-10-06 09:01:57</t>
        </is>
      </c>
      <c r="P1192" t="inlineStr">
        <is>
          <t>YES</t>
        </is>
      </c>
      <c r="Q1192"/>
      <c r="R1192" t="inlineStr">
        <is>
          <t>NO</t>
        </is>
      </c>
      <c r="S1192" t="inlineStr">
        <is>
          <t>Outsourced Lead Stream Engineer / Stream Moderator</t>
        </is>
      </c>
      <c r="T1192">
        <v>1</v>
      </c>
      <c r="U1192">
        <v>9000</v>
      </c>
      <c r="V1192" t="inlineStr">
        <is>
          <t>PHP</t>
        </is>
      </c>
      <c r="W1192">
        <v>9000</v>
      </c>
      <c r="X1192" s="2" t="str">
        <f>=HYPERLINK("https://www.larksuite.com/approval/admin/previewAttachment?key=PMg7CgJBEATQK1V_a9rLmOywiDoiCIsGfXbBwPTlEOQIsSx4iRakGZkBV5oSpoWw1hayQKGOnms_P-S93Zc9P_NY11v1cdn2-ZIoqoLmbgOAnP5udPeqdPwc3wAAAP__", "2 attachment(s)")</f>
        <v>2 attachment(s)</v>
      </c>
      <c r="Y1192" t="inlineStr">
        <is>
          <t>Bank Transfer</t>
        </is>
      </c>
      <c r="Z1192" t="inlineStr">
        <is>
          <t>SEAN JHONAS A. ARAGO</t>
        </is>
      </c>
      <c r="AA1192" t="inlineStr">
        <is>
          <t>011880108133</t>
        </is>
      </c>
      <c r="AB1192" t="inlineStr">
        <is>
          <t>BDO</t>
        </is>
      </c>
      <c r="AC1192" t="inlineStr">
        <is>
          <t>7 SUNFLOWER ST. LUMANG BAYAN EXECUTIVE VILLAGE, BRGY. MAYAMOT, ANTIPOLO CITY</t>
        </is>
      </c>
      <c r="AD1192" s="4">
        <v>45939</v>
      </c>
      <c r="AE1192" t="inlineStr">
        <is>
          <t>100% Full Payment - Nov. 7, 2025</t>
        </is>
      </c>
      <c r="AF1192" s="2"/>
      <c r="AG1192" t="inlineStr">
        <is>
          <t>NzQyNTk5MTgyNzQ4MTg3MDM0MTo0QjIxRTAzRS1FN0M3LTQ5MDYtODFBQS1BREUzMEVDRTk3RkQtMTo2ZGRlNzcwOGRkNGY5MDJmN2NhNzg0OTlkNDhjOWExNzox</t>
        </is>
      </c>
      <c r="AH1192" t="inlineStr">
        <is>
          <t>SEAN JHONAS A. ARAGO</t>
        </is>
      </c>
      <c r="AI1192"/>
      <c r="AJ1192" t="inlineStr">
        <is>
          <t>LIQUIDITY PLAN (PAR # 202510060066 / 2025TEG-P0197)
(ONLINE) COST ESTIMATE &gt; 4. STAGING &amp; PRODUCTION &gt;
4.3 Manpower Arrangement &gt; FROM REGULAR SEASON &gt;
Lead Stream Engineer / Stream Moderator 
Total Budget = Php 9,000.00
Actual Cost = Php 9,000.00</t>
        </is>
      </c>
      <c r="AK1192"/>
    </row>
    <row r="1193" ht="25.5" customHeight="1">
      <c r="A1193" s="2" t="str">
        <f>=HYPERLINK("https://applink.larksuite.com/client/mini_program/open?appId=cli_9c7cc8a9a9edd105&amp;mode=appCenter&amp;path_pc=pc/pages/requested/index?instanceId=7566503449894883039&amp;source=bitable&amp;path=pages/detail/index?instanceId=7566503449894883039&amp;source=bitable", "202510290043")</f>
        <v>202510290043</v>
      </c>
      <c r="B1193" t="inlineStr">
        <is>
          <t>Approved</t>
        </is>
      </c>
      <c r="C1193" t="inlineStr">
        <is>
          <t>Procurement Order</t>
        </is>
      </c>
      <c r="D1193" s="3">
        <v>45959.540138888886</v>
      </c>
      <c r="E1193" s="3">
        <v>45960.32822916667</v>
      </c>
      <c r="F1193" t="inlineStr">
        <is>
          <t>Fatima Kathleen M. FLores</t>
        </is>
      </c>
      <c r="G1193" t="inlineStr">
        <is>
          <t>Procurement</t>
        </is>
      </c>
      <c r="H1193"/>
      <c r="I1193"/>
      <c r="J1193" t="inlineStr">
        <is>
          <t>Project</t>
        </is>
      </c>
      <c r="K1193" t="inlineStr">
        <is>
          <t>PDEI - Event Service</t>
        </is>
      </c>
      <c r="L1193" t="inlineStr">
        <is>
          <t>MDL PH S6 Playoffs + Grand Finals Watch Party</t>
        </is>
      </c>
      <c r="M1193" t="inlineStr">
        <is>
          <t>2025TEG-P0197</t>
        </is>
      </c>
      <c r="N1193" t="inlineStr">
        <is>
          <t>Kervin</t>
        </is>
      </c>
      <c r="O1193" t="inlineStr">
        <is>
          <t>202510060087-Kervin-费用报销 - 副本 - 副本 - 副本-2025-10-06 09:01:19</t>
        </is>
      </c>
      <c r="P1193" t="inlineStr">
        <is>
          <t>YES</t>
        </is>
      </c>
      <c r="Q1193"/>
      <c r="R1193" t="inlineStr">
        <is>
          <t>NO</t>
        </is>
      </c>
      <c r="S1193" t="inlineStr">
        <is>
          <t>Outsourced Game Director / Observer</t>
        </is>
      </c>
      <c r="T1193">
        <v>1</v>
      </c>
      <c r="U1193">
        <v>6600</v>
      </c>
      <c r="V1193" t="inlineStr">
        <is>
          <t>PHP</t>
        </is>
      </c>
      <c r="W1193">
        <v>6600</v>
      </c>
      <c r="X1193" s="2" t="str">
        <f>=HYPERLINK("https://www.larksuite.com/approval/admin/previewAttachment?key=PMgxDsJADATAL63tPdvLZ2iITohAGiSo7u1IFGkn25A9LFKgzAVbNTIHglSL3YHQ8mVVQll5r-01r7s_90fPmjqO_o71ud_m9rahckcFGQ3ALqdHkZSS-Dt-AQAA__8", "2 attachment(s)")</f>
        <v>2 attachment(s)</v>
      </c>
      <c r="Y1193" t="inlineStr">
        <is>
          <t>Bank Transfer</t>
        </is>
      </c>
      <c r="Z1193" t="inlineStr">
        <is>
          <t>Ralp Gabriel Garcia</t>
        </is>
      </c>
      <c r="AA1193" t="inlineStr">
        <is>
          <t>09569945794</t>
        </is>
      </c>
      <c r="AB1193" t="inlineStr">
        <is>
          <t>GCash</t>
        </is>
      </c>
      <c r="AC1193" t="inlineStr">
        <is>
          <t>2817 Beata St. Pandacan Manila</t>
        </is>
      </c>
      <c r="AD1193" s="4">
        <v>45947</v>
      </c>
      <c r="AE1193" t="inlineStr">
        <is>
          <t>100% Full Payment - Nov. 7, 2025</t>
        </is>
      </c>
      <c r="AF1193" s="2"/>
      <c r="AG1193" t="inlineStr">
        <is>
          <t>NzQyNTk5MTgyNzQ4MTg3MDM0MTo1QkUyNDFERC03MjI3LTQwRUYtQUFGRi0yOEY4MkQxNUFBRTAtMTpjYThiODgyYzMwYWM3ZDkwNDI0ODllMTNlYWM3NTA5YTox</t>
        </is>
      </c>
      <c r="AH1193" t="inlineStr">
        <is>
          <t>Ralp Gabriel Garcia</t>
        </is>
      </c>
      <c r="AI1193"/>
      <c r="AJ1193" t="inlineStr">
        <is>
          <t>LIQUIDITY PLAN (PAR # 202510060066 / 2025TEG-P0197)
(ONLINE) COST ESTIMATE &gt; 4. STAGING &amp; PRODUCTION &gt;
4.3 Manpower Arrangement &gt; FROM REGULAR SEASON &gt;
Game Director / Observer 2 
Total Budget = Php 7,500.00
Actual Cost = Php 6,600.00
Balance = Php 900.00</t>
        </is>
      </c>
      <c r="AK1193"/>
    </row>
    <row r="1194" ht="25.5" customHeight="1">
      <c r="A1194" s="2" t="str">
        <f>=HYPERLINK("https://applink.larksuite.com/client/mini_program/open?appId=cli_9c7cc8a9a9edd105&amp;mode=appCenter&amp;path_pc=pc/pages/requested/index?instanceId=7566497060850061024&amp;source=bitable&amp;path=pages/detail/index?instanceId=7566497060850061024&amp;source=bitable", "202510290037")</f>
        <v>202510290037</v>
      </c>
      <c r="B1194" t="inlineStr">
        <is>
          <t>Approved</t>
        </is>
      </c>
      <c r="C1194" t="inlineStr">
        <is>
          <t>Procurement Order</t>
        </is>
      </c>
      <c r="D1194" s="3">
        <v>45959.52292824074</v>
      </c>
      <c r="E1194" s="3">
        <v>45960.32885416667</v>
      </c>
      <c r="F1194" t="inlineStr">
        <is>
          <t>Fatima Kathleen M. FLores</t>
        </is>
      </c>
      <c r="G1194" t="inlineStr">
        <is>
          <t>Procurement</t>
        </is>
      </c>
      <c r="H1194"/>
      <c r="I1194"/>
      <c r="J1194" t="inlineStr">
        <is>
          <t>Project</t>
        </is>
      </c>
      <c r="K1194" t="inlineStr">
        <is>
          <t>PDEI - Event Service</t>
        </is>
      </c>
      <c r="L1194" t="inlineStr">
        <is>
          <t>MDL PH S6 Playoffs + Grand Finals Watch Party</t>
        </is>
      </c>
      <c r="M1194" t="inlineStr">
        <is>
          <t>2025TEG-P0197</t>
        </is>
      </c>
      <c r="N1194" t="inlineStr">
        <is>
          <t>Kervin</t>
        </is>
      </c>
      <c r="O1194" t="inlineStr">
        <is>
          <t>202510060086-Kervin-费用报销 - 副本 - 副本 - 副本-2025-10-06 09:00:40</t>
        </is>
      </c>
      <c r="P1194" t="inlineStr">
        <is>
          <t>YES</t>
        </is>
      </c>
      <c r="Q1194"/>
      <c r="R1194" t="inlineStr">
        <is>
          <t>NO</t>
        </is>
      </c>
      <c r="S1194" t="inlineStr">
        <is>
          <t>Outsourced Game Observer</t>
        </is>
      </c>
      <c r="T1194">
        <v>1</v>
      </c>
      <c r="U1194">
        <v>4500</v>
      </c>
      <c r="V1194" t="inlineStr">
        <is>
          <t>PHP</t>
        </is>
      </c>
      <c r="W1194">
        <v>4500</v>
      </c>
      <c r="X1194" s="2" t="str">
        <f>=HYPERLINK("https://www.larksuite.com/approval/admin/previewAttachment?key=PMg9CgIxEAXgK72ZvPnzMjYbgqCCIGxs5uyChe3nKfA0GV5giRakw9xZAUca4AJla0tEISQ0ez7XlbpfPNTmOvf98-jzdqz5FqtQRQxyJAC5_H0EySonfo5vAAAA__8", "2 attachment(s)")</f>
        <v>2 attachment(s)</v>
      </c>
      <c r="Y1194" t="inlineStr">
        <is>
          <t>Bank Transfer</t>
        </is>
      </c>
      <c r="Z1194" t="inlineStr">
        <is>
          <t>Yencie Edmel Tomas</t>
        </is>
      </c>
      <c r="AA1194" t="inlineStr">
        <is>
          <t>0999 859 8762</t>
        </is>
      </c>
      <c r="AB1194" t="inlineStr">
        <is>
          <t>GCash</t>
        </is>
      </c>
      <c r="AC1194" t="inlineStr">
        <is>
          <t>Blk 15 Lot 17 Purok 3 Central Bicutan Taguig City</t>
        </is>
      </c>
      <c r="AD1194" s="4">
        <v>45939</v>
      </c>
      <c r="AE1194" t="inlineStr">
        <is>
          <t>100% Full Payment - Nov. 7, 2025</t>
        </is>
      </c>
      <c r="AF1194" s="2"/>
      <c r="AG1194" t="inlineStr">
        <is>
          <t>NzQyNTk5MTgyNzQ4MTg3MDM0MTo5REJENkYxNy1DQzcyLTQxNTctODMwRC02RDI5MjFGMjI3QzgtMTo2ZDdmNGNkMGNiZTRiYjU2N2FmNWJkNWU5YTQ1YzkxMTox</t>
        </is>
      </c>
      <c r="AH1194" t="inlineStr">
        <is>
          <t>Yencie Edmel Tomas</t>
        </is>
      </c>
      <c r="AI1194"/>
      <c r="AJ1194" t="inlineStr">
        <is>
          <t>LIQUIDITY PLAN (PAR # 202510060066 / 2025TEG-P0197)
(ONLINE) COST ESTIMATE &gt; 4. STAGING &amp; PRODUCTION &gt;
4.3 Manpower Arrangement &gt; FROM REGULAR SEASON &gt;
Game Observer 1
Total Budget = Php 4,500.00
Actual Cost = Php 4,500.00</t>
        </is>
      </c>
      <c r="AK1194"/>
    </row>
    <row r="1195" ht="25.5" customHeight="1">
      <c r="A1195" s="2" t="str">
        <f>=HYPERLINK("https://applink.larksuite.com/client/mini_program/open?appId=cli_9c7cc8a9a9edd105&amp;mode=appCenter&amp;path_pc=pc/pages/requested/index?instanceId=7566589145292754656&amp;source=bitable&amp;path=pages/detail/index?instanceId=7566589145292754656&amp;source=bitable", "202510290146")</f>
        <v>202510290146</v>
      </c>
      <c r="B1195" t="inlineStr">
        <is>
          <t>Approved</t>
        </is>
      </c>
      <c r="C1195" t="inlineStr">
        <is>
          <t>Procurement Order</t>
        </is>
      </c>
      <c r="D1195" s="3">
        <v>45959.77107638889</v>
      </c>
      <c r="E1195" s="3">
        <v>45960.32150462963</v>
      </c>
      <c r="F1195" t="inlineStr">
        <is>
          <t>Fatima Kathleen M. FLores</t>
        </is>
      </c>
      <c r="G1195" t="inlineStr">
        <is>
          <t>Procurement</t>
        </is>
      </c>
      <c r="H1195"/>
      <c r="I1195"/>
      <c r="J1195" t="inlineStr">
        <is>
          <t>Project</t>
        </is>
      </c>
      <c r="K1195" t="inlineStr">
        <is>
          <t>GG - Event Service</t>
        </is>
      </c>
      <c r="L1195" t="inlineStr">
        <is>
          <t>HOK Philippine Kings League - Fall Season</t>
        </is>
      </c>
      <c r="M1195" t="inlineStr">
        <is>
          <t>2025TEG-P0219</t>
        </is>
      </c>
      <c r="N1195" t="inlineStr">
        <is>
          <t>Reign Santos Fortea</t>
        </is>
      </c>
      <c r="O1195" t="inlineStr">
        <is>
          <t>202510150070-Reign Santos Fortea-费用报销 - 副本 - 副本 - 副本-2025-10-15 06:55:56</t>
        </is>
      </c>
      <c r="P1195" t="inlineStr">
        <is>
          <t>YES</t>
        </is>
      </c>
      <c r="Q1195"/>
      <c r="R1195" t="inlineStr">
        <is>
          <t>NO</t>
        </is>
      </c>
      <c r="S1195" t="inlineStr">
        <is>
          <t>Outsourced Runner</t>
        </is>
      </c>
      <c r="T1195">
        <v>1</v>
      </c>
      <c r="U1195">
        <v>4400</v>
      </c>
      <c r="V1195" t="inlineStr">
        <is>
          <t>PHP</t>
        </is>
      </c>
      <c r="W1195">
        <v>4400</v>
      </c>
      <c r="X1195" s="2" t="str">
        <f>=HYPERLINK("https://www.larksuite.com/approval/admin/previewAttachment?key=PMhBCsJQDATQK83kJ5nEy7ixFBUqgrR0888uuHD7sois4MiGN63BqciManpYm8Izctqk1BBlNZdtvR58vPZTZz13vNdtHvfbunwYLTNouI8CwMvfh9y9Ox0_xzcAAP__", "2 attachment(s)")</f>
        <v>2 attachment(s)</v>
      </c>
      <c r="Y1195" t="inlineStr">
        <is>
          <t>Bank Transfer</t>
        </is>
      </c>
      <c r="Z1195" t="inlineStr">
        <is>
          <t>Jimmy Montero Zapata Jr.</t>
        </is>
      </c>
      <c r="AA1195" t="inlineStr">
        <is>
          <t>8419297101</t>
        </is>
      </c>
      <c r="AB1195" t="inlineStr">
        <is>
          <t>BPI</t>
        </is>
      </c>
      <c r="AC1195" t="inlineStr">
        <is>
          <t>278E Sta,Teresita St, Sampaloc Manila</t>
        </is>
      </c>
      <c r="AD1195" s="4">
        <v>45939</v>
      </c>
      <c r="AE1195" t="inlineStr">
        <is>
          <t>100% Full Payment - Nov. 7, 2025</t>
        </is>
      </c>
      <c r="AF1195" s="2"/>
      <c r="AG1195" t="inlineStr">
        <is>
          <t>NzQyNTk5MTgyNzQ4MTg3MDM0MTpCMDU1Q0RGMC0zRjg1LTQ2N0MtQjJDNS1CNEYzNjkwMENFMUYtMTo4ZWQ4Yjg5NmE2MTI5NzRjMmQ0MDMxMDU5YTRkNDE1NDox</t>
        </is>
      </c>
      <c r="AH1195" t="inlineStr">
        <is>
          <t>Jimmy Montero Zapata Jr.</t>
        </is>
      </c>
      <c r="AI1195"/>
      <c r="AJ1195" t="inlineStr">
        <is>
          <t>LIQUIDITY PLAN (PAR # 202508190134 / 2025TEG-P0219)
INTERNAL 0820 COST ESTIMATE &gt; PLAYOFFS &gt;
Labor Cost &gt; LOGISTICS &gt;
Event Runners
Total Budget = Php 27,000.00
Actual Cost = Php 4,400.00
Balance = Php 22,600.00</t>
        </is>
      </c>
      <c r="AK1195"/>
    </row>
    <row r="1196" ht="25.5" customHeight="1">
      <c r="A1196" s="2" t="str">
        <f>=HYPERLINK("https://applink.larksuite.com/client/mini_program/open?appId=cli_9c7cc8a9a9edd105&amp;mode=appCenter&amp;path_pc=pc/pages/requested/index?instanceId=7566597958091689694&amp;source=bitable&amp;path=pages/detail/index?instanceId=7566597958091689694&amp;source=bitable", "202510290152")</f>
        <v>202510290152</v>
      </c>
      <c r="B1196" t="inlineStr">
        <is>
          <t>Approved</t>
        </is>
      </c>
      <c r="C1196" t="inlineStr">
        <is>
          <t>Procurement Order</t>
        </is>
      </c>
      <c r="D1196" s="3">
        <v>45959.79482638889</v>
      </c>
      <c r="E1196" s="3">
        <v>45960.32298611111</v>
      </c>
      <c r="F1196" t="inlineStr">
        <is>
          <t>Fatima Kathleen M. FLores</t>
        </is>
      </c>
      <c r="G1196" t="inlineStr">
        <is>
          <t>Procurement</t>
        </is>
      </c>
      <c r="H1196"/>
      <c r="I1196"/>
      <c r="J1196" t="inlineStr">
        <is>
          <t>Project</t>
        </is>
      </c>
      <c r="K1196" t="inlineStr">
        <is>
          <t>GG - Event Service</t>
        </is>
      </c>
      <c r="L1196" t="inlineStr">
        <is>
          <t>HOK Philippine Kings League - Fall Season</t>
        </is>
      </c>
      <c r="M1196" t="inlineStr">
        <is>
          <t>2025TEG-P0219</t>
        </is>
      </c>
      <c r="N1196" t="inlineStr">
        <is>
          <t>Reign Santos Fortea</t>
        </is>
      </c>
      <c r="O1196" t="inlineStr">
        <is>
          <t>202510170029-Reign Santos Fortea-费用报销 - 副本 - 副本 - 副本-2025-10-17 04:50:16</t>
        </is>
      </c>
      <c r="P1196" t="inlineStr">
        <is>
          <t>YES</t>
        </is>
      </c>
      <c r="Q1196"/>
      <c r="R1196" t="inlineStr">
        <is>
          <t>NO</t>
        </is>
      </c>
      <c r="S1196" t="inlineStr">
        <is>
          <t>Outsourced Logistics Associates</t>
        </is>
      </c>
      <c r="T1196">
        <v>1</v>
      </c>
      <c r="U1196">
        <v>45000</v>
      </c>
      <c r="V1196" t="inlineStr">
        <is>
          <t>PHP</t>
        </is>
      </c>
      <c r="W1196">
        <v>45000</v>
      </c>
      <c r="X1196" s="2" t="str">
        <f>=HYPERLINK("https://www.larksuite.com/approval/admin/previewAttachment?key=PMg7CoIxEATgK81s9jVexibhx8ZKDFjk7IKF7ZdNZAdHCi6awFORGSpFQ8xWyo8dVgnFsj7red0jNm22rbd95txnP-a1XgyVGWq4jwbA299HubuUjp_jGwAA__8", "2 attachment(s)")</f>
        <v>2 attachment(s)</v>
      </c>
      <c r="Y1196" t="inlineStr">
        <is>
          <t>Bank Transfer</t>
        </is>
      </c>
      <c r="Z1196" t="inlineStr">
        <is>
          <t>RIC JACA</t>
        </is>
      </c>
      <c r="AA1196" t="inlineStr">
        <is>
          <t>09509516216</t>
        </is>
      </c>
      <c r="AB1196" t="inlineStr">
        <is>
          <t>GCash</t>
        </is>
      </c>
      <c r="AC1196" t="inlineStr">
        <is>
          <t>321 Sitio Langhaya Brgy. Dela Paz Antipolo Rizal</t>
        </is>
      </c>
      <c r="AD1196" s="4">
        <v>45937</v>
      </c>
      <c r="AE1196" t="inlineStr">
        <is>
          <t>100% Full Payment - Nov. 7, 2025</t>
        </is>
      </c>
      <c r="AF1196" s="2"/>
      <c r="AG1196" t="inlineStr">
        <is>
          <t>NzQyNTk5MTgyNzQ4MTg3MDM0MTpDNjcxMURDQi00MkM5LTQ4QzEtQTlBNC00RTI3OTcyOEQzOTctMTo2ZjM2YTRkYzAxNjUxMmJiMzczNWZhYWRiNzNjNzI4MTox</t>
        </is>
      </c>
      <c r="AH1196" t="inlineStr">
        <is>
          <t>RIC JACA</t>
        </is>
      </c>
      <c r="AI1196"/>
      <c r="AJ1196" t="inlineStr">
        <is>
          <t>LIQUIDITY PLAN (PAR # 202508190134 / 2025TEG-P0219)
INTERNAL 0820 COST ESTIMATE &gt; PLAYOFFS &gt;
Labor Cost &gt; LOGISTICS &gt;
Ingress Manpower
Total Budget = Php 45,000.00
Actual Cost = Php 45,000.00</t>
        </is>
      </c>
      <c r="AK1196"/>
    </row>
    <row r="1197" ht="25.5" customHeight="1">
      <c r="A1197" s="2" t="str">
        <f>=HYPERLINK("https://applink.larksuite.com/client/mini_program/open?appId=cli_9c7cc8a9a9edd105&amp;mode=appCenter&amp;path_pc=pc/pages/requested/index?instanceId=7566536621609340641&amp;source=bitable&amp;path=pages/detail/index?instanceId=7566536621609340641&amp;source=bitable", "202510290080")</f>
        <v>202510290080</v>
      </c>
      <c r="B1197" t="inlineStr">
        <is>
          <t>Approved</t>
        </is>
      </c>
      <c r="C1197" t="inlineStr">
        <is>
          <t>Procurement Order</t>
        </is>
      </c>
      <c r="D1197" s="3">
        <v>45959.629525462966</v>
      </c>
      <c r="E1197" s="3">
        <v>45965.76907407407</v>
      </c>
      <c r="F1197" t="inlineStr">
        <is>
          <t>Fatima Kathleen M. FLores</t>
        </is>
      </c>
      <c r="G1197" t="inlineStr">
        <is>
          <t>Procurement</t>
        </is>
      </c>
      <c r="H1197"/>
      <c r="I1197"/>
      <c r="J1197" t="inlineStr">
        <is>
          <t>Project</t>
        </is>
      </c>
      <c r="K1197" t="inlineStr">
        <is>
          <t>PDEI - Event Service</t>
        </is>
      </c>
      <c r="L1197" t="inlineStr">
        <is>
          <t>MPL PH S16 Addendum</t>
        </is>
      </c>
      <c r="M1197" t="inlineStr">
        <is>
          <t>2025TEG-P0269</t>
        </is>
      </c>
      <c r="N1197" t="inlineStr">
        <is>
          <t>Katherine Denise Lee Sy</t>
        </is>
      </c>
      <c r="O1197" t="inlineStr">
        <is>
          <t>202510140015-Katherine Denise Lee Sy-费用报销 - 副本 - 副本 - 副本-2025-10-14 03:08:17</t>
        </is>
      </c>
      <c r="P1197" t="inlineStr">
        <is>
          <t>YES</t>
        </is>
      </c>
      <c r="Q1197"/>
      <c r="R1197" t="inlineStr">
        <is>
          <t>YES</t>
        </is>
      </c>
      <c r="S1197" t="inlineStr">
        <is>
          <t>Outsourced Stage Hand</t>
        </is>
      </c>
      <c r="T1197">
        <v>1</v>
      </c>
      <c r="U1197">
        <v>10500</v>
      </c>
      <c r="V1197" t="inlineStr">
        <is>
          <t>PHP</t>
        </is>
      </c>
      <c r="W1197">
        <v>10500</v>
      </c>
      <c r="X1197" s="2" t="str">
        <f>=HYPERLINK("https://www.larksuite.com/approval/admin/previewAttachment?key=PMgxDsIwDAXQK_1vO98xl2FpVYFUWBBNl5wdiaHrUyfUG12FKFqBM5vUXDIK5QEFp01mFpJpfa6v7f7muewnx_geGPtzHo9lWz9slWZIj_AOgLfLPSOiSoG_4xcAAP__", "2 attachment(s)")</f>
        <v>2 attachment(s)</v>
      </c>
      <c r="Y1197" t="inlineStr">
        <is>
          <t>Bank Transfer</t>
        </is>
      </c>
      <c r="Z1197" t="inlineStr">
        <is>
          <t>Carlito A. Sanchez Jr</t>
        </is>
      </c>
      <c r="AA1197" t="inlineStr">
        <is>
          <t>09935164608</t>
        </is>
      </c>
      <c r="AB1197" t="inlineStr">
        <is>
          <t>GCash</t>
        </is>
      </c>
      <c r="AC1197" t="inlineStr">
        <is>
          <t>776 Saturday St Mandaluyong City</t>
        </is>
      </c>
      <c r="AD1197" s="4">
        <v>45950</v>
      </c>
      <c r="AE1197" t="inlineStr">
        <is>
          <t>100% Full Payment - Nov 14, 2025</t>
        </is>
      </c>
      <c r="AF1197" s="2"/>
      <c r="AG1197" t="inlineStr">
        <is>
          <t>NzQyNTk5MTgyNzQ4MTg3MDM0MTpERTgwOEQ0RS0xODM5LTQ1NTctQkJGQy05RkU5MEQyMDkyRjYtMTo0M2FiYTA2Nzg2MzQ1MzA0MWRhYjM5YWFhMTUyZTUyNzox</t>
        </is>
      </c>
      <c r="AH1197" t="inlineStr">
        <is>
          <t>Carlito A. Sanchez Jr</t>
        </is>
      </c>
      <c r="AI1197"/>
      <c r="AJ1197" t="inlineStr">
        <is>
          <t>This is under a RUNNING ADDENDUM.</t>
        </is>
      </c>
      <c r="AK1197"/>
    </row>
    <row r="1198" ht="25.5" customHeight="1">
      <c r="A1198" s="2" t="str">
        <f>=HYPERLINK("https://applink.larksuite.com/client/mini_program/open?appId=cli_9c7cc8a9a9edd105&amp;mode=appCenter&amp;path_pc=pc/pages/requested/index?instanceId=7566538835048287965&amp;source=bitable&amp;path=pages/detail/index?instanceId=7566538835048287965&amp;source=bitable", "202510290082")</f>
        <v>202510290082</v>
      </c>
      <c r="B1198" t="inlineStr">
        <is>
          <t>Approved</t>
        </is>
      </c>
      <c r="C1198" t="inlineStr">
        <is>
          <t>Procurement Order</t>
        </is>
      </c>
      <c r="D1198" s="3">
        <v>45959.63549768519</v>
      </c>
      <c r="E1198" s="3">
        <v>45965.769733796296</v>
      </c>
      <c r="F1198" t="inlineStr">
        <is>
          <t>Fatima Kathleen M. FLores</t>
        </is>
      </c>
      <c r="G1198" t="inlineStr">
        <is>
          <t>Procurement</t>
        </is>
      </c>
      <c r="H1198"/>
      <c r="I1198"/>
      <c r="J1198" t="inlineStr">
        <is>
          <t>Project</t>
        </is>
      </c>
      <c r="K1198" t="inlineStr">
        <is>
          <t>PDEI - Event Service</t>
        </is>
      </c>
      <c r="L1198" t="inlineStr">
        <is>
          <t>MPL PH S16 Addendum</t>
        </is>
      </c>
      <c r="M1198" t="inlineStr">
        <is>
          <t>2025TEG-P0269</t>
        </is>
      </c>
      <c r="N1198" t="inlineStr">
        <is>
          <t>Katherine Denise Lee Sy</t>
        </is>
      </c>
      <c r="O1198" t="inlineStr">
        <is>
          <t>202510140015-Katherine Denise Lee Sy-费用报销 - 副本 - 副本 - 副本-2025-10-14 03:08:17</t>
        </is>
      </c>
      <c r="P1198" t="inlineStr">
        <is>
          <t>YES</t>
        </is>
      </c>
      <c r="Q1198"/>
      <c r="R1198" t="inlineStr">
        <is>
          <t>YES</t>
        </is>
      </c>
      <c r="S1198" t="inlineStr">
        <is>
          <t>Outsourced Production Assistant</t>
        </is>
      </c>
      <c r="T1198">
        <v>1</v>
      </c>
      <c r="U1198">
        <v>14400</v>
      </c>
      <c r="V1198" t="inlineStr">
        <is>
          <t>PHP</t>
        </is>
      </c>
      <c r="W1198">
        <v>14400</v>
      </c>
      <c r="X1198" s="2" t="str">
        <f>=HYPERLINK("https://www.larksuite.com/approval/admin/previewAttachment?key=PMgxDgJRCATQKw0wMOBlbNxsbNbGRNfin93EwvZVG6rTogYc84EtZVVGdyTY3prK5cukgUzeazv2q8zjccSb-PA8e73ut317Wo7coSCjAdjl7yGSM0X8HN8AAAD__w", "2 attachment(s)")</f>
        <v>2 attachment(s)</v>
      </c>
      <c r="Y1198" t="inlineStr">
        <is>
          <t>Bank Transfer</t>
        </is>
      </c>
      <c r="Z1198" t="inlineStr">
        <is>
          <t>Gerald Alfred Hara</t>
        </is>
      </c>
      <c r="AA1198" t="inlineStr">
        <is>
          <t>09693171176</t>
        </is>
      </c>
      <c r="AB1198" t="inlineStr">
        <is>
          <t>GCash</t>
        </is>
      </c>
      <c r="AC1198" t="inlineStr">
        <is>
          <t>918 Maceda St. Sampaloc Manila</t>
        </is>
      </c>
      <c r="AD1198" s="4">
        <v>45949</v>
      </c>
      <c r="AE1198" t="inlineStr">
        <is>
          <t>100% Full Payment - Nov 14, 2025</t>
        </is>
      </c>
      <c r="AF1198" s="2"/>
      <c r="AG1198" t="inlineStr">
        <is>
          <t>NzQyNTk5MTgyNzQ4MTg3MDM0MTo5QkU5NEQ3My1EQzFBLTQxQkYtQTAyQi1BOUVFRTk1RjRDNTAtMTpkNjQ0YmY3MTZmZTZjZGQ1OGM2MjdjZTExMWI1ZmI2ZTox</t>
        </is>
      </c>
      <c r="AH1198" t="inlineStr">
        <is>
          <t>Gerald Alfred Hara</t>
        </is>
      </c>
      <c r="AI1198"/>
      <c r="AJ1198" t="inlineStr">
        <is>
          <t>This is under a RUNNING ADDENDUM.</t>
        </is>
      </c>
      <c r="AK1198"/>
    </row>
    <row r="1199" ht="25.5" customHeight="1">
      <c r="A1199" s="2" t="str">
        <f>=HYPERLINK("https://applink.larksuite.com/client/mini_program/open?appId=cli_9c7cc8a9a9edd105&amp;mode=appCenter&amp;path_pc=pc/pages/requested/index?instanceId=7566489299915378397&amp;source=bitable&amp;path=pages/detail/index?instanceId=7566489299915378397&amp;source=bitable", "202510290025")</f>
        <v>202510290025</v>
      </c>
      <c r="B1199" t="inlineStr">
        <is>
          <t>Approved</t>
        </is>
      </c>
      <c r="C1199" t="inlineStr">
        <is>
          <t>Procurement Order</t>
        </is>
      </c>
      <c r="D1199" s="3">
        <v>45959.50201388889</v>
      </c>
      <c r="E1199" s="3">
        <v>45965.76278935185</v>
      </c>
      <c r="F1199" t="inlineStr">
        <is>
          <t>Fatima Kathleen M. FLores</t>
        </is>
      </c>
      <c r="G1199" t="inlineStr">
        <is>
          <t>Procurement</t>
        </is>
      </c>
      <c r="H1199"/>
      <c r="I1199"/>
      <c r="J1199" t="inlineStr">
        <is>
          <t>Project</t>
        </is>
      </c>
      <c r="K1199" t="inlineStr">
        <is>
          <t>PDEI - Event Service</t>
        </is>
      </c>
      <c r="L1199" t="inlineStr">
        <is>
          <t>MPL PH S16 - Regular Season</t>
        </is>
      </c>
      <c r="M1199" t="inlineStr">
        <is>
          <t>2025TEG-P0214</t>
        </is>
      </c>
      <c r="N1199" t="inlineStr">
        <is>
          <t>Katherine Denise Lee Sy</t>
        </is>
      </c>
      <c r="O1199" t="inlineStr">
        <is>
          <t>202510100067-Katherine Denise Lee Sy-费用报销 - 副本 - 副本 - 副本-2025-10-10 13:27:15</t>
        </is>
      </c>
      <c r="P1199" t="inlineStr">
        <is>
          <t>YES</t>
        </is>
      </c>
      <c r="Q1199"/>
      <c r="R1199" t="inlineStr">
        <is>
          <t>YES</t>
        </is>
      </c>
      <c r="S1199" t="inlineStr">
        <is>
          <t>Outsourced Lighting Director</t>
        </is>
      </c>
      <c r="T1199">
        <v>1</v>
      </c>
      <c r="U1199">
        <v>80000</v>
      </c>
      <c r="V1199" t="inlineStr">
        <is>
          <t>PHP</t>
        </is>
      </c>
      <c r="W1199">
        <v>80000</v>
      </c>
      <c r="X1199" s="2" t="str">
        <f>=HYPERLINK("https://www.larksuite.com/approval/admin/previewAttachment?key=PMg7CgJBEATQK1X_u7yMicMgi0aCYtBnFww2fdmC7BBLwilKyFRkelNJSli1sUZHqoiS0p713Nf2wD72J9aB73rM-37b6yXBUkWZuzUAuZxu5e5kOv6OXwAAAP__", "2 attachment(s)")</f>
        <v>2 attachment(s)</v>
      </c>
      <c r="Y1199" t="inlineStr">
        <is>
          <t>Bank Transfer</t>
        </is>
      </c>
      <c r="Z1199" t="inlineStr">
        <is>
          <t>Mark Anthony Flor</t>
        </is>
      </c>
      <c r="AA1199" t="inlineStr">
        <is>
          <t>09199712271</t>
        </is>
      </c>
      <c r="AB1199" t="inlineStr">
        <is>
          <t>GCash</t>
        </is>
      </c>
      <c r="AC1199" t="inlineStr">
        <is>
          <t>Blk179 Lot44 St. Cecilia Street, Deca Homes Loma de Gato, Marilao, Bulacan</t>
        </is>
      </c>
      <c r="AD1199" s="4">
        <v>45947</v>
      </c>
      <c r="AE1199" t="inlineStr">
        <is>
          <t>1st Payment - Nov. 14, 2025
Final Payment - Dec. 5, 2025</t>
        </is>
      </c>
      <c r="AF1199" s="2"/>
      <c r="AG1199" t="inlineStr">
        <is>
          <t>NzQyNTk5MTgyNzQ4MTg3MDM0MTpERjlCNjc3OS1FOTM1LTQ5NTctQjEzOS1GQ0FDQzgwOUQwQ0UtMTowN2EzY2FkOTZkMDNiNDA5OWZkYjYxNGQyZmZmNWNmMDox</t>
        </is>
      </c>
      <c r="AH1199" t="inlineStr">
        <is>
          <t>Mark Anthony Flor</t>
        </is>
      </c>
      <c r="AI1199"/>
      <c r="AJ1199" t="inlineStr">
        <is>
          <t>LIQUIDITY PLAN (PAR # 202509020093 / 2025TEG-P0214)
REGULAR SEASON CE TAB &gt; 4.7 Manpower Arrangement &gt;
MANPOWER TECHNICAL &gt; Light Plotter (Regular Season and Playoffs)
Total Remaining Budget = Php 40,000.00
Actual Cost = Php 80,000.00
Balance = (Php 40,000.00) OVER BUDGET
^ total budget in CE is 80k, but 40k is allocated to Fhikri (Indo) as per KD</t>
        </is>
      </c>
      <c r="AK1199"/>
    </row>
    <row r="1200" ht="25.5" customHeight="1">
      <c r="A1200" s="2" t="str">
        <f>=HYPERLINK("https://applink.larksuite.com/client/mini_program/open?appId=cli_9c7cc8a9a9edd105&amp;mode=appCenter&amp;path_pc=pc/pages/requested/index?instanceId=7566487224313728732&amp;source=bitable&amp;path=pages/detail/index?instanceId=7566487224313728732&amp;source=bitable", "202510290024")</f>
        <v>202510290024</v>
      </c>
      <c r="B1200" t="inlineStr">
        <is>
          <t>Approved</t>
        </is>
      </c>
      <c r="C1200" t="inlineStr">
        <is>
          <t>Procurement Order</t>
        </is>
      </c>
      <c r="D1200" s="3">
        <v>45959.496412037035</v>
      </c>
      <c r="E1200" s="3">
        <v>45965.74755787037</v>
      </c>
      <c r="F1200" t="inlineStr">
        <is>
          <t>Fatima Kathleen M. FLores</t>
        </is>
      </c>
      <c r="G1200" t="inlineStr">
        <is>
          <t>Procurement</t>
        </is>
      </c>
      <c r="H1200"/>
      <c r="I1200"/>
      <c r="J1200" t="inlineStr">
        <is>
          <t>Project</t>
        </is>
      </c>
      <c r="K1200" t="inlineStr">
        <is>
          <t>PDEI - Event Service</t>
        </is>
      </c>
      <c r="L1200" t="inlineStr">
        <is>
          <t>MPL PH S16 - Regular Season</t>
        </is>
      </c>
      <c r="M1200" t="inlineStr">
        <is>
          <t>2025TEG-P0214</t>
        </is>
      </c>
      <c r="N1200" t="inlineStr">
        <is>
          <t>Katherine Denise Lee Sy</t>
        </is>
      </c>
      <c r="O1200" t="inlineStr">
        <is>
          <t>202510010076-Katherine Denise Lee Sy-费用报销 - 副本 - 副本 - 副本-2025-10-01 08:37:47</t>
        </is>
      </c>
      <c r="P1200" t="inlineStr">
        <is>
          <t>YES</t>
        </is>
      </c>
      <c r="Q1200"/>
      <c r="R1200" t="inlineStr">
        <is>
          <t>YES</t>
        </is>
      </c>
      <c r="S1200" t="inlineStr">
        <is>
          <t>Outsourced Logistics Associates (Egress)</t>
        </is>
      </c>
      <c r="T1200">
        <v>1</v>
      </c>
      <c r="U1200">
        <v>27000</v>
      </c>
      <c r="V1200" t="inlineStr">
        <is>
          <t>PHP</t>
        </is>
      </c>
      <c r="W1200">
        <v>27000</v>
      </c>
      <c r="X1200" s="2" t="str">
        <f>=HYPERLINK("https://www.larksuite.com/approval/admin/previewAttachment?key=PMgxCkJBDATQK80k2UziZWxcFhtBEPxa7NkFi9--LCJr0LMRTWtwa2RGySycLiu5bduUGqKs9nysK3U81_eoOYj58f2-39Z8cbTMII_wAsDL6a6I6M7A3_ELAAD__w", "2 attachment(s)")</f>
        <v>2 attachment(s)</v>
      </c>
      <c r="Y1200" t="inlineStr">
        <is>
          <t>Bank Transfer</t>
        </is>
      </c>
      <c r="Z1200" t="inlineStr">
        <is>
          <t>Rizel John Obong</t>
        </is>
      </c>
      <c r="AA1200" t="inlineStr">
        <is>
          <t>09709731174</t>
        </is>
      </c>
      <c r="AB1200" t="inlineStr">
        <is>
          <t>GCash</t>
        </is>
      </c>
      <c r="AC1200" t="inlineStr">
        <is>
          <t>Blk 1j Lot 31 Phase 3 E-1 Dagat Dagatan Caloocan City</t>
        </is>
      </c>
      <c r="AD1200" s="4">
        <v>45942</v>
      </c>
      <c r="AE1200" t="inlineStr">
        <is>
          <t>100% Full Payment - Nov. 8, 2025</t>
        </is>
      </c>
      <c r="AF1200" s="2"/>
      <c r="AG1200" t="inlineStr">
        <is>
          <t>NzQyNTk5MTgyNzQ4MTg3MDM0MTo4QkRENENDNi0yODA0LTQzMjctQkU3RC1BNjVCQzZBODk1N0EtMTo5MTJjZmJmMTA0Nzk2YmVmZjk2ZmQ5MWFjODE5NmJkODox</t>
        </is>
      </c>
      <c r="AH1200" t="inlineStr">
        <is>
          <t>Rizel John Obong</t>
        </is>
      </c>
      <c r="AI1200"/>
      <c r="AJ1200" t="inlineStr">
        <is>
          <t>LIQUIDITY PLAN (PAR # 202509020093 / 2025TEG-P0214)
REGULAR SEASON CE TAB &gt; 4.7 Manpower Arrangement &gt;
MANPOWER LOGISTICS &gt; Logistics Egress
Total Budget = Php 18,000.00
This Request = Php 27,000.00
Balance = (Php 9,000.00) OVER BUDGET</t>
        </is>
      </c>
      <c r="AK1200"/>
    </row>
    <row r="1201" ht="25.5" customHeight="1">
      <c r="A1201" s="2" t="str">
        <f>=HYPERLINK("https://applink.larksuite.com/client/mini_program/open?appId=cli_9c7cc8a9a9edd105&amp;mode=appCenter&amp;path_pc=pc/pages/requested/index?instanceId=7566605614227410655&amp;source=bitable&amp;path=pages/detail/index?instanceId=7566605614227410655&amp;source=bitable", "202510290159")</f>
        <v>202510290159</v>
      </c>
      <c r="B1201" t="inlineStr">
        <is>
          <t>Approved</t>
        </is>
      </c>
      <c r="C1201" t="inlineStr">
        <is>
          <t>Procurement Order</t>
        </is>
      </c>
      <c r="D1201" s="3">
        <v>45959.81545138889</v>
      </c>
      <c r="E1201" s="3">
        <v>45965.68913194445</v>
      </c>
      <c r="F1201" t="inlineStr">
        <is>
          <t>Fatima Kathleen M. FLores</t>
        </is>
      </c>
      <c r="G1201" t="inlineStr">
        <is>
          <t>Procurement</t>
        </is>
      </c>
      <c r="H1201"/>
      <c r="I1201"/>
      <c r="J1201" t="inlineStr">
        <is>
          <t>Project</t>
        </is>
      </c>
      <c r="K1201" t="inlineStr">
        <is>
          <t>PDEI - Event Service</t>
        </is>
      </c>
      <c r="L1201" t="inlineStr">
        <is>
          <t>MPL PH S16 - Playoffs</t>
        </is>
      </c>
      <c r="M1201" t="inlineStr">
        <is>
          <t>2025TEG-P0215</t>
        </is>
      </c>
      <c r="N1201" t="inlineStr">
        <is>
          <t>Katherine Denise Lee Sy</t>
        </is>
      </c>
      <c r="O1201" t="inlineStr">
        <is>
          <t>202510150090-Katherine Denise Lee Sy-费用报销 - 副本 - 副本 - 副本-2025-10-15 07:59:30</t>
        </is>
      </c>
      <c r="P1201" t="inlineStr">
        <is>
          <t>YES</t>
        </is>
      </c>
      <c r="Q1201"/>
      <c r="R1201" t="inlineStr">
        <is>
          <t>YES</t>
        </is>
      </c>
      <c r="S1201" t="inlineStr">
        <is>
          <t>Outsourced IT Support</t>
        </is>
      </c>
      <c r="T1201">
        <v>1</v>
      </c>
      <c r="U1201">
        <v>18370</v>
      </c>
      <c r="V1201" t="inlineStr">
        <is>
          <t>PHP</t>
        </is>
      </c>
      <c r="W1201">
        <v>18370</v>
      </c>
      <c r="X1201" s="2" t="str">
        <f>=HYPERLINK("https://www.larksuite.com/approval/admin/previewAttachment?key=PMhBqgJBDATQK1Wlk1TnX-ZvphlEGBDEBhc5u-DC7ctJ5AyOLHjRCmxFZiKSbiYnMqKtKRVEWfW6zv-ITbvueC--HsfufTvO9WSUzKDhPiYA_v18yN2r0vF1fAIAAP__", "2 attachment(s)")</f>
        <v>2 attachment(s)</v>
      </c>
      <c r="Y1201" t="inlineStr">
        <is>
          <t>Bank Transfer</t>
        </is>
      </c>
      <c r="Z1201" t="inlineStr">
        <is>
          <t>Jose Francisco A. Mazaredo</t>
        </is>
      </c>
      <c r="AA1201" t="inlineStr">
        <is>
          <t>09295611351</t>
        </is>
      </c>
      <c r="AB1201" t="inlineStr">
        <is>
          <t>GCash</t>
        </is>
      </c>
      <c r="AC1201" t="inlineStr">
        <is>
          <t>#881 Trapiche Road Purok 4 Tanauan Batangas</t>
        </is>
      </c>
      <c r="AD1201" s="4">
        <v>45946</v>
      </c>
      <c r="AE1201" t="inlineStr">
        <is>
          <t>100% Full Payment - Nov. 14, 2025</t>
        </is>
      </c>
      <c r="AF1201" s="2"/>
      <c r="AG1201" t="inlineStr">
        <is>
          <t>NzQyNTk5MTgyNzQ4MTg3MDM0MTpCMEMxNzU1RC0zQUEzLTQ2NkEtOTk3Ny1DNEYxNUNDQ0MyRDctMTplZDQxMWVmZGFkNTViNDg3ODE2MjY4ZmM1ZDRhMTNhODox</t>
        </is>
      </c>
      <c r="AH1201" t="inlineStr">
        <is>
          <t>Jose Francisco A. Mazaredo</t>
        </is>
      </c>
      <c r="AI1201"/>
      <c r="AJ1201" t="inlineStr">
        <is>
          <t>No line item in internal CE. Unbudgeted</t>
        </is>
      </c>
      <c r="AK1201"/>
    </row>
    <row r="1202" ht="25.5" customHeight="1">
      <c r="A1202" s="2" t="str">
        <f>=HYPERLINK("https://applink.larksuite.com/client/mini_program/open?appId=cli_9c7cc8a9a9edd105&amp;mode=appCenter&amp;path_pc=pc/pages/requested/index?instanceId=7566606572676189918&amp;source=bitable&amp;path=pages/detail/index?instanceId=7566606572676189918&amp;source=bitable", "202510290161")</f>
        <v>202510290161</v>
      </c>
      <c r="B1202" t="inlineStr">
        <is>
          <t>Approved</t>
        </is>
      </c>
      <c r="C1202" t="inlineStr">
        <is>
          <t>Procurement Order</t>
        </is>
      </c>
      <c r="D1202" s="3">
        <v>45959.818032407406</v>
      </c>
      <c r="E1202" s="3">
        <v>45965.69652777778</v>
      </c>
      <c r="F1202" t="inlineStr">
        <is>
          <t>Fatima Kathleen M. FLores</t>
        </is>
      </c>
      <c r="G1202" t="inlineStr">
        <is>
          <t>Procurement</t>
        </is>
      </c>
      <c r="H1202"/>
      <c r="I1202"/>
      <c r="J1202" t="inlineStr">
        <is>
          <t>Project</t>
        </is>
      </c>
      <c r="K1202" t="inlineStr">
        <is>
          <t>PDEI - Event Service</t>
        </is>
      </c>
      <c r="L1202" t="inlineStr">
        <is>
          <t>MPL PH S16 - Playoffs</t>
        </is>
      </c>
      <c r="M1202" t="inlineStr">
        <is>
          <t>2025TEG-P0215</t>
        </is>
      </c>
      <c r="N1202" t="inlineStr">
        <is>
          <t>Katherine Denise Lee Sy</t>
        </is>
      </c>
      <c r="O1202" t="inlineStr">
        <is>
          <t>202510150090-Katherine Denise Lee Sy-费用报销 - 副本 - 副本 - 副本-2025-10-15 07:59:30</t>
        </is>
      </c>
      <c r="P1202" t="inlineStr">
        <is>
          <t>YES</t>
        </is>
      </c>
      <c r="Q1202"/>
      <c r="R1202" t="inlineStr">
        <is>
          <t>YES</t>
        </is>
      </c>
      <c r="S1202" t="inlineStr">
        <is>
          <t>Outsourced IT Support</t>
        </is>
      </c>
      <c r="T1202">
        <v>1</v>
      </c>
      <c r="U1202">
        <v>18370</v>
      </c>
      <c r="V1202" t="inlineStr">
        <is>
          <t>PHP</t>
        </is>
      </c>
      <c r="W1202">
        <v>18370</v>
      </c>
      <c r="X1202" s="2" t="str">
        <f>=HYPERLINK("https://www.larksuite.com/approval/admin/previewAttachment?key=PMgxCsJAFATQK83_-3dmx8vYJAQFA4IQTLFnFyzSPo4AR49GoxxpxFQnCXYlxRh2jJkzJEOh9Fz37X4ez33J91evpsQ5j8eyrZ_oVibUqtoAELfLm6rKZuHv-AUAAP__", "2 attachment(s)")</f>
        <v>2 attachment(s)</v>
      </c>
      <c r="Y1202" t="inlineStr">
        <is>
          <t>Bank Transfer</t>
        </is>
      </c>
      <c r="Z1202" t="inlineStr">
        <is>
          <t>Jose Andrew A. Mazaredo</t>
        </is>
      </c>
      <c r="AA1202" t="inlineStr">
        <is>
          <t>09166309613</t>
        </is>
      </c>
      <c r="AB1202" t="inlineStr">
        <is>
          <t>GCash</t>
        </is>
      </c>
      <c r="AC1202" t="inlineStr">
        <is>
          <t>20 P. Ladia St. Project 4, Quezon City</t>
        </is>
      </c>
      <c r="AD1202" s="4">
        <v>45946</v>
      </c>
      <c r="AE1202" t="inlineStr">
        <is>
          <t>100% Full Payment - Nov. 14, 2025</t>
        </is>
      </c>
      <c r="AF1202" s="2"/>
      <c r="AG1202" t="inlineStr">
        <is>
          <t>NzQyNTk5MTgyNzQ4MTg3MDM0MTozRjA4QUQ3RC00NUM2LTQzMjQtOUU4QS0zM0NDRDkwOUJCQkUtMToyNzM5NmY1ZGJlNzE3NTBkNjcxYTExZTViZDNjMzgyODox</t>
        </is>
      </c>
      <c r="AH1202" t="inlineStr">
        <is>
          <t>Jose Andrew A. Mazaredo</t>
        </is>
      </c>
      <c r="AI1202"/>
      <c r="AJ1202" t="inlineStr">
        <is>
          <t>No line item in internal CE. Unbudgeted</t>
        </is>
      </c>
      <c r="AK1202"/>
    </row>
    <row r="1203" ht="25.5" customHeight="1">
      <c r="A1203" s="2" t="str">
        <f>=HYPERLINK("https://applink.larksuite.com/client/mini_program/open?appId=cli_9c7cc8a9a9edd105&amp;mode=appCenter&amp;path_pc=pc/pages/requested/index?instanceId=7566607083961863904&amp;source=bitable&amp;path=pages/detail/index?instanceId=7566607083961863904&amp;source=bitable", "202510290162")</f>
        <v>202510290162</v>
      </c>
      <c r="B1203" t="inlineStr">
        <is>
          <t>Approved</t>
        </is>
      </c>
      <c r="C1203" t="inlineStr">
        <is>
          <t>Procurement Order</t>
        </is>
      </c>
      <c r="D1203" s="3">
        <v>45959.81940972222</v>
      </c>
      <c r="E1203" s="3">
        <v>45965.70978009259</v>
      </c>
      <c r="F1203" t="inlineStr">
        <is>
          <t>Fatima Kathleen M. FLores</t>
        </is>
      </c>
      <c r="G1203" t="inlineStr">
        <is>
          <t>Procurement</t>
        </is>
      </c>
      <c r="H1203"/>
      <c r="I1203"/>
      <c r="J1203" t="inlineStr">
        <is>
          <t>Project</t>
        </is>
      </c>
      <c r="K1203" t="inlineStr">
        <is>
          <t>PDEI - Event Service</t>
        </is>
      </c>
      <c r="L1203" t="inlineStr">
        <is>
          <t>MPL PH S16 - Playoffs</t>
        </is>
      </c>
      <c r="M1203" t="inlineStr">
        <is>
          <t>2025TEG-P0215</t>
        </is>
      </c>
      <c r="N1203" t="inlineStr">
        <is>
          <t>Katherine Denise Lee Sy</t>
        </is>
      </c>
      <c r="O1203" t="inlineStr">
        <is>
          <t>202510150090-Katherine Denise Lee Sy-费用报销 - 副本 - 副本 - 副本-2025-10-15 07:59:30</t>
        </is>
      </c>
      <c r="P1203" t="inlineStr">
        <is>
          <t>YES</t>
        </is>
      </c>
      <c r="Q1203"/>
      <c r="R1203" t="inlineStr">
        <is>
          <t>YES</t>
        </is>
      </c>
      <c r="S1203" t="inlineStr">
        <is>
          <t>Outsourced IT Support</t>
        </is>
      </c>
      <c r="T1203">
        <v>1</v>
      </c>
      <c r="U1203">
        <v>18370</v>
      </c>
      <c r="V1203" t="inlineStr">
        <is>
          <t>PHP</t>
        </is>
      </c>
      <c r="W1203">
        <v>18370</v>
      </c>
      <c r="X1203" s="2" t="str">
        <f>=HYPERLINK("https://www.larksuite.com/approval/admin/previewAttachment?key=PMi7CQIwGATgle5_Xs5lbAzBRhDEWGV2wcL262HoURYtpMwFO6zuBjFCbaNDyOPHSIFG15mPda3a5p_3Ku6F5z77flvzZSW6g5EZA4Bd_h7MTKkTP8c3AAD__w", "2 attachment(s)")</f>
        <v>2 attachment(s)</v>
      </c>
      <c r="Y1203" t="inlineStr">
        <is>
          <t>Bank Transfer</t>
        </is>
      </c>
      <c r="Z1203" t="inlineStr">
        <is>
          <t>Wilson Mazaredo</t>
        </is>
      </c>
      <c r="AA1203" t="inlineStr">
        <is>
          <t>09662375484</t>
        </is>
      </c>
      <c r="AB1203" t="inlineStr">
        <is>
          <t>GCash</t>
        </is>
      </c>
      <c r="AC1203" t="inlineStr">
        <is>
          <t>20 P. Ladia St. Proj 4. Quezon City</t>
        </is>
      </c>
      <c r="AD1203" s="4">
        <v>45946</v>
      </c>
      <c r="AE1203" t="inlineStr">
        <is>
          <t>100% Full Payment - Nov. 14, 2025</t>
        </is>
      </c>
      <c r="AF1203" s="2"/>
      <c r="AG1203" t="inlineStr">
        <is>
          <t>NzQyNTk5MTgyNzQ4MTg3MDM0MTozNjIwOEEyRi0wQjU5LTRENjQtQkUyQy1GMEM5QjNFMjZCMDUtMTo0MDI5ZTdmYjIyNGRkZDVhNTM3MjAxMjNmYmEwMDhkYjox</t>
        </is>
      </c>
      <c r="AH1203" t="inlineStr">
        <is>
          <t>Wilson Mazaredo</t>
        </is>
      </c>
      <c r="AI1203"/>
      <c r="AJ1203" t="inlineStr">
        <is>
          <t>No line item in internal CE. Unbudgeted</t>
        </is>
      </c>
      <c r="AK1203"/>
    </row>
    <row r="1204" ht="25.5" customHeight="1">
      <c r="A1204" s="2" t="str">
        <f>=HYPERLINK("https://applink.larksuite.com/client/mini_program/open?appId=cli_9c7cc8a9a9edd105&amp;mode=appCenter&amp;path_pc=pc/pages/requested/index?instanceId=7566967082588344027&amp;source=bitable&amp;path=pages/detail/index?instanceId=7566967082588344027&amp;source=bitable", "202510300074")</f>
        <v>202510300074</v>
      </c>
      <c r="B1204" t="inlineStr">
        <is>
          <t>Approved</t>
        </is>
      </c>
      <c r="C1204" t="inlineStr">
        <is>
          <t>Procurement Order</t>
        </is>
      </c>
      <c r="D1204" s="3">
        <v>45960.78953703704</v>
      </c>
      <c r="E1204" s="3">
        <v>45965.77537037037</v>
      </c>
      <c r="F1204" t="inlineStr">
        <is>
          <t>Fatima Kathleen M. FLores</t>
        </is>
      </c>
      <c r="G1204" t="inlineStr">
        <is>
          <t>Procurement</t>
        </is>
      </c>
      <c r="H1204"/>
      <c r="I1204"/>
      <c r="J1204" t="inlineStr">
        <is>
          <t>Project</t>
        </is>
      </c>
      <c r="K1204" t="inlineStr">
        <is>
          <t>GG - Event Service</t>
        </is>
      </c>
      <c r="L1204" t="inlineStr">
        <is>
          <t>HOK Philippine Kings League - Fall Season</t>
        </is>
      </c>
      <c r="M1204" t="inlineStr">
        <is>
          <t>2025TEG-P0219</t>
        </is>
      </c>
      <c r="N1204" t="inlineStr">
        <is>
          <t>Reign Santos Fortea</t>
        </is>
      </c>
      <c r="O1204" t="inlineStr">
        <is>
          <t>202510230021-Reign Santos Fortea-费用报销 - 副本 - 副本 - 副本-2025-10-23 03:46:15</t>
        </is>
      </c>
      <c r="P1204" t="inlineStr">
        <is>
          <t>NO</t>
        </is>
      </c>
      <c r="Q1204"/>
      <c r="R1204" t="inlineStr">
        <is>
          <t>NO</t>
        </is>
      </c>
      <c r="S1204" t="inlineStr">
        <is>
          <t>Outsourced Logistics Services - Oct 6, 2025- 16ft Closed Van</t>
        </is>
      </c>
      <c r="T1204">
        <v>1</v>
      </c>
      <c r="U1204">
        <v>5370.4</v>
      </c>
      <c r="V1204" t="inlineStr">
        <is>
          <t>PHP</t>
        </is>
      </c>
      <c r="W1204">
        <v>5370.4</v>
      </c>
      <c r="X1204" s="2"/>
      <c r="Y1204" t="inlineStr">
        <is>
          <t>Bank Transfer</t>
        </is>
      </c>
      <c r="Z1204" t="inlineStr">
        <is>
          <t>ONE-MAX TRUCKING SERVICES</t>
        </is>
      </c>
      <c r="AA1204" t="inlineStr">
        <is>
          <t>504-3-50448621-5</t>
        </is>
      </c>
      <c r="AB1204" t="inlineStr">
        <is>
          <t>Metrobank</t>
        </is>
      </c>
      <c r="AC1204" t="inlineStr">
        <is>
          <t>Eastdrive St., Marikina Heights, Marikina City</t>
        </is>
      </c>
      <c r="AD1204" s="4">
        <v>45936</v>
      </c>
      <c r="AE1204" t="inlineStr">
        <is>
          <t>100% Full Payment upon completion of services</t>
        </is>
      </c>
      <c r="AF1204" s="2"/>
      <c r="AG1204" t="inlineStr">
        <is>
          <t>NzQyNTk5MTgyNzQ4MTg3MDM0MTpBNkVCNTlCNy00RkEyLTRCODUtODRGMS03OEQxQjM4RTIyRjgtMTo2ODk5NGIxNjQ2YzUxZDhmODJmN2JiZGVmMmVkMDcwOTox</t>
        </is>
      </c>
      <c r="AH1204" t="inlineStr">
        <is>
          <t>ONE-MAX TRUCKING SERVICES</t>
        </is>
      </c>
      <c r="AI1204"/>
      <c r="AJ1204" t="inlineStr">
        <is>
          <t>LIQUIDITY PLAN (PAR # 202508190134 / 2025TEG-P0219)
INTERNAL 0820 COST ESTIMATE &gt; PLAYOFFS &gt;
MOBILIZATION &gt; Ingress &amp; Egress Mobilization (PO Venue)
Total Budget = Php 20,000.00
Actual Cost = Php 10,578.40
Balance = Php 9,421.60</t>
        </is>
      </c>
      <c r="AK1204"/>
    </row>
    <row r="1205" ht="25.5" customHeight="1">
      <c r="A1205" s="2" t="str">
        <f>=HYPERLINK("https://applink.larksuite.com/client/mini_program/open?appId=cli_9c7cc8a9a9edd105&amp;mode=appCenter&amp;path_pc=pc/pages/requested/index?instanceId=7566967082588344027&amp;source=bitable&amp;path=pages/detail/index?instanceId=7566967082588344027&amp;source=bitable", "202510300074")</f>
        <v>202510300074</v>
      </c>
      <c r="B1205" t="inlineStr">
        <is>
          <t>Approved</t>
        </is>
      </c>
      <c r="C1205" t="inlineStr">
        <is>
          <t>Procurement Order</t>
        </is>
      </c>
      <c r="D1205" s="3">
        <v>45960.78953703704</v>
      </c>
      <c r="E1205" s="3">
        <v>45965.77537037037</v>
      </c>
      <c r="F1205" t="inlineStr">
        <is>
          <t>Fatima Kathleen M. FLores</t>
        </is>
      </c>
      <c r="G1205" t="inlineStr">
        <is>
          <t>Procurement</t>
        </is>
      </c>
      <c r="H1205"/>
      <c r="I1205"/>
      <c r="J1205" t="inlineStr">
        <is>
          <t>Project</t>
        </is>
      </c>
      <c r="K1205" t="inlineStr">
        <is>
          <t>GG - Event Service</t>
        </is>
      </c>
      <c r="L1205" t="inlineStr">
        <is>
          <t>HOK Philippine Kings League - Fall Season</t>
        </is>
      </c>
      <c r="M1205" t="inlineStr">
        <is>
          <t>2025TEG-P0219</t>
        </is>
      </c>
      <c r="N1205" t="inlineStr">
        <is>
          <t>Reign Santos Fortea</t>
        </is>
      </c>
      <c r="O1205" t="inlineStr">
        <is>
          <t>202510230021-Reign Santos Fortea-费用报销 - 副本 - 副本 - 副本-2025-10-23 03:46:15</t>
        </is>
      </c>
      <c r="P1205" t="inlineStr">
        <is>
          <t>NO</t>
        </is>
      </c>
      <c r="Q1205"/>
      <c r="R1205" t="inlineStr">
        <is>
          <t>NO</t>
        </is>
      </c>
      <c r="S1205" t="inlineStr">
        <is>
          <t>Outsourced Logistics Services - Oct 13, 2025- 16ft Closed Van</t>
        </is>
      </c>
      <c r="T1205">
        <v>1</v>
      </c>
      <c r="U1205">
        <v>5208</v>
      </c>
      <c r="V1205" t="inlineStr">
        <is>
          <t>PHP</t>
        </is>
      </c>
      <c r="W1205">
        <v>5208</v>
      </c>
      <c r="X1205" s="2" t="str">
        <f>=HYPERLINK("https://www.larksuite.com/approval/admin/previewAttachment?key=PMhBqgJBDATQK1XS1ankX-Zvphl0oQgy4ixydsGF2xdpiJw2osAyL1hrRlQI6TNzkHC1t0kFmbx63fb_u703f5xXngvHgX5dtn09bZbcoUGOBGB_Px8iWRXE1-0TAAD__w", "2 attachment(s)")</f>
        <v>2 attachment(s)</v>
      </c>
      <c r="Y1205"/>
      <c r="Z1205"/>
      <c r="AA1205"/>
      <c r="AB1205"/>
      <c r="AC1205"/>
      <c r="AD1205" s="4"/>
      <c r="AE1205"/>
      <c r="AF1205" s="2"/>
      <c r="AG1205" t="inlineStr">
        <is>
          <t>NzQyNTk5MTgyNzQ4MTg3MDM0MTpBNkVCNTlCNy00RkEyLTRCODUtODRGMS03OEQxQjM4RTIyRjgtMjo2NGEzMDA2ZTc3NDM5NDY1YzZhYTljOGU1M2UxZjk4ODox</t>
        </is>
      </c>
      <c r="AH1205"/>
      <c r="AI1205"/>
      <c r="AJ1205" t="inlineStr">
        <is>
          <t>LIQUIDITY PLAN (PAR # 202508190134 / 2025TEG-P0219)
INTERNAL 0820 COST ESTIMATE &gt; PLAYOFFS &gt;
MOBILIZATION &gt; Ingress &amp; Egress Mobilization (PO Venue)
Total Budget = Php 20,000.00
Actual Cost = Php 10,578.40
Balance = Php 9,421.60</t>
        </is>
      </c>
      <c r="AK1205"/>
    </row>
    <row r="1206" ht="25.5" customHeight="1">
      <c r="A1206" s="2" t="str">
        <f>=HYPERLINK("https://applink.larksuite.com/client/mini_program/open?appId=cli_9c7cc8a9a9edd105&amp;mode=appCenter&amp;path_pc=pc/pages/requested/index?instanceId=7566955389300788961&amp;source=bitable&amp;path=pages/detail/index?instanceId=7566955389300788961&amp;source=bitable", "202510300064")</f>
        <v>202510300064</v>
      </c>
      <c r="B1206" t="inlineStr">
        <is>
          <t>Approved</t>
        </is>
      </c>
      <c r="C1206" t="inlineStr">
        <is>
          <t>Procurement Order</t>
        </is>
      </c>
      <c r="D1206" s="3">
        <v>45960.75802083333</v>
      </c>
      <c r="E1206" s="3">
        <v>45964.733773148146</v>
      </c>
      <c r="F1206" t="inlineStr">
        <is>
          <t>Fatima Kathleen M. FLores</t>
        </is>
      </c>
      <c r="G1206" t="inlineStr">
        <is>
          <t>Procurement</t>
        </is>
      </c>
      <c r="H1206"/>
      <c r="I1206"/>
      <c r="J1206" t="inlineStr">
        <is>
          <t>Project</t>
        </is>
      </c>
      <c r="K1206" t="inlineStr">
        <is>
          <t>PDEI - Game Marketing</t>
        </is>
      </c>
      <c r="L1206" t="inlineStr">
        <is>
          <t>WCG 2025 Creator Rumble</t>
        </is>
      </c>
      <c r="M1206" t="inlineStr">
        <is>
          <t>2025TEG-P0041</t>
        </is>
      </c>
      <c r="N1206" t="inlineStr">
        <is>
          <t>Clifford Markus Ortiz Martinez</t>
        </is>
      </c>
      <c r="O1206" t="inlineStr">
        <is>
          <t>202510220098-Clifford Markus Ortiz Martinez-费用报销 - 副本 - 副本 - 副本-2025-10-22 09:20:10</t>
        </is>
      </c>
      <c r="P1206" t="inlineStr">
        <is>
          <t>NO</t>
        </is>
      </c>
      <c r="Q1206"/>
      <c r="R1206" t="inlineStr">
        <is>
          <t>NO</t>
        </is>
      </c>
      <c r="S1206" t="inlineStr">
        <is>
          <t>Mock Cheque Sticker on Sintra 80cm x 40cm</t>
        </is>
      </c>
      <c r="T1206">
        <v>1</v>
      </c>
      <c r="U1206">
        <v>695</v>
      </c>
      <c r="V1206" t="inlineStr">
        <is>
          <t>PHP</t>
        </is>
      </c>
      <c r="W1206">
        <v>695</v>
      </c>
      <c r="X1206" s="2"/>
      <c r="Y1206" t="inlineStr">
        <is>
          <t>Bank Transfer</t>
        </is>
      </c>
      <c r="Z1206" t="inlineStr">
        <is>
          <t>MaxPrecision Corporation</t>
        </is>
      </c>
      <c r="AA1206" t="inlineStr">
        <is>
          <t>4440117166</t>
        </is>
      </c>
      <c r="AB1206" t="inlineStr">
        <is>
          <t>BDO</t>
        </is>
      </c>
      <c r="AC1206" t="inlineStr">
        <is>
          <t>No. 5 Lt. Artiaga Street, Brgy Corazon De Jesus San Juan City</t>
        </is>
      </c>
      <c r="AD1206" s="4">
        <v>45952</v>
      </c>
      <c r="AE1206" t="inlineStr">
        <is>
          <t>100% Full Payment - 30 days upon complete delivery</t>
        </is>
      </c>
      <c r="AF1206" s="2"/>
      <c r="AG1206" t="inlineStr">
        <is>
          <t>NzQyNTk5MTgyNzQ4MTg3MDM0MTo0QTI4QTgyNC01QzIzLTQwRUMtQkIyRS0yNjE2Q0M5QTE3MjktMTpmNjVmYjZhYTk2NjJiNmU2ZGUyMmQyNmU1OTYxZGY2ZTox</t>
        </is>
      </c>
      <c r="AH1206" t="inlineStr">
        <is>
          <t>MaxPrecision Corporation</t>
        </is>
      </c>
      <c r="AI1206"/>
      <c r="AJ1206" t="inlineStr">
        <is>
          <t>LIQUIDITY PLAN (PAR # 202505160019 / 2025TEG-P0041)
FOR RENTAL/ FABRICATION/ PRODUCTION &gt; Touch Grass &gt;
Marketing Collaterals (Pull-Up Banners)
Total Budget = Php 9,000.00
Actual Cost = Php 8,155.00
Balance = Php 845.00</t>
        </is>
      </c>
      <c r="AK1206"/>
    </row>
    <row r="1207" ht="25.5" customHeight="1">
      <c r="A1207" s="2" t="str">
        <f>=HYPERLINK("https://applink.larksuite.com/client/mini_program/open?appId=cli_9c7cc8a9a9edd105&amp;mode=appCenter&amp;path_pc=pc/pages/requested/index?instanceId=7566955389300788961&amp;source=bitable&amp;path=pages/detail/index?instanceId=7566955389300788961&amp;source=bitable", "202510300064")</f>
        <v>202510300064</v>
      </c>
      <c r="B1207" t="inlineStr">
        <is>
          <t>Approved</t>
        </is>
      </c>
      <c r="C1207" t="inlineStr">
        <is>
          <t>Procurement Order</t>
        </is>
      </c>
      <c r="D1207" s="3">
        <v>45960.75802083333</v>
      </c>
      <c r="E1207" s="3">
        <v>45964.733773148146</v>
      </c>
      <c r="F1207" t="inlineStr">
        <is>
          <t>Fatima Kathleen M. FLores</t>
        </is>
      </c>
      <c r="G1207" t="inlineStr">
        <is>
          <t>Procurement</t>
        </is>
      </c>
      <c r="H1207"/>
      <c r="I1207"/>
      <c r="J1207" t="inlineStr">
        <is>
          <t>Project</t>
        </is>
      </c>
      <c r="K1207" t="inlineStr">
        <is>
          <t>PDEI - Game Marketing</t>
        </is>
      </c>
      <c r="L1207" t="inlineStr">
        <is>
          <t>WCG 2025 Creator Rumble</t>
        </is>
      </c>
      <c r="M1207" t="inlineStr">
        <is>
          <t>2025TEG-P0041</t>
        </is>
      </c>
      <c r="N1207" t="inlineStr">
        <is>
          <t>Clifford Markus Ortiz Martinez</t>
        </is>
      </c>
      <c r="O1207" t="inlineStr">
        <is>
          <t>202510220098-Clifford Markus Ortiz Martinez-费用报销 - 副本 - 副本 - 副本-2025-10-22 09:20:10</t>
        </is>
      </c>
      <c r="P1207" t="inlineStr">
        <is>
          <t>NO</t>
        </is>
      </c>
      <c r="Q1207"/>
      <c r="R1207" t="inlineStr">
        <is>
          <t>NO</t>
        </is>
      </c>
      <c r="S1207" t="inlineStr">
        <is>
          <t>Cue Card Sticker on Sintra 8.5 x 5.5</t>
        </is>
      </c>
      <c r="T1207">
        <v>4</v>
      </c>
      <c r="U1207">
        <v>65</v>
      </c>
      <c r="V1207" t="inlineStr">
        <is>
          <t>PHP</t>
        </is>
      </c>
      <c r="W1207">
        <v>260</v>
      </c>
      <c r="X1207" s="2"/>
      <c r="Y1207"/>
      <c r="Z1207"/>
      <c r="AA1207"/>
      <c r="AB1207"/>
      <c r="AC1207"/>
      <c r="AD1207" s="4"/>
      <c r="AE1207"/>
      <c r="AF1207" s="2"/>
      <c r="AG1207" t="inlineStr">
        <is>
          <t>NzQyNTk5MTgyNzQ4MTg3MDM0MTo0QTI4QTgyNC01QzIzLTQwRUMtQkIyRS0yNjE2Q0M5QTE3MjktMjo0ZmVmODU0NTJlYWU5YWM4MWZhYWFhNTZkZGFhMDBhNTox</t>
        </is>
      </c>
      <c r="AH1207"/>
      <c r="AI1207"/>
      <c r="AJ1207" t="inlineStr">
        <is>
          <t>LIQUIDITY PLAN (PAR # 202505160019 / 2025TEG-P0041)
FOR RENTAL/ FABRICATION/ PRODUCTION &gt; Touch Grass &gt;
Marketing Collaterals (Pull-Up Banners)
Total Budget = Php 9,000.00
Actual Cost = Php 8,155.00
Balance = Php 845.00</t>
        </is>
      </c>
      <c r="AK1207"/>
    </row>
    <row r="1208" ht="25.5" customHeight="1">
      <c r="A1208" s="2" t="str">
        <f>=HYPERLINK("https://applink.larksuite.com/client/mini_program/open?appId=cli_9c7cc8a9a9edd105&amp;mode=appCenter&amp;path_pc=pc/pages/requested/index?instanceId=7566955389300788961&amp;source=bitable&amp;path=pages/detail/index?instanceId=7566955389300788961&amp;source=bitable", "202510300064")</f>
        <v>202510300064</v>
      </c>
      <c r="B1208" t="inlineStr">
        <is>
          <t>Approved</t>
        </is>
      </c>
      <c r="C1208" t="inlineStr">
        <is>
          <t>Procurement Order</t>
        </is>
      </c>
      <c r="D1208" s="3">
        <v>45960.75802083333</v>
      </c>
      <c r="E1208" s="3">
        <v>45964.733773148146</v>
      </c>
      <c r="F1208" t="inlineStr">
        <is>
          <t>Fatima Kathleen M. FLores</t>
        </is>
      </c>
      <c r="G1208" t="inlineStr">
        <is>
          <t>Procurement</t>
        </is>
      </c>
      <c r="H1208"/>
      <c r="I1208"/>
      <c r="J1208" t="inlineStr">
        <is>
          <t>Project</t>
        </is>
      </c>
      <c r="K1208" t="inlineStr">
        <is>
          <t>PDEI - Game Marketing</t>
        </is>
      </c>
      <c r="L1208" t="inlineStr">
        <is>
          <t>WCG 2025 Creator Rumble</t>
        </is>
      </c>
      <c r="M1208" t="inlineStr">
        <is>
          <t>2025TEG-P0041</t>
        </is>
      </c>
      <c r="N1208" t="inlineStr">
        <is>
          <t>Clifford Markus Ortiz Martinez</t>
        </is>
      </c>
      <c r="O1208" t="inlineStr">
        <is>
          <t>202510220098-Clifford Markus Ortiz Martinez-费用报销 - 副本 - 副本 - 副本-2025-10-22 09:20:10</t>
        </is>
      </c>
      <c r="P1208" t="inlineStr">
        <is>
          <t>NO</t>
        </is>
      </c>
      <c r="Q1208"/>
      <c r="R1208" t="inlineStr">
        <is>
          <t>NO</t>
        </is>
      </c>
      <c r="S1208" t="inlineStr">
        <is>
          <t>Pull up banner with installation 33”x78”</t>
        </is>
      </c>
      <c r="T1208">
        <v>8</v>
      </c>
      <c r="U1208">
        <v>900</v>
      </c>
      <c r="V1208" t="inlineStr">
        <is>
          <t>PHP</t>
        </is>
      </c>
      <c r="W1208">
        <v>7200</v>
      </c>
      <c r="X1208" s="2" t="str">
        <f>=HYPERLINK("https://www.larksuite.com/approval/admin/previewAttachment?key=PMi7CQJAEATQlmb_OzZj4nHIgZGgJlu7YGD6sgXZIZaEU5SQqchkhDUNqG6mjI5UESWlnPXY12Xhm-86e3_WiXndb3s9JViqKHO3BiCXv1u5O5mOn-s3AAD__w", "2 attachment(s)")</f>
        <v>2 attachment(s)</v>
      </c>
      <c r="Y1208"/>
      <c r="Z1208"/>
      <c r="AA1208"/>
      <c r="AB1208"/>
      <c r="AC1208"/>
      <c r="AD1208" s="4"/>
      <c r="AE1208"/>
      <c r="AF1208" s="2"/>
      <c r="AG1208" t="inlineStr">
        <is>
          <t>NzQyNTk5MTgyNzQ4MTg3MDM0MTo0QTI4QTgyNC01QzIzLTQwRUMtQkIyRS0yNjE2Q0M5QTE3MjktMzpkOGM5ZWRjZWFlMGJiMWFiYTI3MjU4YjQ0MGQxYmIyNzox</t>
        </is>
      </c>
      <c r="AH1208"/>
      <c r="AI1208"/>
      <c r="AJ1208" t="inlineStr">
        <is>
          <t>LIQUIDITY PLAN (PAR # 202505160019 / 2025TEG-P0041)
FOR RENTAL/ FABRICATION/ PRODUCTION &gt; Touch Grass &gt;
Marketing Collaterals (Pull-Up Banners)
Total Budget = Php 9,000.00
Actual Cost = Php 8,155.00
Balance = Php 845.00</t>
        </is>
      </c>
      <c r="AK1208"/>
    </row>
    <row r="1209" ht="25.5" customHeight="1">
      <c r="A1209" s="2" t="str">
        <f>=HYPERLINK("https://applink.larksuite.com/client/mini_program/open?appId=cli_9c7cc8a9a9edd105&amp;mode=appCenter&amp;path_pc=pc/pages/requested/index?instanceId=7566938025494580959&amp;source=bitable&amp;path=pages/detail/index?instanceId=7566938025494580959&amp;source=bitable", "202510300049")</f>
        <v>202510300049</v>
      </c>
      <c r="B1209" t="inlineStr">
        <is>
          <t>Approved</t>
        </is>
      </c>
      <c r="C1209" t="inlineStr">
        <is>
          <t>Procurement Order</t>
        </is>
      </c>
      <c r="D1209" s="3">
        <v>45960.71123842592</v>
      </c>
      <c r="E1209" s="3">
        <v>45967.66541666666</v>
      </c>
      <c r="F1209" t="inlineStr">
        <is>
          <t>Fatima Kathleen M. FLores</t>
        </is>
      </c>
      <c r="G1209" t="inlineStr">
        <is>
          <t>Procurement</t>
        </is>
      </c>
      <c r="H1209"/>
      <c r="I1209"/>
      <c r="J1209" t="inlineStr">
        <is>
          <t>Project</t>
        </is>
      </c>
      <c r="K1209" t="inlineStr">
        <is>
          <t>PDEI - Event Service</t>
        </is>
      </c>
      <c r="L1209" t="inlineStr">
        <is>
          <t>Bingo Plus Panalo Caravan</t>
        </is>
      </c>
      <c r="M1209" t="inlineStr">
        <is>
          <t>2025TEG-P0216</t>
        </is>
      </c>
      <c r="N1209" t="inlineStr">
        <is>
          <t>Ronelle Kylene Chaneco Lim</t>
        </is>
      </c>
      <c r="O1209" t="inlineStr">
        <is>
          <t>202510200088-Ronelle Kylene Chaneco Lim-费用报销 - 副本 - 副本 - 副本-2025-10-20 10:26:03</t>
        </is>
      </c>
      <c r="P1209" t="inlineStr">
        <is>
          <t>NO</t>
        </is>
      </c>
      <c r="Q1209"/>
      <c r="R1209" t="inlineStr">
        <is>
          <t>YES</t>
        </is>
      </c>
      <c r="S1209" t="inlineStr">
        <is>
          <t>Rental of Monobloc Chairs (1 day)</t>
        </is>
      </c>
      <c r="T1209">
        <v>100</v>
      </c>
      <c r="U1209">
        <v>15</v>
      </c>
      <c r="V1209" t="inlineStr">
        <is>
          <t>PHP</t>
        </is>
      </c>
      <c r="W1209">
        <v>1500</v>
      </c>
      <c r="X1209" s="2"/>
      <c r="Y1209" t="inlineStr">
        <is>
          <t>Bank Transfer</t>
        </is>
      </c>
      <c r="Z1209" t="inlineStr">
        <is>
          <t>SPE Events Management And Services Party Needs Rental</t>
        </is>
      </c>
      <c r="AA1209" t="inlineStr">
        <is>
          <t>141102017588</t>
        </is>
      </c>
      <c r="AB1209" t="inlineStr">
        <is>
          <t>China Bank Corporation</t>
        </is>
      </c>
      <c r="AC1209" t="inlineStr">
        <is>
          <t>10A St. Benedict, Paradise Village, Sangandaan, QC</t>
        </is>
      </c>
      <c r="AD1209" s="4">
        <v>45951</v>
      </c>
      <c r="AE1209" t="inlineStr">
        <is>
          <t>100% Full Payment</t>
        </is>
      </c>
      <c r="AF1209" s="2"/>
      <c r="AG1209" t="inlineStr">
        <is>
          <t>NzQyNTk5MTgyNzQ4MTg3MDM0MTo1MzU0MjczMS02NkUyLTQwMjItQkQ2MC1EMDU5NzYxMTM3MjQtMTo0M2E5NzczN2Q1Nzk1MWUxNGJjMzgxY2JkMDIxNWY3Mjox</t>
        </is>
      </c>
      <c r="AH1209" t="inlineStr">
        <is>
          <t>SPE Events Management And Services Party Needs Rental</t>
        </is>
      </c>
      <c r="AI1209"/>
      <c r="AJ1209" t="inlineStr">
        <is>
          <t>This is part of the RR PROJECT EXECUTION line items.</t>
        </is>
      </c>
      <c r="AK1209"/>
    </row>
    <row r="1210" ht="25.5" customHeight="1">
      <c r="A1210" s="2" t="str">
        <f>=HYPERLINK("https://applink.larksuite.com/client/mini_program/open?appId=cli_9c7cc8a9a9edd105&amp;mode=appCenter&amp;path_pc=pc/pages/requested/index?instanceId=7566938025494580959&amp;source=bitable&amp;path=pages/detail/index?instanceId=7566938025494580959&amp;source=bitable", "202510300049")</f>
        <v>202510300049</v>
      </c>
      <c r="B1210" t="inlineStr">
        <is>
          <t>Approved</t>
        </is>
      </c>
      <c r="C1210" t="inlineStr">
        <is>
          <t>Procurement Order</t>
        </is>
      </c>
      <c r="D1210" s="3">
        <v>45960.71123842592</v>
      </c>
      <c r="E1210" s="3">
        <v>45967.66541666666</v>
      </c>
      <c r="F1210" t="inlineStr">
        <is>
          <t>Fatima Kathleen M. FLores</t>
        </is>
      </c>
      <c r="G1210" t="inlineStr">
        <is>
          <t>Procurement</t>
        </is>
      </c>
      <c r="H1210"/>
      <c r="I1210"/>
      <c r="J1210" t="inlineStr">
        <is>
          <t>Project</t>
        </is>
      </c>
      <c r="K1210" t="inlineStr">
        <is>
          <t>PDEI - Event Service</t>
        </is>
      </c>
      <c r="L1210" t="inlineStr">
        <is>
          <t>Bingo Plus Panalo Caravan</t>
        </is>
      </c>
      <c r="M1210" t="inlineStr">
        <is>
          <t>2025TEG-P0216</t>
        </is>
      </c>
      <c r="N1210" t="inlineStr">
        <is>
          <t>Ronelle Kylene Chaneco Lim</t>
        </is>
      </c>
      <c r="O1210" t="inlineStr">
        <is>
          <t>202510200088-Ronelle Kylene Chaneco Lim-费用报销 - 副本 - 副本 - 副本-2025-10-20 10:26:03</t>
        </is>
      </c>
      <c r="P1210" t="inlineStr">
        <is>
          <t>NO</t>
        </is>
      </c>
      <c r="Q1210"/>
      <c r="R1210" t="inlineStr">
        <is>
          <t>YES</t>
        </is>
      </c>
      <c r="S1210" t="inlineStr">
        <is>
          <t>Rental of 6ft rectangle Lifetime tables with cover (1 day)</t>
        </is>
      </c>
      <c r="T1210">
        <v>10</v>
      </c>
      <c r="U1210">
        <v>200</v>
      </c>
      <c r="V1210" t="inlineStr">
        <is>
          <t>PHP</t>
        </is>
      </c>
      <c r="W1210">
        <v>2000</v>
      </c>
      <c r="X1210" s="2"/>
      <c r="Y1210"/>
      <c r="Z1210"/>
      <c r="AA1210"/>
      <c r="AB1210"/>
      <c r="AC1210"/>
      <c r="AD1210" s="4"/>
      <c r="AE1210"/>
      <c r="AF1210" s="2"/>
      <c r="AG1210" t="inlineStr">
        <is>
          <t>NzQyNTk5MTgyNzQ4MTg3MDM0MTo1MzU0MjczMS02NkUyLTQwMjItQkQ2MC1EMDU5NzYxMTM3MjQtMjo2MTI0YTI3MzE3MjFlZmE0ZTg1MTFlZTBjODMyMGQwNTox</t>
        </is>
      </c>
      <c r="AH1210"/>
      <c r="AI1210"/>
      <c r="AJ1210" t="inlineStr">
        <is>
          <t>This is part of the RR PROJECT EXECUTION line items.</t>
        </is>
      </c>
      <c r="AK1210"/>
    </row>
    <row r="1211" ht="25.5" customHeight="1">
      <c r="A1211" s="2" t="str">
        <f>=HYPERLINK("https://applink.larksuite.com/client/mini_program/open?appId=cli_9c7cc8a9a9edd105&amp;mode=appCenter&amp;path_pc=pc/pages/requested/index?instanceId=7566938025494580959&amp;source=bitable&amp;path=pages/detail/index?instanceId=7566938025494580959&amp;source=bitable", "202510300049")</f>
        <v>202510300049</v>
      </c>
      <c r="B1211" t="inlineStr">
        <is>
          <t>Approved</t>
        </is>
      </c>
      <c r="C1211" t="inlineStr">
        <is>
          <t>Procurement Order</t>
        </is>
      </c>
      <c r="D1211" s="3">
        <v>45960.71123842592</v>
      </c>
      <c r="E1211" s="3">
        <v>45967.66541666666</v>
      </c>
      <c r="F1211" t="inlineStr">
        <is>
          <t>Fatima Kathleen M. FLores</t>
        </is>
      </c>
      <c r="G1211" t="inlineStr">
        <is>
          <t>Procurement</t>
        </is>
      </c>
      <c r="H1211"/>
      <c r="I1211"/>
      <c r="J1211" t="inlineStr">
        <is>
          <t>Project</t>
        </is>
      </c>
      <c r="K1211" t="inlineStr">
        <is>
          <t>PDEI - Event Service</t>
        </is>
      </c>
      <c r="L1211" t="inlineStr">
        <is>
          <t>Bingo Plus Panalo Caravan</t>
        </is>
      </c>
      <c r="M1211" t="inlineStr">
        <is>
          <t>2025TEG-P0216</t>
        </is>
      </c>
      <c r="N1211" t="inlineStr">
        <is>
          <t>Ronelle Kylene Chaneco Lim</t>
        </is>
      </c>
      <c r="O1211" t="inlineStr">
        <is>
          <t>202510200088-Ronelle Kylene Chaneco Lim-费用报销 - 副本 - 副本 - 副本-2025-10-20 10:26:03</t>
        </is>
      </c>
      <c r="P1211" t="inlineStr">
        <is>
          <t>NO</t>
        </is>
      </c>
      <c r="Q1211"/>
      <c r="R1211" t="inlineStr">
        <is>
          <t>YES</t>
        </is>
      </c>
      <c r="S1211" t="inlineStr">
        <is>
          <t>Rental of Aircooler Fans (1 day)</t>
        </is>
      </c>
      <c r="T1211">
        <v>6</v>
      </c>
      <c r="U1211">
        <v>1500</v>
      </c>
      <c r="V1211" t="inlineStr">
        <is>
          <t>PHP</t>
        </is>
      </c>
      <c r="W1211">
        <v>9000</v>
      </c>
      <c r="X1211" s="2"/>
      <c r="Y1211"/>
      <c r="Z1211"/>
      <c r="AA1211"/>
      <c r="AB1211"/>
      <c r="AC1211"/>
      <c r="AD1211" s="4"/>
      <c r="AE1211"/>
      <c r="AF1211" s="2"/>
      <c r="AG1211" t="inlineStr">
        <is>
          <t>NzQyNTk5MTgyNzQ4MTg3MDM0MTo1MzU0MjczMS02NkUyLTQwMjItQkQ2MC1EMDU5NzYxMTM3MjQtMzoyN2Y4OTQ0OTgxZTRkYmM0NWIxYzZkZTI1YjM0MzVlYjox</t>
        </is>
      </c>
      <c r="AH1211"/>
      <c r="AI1211"/>
      <c r="AJ1211" t="inlineStr">
        <is>
          <t>This is part of the RR PROJECT EXECUTION line items.</t>
        </is>
      </c>
      <c r="AK1211"/>
    </row>
    <row r="1212" ht="25.5" customHeight="1">
      <c r="A1212" s="2" t="str">
        <f>=HYPERLINK("https://applink.larksuite.com/client/mini_program/open?appId=cli_9c7cc8a9a9edd105&amp;mode=appCenter&amp;path_pc=pc/pages/requested/index?instanceId=7566938025494580959&amp;source=bitable&amp;path=pages/detail/index?instanceId=7566938025494580959&amp;source=bitable", "202510300049")</f>
        <v>202510300049</v>
      </c>
      <c r="B1212" t="inlineStr">
        <is>
          <t>Approved</t>
        </is>
      </c>
      <c r="C1212" t="inlineStr">
        <is>
          <t>Procurement Order</t>
        </is>
      </c>
      <c r="D1212" s="3">
        <v>45960.71123842592</v>
      </c>
      <c r="E1212" s="3">
        <v>45967.66541666666</v>
      </c>
      <c r="F1212" t="inlineStr">
        <is>
          <t>Fatima Kathleen M. FLores</t>
        </is>
      </c>
      <c r="G1212" t="inlineStr">
        <is>
          <t>Procurement</t>
        </is>
      </c>
      <c r="H1212"/>
      <c r="I1212"/>
      <c r="J1212" t="inlineStr">
        <is>
          <t>Project</t>
        </is>
      </c>
      <c r="K1212" t="inlineStr">
        <is>
          <t>PDEI - Event Service</t>
        </is>
      </c>
      <c r="L1212" t="inlineStr">
        <is>
          <t>Bingo Plus Panalo Caravan</t>
        </is>
      </c>
      <c r="M1212" t="inlineStr">
        <is>
          <t>2025TEG-P0216</t>
        </is>
      </c>
      <c r="N1212" t="inlineStr">
        <is>
          <t>Ronelle Kylene Chaneco Lim</t>
        </is>
      </c>
      <c r="O1212" t="inlineStr">
        <is>
          <t>202510200088-Ronelle Kylene Chaneco Lim-费用报销 - 副本 - 副本 - 副本-2025-10-20 10:26:03</t>
        </is>
      </c>
      <c r="P1212" t="inlineStr">
        <is>
          <t>NO</t>
        </is>
      </c>
      <c r="Q1212"/>
      <c r="R1212" t="inlineStr">
        <is>
          <t>YES</t>
        </is>
      </c>
      <c r="S1212" t="inlineStr">
        <is>
          <t>Rental of 10ft x 10ft Airconditioned Tent (1 day)</t>
        </is>
      </c>
      <c r="T1212">
        <v>4</v>
      </c>
      <c r="U1212">
        <v>13000</v>
      </c>
      <c r="V1212" t="inlineStr">
        <is>
          <t>PHP</t>
        </is>
      </c>
      <c r="W1212">
        <v>52000</v>
      </c>
      <c r="X1212" s="2"/>
      <c r="Y1212"/>
      <c r="Z1212"/>
      <c r="AA1212"/>
      <c r="AB1212"/>
      <c r="AC1212"/>
      <c r="AD1212" s="4"/>
      <c r="AE1212"/>
      <c r="AF1212" s="2"/>
      <c r="AG1212" t="inlineStr">
        <is>
          <t>NzQyNTk5MTgyNzQ4MTg3MDM0MTo1MzU0MjczMS02NkUyLTQwMjItQkQ2MC1EMDU5NzYxMTM3MjQtNDo2MTJmODQ0NDAwMWY1ZjZhMmZiZDQ3ODFkN2JlZWZkNDox</t>
        </is>
      </c>
      <c r="AH1212"/>
      <c r="AI1212"/>
      <c r="AJ1212" t="inlineStr">
        <is>
          <t>This is part of the RR PROJECT EXECUTION line items.</t>
        </is>
      </c>
      <c r="AK1212"/>
    </row>
    <row r="1213" ht="25.5" customHeight="1">
      <c r="A1213" s="2" t="str">
        <f>=HYPERLINK("https://applink.larksuite.com/client/mini_program/open?appId=cli_9c7cc8a9a9edd105&amp;mode=appCenter&amp;path_pc=pc/pages/requested/index?instanceId=7566938025494580959&amp;source=bitable&amp;path=pages/detail/index?instanceId=7566938025494580959&amp;source=bitable", "202510300049")</f>
        <v>202510300049</v>
      </c>
      <c r="B1213" t="inlineStr">
        <is>
          <t>Approved</t>
        </is>
      </c>
      <c r="C1213" t="inlineStr">
        <is>
          <t>Procurement Order</t>
        </is>
      </c>
      <c r="D1213" s="3">
        <v>45960.71123842592</v>
      </c>
      <c r="E1213" s="3">
        <v>45967.66541666666</v>
      </c>
      <c r="F1213" t="inlineStr">
        <is>
          <t>Fatima Kathleen M. FLores</t>
        </is>
      </c>
      <c r="G1213" t="inlineStr">
        <is>
          <t>Procurement</t>
        </is>
      </c>
      <c r="H1213"/>
      <c r="I1213"/>
      <c r="J1213" t="inlineStr">
        <is>
          <t>Project</t>
        </is>
      </c>
      <c r="K1213" t="inlineStr">
        <is>
          <t>PDEI - Event Service</t>
        </is>
      </c>
      <c r="L1213" t="inlineStr">
        <is>
          <t>Bingo Plus Panalo Caravan</t>
        </is>
      </c>
      <c r="M1213" t="inlineStr">
        <is>
          <t>2025TEG-P0216</t>
        </is>
      </c>
      <c r="N1213" t="inlineStr">
        <is>
          <t>Ronelle Kylene Chaneco Lim</t>
        </is>
      </c>
      <c r="O1213" t="inlineStr">
        <is>
          <t>202510200088-Ronelle Kylene Chaneco Lim-费用报销 - 副本 - 副本 - 副本-2025-10-20 10:26:03</t>
        </is>
      </c>
      <c r="P1213" t="inlineStr">
        <is>
          <t>NO</t>
        </is>
      </c>
      <c r="Q1213"/>
      <c r="R1213" t="inlineStr">
        <is>
          <t>YES</t>
        </is>
      </c>
      <c r="S1213" t="inlineStr">
        <is>
          <t>Rental of 10ft x 10ft Open Tent (1 day)</t>
        </is>
      </c>
      <c r="T1213">
        <v>1</v>
      </c>
      <c r="U1213">
        <v>2800</v>
      </c>
      <c r="V1213" t="inlineStr">
        <is>
          <t>PHP</t>
        </is>
      </c>
      <c r="W1213">
        <v>2800</v>
      </c>
      <c r="X1213" s="2"/>
      <c r="Y1213"/>
      <c r="Z1213"/>
      <c r="AA1213"/>
      <c r="AB1213"/>
      <c r="AC1213"/>
      <c r="AD1213" s="4"/>
      <c r="AE1213"/>
      <c r="AF1213" s="2"/>
      <c r="AG1213" t="inlineStr">
        <is>
          <t>NzQyNTk5MTgyNzQ4MTg3MDM0MTo1MzU0MjczMS02NkUyLTQwMjItQkQ2MC1EMDU5NzYxMTM3MjQtNToxOGVkMGE5NDVhZTExYTQ5YjllYWE2YjEyNjg3OTdkODox</t>
        </is>
      </c>
      <c r="AH1213"/>
      <c r="AI1213"/>
      <c r="AJ1213" t="inlineStr">
        <is>
          <t>This is part of the RR PROJECT EXECUTION line items.</t>
        </is>
      </c>
      <c r="AK1213"/>
    </row>
    <row r="1214" ht="25.5" customHeight="1">
      <c r="A1214" s="2" t="str">
        <f>=HYPERLINK("https://applink.larksuite.com/client/mini_program/open?appId=cli_9c7cc8a9a9edd105&amp;mode=appCenter&amp;path_pc=pc/pages/requested/index?instanceId=7566938025494580959&amp;source=bitable&amp;path=pages/detail/index?instanceId=7566938025494580959&amp;source=bitable", "202510300049")</f>
        <v>202510300049</v>
      </c>
      <c r="B1214" t="inlineStr">
        <is>
          <t>Approved</t>
        </is>
      </c>
      <c r="C1214" t="inlineStr">
        <is>
          <t>Procurement Order</t>
        </is>
      </c>
      <c r="D1214" s="3">
        <v>45960.71123842592</v>
      </c>
      <c r="E1214" s="3">
        <v>45967.66541666666</v>
      </c>
      <c r="F1214" t="inlineStr">
        <is>
          <t>Fatima Kathleen M. FLores</t>
        </is>
      </c>
      <c r="G1214" t="inlineStr">
        <is>
          <t>Procurement</t>
        </is>
      </c>
      <c r="H1214"/>
      <c r="I1214"/>
      <c r="J1214" t="inlineStr">
        <is>
          <t>Project</t>
        </is>
      </c>
      <c r="K1214" t="inlineStr">
        <is>
          <t>PDEI - Event Service</t>
        </is>
      </c>
      <c r="L1214" t="inlineStr">
        <is>
          <t>Bingo Plus Panalo Caravan</t>
        </is>
      </c>
      <c r="M1214" t="inlineStr">
        <is>
          <t>2025TEG-P0216</t>
        </is>
      </c>
      <c r="N1214" t="inlineStr">
        <is>
          <t>Ronelle Kylene Chaneco Lim</t>
        </is>
      </c>
      <c r="O1214" t="inlineStr">
        <is>
          <t>202510200088-Ronelle Kylene Chaneco Lim-费用报销 - 副本 - 副本 - 副本-2025-10-20 10:26:03</t>
        </is>
      </c>
      <c r="P1214" t="inlineStr">
        <is>
          <t>NO</t>
        </is>
      </c>
      <c r="Q1214"/>
      <c r="R1214" t="inlineStr">
        <is>
          <t>YES</t>
        </is>
      </c>
      <c r="S1214" t="inlineStr">
        <is>
          <t>Delivery Fee</t>
        </is>
      </c>
      <c r="T1214">
        <v>1</v>
      </c>
      <c r="U1214">
        <v>2500</v>
      </c>
      <c r="V1214" t="inlineStr">
        <is>
          <t>PHP</t>
        </is>
      </c>
      <c r="W1214">
        <v>2500</v>
      </c>
      <c r="X1214" s="2"/>
      <c r="Y1214"/>
      <c r="Z1214"/>
      <c r="AA1214"/>
      <c r="AB1214"/>
      <c r="AC1214"/>
      <c r="AD1214" s="4"/>
      <c r="AE1214"/>
      <c r="AF1214" s="2"/>
      <c r="AG1214" t="inlineStr">
        <is>
          <t>NzQyNTk5MTgyNzQ4MTg3MDM0MTo1MzU0MjczMS02NkUyLTQwMjItQkQ2MC1EMDU5NzYxMTM3MjQtNjo3OTVjZmQyZTg2YzBkZmQwYTY1OTFmZmQ1NzUxMjI2Mzox</t>
        </is>
      </c>
      <c r="AH1214"/>
      <c r="AI1214"/>
      <c r="AJ1214" t="inlineStr">
        <is>
          <t>This is part of the RR PROJECT EXECUTION line items.</t>
        </is>
      </c>
      <c r="AK1214"/>
    </row>
    <row r="1215" ht="25.5" customHeight="1">
      <c r="A1215" s="2" t="str">
        <f>=HYPERLINK("https://applink.larksuite.com/client/mini_program/open?appId=cli_9c7cc8a9a9edd105&amp;mode=appCenter&amp;path_pc=pc/pages/requested/index?instanceId=7566853019040550623&amp;source=bitable&amp;path=pages/detail/index?instanceId=7566853019040550623&amp;source=bitable", "202510300022")</f>
        <v>202510300022</v>
      </c>
      <c r="B1215" t="inlineStr">
        <is>
          <t>Approved</t>
        </is>
      </c>
      <c r="C1215" t="inlineStr">
        <is>
          <t>Procurement Order</t>
        </is>
      </c>
      <c r="D1215" s="3">
        <v>45960.48216435185</v>
      </c>
      <c r="E1215" s="3">
        <v>45965.728900462964</v>
      </c>
      <c r="F1215" t="inlineStr">
        <is>
          <t>Fatima Kathleen M. FLores</t>
        </is>
      </c>
      <c r="G1215" t="inlineStr">
        <is>
          <t>Procurement</t>
        </is>
      </c>
      <c r="H1215"/>
      <c r="I1215"/>
      <c r="J1215" t="inlineStr">
        <is>
          <t>Project</t>
        </is>
      </c>
      <c r="K1215" t="inlineStr">
        <is>
          <t>PDEI - Event Service</t>
        </is>
      </c>
      <c r="L1215" t="inlineStr">
        <is>
          <t>MPL PH S16 - Playoffs</t>
        </is>
      </c>
      <c r="M1215" t="inlineStr">
        <is>
          <t>2025TEG-P0215</t>
        </is>
      </c>
      <c r="N1215" t="inlineStr">
        <is>
          <t>Katherine Denise Lee Sy</t>
        </is>
      </c>
      <c r="O1215" t="inlineStr">
        <is>
          <t>202510010039-Katherine Denise Lee Sy-费用报销 - 副本 - 副本 - 副本-2025-10-01 05:03:26</t>
        </is>
      </c>
      <c r="P1215" t="inlineStr">
        <is>
          <t>NO</t>
        </is>
      </c>
      <c r="Q1215"/>
      <c r="R1215" t="inlineStr">
        <is>
          <t>YES</t>
        </is>
      </c>
      <c r="S1215" t="inlineStr">
        <is>
          <t>House Rules Tarp 78” x 33”</t>
        </is>
      </c>
      <c r="T1215">
        <v>1</v>
      </c>
      <c r="U1215">
        <v>800</v>
      </c>
      <c r="V1215" t="inlineStr">
        <is>
          <t>PHP</t>
        </is>
      </c>
      <c r="W1215">
        <v>800</v>
      </c>
      <c r="X1215" s="2"/>
      <c r="Y1215" t="inlineStr">
        <is>
          <t>Bank Transfer</t>
        </is>
      </c>
      <c r="Z1215" t="inlineStr">
        <is>
          <t>MaxPrecision Corporation</t>
        </is>
      </c>
      <c r="AA1215" t="inlineStr">
        <is>
          <t>4440117166</t>
        </is>
      </c>
      <c r="AB1215" t="inlineStr">
        <is>
          <t>BDO</t>
        </is>
      </c>
      <c r="AC1215" t="inlineStr">
        <is>
          <t>No. 5 Lt. Artiaga Street, Brgy Corazon De Jesus San Juan City</t>
        </is>
      </c>
      <c r="AD1215" s="4">
        <v>45940</v>
      </c>
      <c r="AE1215" t="inlineStr">
        <is>
          <t>100% Full Payment - 30 days upon complete delivery</t>
        </is>
      </c>
      <c r="AF1215" s="2"/>
      <c r="AG1215" t="inlineStr">
        <is>
          <t>NzQyNTk5MTgyNzQ4MTg3MDM0MTo1Q0NCMjYxMC1EMTA5LTQxOTUtOTlCRi05RTc0OTIxNjgyN0EtMTo3YjkyZDQxMmM5YTQwODliNGZjMTQ0NTFjYTIzMGQ1OTox</t>
        </is>
      </c>
      <c r="AH1215" t="inlineStr">
        <is>
          <t>MaxPrecision Corporation</t>
        </is>
      </c>
      <c r="AI1215"/>
      <c r="AJ1215" t="inlineStr">
        <is>
          <t>LIQUIDITY PLAN (PAR # 202509020094 / 2025TEG-P0215)
1.1 Logistic Production &gt; SPECIAL AWARDS &gt;
Certificate &amp; Mock Cheque &gt; Mock Cheques (2 x 4 ft)
Total Budget = Php 2,500.00
Actual Cost = Php 4,183.00
Balance = (Php 1,683.00) OVER BUDGET</t>
        </is>
      </c>
      <c r="AK1215"/>
    </row>
    <row r="1216" ht="25.5" customHeight="1">
      <c r="A1216" s="2" t="str">
        <f>=HYPERLINK("https://applink.larksuite.com/client/mini_program/open?appId=cli_9c7cc8a9a9edd105&amp;mode=appCenter&amp;path_pc=pc/pages/requested/index?instanceId=7566853019040550623&amp;source=bitable&amp;path=pages/detail/index?instanceId=7566853019040550623&amp;source=bitable", "202510300022")</f>
        <v>202510300022</v>
      </c>
      <c r="B1216" t="inlineStr">
        <is>
          <t>Approved</t>
        </is>
      </c>
      <c r="C1216" t="inlineStr">
        <is>
          <t>Procurement Order</t>
        </is>
      </c>
      <c r="D1216" s="3">
        <v>45960.48216435185</v>
      </c>
      <c r="E1216" s="3">
        <v>45965.728900462964</v>
      </c>
      <c r="F1216" t="inlineStr">
        <is>
          <t>Fatima Kathleen M. FLores</t>
        </is>
      </c>
      <c r="G1216" t="inlineStr">
        <is>
          <t>Procurement</t>
        </is>
      </c>
      <c r="H1216"/>
      <c r="I1216"/>
      <c r="J1216" t="inlineStr">
        <is>
          <t>Project</t>
        </is>
      </c>
      <c r="K1216" t="inlineStr">
        <is>
          <t>PDEI - Event Service</t>
        </is>
      </c>
      <c r="L1216" t="inlineStr">
        <is>
          <t>MPL PH S16 - Playoffs</t>
        </is>
      </c>
      <c r="M1216" t="inlineStr">
        <is>
          <t>2025TEG-P0215</t>
        </is>
      </c>
      <c r="N1216" t="inlineStr">
        <is>
          <t>Katherine Denise Lee Sy</t>
        </is>
      </c>
      <c r="O1216" t="inlineStr">
        <is>
          <t>202510010039-Katherine Denise Lee Sy-费用报销 - 副本 - 副本 - 副本-2025-10-01 05:03:26</t>
        </is>
      </c>
      <c r="P1216" t="inlineStr">
        <is>
          <t>NO</t>
        </is>
      </c>
      <c r="Q1216"/>
      <c r="R1216" t="inlineStr">
        <is>
          <t>YES</t>
        </is>
      </c>
      <c r="S1216" t="inlineStr">
        <is>
          <t>Legend Seats Sticker on Sintra A3</t>
        </is>
      </c>
      <c r="T1216">
        <v>1</v>
      </c>
      <c r="U1216">
        <v>251</v>
      </c>
      <c r="V1216" t="inlineStr">
        <is>
          <t>PHP</t>
        </is>
      </c>
      <c r="W1216">
        <v>251</v>
      </c>
      <c r="X1216" s="2"/>
      <c r="Y1216"/>
      <c r="Z1216"/>
      <c r="AA1216"/>
      <c r="AB1216"/>
      <c r="AC1216"/>
      <c r="AD1216" s="4"/>
      <c r="AE1216"/>
      <c r="AF1216" s="2"/>
      <c r="AG1216" t="inlineStr">
        <is>
          <t>NzQyNTk5MTgyNzQ4MTg3MDM0MTo1Q0NCMjYxMC1EMTA5LTQxOTUtOTlCRi05RTc0OTIxNjgyN0EtMjpmYmQ2OWI1ZjkyNGM1NjQwNzEwMjNlYTJlNTYwOTg4NDox</t>
        </is>
      </c>
      <c r="AH1216"/>
      <c r="AI1216"/>
      <c r="AJ1216" t="inlineStr">
        <is>
          <t>LIQUIDITY PLAN (PAR # 202509020094 / 2025TEG-P0215)
1.1 Logistic Production &gt; SPECIAL AWARDS &gt;
Certificate &amp; Mock Cheque &gt; Mock Cheques (2 x 4 ft)
Total Budget = Php 2,500.00
Actual Cost = Php 4,183.00
Balance = (Php 1,683.00) OVER BUDGET</t>
        </is>
      </c>
      <c r="AK1216"/>
    </row>
    <row r="1217" ht="25.5" customHeight="1">
      <c r="A1217" s="2" t="str">
        <f>=HYPERLINK("https://applink.larksuite.com/client/mini_program/open?appId=cli_9c7cc8a9a9edd105&amp;mode=appCenter&amp;path_pc=pc/pages/requested/index?instanceId=7566853019040550623&amp;source=bitable&amp;path=pages/detail/index?instanceId=7566853019040550623&amp;source=bitable", "202510300022")</f>
        <v>202510300022</v>
      </c>
      <c r="B1217" t="inlineStr">
        <is>
          <t>Approved</t>
        </is>
      </c>
      <c r="C1217" t="inlineStr">
        <is>
          <t>Procurement Order</t>
        </is>
      </c>
      <c r="D1217" s="3">
        <v>45960.48216435185</v>
      </c>
      <c r="E1217" s="3">
        <v>45965.728900462964</v>
      </c>
      <c r="F1217" t="inlineStr">
        <is>
          <t>Fatima Kathleen M. FLores</t>
        </is>
      </c>
      <c r="G1217" t="inlineStr">
        <is>
          <t>Procurement</t>
        </is>
      </c>
      <c r="H1217"/>
      <c r="I1217"/>
      <c r="J1217" t="inlineStr">
        <is>
          <t>Project</t>
        </is>
      </c>
      <c r="K1217" t="inlineStr">
        <is>
          <t>PDEI - Event Service</t>
        </is>
      </c>
      <c r="L1217" t="inlineStr">
        <is>
          <t>MPL PH S16 - Playoffs</t>
        </is>
      </c>
      <c r="M1217" t="inlineStr">
        <is>
          <t>2025TEG-P0215</t>
        </is>
      </c>
      <c r="N1217" t="inlineStr">
        <is>
          <t>Katherine Denise Lee Sy</t>
        </is>
      </c>
      <c r="O1217" t="inlineStr">
        <is>
          <t>202510010039-Katherine Denise Lee Sy-费用报销 - 副本 - 副本 - 副本-2025-10-01 05:03:26</t>
        </is>
      </c>
      <c r="P1217" t="inlineStr">
        <is>
          <t>NO</t>
        </is>
      </c>
      <c r="Q1217"/>
      <c r="R1217" t="inlineStr">
        <is>
          <t>YES</t>
        </is>
      </c>
      <c r="S1217" t="inlineStr">
        <is>
          <t>Mythic Seats Sticker on Sintra A3</t>
        </is>
      </c>
      <c r="T1217">
        <v>1</v>
      </c>
      <c r="U1217">
        <v>251</v>
      </c>
      <c r="V1217" t="inlineStr">
        <is>
          <t>PHP</t>
        </is>
      </c>
      <c r="W1217">
        <v>251</v>
      </c>
      <c r="X1217" s="2"/>
      <c r="Y1217"/>
      <c r="Z1217"/>
      <c r="AA1217"/>
      <c r="AB1217"/>
      <c r="AC1217"/>
      <c r="AD1217" s="4"/>
      <c r="AE1217"/>
      <c r="AF1217" s="2"/>
      <c r="AG1217" t="inlineStr">
        <is>
          <t>NzQyNTk5MTgyNzQ4MTg3MDM0MTo1Q0NCMjYxMC1EMTA5LTQxOTUtOTlCRi05RTc0OTIxNjgyN0EtMzo3OTU3MTVhY2M3OGVhZjZkYzRlNzA3MmFiOGE4MmY4Nzox</t>
        </is>
      </c>
      <c r="AH1217"/>
      <c r="AI1217"/>
      <c r="AJ1217" t="inlineStr">
        <is>
          <t>LIQUIDITY PLAN (PAR # 202509020094 / 2025TEG-P0215)
1.1 Logistic Production &gt; SPECIAL AWARDS &gt;
Certificate &amp; Mock Cheque &gt; Mock Cheques (2 x 4 ft)
Total Budget = Php 2,500.00
Actual Cost = Php 4,183.00
Balance = (Php 1,683.00) OVER BUDGET</t>
        </is>
      </c>
      <c r="AK1217"/>
    </row>
    <row r="1218" ht="25.5" customHeight="1">
      <c r="A1218" s="2" t="str">
        <f>=HYPERLINK("https://applink.larksuite.com/client/mini_program/open?appId=cli_9c7cc8a9a9edd105&amp;mode=appCenter&amp;path_pc=pc/pages/requested/index?instanceId=7566853019040550623&amp;source=bitable&amp;path=pages/detail/index?instanceId=7566853019040550623&amp;source=bitable", "202510300022")</f>
        <v>202510300022</v>
      </c>
      <c r="B1218" t="inlineStr">
        <is>
          <t>Approved</t>
        </is>
      </c>
      <c r="C1218" t="inlineStr">
        <is>
          <t>Procurement Order</t>
        </is>
      </c>
      <c r="D1218" s="3">
        <v>45960.48216435185</v>
      </c>
      <c r="E1218" s="3">
        <v>45965.728900462964</v>
      </c>
      <c r="F1218" t="inlineStr">
        <is>
          <t>Fatima Kathleen M. FLores</t>
        </is>
      </c>
      <c r="G1218" t="inlineStr">
        <is>
          <t>Procurement</t>
        </is>
      </c>
      <c r="H1218"/>
      <c r="I1218"/>
      <c r="J1218" t="inlineStr">
        <is>
          <t>Project</t>
        </is>
      </c>
      <c r="K1218" t="inlineStr">
        <is>
          <t>PDEI - Event Service</t>
        </is>
      </c>
      <c r="L1218" t="inlineStr">
        <is>
          <t>MPL PH S16 - Playoffs</t>
        </is>
      </c>
      <c r="M1218" t="inlineStr">
        <is>
          <t>2025TEG-P0215</t>
        </is>
      </c>
      <c r="N1218" t="inlineStr">
        <is>
          <t>Katherine Denise Lee Sy</t>
        </is>
      </c>
      <c r="O1218" t="inlineStr">
        <is>
          <t>202510010039-Katherine Denise Lee Sy-费用报销 - 副本 - 副本 - 副本-2025-10-01 05:03:26</t>
        </is>
      </c>
      <c r="P1218" t="inlineStr">
        <is>
          <t>NO</t>
        </is>
      </c>
      <c r="Q1218"/>
      <c r="R1218" t="inlineStr">
        <is>
          <t>YES</t>
        </is>
      </c>
      <c r="S1218" t="inlineStr">
        <is>
          <t>Seat Plan Sticker on Sintra A3</t>
        </is>
      </c>
      <c r="T1218">
        <v>1</v>
      </c>
      <c r="U1218">
        <v>251</v>
      </c>
      <c r="V1218" t="inlineStr">
        <is>
          <t>PHP</t>
        </is>
      </c>
      <c r="W1218">
        <v>251</v>
      </c>
      <c r="X1218" s="2"/>
      <c r="Y1218"/>
      <c r="Z1218"/>
      <c r="AA1218"/>
      <c r="AB1218"/>
      <c r="AC1218"/>
      <c r="AD1218" s="4"/>
      <c r="AE1218"/>
      <c r="AF1218" s="2"/>
      <c r="AG1218" t="inlineStr">
        <is>
          <t>NzQyNTk5MTgyNzQ4MTg3MDM0MTo1Q0NCMjYxMC1EMTA5LTQxOTUtOTlCRi05RTc0OTIxNjgyN0EtNDo5OTk4NzAzNDkxNWNlMGJiYTliYTljMjkwZWI1ODFhZjox</t>
        </is>
      </c>
      <c r="AH1218"/>
      <c r="AI1218"/>
      <c r="AJ1218" t="inlineStr">
        <is>
          <t>LIQUIDITY PLAN (PAR # 202509020094 / 2025TEG-P0215)
1.1 Logistic Production &gt; SPECIAL AWARDS &gt;
Certificate &amp; Mock Cheque &gt; Mock Cheques (2 x 4 ft)
Total Budget = Php 2,500.00
Actual Cost = Php 4,183.00
Balance = (Php 1,683.00) OVER BUDGET</t>
        </is>
      </c>
      <c r="AK1218"/>
    </row>
    <row r="1219" ht="25.5" customHeight="1">
      <c r="A1219" s="2" t="str">
        <f>=HYPERLINK("https://applink.larksuite.com/client/mini_program/open?appId=cli_9c7cc8a9a9edd105&amp;mode=appCenter&amp;path_pc=pc/pages/requested/index?instanceId=7566853019040550623&amp;source=bitable&amp;path=pages/detail/index?instanceId=7566853019040550623&amp;source=bitable", "202510300022")</f>
        <v>202510300022</v>
      </c>
      <c r="B1219" t="inlineStr">
        <is>
          <t>Approved</t>
        </is>
      </c>
      <c r="C1219" t="inlineStr">
        <is>
          <t>Procurement Order</t>
        </is>
      </c>
      <c r="D1219" s="3">
        <v>45960.48216435185</v>
      </c>
      <c r="E1219" s="3">
        <v>45965.728900462964</v>
      </c>
      <c r="F1219" t="inlineStr">
        <is>
          <t>Fatima Kathleen M. FLores</t>
        </is>
      </c>
      <c r="G1219" t="inlineStr">
        <is>
          <t>Procurement</t>
        </is>
      </c>
      <c r="H1219"/>
      <c r="I1219"/>
      <c r="J1219" t="inlineStr">
        <is>
          <t>Project</t>
        </is>
      </c>
      <c r="K1219" t="inlineStr">
        <is>
          <t>PDEI - Event Service</t>
        </is>
      </c>
      <c r="L1219" t="inlineStr">
        <is>
          <t>MPL PH S16 - Playoffs</t>
        </is>
      </c>
      <c r="M1219" t="inlineStr">
        <is>
          <t>2025TEG-P0215</t>
        </is>
      </c>
      <c r="N1219" t="inlineStr">
        <is>
          <t>Katherine Denise Lee Sy</t>
        </is>
      </c>
      <c r="O1219" t="inlineStr">
        <is>
          <t>202510010039-Katherine Denise Lee Sy-费用报销 - 副本 - 副本 - 副本-2025-10-01 05:03:26</t>
        </is>
      </c>
      <c r="P1219" t="inlineStr">
        <is>
          <t>NO</t>
        </is>
      </c>
      <c r="Q1219"/>
      <c r="R1219" t="inlineStr">
        <is>
          <t>YES</t>
        </is>
      </c>
      <c r="S1219" t="inlineStr">
        <is>
          <t>Mock Cheque Finals MVP &amp; Grand Champion 2ft x 4ft</t>
        </is>
      </c>
      <c r="T1219">
        <v>2</v>
      </c>
      <c r="U1219">
        <v>1250</v>
      </c>
      <c r="V1219" t="inlineStr">
        <is>
          <t>PHP</t>
        </is>
      </c>
      <c r="W1219">
        <v>2500</v>
      </c>
      <c r="X1219" s="2"/>
      <c r="Y1219"/>
      <c r="Z1219"/>
      <c r="AA1219"/>
      <c r="AB1219"/>
      <c r="AC1219"/>
      <c r="AD1219" s="4"/>
      <c r="AE1219"/>
      <c r="AF1219" s="2"/>
      <c r="AG1219" t="inlineStr">
        <is>
          <t>NzQyNTk5MTgyNzQ4MTg3MDM0MTo1Q0NCMjYxMC1EMTA5LTQxOTUtOTlCRi05RTc0OTIxNjgyN0EtNTo2MjAwODc2OWFjMzQ2NTI2ZjJkZTkwMjRmZjU2YzE3Yzox</t>
        </is>
      </c>
      <c r="AH1219"/>
      <c r="AI1219"/>
      <c r="AJ1219" t="inlineStr">
        <is>
          <t>LIQUIDITY PLAN (PAR # 202509020094 / 2025TEG-P0215)
1.1 Logistic Production &gt; SPECIAL AWARDS &gt;
Certificate &amp; Mock Cheque &gt; Mock Cheques (2 x 4 ft)
Total Budget = Php 2,500.00
Actual Cost = Php 4,183.00
Balance = (Php 1,683.00) OVER BUDGET</t>
        </is>
      </c>
      <c r="AK1219"/>
    </row>
    <row r="1220" ht="25.5" customHeight="1">
      <c r="A1220" s="2" t="str">
        <f>=HYPERLINK("https://applink.larksuite.com/client/mini_program/open?appId=cli_9c7cc8a9a9edd105&amp;mode=appCenter&amp;path_pc=pc/pages/requested/index?instanceId=7566853019040550623&amp;source=bitable&amp;path=pages/detail/index?instanceId=7566853019040550623&amp;source=bitable", "202510300022")</f>
        <v>202510300022</v>
      </c>
      <c r="B1220" t="inlineStr">
        <is>
          <t>Approved</t>
        </is>
      </c>
      <c r="C1220" t="inlineStr">
        <is>
          <t>Procurement Order</t>
        </is>
      </c>
      <c r="D1220" s="3">
        <v>45960.48216435185</v>
      </c>
      <c r="E1220" s="3">
        <v>45965.728900462964</v>
      </c>
      <c r="F1220" t="inlineStr">
        <is>
          <t>Fatima Kathleen M. FLores</t>
        </is>
      </c>
      <c r="G1220" t="inlineStr">
        <is>
          <t>Procurement</t>
        </is>
      </c>
      <c r="H1220"/>
      <c r="I1220"/>
      <c r="J1220" t="inlineStr">
        <is>
          <t>Project</t>
        </is>
      </c>
      <c r="K1220" t="inlineStr">
        <is>
          <t>PDEI - Event Service</t>
        </is>
      </c>
      <c r="L1220" t="inlineStr">
        <is>
          <t>MPL PH S16 - Playoffs</t>
        </is>
      </c>
      <c r="M1220" t="inlineStr">
        <is>
          <t>2025TEG-P0215</t>
        </is>
      </c>
      <c r="N1220" t="inlineStr">
        <is>
          <t>Katherine Denise Lee Sy</t>
        </is>
      </c>
      <c r="O1220" t="inlineStr">
        <is>
          <t>202510010039-Katherine Denise Lee Sy-费用报销 - 副本 - 副本 - 副本-2025-10-01 05:03:26</t>
        </is>
      </c>
      <c r="P1220" t="inlineStr">
        <is>
          <t>NO</t>
        </is>
      </c>
      <c r="Q1220"/>
      <c r="R1220" t="inlineStr">
        <is>
          <t>YES</t>
        </is>
      </c>
      <c r="S1220" t="inlineStr">
        <is>
          <t>Cue Cards 8.5” x 5.5”</t>
        </is>
      </c>
      <c r="T1220">
        <v>2</v>
      </c>
      <c r="U1220">
        <v>65</v>
      </c>
      <c r="V1220" t="inlineStr">
        <is>
          <t>PHP</t>
        </is>
      </c>
      <c r="W1220">
        <v>130</v>
      </c>
      <c r="X1220" s="2" t="str">
        <f>=HYPERLINK("https://www.larksuite.com/approval/admin/previewAttachment?key=PMgrDgJBEATQK1V_a4rLYNhsMKMIBESfnQSBfb0MvcqihZS5YMPqXhUwIVGF9hgfIwUaXXPs80rz2P7c_OxT75rX_XYeDyvRHYzMWADs8vdgZkqd-Hl9AwAA__8", "2 attachment(s)")</f>
        <v>2 attachment(s)</v>
      </c>
      <c r="Y1220"/>
      <c r="Z1220"/>
      <c r="AA1220"/>
      <c r="AB1220"/>
      <c r="AC1220"/>
      <c r="AD1220" s="4"/>
      <c r="AE1220"/>
      <c r="AF1220" s="2"/>
      <c r="AG1220" t="inlineStr">
        <is>
          <t>NzQyNTk5MTgyNzQ4MTg3MDM0MTo1Q0NCMjYxMC1EMTA5LTQxOTUtOTlCRi05RTc0OTIxNjgyN0EtNjplYTJiNDc1NDQzMmJlYTBjYTQwZjlkYTQ5YzFhYWUyNjox</t>
        </is>
      </c>
      <c r="AH1220"/>
      <c r="AI1220"/>
      <c r="AJ1220" t="inlineStr">
        <is>
          <t>LIQUIDITY PLAN (PAR # 202509020094 / 2025TEG-P0215)
1.1 Logistic Production &gt; SPECIAL AWARDS &gt;
Certificate &amp; Mock Cheque &gt; Mock Cheques (2 x 4 ft)
Total Budget = Php 2,500.00
Actual Cost = Php 4,183.00
Balance = (Php 1,683.00) OVER BUDGET</t>
        </is>
      </c>
      <c r="AK1220"/>
    </row>
    <row r="1221" ht="25.5" customHeight="1">
      <c r="A1221" s="2" t="str">
        <f>=HYPERLINK("https://applink.larksuite.com/client/mini_program/open?appId=cli_9c7cc8a9a9edd105&amp;mode=appCenter&amp;path_pc=pc/pages/requested/index?instanceId=7566595575471165154&amp;source=bitable&amp;path=pages/detail/index?instanceId=7566595575471165154&amp;source=bitable", "202510290149")</f>
        <v>202510290149</v>
      </c>
      <c r="B1221" t="inlineStr">
        <is>
          <t>Approved</t>
        </is>
      </c>
      <c r="C1221" t="inlineStr">
        <is>
          <t>Procurement Order</t>
        </is>
      </c>
      <c r="D1221" s="3">
        <v>45959.788402777776</v>
      </c>
      <c r="E1221" s="3">
        <v>45964.72068287037</v>
      </c>
      <c r="F1221" t="inlineStr">
        <is>
          <t>Fatima Kathleen M. FLores</t>
        </is>
      </c>
      <c r="G1221" t="inlineStr">
        <is>
          <t>Procurement</t>
        </is>
      </c>
      <c r="H1221"/>
      <c r="I1221"/>
      <c r="J1221" t="inlineStr">
        <is>
          <t>Project</t>
        </is>
      </c>
      <c r="K1221" t="inlineStr">
        <is>
          <t>GG - Event Service</t>
        </is>
      </c>
      <c r="L1221" t="inlineStr">
        <is>
          <t>HOK Philippine Kings League - Fall Season</t>
        </is>
      </c>
      <c r="M1221" t="inlineStr">
        <is>
          <t>2025TEG-P0219</t>
        </is>
      </c>
      <c r="N1221" t="inlineStr">
        <is>
          <t>Frances Angelita Arreglado</t>
        </is>
      </c>
      <c r="O1221" t="inlineStr">
        <is>
          <t>202510150100-Reign Santos Fortea-费用报销 - 副本 - 副本 - 副本-2025-10-15 08:43:01</t>
        </is>
      </c>
      <c r="P1221" t="inlineStr">
        <is>
          <t>YES</t>
        </is>
      </c>
      <c r="Q1221"/>
      <c r="R1221" t="inlineStr">
        <is>
          <t>YES</t>
        </is>
      </c>
      <c r="S1221" t="inlineStr">
        <is>
          <t>Outsourced Game Director</t>
        </is>
      </c>
      <c r="T1221">
        <v>1</v>
      </c>
      <c r="U1221">
        <v>8800</v>
      </c>
      <c r="V1221" t="inlineStr">
        <is>
          <t>PHP</t>
        </is>
      </c>
      <c r="W1221">
        <v>8800</v>
      </c>
      <c r="X1221" s="2" t="str">
        <f>=HYPERLINK("https://www.larksuite.com/approval/admin/previewAttachment?key=PMg9CgJBDAXgK-Vl8vImXsZmh0XxpxFkLXJ2wcL2ywnLSYwsi4KXocVMFimGgCQY7Q2pTJBXr8d-XoNxOK8fHPfbc-v3ZdvXCyy5m0bEmGaG09-HIqIqw35u3wAAAP__", "2 attachment(s)")</f>
        <v>2 attachment(s)</v>
      </c>
      <c r="Y1221" t="inlineStr">
        <is>
          <t>Bank Transfer</t>
        </is>
      </c>
      <c r="Z1221" t="inlineStr">
        <is>
          <t>Avin Francis Melendres Kais</t>
        </is>
      </c>
      <c r="AA1221" t="inlineStr">
        <is>
          <t>120602031077</t>
        </is>
      </c>
      <c r="AB1221" t="inlineStr">
        <is>
          <t>Chinabank</t>
        </is>
      </c>
      <c r="AC1221" t="inlineStr">
        <is>
          <t>1221 D Felix Huertas St. Sta.Cruz, Manila</t>
        </is>
      </c>
      <c r="AD1221" s="4">
        <v>45939</v>
      </c>
      <c r="AE1221" t="inlineStr">
        <is>
          <t>100% Full Payment - Nov. 7, 2025</t>
        </is>
      </c>
      <c r="AF1221" s="2"/>
      <c r="AG1221" t="inlineStr">
        <is>
          <t>NzQyNTk5MTgyNzQ4MTg3MDM0MTpFNzYwOEI5Qi1EMTg2LTRDNjgtOUVBQi0zNDA5NjYyQjQ1NjQtMTo1YmNmODRkZWExZGExNjI5MDZkZmUxYmEzZTM2M2NjMzox</t>
        </is>
      </c>
      <c r="AH1221" t="inlineStr">
        <is>
          <t>Avin Francis Melendres Kais</t>
        </is>
      </c>
      <c r="AI1221"/>
      <c r="AJ1221" t="inlineStr">
        <is>
          <t>No line item in internal CE under Playoffs. Unbudgeted</t>
        </is>
      </c>
      <c r="AK1221"/>
    </row>
    <row r="1222" ht="25.5" customHeight="1">
      <c r="A1222" s="2" t="str">
        <f>=HYPERLINK("https://applink.larksuite.com/client/mini_program/open?appId=cli_9c7cc8a9a9edd105&amp;mode=appCenter&amp;path_pc=pc/pages/requested/index?instanceId=7566596493000347359&amp;source=bitable&amp;path=pages/detail/index?instanceId=7566596493000347359&amp;source=bitable", "202510290150")</f>
        <v>202510290150</v>
      </c>
      <c r="B1222" t="inlineStr">
        <is>
          <t>Approved</t>
        </is>
      </c>
      <c r="C1222" t="inlineStr">
        <is>
          <t>Procurement Order</t>
        </is>
      </c>
      <c r="D1222" s="3">
        <v>45959.790868055556</v>
      </c>
      <c r="E1222" s="3">
        <v>45964.72163194444</v>
      </c>
      <c r="F1222" t="inlineStr">
        <is>
          <t>Fatima Kathleen M. FLores</t>
        </is>
      </c>
      <c r="G1222" t="inlineStr">
        <is>
          <t>Procurement</t>
        </is>
      </c>
      <c r="H1222"/>
      <c r="I1222"/>
      <c r="J1222" t="inlineStr">
        <is>
          <t>Project</t>
        </is>
      </c>
      <c r="K1222" t="inlineStr">
        <is>
          <t>GG - Event Service</t>
        </is>
      </c>
      <c r="L1222" t="inlineStr">
        <is>
          <t>HOK Philippine Kings League - Fall Season</t>
        </is>
      </c>
      <c r="M1222" t="inlineStr">
        <is>
          <t>2025TEG-P0219</t>
        </is>
      </c>
      <c r="N1222" t="inlineStr">
        <is>
          <t>Frances Angelita Arreglado</t>
        </is>
      </c>
      <c r="O1222" t="inlineStr">
        <is>
          <t>202510170028-Reign Santos Fortea-费用报销 - 副本 - 副本 - 副本-2025-10-17 04:48:43</t>
        </is>
      </c>
      <c r="P1222" t="inlineStr">
        <is>
          <t>YES</t>
        </is>
      </c>
      <c r="Q1222"/>
      <c r="R1222" t="inlineStr">
        <is>
          <t>YES</t>
        </is>
      </c>
      <c r="S1222" t="inlineStr">
        <is>
          <t>Outsourced Camera Switcher</t>
        </is>
      </c>
      <c r="T1222">
        <v>1</v>
      </c>
      <c r="U1222">
        <v>7500</v>
      </c>
      <c r="V1222" t="inlineStr">
        <is>
          <t>PHP</t>
        </is>
      </c>
      <c r="W1222">
        <v>7500</v>
      </c>
      <c r="X1222" s="2" t="str">
        <f>=HYPERLINK("https://www.larksuite.com/approval/admin/previewAttachment?key=PMgxDoJQEATQK83-2d1hvIwNhNhAYyCx-Gc3sbB9vQR6qWAb6RhGTFV3udMEwBTLc8yQDIWG53bsTx667nOtC8XPyXm_1n17R1ljQMzkAiAef6cy0-7Ez_ENAAD__w", "2 attachment(s)")</f>
        <v>2 attachment(s)</v>
      </c>
      <c r="Y1222" t="inlineStr">
        <is>
          <t>Bank Transfer</t>
        </is>
      </c>
      <c r="Z1222" t="inlineStr">
        <is>
          <t>JOHN MARK PABELICO</t>
        </is>
      </c>
      <c r="AA1222" t="inlineStr">
        <is>
          <t>019809678942</t>
        </is>
      </c>
      <c r="AB1222" t="inlineStr">
        <is>
          <t>GoTyme Bank</t>
        </is>
      </c>
      <c r="AC1222" t="inlineStr">
        <is>
          <t>3195A Tindalo Street, UPS2, Brgy. San Martin de Porres, Parañaque City</t>
        </is>
      </c>
      <c r="AD1222" s="4">
        <v>45939</v>
      </c>
      <c r="AE1222" t="inlineStr">
        <is>
          <t>100% Full Payment - Nov. 7, 2025</t>
        </is>
      </c>
      <c r="AF1222" s="2"/>
      <c r="AG1222" t="inlineStr">
        <is>
          <t>NzQyNTk5MTgyNzQ4MTg3MDM0MTpCQkY3RDBERi1CRDlBLTQwMEUtQjQyMC02RDJFNUJEMUNFQTItMTo4NWY1NGUyZGU0OTQ2OTU2MWI3YjkxYWVjZTJjNDc5OTox</t>
        </is>
      </c>
      <c r="AH1222" t="inlineStr">
        <is>
          <t>JOHN MARK PABELICO</t>
        </is>
      </c>
      <c r="AI1222"/>
      <c r="AJ1222" t="inlineStr">
        <is>
          <t>No line item in internal CE under Playoffs. Unbudgeted</t>
        </is>
      </c>
      <c r="AK1222"/>
    </row>
    <row r="1223" ht="25.5" customHeight="1">
      <c r="A1223" s="2" t="str">
        <f>=HYPERLINK("https://applink.larksuite.com/client/mini_program/open?appId=cli_9c7cc8a9a9edd105&amp;mode=appCenter&amp;path_pc=pc/pages/requested/index?instanceId=7566600421536452319&amp;source=bitable&amp;path=pages/detail/index?instanceId=7566600421536452319&amp;source=bitable", "202510290156")</f>
        <v>202510290156</v>
      </c>
      <c r="B1223" t="inlineStr">
        <is>
          <t>Approved</t>
        </is>
      </c>
      <c r="C1223" t="inlineStr">
        <is>
          <t>Procurement Order</t>
        </is>
      </c>
      <c r="D1223" s="3">
        <v>45959.801458333335</v>
      </c>
      <c r="E1223" s="3">
        <v>45964.72577546296</v>
      </c>
      <c r="F1223" t="inlineStr">
        <is>
          <t>Fatima Kathleen M. FLores</t>
        </is>
      </c>
      <c r="G1223" t="inlineStr">
        <is>
          <t>Procurement</t>
        </is>
      </c>
      <c r="H1223"/>
      <c r="I1223"/>
      <c r="J1223" t="inlineStr">
        <is>
          <t>Project</t>
        </is>
      </c>
      <c r="K1223" t="inlineStr">
        <is>
          <t>GG - Event Service</t>
        </is>
      </c>
      <c r="L1223" t="inlineStr">
        <is>
          <t>HOK Philippine Kings League - Fall Season</t>
        </is>
      </c>
      <c r="M1223" t="inlineStr">
        <is>
          <t>2025TEG-P0219</t>
        </is>
      </c>
      <c r="N1223" t="inlineStr">
        <is>
          <t>Frances Angelita Arreglado</t>
        </is>
      </c>
      <c r="O1223" t="inlineStr">
        <is>
          <t>202510170029-Reign Santos Fortea-费用报销 - 副本 - 副本 - 副本-2025-10-17 04:50:16</t>
        </is>
      </c>
      <c r="P1223" t="inlineStr">
        <is>
          <t>YES</t>
        </is>
      </c>
      <c r="Q1223"/>
      <c r="R1223" t="inlineStr">
        <is>
          <t>YES</t>
        </is>
      </c>
      <c r="S1223" t="inlineStr">
        <is>
          <t>Outsourced Logistics Associates (Addtl)</t>
        </is>
      </c>
      <c r="T1223">
        <v>1</v>
      </c>
      <c r="U1223">
        <v>48000</v>
      </c>
      <c r="V1223" t="inlineStr">
        <is>
          <t>PHP</t>
        </is>
      </c>
      <c r="W1223">
        <v>48000</v>
      </c>
      <c r="X1223" s="2" t="str">
        <f>=HYPERLINK("https://www.larksuite.com/approval/admin/previewAttachment?key=PMg9DoJAEAXgK703v4yXsZEQ1wCNkWwzZzexsP1iIWJxahSsKAV2ekQAJnQNc1FWSzOzkEypXo_tPl_j2sc8j_GZe559PR_b-qZXiiDVTBcAvP1d08yqwvBzfAMAAP__", "2 attachment(s)")</f>
        <v>2 attachment(s)</v>
      </c>
      <c r="Y1223" t="inlineStr">
        <is>
          <t>Bank Transfer</t>
        </is>
      </c>
      <c r="Z1223" t="inlineStr">
        <is>
          <t>Gerwin G. Plazo</t>
        </is>
      </c>
      <c r="AA1223" t="inlineStr">
        <is>
          <t>09637205738</t>
        </is>
      </c>
      <c r="AB1223" t="inlineStr">
        <is>
          <t>GCash</t>
        </is>
      </c>
      <c r="AC1223" t="inlineStr">
        <is>
          <t>320 Sitio Langhaya Brgy. Dela Paz Antipolo City</t>
        </is>
      </c>
      <c r="AD1223" s="4">
        <v>45937</v>
      </c>
      <c r="AE1223" t="inlineStr">
        <is>
          <t>100% Full Payment - Nov. 7, 2025</t>
        </is>
      </c>
      <c r="AF1223" s="2"/>
      <c r="AG1223" t="inlineStr">
        <is>
          <t>NzQyNTk5MTgyNzQ4MTg3MDM0MTo3RURCMjY4My00OThCLTRCMDgtOEE1Ni1FRUI4RkMxREJDRjQtMTowZmIyYmU4YWJhM2QyNjQ1YTJmYTU4Y2VkMDEzNGViMTox</t>
        </is>
      </c>
      <c r="AH1223" t="inlineStr">
        <is>
          <t>Gerwin G. Plazo</t>
        </is>
      </c>
      <c r="AI1223"/>
      <c r="AJ1223" t="inlineStr">
        <is>
          <t>LIQUIDITY PLAN (PAR # 202508190134 / 2025TEG-P0219)
INTERNAL 0820 COST ESTIMATE &gt; PLAYOFFS &gt;
Labor Cost &gt; LOGISTICS &gt;
Event Runners
Total Remaining Budget = Php 22,600.00
Actual Cost = Php 48,000.00
Balance = (Php 25,400.00) OVER BUDGET</t>
        </is>
      </c>
      <c r="AK1223"/>
    </row>
    <row r="1224" ht="25.5" customHeight="1">
      <c r="A1224" s="2" t="str">
        <f>=HYPERLINK("https://applink.larksuite.com/client/mini_program/open?appId=cli_9c7cc8a9a9edd105&amp;mode=appCenter&amp;path_pc=pc/pages/requested/index?instanceId=7566602642068082396&amp;source=bitable&amp;path=pages/detail/index?instanceId=7566602642068082396&amp;source=bitable", "202510290158")</f>
        <v>202510290158</v>
      </c>
      <c r="B1224" t="inlineStr">
        <is>
          <t>Approved</t>
        </is>
      </c>
      <c r="C1224" t="inlineStr">
        <is>
          <t>Procurement Order</t>
        </is>
      </c>
      <c r="D1224" s="3">
        <v>45959.807442129626</v>
      </c>
      <c r="E1224" s="3">
        <v>45964.72666666667</v>
      </c>
      <c r="F1224" t="inlineStr">
        <is>
          <t>Fatima Kathleen M. FLores</t>
        </is>
      </c>
      <c r="G1224" t="inlineStr">
        <is>
          <t>Procurement</t>
        </is>
      </c>
      <c r="H1224"/>
      <c r="I1224"/>
      <c r="J1224" t="inlineStr">
        <is>
          <t>Project</t>
        </is>
      </c>
      <c r="K1224" t="inlineStr">
        <is>
          <t>GG - Event Service</t>
        </is>
      </c>
      <c r="L1224" t="inlineStr">
        <is>
          <t>HOK Philippine Kings League - Fall Season</t>
        </is>
      </c>
      <c r="M1224" t="inlineStr">
        <is>
          <t>2025TEG-P0219</t>
        </is>
      </c>
      <c r="N1224" t="inlineStr">
        <is>
          <t>Frances Angelita Arreglado</t>
        </is>
      </c>
      <c r="O1224" t="inlineStr">
        <is>
          <t>202510170027-Reign Santos Fortea-费用报销 - 副本 - 副本 - 副本-2025-10-17 04:45:23</t>
        </is>
      </c>
      <c r="P1224" t="inlineStr">
        <is>
          <t>YES</t>
        </is>
      </c>
      <c r="Q1224"/>
      <c r="R1224" t="inlineStr">
        <is>
          <t>YES</t>
        </is>
      </c>
      <c r="S1224" t="inlineStr">
        <is>
          <t>Outsourced Audio Engineer/Multimedia Operator</t>
        </is>
      </c>
      <c r="T1224">
        <v>1</v>
      </c>
      <c r="U1224">
        <v>18000</v>
      </c>
      <c r="V1224" t="inlineStr">
        <is>
          <t>PHP</t>
        </is>
      </c>
      <c r="W1224">
        <v>18000</v>
      </c>
      <c r="X1224" s="2" t="str">
        <f>=HYPERLINK("https://www.larksuite.com/approval/admin/previewAttachment?key=PMg9CgJBDAXgK738zEviZWx2GRRcG2FgipxdsLD9mALmEGPBS7QgHYMklK5gItWKrS0RhZDQ6vOa972e17GXv7DHe-5ej2OeHxkVqghztwQgt79buHsVHT_HNwAA__8", "2 attachment(s)")</f>
        <v>2 attachment(s)</v>
      </c>
      <c r="Y1224" t="inlineStr">
        <is>
          <t>Bank Transfer</t>
        </is>
      </c>
      <c r="Z1224" t="inlineStr">
        <is>
          <t>Joshua Vignesh U Narayan</t>
        </is>
      </c>
      <c r="AA1224" t="inlineStr">
        <is>
          <t>09686047871</t>
        </is>
      </c>
      <c r="AB1224" t="inlineStr">
        <is>
          <t>GCash</t>
        </is>
      </c>
      <c r="AC1224" t="inlineStr">
        <is>
          <t>Celadon Park Condominium, Felix Huertas Rd .Santa Cruz Manila</t>
        </is>
      </c>
      <c r="AD1224" s="4">
        <v>45937</v>
      </c>
      <c r="AE1224" t="inlineStr">
        <is>
          <t>100% Full Payment - Nov. 7, 2025</t>
        </is>
      </c>
      <c r="AF1224" s="2"/>
      <c r="AG1224" t="inlineStr">
        <is>
          <t>NzQyNTk5MTgyNzQ4MTg3MDM0MTo4MUE0RDExMy1FQzUyLTRBNjgtOTU5QS0yMzYyRDVFMUMxQzAtMTpiZDU0YjBiYjdiYzU4MWY1N2MwOWM5MzYwMzc1Mjk2MDox</t>
        </is>
      </c>
      <c r="AH1224" t="inlineStr">
        <is>
          <t>Joshua Vignesh U Narayan</t>
        </is>
      </c>
      <c r="AI1224"/>
      <c r="AJ1224" t="inlineStr">
        <is>
          <t>No line item in internal CE under Playoffs. Unbudgeted</t>
        </is>
      </c>
      <c r="AK1224"/>
    </row>
    <row r="1225" ht="25.5" customHeight="1">
      <c r="A1225" s="2" t="str">
        <f>=HYPERLINK("https://applink.larksuite.com/client/mini_program/open?appId=cli_9c7cc8a9a9edd105&amp;mode=appCenter&amp;path_pc=pc/pages/requested/index?instanceId=7566964885125369565&amp;source=bitable&amp;path=pages/detail/index?instanceId=7566964885125369565&amp;source=bitable", "202510300071")</f>
        <v>202510300071</v>
      </c>
      <c r="B1225" t="inlineStr">
        <is>
          <t>Approved</t>
        </is>
      </c>
      <c r="C1225" t="inlineStr">
        <is>
          <t>Procurement Order</t>
        </is>
      </c>
      <c r="D1225" s="3">
        <v>45960.78361111111</v>
      </c>
      <c r="E1225" s="3">
        <v>45964.73207175926</v>
      </c>
      <c r="F1225" t="inlineStr">
        <is>
          <t>Fatima Kathleen M. FLores</t>
        </is>
      </c>
      <c r="G1225" t="inlineStr">
        <is>
          <t>Procurement</t>
        </is>
      </c>
      <c r="H1225"/>
      <c r="I1225"/>
      <c r="J1225" t="inlineStr">
        <is>
          <t>Project</t>
        </is>
      </c>
      <c r="K1225" t="inlineStr">
        <is>
          <t>PDEI - Event Service</t>
        </is>
      </c>
      <c r="L1225" t="inlineStr">
        <is>
          <t>GTCC Summer Showdown</t>
        </is>
      </c>
      <c r="M1225" t="inlineStr">
        <is>
          <t>2025TEG-P0040</t>
        </is>
      </c>
      <c r="N1225" t="inlineStr">
        <is>
          <t>Frances Angelita Arreglado</t>
        </is>
      </c>
      <c r="O1225" t="inlineStr">
        <is>
          <t>202510220142-Frances Angelita Arreglado-费用报销 - 副本 - 副本 - 副本-2025-10-22 12:43:59</t>
        </is>
      </c>
      <c r="P1225" t="inlineStr">
        <is>
          <t>NO</t>
        </is>
      </c>
      <c r="Q1225"/>
      <c r="R1225" t="inlineStr">
        <is>
          <t>YES</t>
        </is>
      </c>
      <c r="S1225" t="inlineStr">
        <is>
          <t>Trophy Production and Shipping</t>
        </is>
      </c>
      <c r="T1225">
        <v>1</v>
      </c>
      <c r="U1225">
        <v>5381</v>
      </c>
      <c r="V1225" t="inlineStr">
        <is>
          <t>USD</t>
        </is>
      </c>
      <c r="W1225">
        <v>5381</v>
      </c>
      <c r="X1225" s="2" t="str">
        <f>=HYPERLINK("https://www.larksuite.com/approval/admin/previewAttachment?key=PMg7CsJgEATgK82-d7yMjeHHEAVBCDZ7dsHC9ssWZIdYEk5RQqYik-ndIRqWjIzRkSqipJSzPdf10MexTpTvr90-nPN-W9tbgqWKMndrAHL5u5W7k-n4Ob4BAAD__w", "2 attachment(s)")</f>
        <v>2 attachment(s)</v>
      </c>
      <c r="Y1225" t="inlineStr">
        <is>
          <t>Bank Transfer</t>
        </is>
      </c>
      <c r="Z1225" t="inlineStr">
        <is>
          <t>PT. Teknologi Abadi Sejahtera</t>
        </is>
      </c>
      <c r="AA1225" t="inlineStr">
        <is>
          <t>762299168</t>
        </is>
      </c>
      <c r="AB1225" t="inlineStr">
        <is>
          <t>Bank Central Asia</t>
        </is>
      </c>
      <c r="AC1225" t="inlineStr">
        <is>
          <t>JL.TANJUNG DUREN BARAT I NO.5</t>
        </is>
      </c>
      <c r="AD1225" s="4">
        <v>45852</v>
      </c>
      <c r="AE1225" t="inlineStr">
        <is>
          <t>100% Full Payment</t>
        </is>
      </c>
      <c r="AF1225" s="2"/>
      <c r="AG1225" t="inlineStr">
        <is>
          <t>NzQyNTk5MTgyNzQ4MTg3MDM0MTpERjk1QTFGNC1FNURBLTQ2QzMtQjY2NC0yODE3NzcxQ0JFQ0QtMToyYjg1NTQ4MjZiMWZmNWQyN2M0OTliNjc3NWU4ZDM5Mjox</t>
        </is>
      </c>
      <c r="AH1225" t="inlineStr">
        <is>
          <t>Mineski Indonesia (IDR)</t>
        </is>
      </c>
      <c r="AI1225"/>
      <c r="AJ1225" t="inlineStr">
        <is>
          <t>LIQUIDITY PLAN (PAR # 202504250011)
Stage Paraphernalia &gt; Awarding &gt;
Trophies
Total Remaining Budget = Php 38,800.00
Actual Cost = $ 5,381.00 / Php 306,717.00
Balance = (Php 267,917.00) OVER BUDGET</t>
        </is>
      </c>
      <c r="AK1225"/>
    </row>
    <row r="1226" ht="25.5" customHeight="1">
      <c r="A1226" s="2" t="str">
        <f>=HYPERLINK("https://applink.larksuite.com/client/mini_program/open?appId=cli_9c7cc8a9a9edd105&amp;mode=appCenter&amp;path_pc=pc/pages/requested/index?instanceId=7568375142447959775&amp;source=bitable&amp;path=pages/detail/index?instanceId=7568375142447959775&amp;source=bitable", "202511030060")</f>
        <v>202511030060</v>
      </c>
      <c r="B1226" t="inlineStr">
        <is>
          <t>Approved</t>
        </is>
      </c>
      <c r="C1226" t="inlineStr">
        <is>
          <t>Procurement Order</t>
        </is>
      </c>
      <c r="D1226" s="3">
        <v>45964.583969907406</v>
      </c>
      <c r="E1226" s="3">
        <v>45964.72754629629</v>
      </c>
      <c r="F1226" t="inlineStr">
        <is>
          <t>Fatima Kathleen M. FLores</t>
        </is>
      </c>
      <c r="G1226" t="inlineStr">
        <is>
          <t>Procurement</t>
        </is>
      </c>
      <c r="H1226"/>
      <c r="I1226"/>
      <c r="J1226" t="inlineStr">
        <is>
          <t>CAPEX</t>
        </is>
      </c>
      <c r="K1226"/>
      <c r="L1226"/>
      <c r="M1226"/>
      <c r="N1226"/>
      <c r="O1226" t="inlineStr">
        <is>
          <t>202510290041-Andew James Sarmiento-费用报销 - 副本 - 副本 - 副本-2025-10-29 04:54:49</t>
        </is>
      </c>
      <c r="P1226"/>
      <c r="Q1226" t="inlineStr">
        <is>
          <t>Broadcast</t>
        </is>
      </c>
      <c r="R1226"/>
      <c r="S1226" t="inlineStr">
        <is>
          <t>Fiber Optic Cables with termination</t>
        </is>
      </c>
      <c r="T1226">
        <v>1</v>
      </c>
      <c r="U1226">
        <v>208039.02</v>
      </c>
      <c r="V1226" t="inlineStr">
        <is>
          <t>PHP</t>
        </is>
      </c>
      <c r="W1226">
        <v>208039.02</v>
      </c>
      <c r="X1226" s="2" t="str">
        <f>=HYPERLINK("https://www.larksuite.com/approval/admin/previewAttachment?key=PMhBCkIxDATQKyXppNPxMm76KVYQBEH8i5xdcOH29eHWR3rrMshD5sXsozEdAVApMivKSRmdoToe6_q8b8x9zHNN_-yz3re5jpenGGFsQBtm5pe_NwKQOuzn9g0AAP__", "2 attachment(s)")</f>
        <v>2 attachment(s)</v>
      </c>
      <c r="Y1226" t="inlineStr">
        <is>
          <t>Bank Transfer</t>
        </is>
      </c>
      <c r="Z1226" t="inlineStr">
        <is>
          <t>C3E Information Technology Services</t>
        </is>
      </c>
      <c r="AA1226" t="inlineStr">
        <is>
          <t>9023283293</t>
        </is>
      </c>
      <c r="AB1226" t="inlineStr">
        <is>
          <t>RIZAL COMMERCIAL BANKING CORPORATION (RCBC)</t>
        </is>
      </c>
      <c r="AC1226" t="inlineStr">
        <is>
          <t>727 Calabash Road, Sampaloc, Manila</t>
        </is>
      </c>
      <c r="AD1226" s="4">
        <v>45968</v>
      </c>
      <c r="AE1226" t="inlineStr">
        <is>
          <t>50% Down Payment upon confirmation
50% Balance upon completion of delivery / services</t>
        </is>
      </c>
      <c r="AF1226" s="2"/>
      <c r="AG1226" t="inlineStr">
        <is>
          <t>NzQyNTk5MTgyNzQ4MTg3MDM0MToyOTZBMDJGOS1GNTRGLTRCQjUtQjhGQy05RTczOUU2OEMwNDAtMTo1OGZmYjk4NzBiNWNhZjFhNjJmNTVmZmQxNTNmZDI5ZDox</t>
        </is>
      </c>
      <c r="AH1226" t="inlineStr">
        <is>
          <t>C3E Information Technology Services</t>
        </is>
      </c>
      <c r="AI1226"/>
      <c r="AJ1226"/>
      <c r="AK1226"/>
    </row>
    <row r="1227" ht="25.5" customHeight="1">
      <c r="A1227" s="2" t="str">
        <f>=HYPERLINK("https://applink.larksuite.com/client/mini_program/open?appId=cli_9c7cc8a9a9edd105&amp;mode=appCenter&amp;path_pc=pc/pages/requested/index?instanceId=7566958796703076062&amp;source=bitable&amp;path=pages/detail/index?instanceId=7566958796703076062&amp;source=bitable", "202510300065")</f>
        <v>202510300065</v>
      </c>
      <c r="B1227" t="inlineStr">
        <is>
          <t>Approved</t>
        </is>
      </c>
      <c r="C1227" t="inlineStr">
        <is>
          <t>Procurement Order</t>
        </is>
      </c>
      <c r="D1227" s="3">
        <v>45960.76721064815</v>
      </c>
      <c r="E1227" s="3">
        <v>45967.69399305555</v>
      </c>
      <c r="F1227" t="inlineStr">
        <is>
          <t>Fatima Kathleen M. FLores</t>
        </is>
      </c>
      <c r="G1227" t="inlineStr">
        <is>
          <t>Procurement</t>
        </is>
      </c>
      <c r="H1227"/>
      <c r="I1227"/>
      <c r="J1227" t="inlineStr">
        <is>
          <t>Project</t>
        </is>
      </c>
      <c r="K1227" t="inlineStr">
        <is>
          <t>PDEI - Event Service</t>
        </is>
      </c>
      <c r="L1227" t="inlineStr">
        <is>
          <t>MPL PH S16 - Regular Season</t>
        </is>
      </c>
      <c r="M1227" t="inlineStr">
        <is>
          <t>2025TEG-P0214</t>
        </is>
      </c>
      <c r="N1227" t="inlineStr">
        <is>
          <t>Katherine Denise Lee Sy</t>
        </is>
      </c>
      <c r="O1227" t="inlineStr">
        <is>
          <t>202509100022-Jessica Jane Lor Felicilda-费用报销 - 副本 - 副本 - 副本-2025-09-10 03:26:17</t>
        </is>
      </c>
      <c r="P1227" t="inlineStr">
        <is>
          <t>NO</t>
        </is>
      </c>
      <c r="Q1227"/>
      <c r="R1227" t="inlineStr">
        <is>
          <t>YES</t>
        </is>
      </c>
      <c r="S1227" t="inlineStr">
        <is>
          <t>Outsourced Stylist (3 Hosts) - Playoffs</t>
        </is>
      </c>
      <c r="T1227">
        <v>1</v>
      </c>
      <c r="U1227">
        <v>65000</v>
      </c>
      <c r="V1227" t="inlineStr">
        <is>
          <t>PHP</t>
        </is>
      </c>
      <c r="W1227">
        <v>65000</v>
      </c>
      <c r="X1227" s="2" t="str">
        <f>=HYPERLINK("https://www.larksuite.com/approval/admin/previewAttachment?key=PMg7CsJgEATgK80-_p0dL2OTEBTRRky3ZxcsbL9qQ_WyKCFlLthwVWk1VUSAhfLxMVKg0TX787jeTz2OrcXO-MRrztt27G9bojsYmdEA7PL3YGZKlfg5vgEAAP__", "2 attachment(s)")</f>
        <v>2 attachment(s)</v>
      </c>
      <c r="Y1227" t="inlineStr">
        <is>
          <t>Bank Transfer</t>
        </is>
      </c>
      <c r="Z1227" t="inlineStr">
        <is>
          <t>Escapeboss Marketing Campaign Services</t>
        </is>
      </c>
      <c r="AA1227" t="inlineStr">
        <is>
          <t>013758000381</t>
        </is>
      </c>
      <c r="AB1227" t="inlineStr">
        <is>
          <t>BDO</t>
        </is>
      </c>
      <c r="AC1227" t="inlineStr">
        <is>
          <t>Unit C Blk 4 Lot 17 PH 4 Boxing St., Villa Olympia Chrysanthemum, San Pedro, Laguna</t>
        </is>
      </c>
      <c r="AD1227" s="4">
        <v>45940</v>
      </c>
      <c r="AE1227" t="inlineStr">
        <is>
          <t>100% Full Payment upon completion of services</t>
        </is>
      </c>
      <c r="AF1227" s="2" t="str">
        <f>=HYPERLINK("https://www.larksuite.com/approval/admin/previewAttachment?key=TMgxDsJQDAPQK9k__zsxl2FpVYEQLIhuOTsSE-tTEarFkDHNYbBzSV6VViKQgkaPZqaRzOHen8f1fvpxbOWsGZ949Xnbjv1NVQjTa04aAC9_TsIVip_jGwAA__8", "2 attachment(s)")</f>
        <v>2 attachment(s)</v>
      </c>
      <c r="AG1227" t="inlineStr">
        <is>
          <t>NzQyNTk5MTgyNzQ4MTg3MDM0MTo1QzdFODI5MS0zRTE3LTQyMTItOUFDQy00REJCMzlEOTNGOUMtMTo2YTI4NmRmNDliZGJmOThhMTNhODJmNGZiOThhZDY4Mjox</t>
        </is>
      </c>
      <c r="AH1227" t="inlineStr">
        <is>
          <t>Escapeboss Marketing Campaign Services</t>
        </is>
      </c>
      <c r="AI1227"/>
      <c r="AJ1227" t="inlineStr">
        <is>
          <t>LIQUIDITY PLAN (PAR # 202509020093 / 2025TEG-P0214)
REGULAR SEASON CE TAB &gt; 4.7 Manpower Arrangement &gt;
TALENT MANAGEMENT &gt; Stylist
Total Remaining Budget = Php 30,820.00
Actual Cost = Php 65,000.00
Balance = (Php 34,180.00) OVER BUDGET</t>
        </is>
      </c>
      <c r="AK1227"/>
    </row>
    <row r="1228" ht="25.5" customHeight="1">
      <c r="A1228" s="2" t="str">
        <f>=HYPERLINK("https://applink.larksuite.com/client/mini_program/open?appId=cli_9c7cc8a9a9edd105&amp;mode=appCenter&amp;path_pc=pc/pages/requested/index?instanceId=7568412140911021791&amp;source=bitable&amp;path=pages/detail/index?instanceId=7568412140911021791&amp;source=bitable", "202511030107")</f>
        <v>202511030107</v>
      </c>
      <c r="B1228" t="inlineStr">
        <is>
          <t>Approved</t>
        </is>
      </c>
      <c r="C1228" t="inlineStr">
        <is>
          <t>Procurement Order</t>
        </is>
      </c>
      <c r="D1228" s="3">
        <v>45964.68368055556</v>
      </c>
      <c r="E1228" s="3">
        <v>45965.75775462963</v>
      </c>
      <c r="F1228" t="inlineStr">
        <is>
          <t>Fatima Kathleen M. FLores</t>
        </is>
      </c>
      <c r="G1228" t="inlineStr">
        <is>
          <t>Procurement</t>
        </is>
      </c>
      <c r="H1228"/>
      <c r="I1228"/>
      <c r="J1228" t="inlineStr">
        <is>
          <t>Project</t>
        </is>
      </c>
      <c r="K1228" t="inlineStr">
        <is>
          <t>PDEI - Event Service</t>
        </is>
      </c>
      <c r="L1228" t="inlineStr">
        <is>
          <t>MPL PH S16 - Regular Season</t>
        </is>
      </c>
      <c r="M1228" t="inlineStr">
        <is>
          <t>2025TEG-P0214</t>
        </is>
      </c>
      <c r="N1228" t="inlineStr">
        <is>
          <t>Katherine Denise Lee Sy</t>
        </is>
      </c>
      <c r="O1228" t="inlineStr">
        <is>
          <t>202510150127-Katherine Denise Lee Sy-费用报销 - 副本 - 副本 - 副本-2025-10-15 10:11:18</t>
        </is>
      </c>
      <c r="P1228" t="inlineStr">
        <is>
          <t>YES</t>
        </is>
      </c>
      <c r="Q1228"/>
      <c r="R1228" t="inlineStr">
        <is>
          <t>NO</t>
        </is>
      </c>
      <c r="S1228" t="inlineStr">
        <is>
          <t>Outsourced Motion Graphics Artist</t>
        </is>
      </c>
      <c r="T1228">
        <v>1</v>
      </c>
      <c r="U1228">
        <v>40000</v>
      </c>
      <c r="V1228" t="inlineStr">
        <is>
          <t>PHP</t>
        </is>
      </c>
      <c r="W1228">
        <v>40000</v>
      </c>
      <c r="X1228" s="2" t="str">
        <f>=HYPERLINK("https://www.larksuite.com/approval/admin/previewAttachment?key=PMgxCgJRDATQK83k52f-eBkbl0VBRRC3y9kFC9tXi6g1OcpIMwy2Zq1kMGESQZkdTckQFe7tsZ9vhzX1jNc9zM_Wx_Wyb29OKwIamWMB4OnvQ5lpV-Ln-AYAAP__", "2 attachment(s)")</f>
        <v>2 attachment(s)</v>
      </c>
      <c r="Y1228" t="inlineStr">
        <is>
          <t>Bank Transfer</t>
        </is>
      </c>
      <c r="Z1228" t="inlineStr">
        <is>
          <t>Marlon John P. Dorado</t>
        </is>
      </c>
      <c r="AA1228" t="inlineStr">
        <is>
          <t>0000055648141</t>
        </is>
      </c>
      <c r="AB1228" t="inlineStr">
        <is>
          <t>Security Bank</t>
        </is>
      </c>
      <c r="AC1228" t="inlineStr">
        <is>
          <t>376 GSIS Rd. Guitnang Bayan I, San Mateo, Rizal</t>
        </is>
      </c>
      <c r="AD1228" s="4">
        <v>45939</v>
      </c>
      <c r="AE1228" t="inlineStr">
        <is>
          <t>1st Payment - Nov. 7, 2025
Final Payment - Nov. 21, 2025</t>
        </is>
      </c>
      <c r="AF1228" s="2"/>
      <c r="AG1228" t="inlineStr">
        <is>
          <t>NzQyNTk5MTgyNzQ4MTg3MDM0MTpFOThERDE0QS00Qzg3LTRGMzctODlEOC1GNzVFMTM1OEFGNzktMTo5YjIyMzU1YWI4ZDc4MjcwZTlhYjdlODg1Zjg0NjdmZTox</t>
        </is>
      </c>
      <c r="AH1228" t="inlineStr">
        <is>
          <t>Marlon John P. Dorado</t>
        </is>
      </c>
      <c r="AI1228"/>
      <c r="AJ1228" t="inlineStr">
        <is>
          <t>LIQUIDITY PLAN (PAR # 202509020093 / 2025TEG-P0214)
REGULAR SEASON CE TAB &gt; CREATIVES (PLAYOFFS)&gt;
LED Motion - Safety KV
LED Motion - LED Stinger Transition (2s)
LED Motion - LED Stinger Transition Draft
LED Motion - LED 3D Stinger Transition In-game
LED Motion - Victory LEFT &amp; RIGHT (Generic)
LED Motion - Lord Slain
LED Motion - Turtle Slain
LED Motion - First Blood
Total Budget = Php 41,000.00
Actual Cost = Php 40,000.00
Balance = Php 1,000.00</t>
        </is>
      </c>
      <c r="AK1228"/>
    </row>
    <row r="1229" ht="25.5" customHeight="1">
      <c r="A1229" s="2" t="str">
        <f>=HYPERLINK("https://applink.larksuite.com/client/mini_program/open?appId=cli_9c7cc8a9a9edd105&amp;mode=appCenter&amp;path_pc=pc/pages/requested/index?instanceId=7568410152278183649&amp;source=bitable&amp;path=pages/detail/index?instanceId=7568410152278183649&amp;source=bitable", "202511030104")</f>
        <v>202511030104</v>
      </c>
      <c r="B1229" t="inlineStr">
        <is>
          <t>Approved</t>
        </is>
      </c>
      <c r="C1229" t="inlineStr">
        <is>
          <t>Procurement Order</t>
        </is>
      </c>
      <c r="D1229" s="3">
        <v>45964.67832175926</v>
      </c>
      <c r="E1229" s="3">
        <v>45965.75939814815</v>
      </c>
      <c r="F1229" t="inlineStr">
        <is>
          <t>Fatima Kathleen M. FLores</t>
        </is>
      </c>
      <c r="G1229" t="inlineStr">
        <is>
          <t>Procurement</t>
        </is>
      </c>
      <c r="H1229"/>
      <c r="I1229"/>
      <c r="J1229" t="inlineStr">
        <is>
          <t>Project</t>
        </is>
      </c>
      <c r="K1229" t="inlineStr">
        <is>
          <t>PDEI - Event Service</t>
        </is>
      </c>
      <c r="L1229" t="inlineStr">
        <is>
          <t>MPL PH S16 - Regular Season</t>
        </is>
      </c>
      <c r="M1229" t="inlineStr">
        <is>
          <t>2025TEG-P0214</t>
        </is>
      </c>
      <c r="N1229" t="inlineStr">
        <is>
          <t>Katherine Denise Lee Sy</t>
        </is>
      </c>
      <c r="O1229" t="inlineStr">
        <is>
          <t>202510150123-Katherine Denise Lee Sy-费用报销 - 副本 - 副本 - 副本-2025-10-15 10:08:06</t>
        </is>
      </c>
      <c r="P1229" t="inlineStr">
        <is>
          <t>YES</t>
        </is>
      </c>
      <c r="Q1229"/>
      <c r="R1229" t="inlineStr">
        <is>
          <t>NO</t>
        </is>
      </c>
      <c r="S1229" t="inlineStr">
        <is>
          <t>Outsourced Videographer</t>
        </is>
      </c>
      <c r="T1229">
        <v>1</v>
      </c>
      <c r="U1229">
        <v>24000</v>
      </c>
      <c r="V1229" t="inlineStr">
        <is>
          <t>PHP</t>
        </is>
      </c>
      <c r="W1229">
        <v>24000</v>
      </c>
      <c r="X1229" s="2" t="str">
        <f>=HYPERLINK("https://www.larksuite.com/approval/admin/previewAttachment?key=PMgxCgJBDAXQK_2fyeQnXsZmlkUFbYRFi5xdsNj2RRKRkyMKXrQCWzPSCU4zJXOEV1tTKoiy6u25X1_8ZK3DJH3X497Hbe3bm7NkBg33kQB4OX3I3avC8Xf8AgAA__8", "2 attachment(s)")</f>
        <v>2 attachment(s)</v>
      </c>
      <c r="Y1229" t="inlineStr">
        <is>
          <t>Bank Transfer</t>
        </is>
      </c>
      <c r="Z1229" t="inlineStr">
        <is>
          <t>Jeremiah Patio</t>
        </is>
      </c>
      <c r="AA1229" t="inlineStr">
        <is>
          <t>09060873102</t>
        </is>
      </c>
      <c r="AB1229" t="inlineStr">
        <is>
          <t>GCash</t>
        </is>
      </c>
      <c r="AC1229" t="inlineStr">
        <is>
          <t>B28 L30 Phase 2, Dela Costa Homes 3, Brgy. Graceville, City of San Jose del Monte, Bulacan</t>
        </is>
      </c>
      <c r="AD1229" s="4">
        <v>45950</v>
      </c>
      <c r="AE1229" t="inlineStr">
        <is>
          <t>100% Full Payment - Nov. 7, 2025</t>
        </is>
      </c>
      <c r="AF1229" s="2"/>
      <c r="AG1229" t="inlineStr">
        <is>
          <t>NzQyNTk5MTgyNzQ4MTg3MDM0MTo4ODFGNEM0Mi05RDgwLTQ2NzEtOENEMi0yQzNCQkIzREVFQkEtMTpiYzkxNGJkNmQxNGFmZWI1MzhjMmQwNGY3ZDIxODQ3Mjox</t>
        </is>
      </c>
      <c r="AH1229" t="inlineStr">
        <is>
          <t>Jeremiah Patio</t>
        </is>
      </c>
      <c r="AI1229"/>
      <c r="AJ1229" t="inlineStr">
        <is>
          <t>LIQUIDITY PLAN (PAR # 202509020093 / 2025TEG-P0214)
REGULAR SEASON CE TAB &gt; CREATIVES (PLAYOFFS)&gt;
LED Motion - Victory Team Logo (Mainled and backled)
Total Budget = Php 24,000.00
Actual Cost = Php 24,000.00</t>
        </is>
      </c>
      <c r="AK1229"/>
    </row>
    <row r="1230" ht="25.5" customHeight="1">
      <c r="A1230" s="2" t="str">
        <f>=HYPERLINK("https://applink.larksuite.com/client/mini_program/open?appId=cli_9c7cc8a9a9edd105&amp;mode=appCenter&amp;path_pc=pc/pages/requested/index?instanceId=7568440920840900315&amp;source=bitable&amp;path=pages/detail/index?instanceId=7568440920840900315&amp;source=bitable", "202511030139")</f>
        <v>202511030139</v>
      </c>
      <c r="B1230" t="inlineStr">
        <is>
          <t>Approved</t>
        </is>
      </c>
      <c r="C1230" t="inlineStr">
        <is>
          <t>Procurement Order</t>
        </is>
      </c>
      <c r="D1230" s="3">
        <v>45964.76123842593</v>
      </c>
      <c r="E1230" s="3">
        <v>45974.550578703704</v>
      </c>
      <c r="F1230" t="inlineStr">
        <is>
          <t>Fatima Kathleen M. FLores</t>
        </is>
      </c>
      <c r="G1230" t="inlineStr">
        <is>
          <t>Procurement</t>
        </is>
      </c>
      <c r="H1230"/>
      <c r="I1230"/>
      <c r="J1230" t="inlineStr">
        <is>
          <t>GAE</t>
        </is>
      </c>
      <c r="K1230"/>
      <c r="L1230"/>
      <c r="M1230"/>
      <c r="N1230"/>
      <c r="O1230" t="inlineStr">
        <is>
          <t>202509080093-Brian Michael Conrad Buenviaje-费用报销 - 副本 - 副本 - 副本-2025-09-08 08:27:51</t>
        </is>
      </c>
      <c r="P1230"/>
      <c r="Q1230" t="inlineStr">
        <is>
          <t>Game Marketing</t>
        </is>
      </c>
      <c r="R1230"/>
      <c r="S1230" t="inlineStr">
        <is>
          <t>Outsourced Graphic Designer</t>
        </is>
      </c>
      <c r="T1230">
        <v>1</v>
      </c>
      <c r="U1230">
        <v>8000</v>
      </c>
      <c r="V1230" t="inlineStr">
        <is>
          <t>PHP</t>
        </is>
      </c>
      <c r="W1230">
        <v>8000</v>
      </c>
      <c r="X1230" s="2" t="str">
        <f>=HYPERLINK("https://www.larksuite.com/approval/admin/previewAttachment?key=PMgxDsIwFAPQK9k_Tn7MZVgaVYi2ExJM_-xIDKxvTGLMzjYMmWGwso8pwYEpGGjsFcVMI5nhWtd-P-LcqON6rpOfVL0f275e7M4IZJPaBMDb31tKsofwc3wDAAD__w", "2 attachment(s)")</f>
        <v>2 attachment(s)</v>
      </c>
      <c r="Y1230" t="inlineStr">
        <is>
          <t>Bank Transfer</t>
        </is>
      </c>
      <c r="Z1230" t="inlineStr">
        <is>
          <t>Abbygail Villamil Marquez</t>
        </is>
      </c>
      <c r="AA1230" t="inlineStr">
        <is>
          <t>09603665696</t>
        </is>
      </c>
      <c r="AB1230" t="inlineStr">
        <is>
          <t>PayMaya</t>
        </is>
      </c>
      <c r="AC1230" t="inlineStr">
        <is>
          <t>14-C Arayat St. Brgy. Nagkaisang Nayon, Novaliches, Quezon City</t>
        </is>
      </c>
      <c r="AD1230" s="4">
        <v>45896</v>
      </c>
      <c r="AE1230" t="inlineStr">
        <is>
          <t>100% Full Payment - Oct. 31, 2025</t>
        </is>
      </c>
      <c r="AF1230" s="2"/>
      <c r="AG1230" t="inlineStr">
        <is>
          <t>NzQyNTk5MTgyNzQ4MTg3MDM0MToxRjdENDYyMC05ODIyLTRGRUMtQjhCQi01NjkxQTFDREYxRjktMTozZjBjYzRjMTlmOWJlZDExYTBhZWQyMjQ4NzhlMDk2NDox</t>
        </is>
      </c>
      <c r="AH1230" t="inlineStr">
        <is>
          <t>Abbygail Villamil Marquez</t>
        </is>
      </c>
      <c r="AI1230"/>
      <c r="AJ1230"/>
      <c r="AK1230"/>
    </row>
    <row r="1231" ht="25.5" customHeight="1">
      <c r="A1231" s="2" t="str">
        <f>=HYPERLINK("https://applink.larksuite.com/client/mini_program/open?appId=cli_9c7cc8a9a9edd105&amp;mode=appCenter&amp;path_pc=pc/pages/requested/index?instanceId=7568438486626225890&amp;source=bitable&amp;path=pages/detail/index?instanceId=7568438486626225890&amp;source=bitable", "202511030136")</f>
        <v>202511030136</v>
      </c>
      <c r="B1231" t="inlineStr">
        <is>
          <t>Approved</t>
        </is>
      </c>
      <c r="C1231" t="inlineStr">
        <is>
          <t>Procurement Order</t>
        </is>
      </c>
      <c r="D1231" s="3">
        <v>45964.75467592593</v>
      </c>
      <c r="E1231" s="3">
        <v>45965.7612037037</v>
      </c>
      <c r="F1231" t="inlineStr">
        <is>
          <t>Fatima Kathleen M. FLores</t>
        </is>
      </c>
      <c r="G1231" t="inlineStr">
        <is>
          <t>Procurement</t>
        </is>
      </c>
      <c r="H1231"/>
      <c r="I1231"/>
      <c r="J1231" t="inlineStr">
        <is>
          <t>Project</t>
        </is>
      </c>
      <c r="K1231" t="inlineStr">
        <is>
          <t>PDEI - Event Service</t>
        </is>
      </c>
      <c r="L1231" t="inlineStr">
        <is>
          <t>MPL PH S16 - Regular Season</t>
        </is>
      </c>
      <c r="M1231" t="inlineStr">
        <is>
          <t>2025TEG-P0214</t>
        </is>
      </c>
      <c r="N1231" t="inlineStr">
        <is>
          <t>Katherine Denise Lee Sy</t>
        </is>
      </c>
      <c r="O1231" t="inlineStr">
        <is>
          <t>202510150120-Katherine Denise Lee Sy-费用报销 - 副本 - 副本 - 副本-2025-10-15 10:00:54</t>
        </is>
      </c>
      <c r="P1231" t="inlineStr">
        <is>
          <t>YES</t>
        </is>
      </c>
      <c r="Q1231"/>
      <c r="R1231" t="inlineStr">
        <is>
          <t>NO</t>
        </is>
      </c>
      <c r="S1231" t="inlineStr">
        <is>
          <t>Outsourced Production Assistant</t>
        </is>
      </c>
      <c r="T1231">
        <v>1</v>
      </c>
      <c r="U1231">
        <v>9000</v>
      </c>
      <c r="V1231" t="inlineStr">
        <is>
          <t>PHP</t>
        </is>
      </c>
      <c r="W1231">
        <v>9000</v>
      </c>
      <c r="X1231" s="2" t="str">
        <f>=HYPERLINK("https://www.larksuite.com/approval/admin/previewAttachment?key=PMhBCsJADAXQK_1k_uQnXsaNpViwIAidVc4uuHD7Ig2R00YUWOYFa81IjmRGeLjPLLS3SQWZvHo79_tlh9bxzqWXJ8--no99-9gsuUODHAnAbn8fIlkVxM_xDQAA__8", "2 attachment(s)")</f>
        <v>2 attachment(s)</v>
      </c>
      <c r="Y1231" t="inlineStr">
        <is>
          <t>Bank Transfer</t>
        </is>
      </c>
      <c r="Z1231" t="inlineStr">
        <is>
          <t>Sheilla Mae Songalia</t>
        </is>
      </c>
      <c r="AA1231" t="inlineStr">
        <is>
          <t>09497767800</t>
        </is>
      </c>
      <c r="AB1231" t="inlineStr">
        <is>
          <t>Gcash</t>
        </is>
      </c>
      <c r="AC1231" t="inlineStr">
        <is>
          <t>19-B Acacia St. Old Cabuyao Brgy. Sauyo, QC</t>
        </is>
      </c>
      <c r="AD1231" s="4">
        <v>45950</v>
      </c>
      <c r="AE1231" t="inlineStr">
        <is>
          <t>100% Full Payment - Nov. 14, 2025</t>
        </is>
      </c>
      <c r="AF1231" s="2"/>
      <c r="AG1231" t="inlineStr">
        <is>
          <t>NzQyNTk5MTgyNzQ4MTg3MDM0MTo1MjE3QTE0NS03QzhCLTQ0NzEtOUZDQi1ERDAwOTA5MzgzMDMtMTozNDI3MGI1OGE1MWYxMDcyYjNkOTQwYmQ3NjgwMjM4OTox</t>
        </is>
      </c>
      <c r="AH1231" t="inlineStr">
        <is>
          <t>Sheilla Mae Songalia</t>
        </is>
      </c>
      <c r="AI1231"/>
      <c r="AJ1231" t="inlineStr">
        <is>
          <t>LIQUIDITY PLAN (PAR # 202509020093 / 2025TEG-P0214)
REGULAR SEASON CE TAB &gt; CREATIVES (PLAYOFFS) &gt;
LED Motion - Team Logo + Name Loop Template (1 Team)
Total Budget = Php 12,000.00
Actual Cost = Php 9,000.00
Balance = Php 3,000.00</t>
        </is>
      </c>
      <c r="AK1231"/>
    </row>
    <row r="1232" ht="25.5" customHeight="1">
      <c r="A1232" s="2" t="str">
        <f>=HYPERLINK("https://applink.larksuite.com/client/mini_program/open?appId=cli_9c7cc8a9a9edd105&amp;mode=appCenter&amp;path_pc=pc/pages/requested/index?instanceId=7568435056641855200&amp;source=bitable&amp;path=pages/detail/index?instanceId=7568435056641855200&amp;source=bitable", "202511030131")</f>
        <v>202511030131</v>
      </c>
      <c r="B1232" t="inlineStr">
        <is>
          <t>Approved</t>
        </is>
      </c>
      <c r="C1232" t="inlineStr">
        <is>
          <t>Procurement Order</t>
        </is>
      </c>
      <c r="D1232" s="3">
        <v>45964.74542824074</v>
      </c>
      <c r="E1232" s="3">
        <v>45965.77107638889</v>
      </c>
      <c r="F1232" t="inlineStr">
        <is>
          <t>Fatima Kathleen M. FLores</t>
        </is>
      </c>
      <c r="G1232" t="inlineStr">
        <is>
          <t>Procurement</t>
        </is>
      </c>
      <c r="H1232"/>
      <c r="I1232"/>
      <c r="J1232" t="inlineStr">
        <is>
          <t>Project</t>
        </is>
      </c>
      <c r="K1232" t="inlineStr">
        <is>
          <t>PDEI - Event Service</t>
        </is>
      </c>
      <c r="L1232" t="inlineStr">
        <is>
          <t>MPL PH S16 Addendum</t>
        </is>
      </c>
      <c r="M1232" t="inlineStr">
        <is>
          <t>2025TEG-P0269</t>
        </is>
      </c>
      <c r="N1232" t="inlineStr">
        <is>
          <t>Katherine Denise Lee Sy</t>
        </is>
      </c>
      <c r="O1232" t="inlineStr">
        <is>
          <t>202510240047-Katherine Denise Lee Sy-费用报销 - 副本 - 副本 - 副本-2025-10-24 05:32:50</t>
        </is>
      </c>
      <c r="P1232" t="inlineStr">
        <is>
          <t>NO</t>
        </is>
      </c>
      <c r="Q1232"/>
      <c r="R1232" t="inlineStr">
        <is>
          <t>NO</t>
        </is>
      </c>
      <c r="S1232" t="inlineStr">
        <is>
          <t>Confetti Blizzard (Loose Metallic Gold)</t>
        </is>
      </c>
      <c r="T1232">
        <v>2</v>
      </c>
      <c r="U1232">
        <v>8000</v>
      </c>
      <c r="V1232" t="inlineStr">
        <is>
          <t>PHP</t>
        </is>
      </c>
      <c r="W1232">
        <v>16000</v>
      </c>
      <c r="X1232" s="2"/>
      <c r="Y1232" t="inlineStr">
        <is>
          <t>Bank Transfer</t>
        </is>
      </c>
      <c r="Z1232" t="inlineStr">
        <is>
          <t>Confetti Effects, Inc.</t>
        </is>
      </c>
      <c r="AA1232" t="inlineStr">
        <is>
          <t>3221-0180-78</t>
        </is>
      </c>
      <c r="AB1232" t="inlineStr">
        <is>
          <t>BPI</t>
        </is>
      </c>
      <c r="AC1232" t="inlineStr">
        <is>
          <t>2550 New Panaderos St., Brgy. 885 Zone 097, Sta. Ana, Manila</t>
        </is>
      </c>
      <c r="AD1232" s="4">
        <v>45956</v>
      </c>
      <c r="AE1232" t="inlineStr">
        <is>
          <t>100% Full Payment - Nov. 14, 2025</t>
        </is>
      </c>
      <c r="AF1232" s="2"/>
      <c r="AG1232" t="inlineStr">
        <is>
          <t>NzQyNTk5MTgyNzQ4MTg3MDM0MTpCMkYzMEU3Qi03MTg2LTQzNEQtQjdDQy04OEY3OUIwQjE0NDctMTo0MTlmMzM4MjQ1N2E3NTMzNWQzYzg3OTQyYTBmNzIzNzox</t>
        </is>
      </c>
      <c r="AH1232" t="inlineStr">
        <is>
          <t>Confetti Effects, Inc.</t>
        </is>
      </c>
      <c r="AI1232"/>
      <c r="AJ1232" t="inlineStr">
        <is>
          <t>LIQUIDITY PLAN (PAR # 202510120019 / 2025TEG-P0269)
1.1 Logistic Production &gt; Stage Platform Extension + rewiring of lights
Total Remaining Budget = Php 75,000.00
Actual Cost = Php 47,680.00
Balance = Php 27,320.00</t>
        </is>
      </c>
      <c r="AK1232"/>
    </row>
    <row r="1233" ht="25.5" customHeight="1">
      <c r="A1233" s="2" t="str">
        <f>=HYPERLINK("https://applink.larksuite.com/client/mini_program/open?appId=cli_9c7cc8a9a9edd105&amp;mode=appCenter&amp;path_pc=pc/pages/requested/index?instanceId=7568435056641855200&amp;source=bitable&amp;path=pages/detail/index?instanceId=7568435056641855200&amp;source=bitable", "202511030131")</f>
        <v>202511030131</v>
      </c>
      <c r="B1233" t="inlineStr">
        <is>
          <t>Approved</t>
        </is>
      </c>
      <c r="C1233" t="inlineStr">
        <is>
          <t>Procurement Order</t>
        </is>
      </c>
      <c r="D1233" s="3">
        <v>45964.74542824074</v>
      </c>
      <c r="E1233" s="3">
        <v>45965.77107638889</v>
      </c>
      <c r="F1233" t="inlineStr">
        <is>
          <t>Fatima Kathleen M. FLores</t>
        </is>
      </c>
      <c r="G1233" t="inlineStr">
        <is>
          <t>Procurement</t>
        </is>
      </c>
      <c r="H1233"/>
      <c r="I1233"/>
      <c r="J1233" t="inlineStr">
        <is>
          <t>Project</t>
        </is>
      </c>
      <c r="K1233" t="inlineStr">
        <is>
          <t>PDEI - Event Service</t>
        </is>
      </c>
      <c r="L1233" t="inlineStr">
        <is>
          <t>MPL PH S16 Addendum</t>
        </is>
      </c>
      <c r="M1233" t="inlineStr">
        <is>
          <t>2025TEG-P0269</t>
        </is>
      </c>
      <c r="N1233" t="inlineStr">
        <is>
          <t>Katherine Denise Lee Sy</t>
        </is>
      </c>
      <c r="O1233" t="inlineStr">
        <is>
          <t>202510240047-Katherine Denise Lee Sy-费用报销 - 副本 - 副本 - 副本-2025-10-24 05:32:50</t>
        </is>
      </c>
      <c r="P1233" t="inlineStr">
        <is>
          <t>NO</t>
        </is>
      </c>
      <c r="Q1233"/>
      <c r="R1233" t="inlineStr">
        <is>
          <t>NO</t>
        </is>
      </c>
      <c r="S1233" t="inlineStr">
        <is>
          <t>Cryo Jets Floor Mount</t>
        </is>
      </c>
      <c r="T1233">
        <v>4</v>
      </c>
      <c r="U1233">
        <v>4800</v>
      </c>
      <c r="V1233" t="inlineStr">
        <is>
          <t>PHP</t>
        </is>
      </c>
      <c r="W1233">
        <v>19200</v>
      </c>
      <c r="X1233" s="2"/>
      <c r="Y1233"/>
      <c r="Z1233"/>
      <c r="AA1233"/>
      <c r="AB1233"/>
      <c r="AC1233"/>
      <c r="AD1233" s="4"/>
      <c r="AE1233"/>
      <c r="AF1233" s="2"/>
      <c r="AG1233" t="inlineStr">
        <is>
          <t>NzQyNTk5MTgyNzQ4MTg3MDM0MTpCMkYzMEU3Qi03MTg2LTQzNEQtQjdDQy04OEY3OUIwQjE0NDctMjo1NTI3YzZhZTJhYmY5ZWZmMWM1YmFkODI5ZjhmNzZkMDox</t>
        </is>
      </c>
      <c r="AH1233"/>
      <c r="AI1233"/>
      <c r="AJ1233" t="inlineStr">
        <is>
          <t>LIQUIDITY PLAN (PAR # 202510120019 / 2025TEG-P0269)
1.1 Logistic Production &gt; Stage Platform Extension + rewiring of lights
Total Remaining Budget = Php 75,000.00
Actual Cost = Php 47,680.00
Balance = Php 27,320.00</t>
        </is>
      </c>
      <c r="AK1233"/>
    </row>
    <row r="1234" ht="25.5" customHeight="1">
      <c r="A1234" s="2" t="str">
        <f>=HYPERLINK("https://applink.larksuite.com/client/mini_program/open?appId=cli_9c7cc8a9a9edd105&amp;mode=appCenter&amp;path_pc=pc/pages/requested/index?instanceId=7568435056641855200&amp;source=bitable&amp;path=pages/detail/index?instanceId=7568435056641855200&amp;source=bitable", "202511030131")</f>
        <v>202511030131</v>
      </c>
      <c r="B1234" t="inlineStr">
        <is>
          <t>Approved</t>
        </is>
      </c>
      <c r="C1234" t="inlineStr">
        <is>
          <t>Procurement Order</t>
        </is>
      </c>
      <c r="D1234" s="3">
        <v>45964.74542824074</v>
      </c>
      <c r="E1234" s="3">
        <v>45965.77107638889</v>
      </c>
      <c r="F1234" t="inlineStr">
        <is>
          <t>Fatima Kathleen M. FLores</t>
        </is>
      </c>
      <c r="G1234" t="inlineStr">
        <is>
          <t>Procurement</t>
        </is>
      </c>
      <c r="H1234"/>
      <c r="I1234"/>
      <c r="J1234" t="inlineStr">
        <is>
          <t>Project</t>
        </is>
      </c>
      <c r="K1234" t="inlineStr">
        <is>
          <t>PDEI - Event Service</t>
        </is>
      </c>
      <c r="L1234" t="inlineStr">
        <is>
          <t>MPL PH S16 Addendum</t>
        </is>
      </c>
      <c r="M1234" t="inlineStr">
        <is>
          <t>2025TEG-P0269</t>
        </is>
      </c>
      <c r="N1234" t="inlineStr">
        <is>
          <t>Katherine Denise Lee Sy</t>
        </is>
      </c>
      <c r="O1234" t="inlineStr">
        <is>
          <t>202510240047-Katherine Denise Lee Sy-费用报销 - 副本 - 副本 - 副本-2025-10-24 05:32:50</t>
        </is>
      </c>
      <c r="P1234" t="inlineStr">
        <is>
          <t>NO</t>
        </is>
      </c>
      <c r="Q1234"/>
      <c r="R1234" t="inlineStr">
        <is>
          <t>NO</t>
        </is>
      </c>
      <c r="S1234" t="inlineStr">
        <is>
          <t>Sparkular - Mini</t>
        </is>
      </c>
      <c r="T1234">
        <v>2</v>
      </c>
      <c r="U1234">
        <v>5000</v>
      </c>
      <c r="V1234" t="inlineStr">
        <is>
          <t>PHP</t>
        </is>
      </c>
      <c r="W1234">
        <v>10000</v>
      </c>
      <c r="X1234" s="2"/>
      <c r="Y1234"/>
      <c r="Z1234"/>
      <c r="AA1234"/>
      <c r="AB1234"/>
      <c r="AC1234"/>
      <c r="AD1234" s="4"/>
      <c r="AE1234"/>
      <c r="AF1234" s="2"/>
      <c r="AG1234" t="inlineStr">
        <is>
          <t>NzQyNTk5MTgyNzQ4MTg3MDM0MTpCMkYzMEU3Qi03MTg2LTQzNEQtQjdDQy04OEY3OUIwQjE0NDctMzpmMjE2ZjlmMjgzZTc1ZGRhOTQ5MzcxNThmMWRjMzg4YTox</t>
        </is>
      </c>
      <c r="AH1234"/>
      <c r="AI1234"/>
      <c r="AJ1234" t="inlineStr">
        <is>
          <t>LIQUIDITY PLAN (PAR # 202510120019 / 2025TEG-P0269)
1.1 Logistic Production &gt; Stage Platform Extension + rewiring of lights
Total Remaining Budget = Php 75,000.00
Actual Cost = Php 47,680.00
Balance = Php 27,320.00</t>
        </is>
      </c>
      <c r="AK1234"/>
    </row>
    <row r="1235" ht="25.5" customHeight="1">
      <c r="A1235" s="2" t="str">
        <f>=HYPERLINK("https://applink.larksuite.com/client/mini_program/open?appId=cli_9c7cc8a9a9edd105&amp;mode=appCenter&amp;path_pc=pc/pages/requested/index?instanceId=7568435056641855200&amp;source=bitable&amp;path=pages/detail/index?instanceId=7568435056641855200&amp;source=bitable", "202511030131")</f>
        <v>202511030131</v>
      </c>
      <c r="B1235" t="inlineStr">
        <is>
          <t>Approved</t>
        </is>
      </c>
      <c r="C1235" t="inlineStr">
        <is>
          <t>Procurement Order</t>
        </is>
      </c>
      <c r="D1235" s="3">
        <v>45964.74542824074</v>
      </c>
      <c r="E1235" s="3">
        <v>45965.77107638889</v>
      </c>
      <c r="F1235" t="inlineStr">
        <is>
          <t>Fatima Kathleen M. FLores</t>
        </is>
      </c>
      <c r="G1235" t="inlineStr">
        <is>
          <t>Procurement</t>
        </is>
      </c>
      <c r="H1235"/>
      <c r="I1235"/>
      <c r="J1235" t="inlineStr">
        <is>
          <t>Project</t>
        </is>
      </c>
      <c r="K1235" t="inlineStr">
        <is>
          <t>PDEI - Event Service</t>
        </is>
      </c>
      <c r="L1235" t="inlineStr">
        <is>
          <t>MPL PH S16 Addendum</t>
        </is>
      </c>
      <c r="M1235" t="inlineStr">
        <is>
          <t>2025TEG-P0269</t>
        </is>
      </c>
      <c r="N1235" t="inlineStr">
        <is>
          <t>Katherine Denise Lee Sy</t>
        </is>
      </c>
      <c r="O1235" t="inlineStr">
        <is>
          <t>202510240047-Katherine Denise Lee Sy-费用报销 - 副本 - 副本 - 副本-2025-10-24 05:32:50</t>
        </is>
      </c>
      <c r="P1235" t="inlineStr">
        <is>
          <t>NO</t>
        </is>
      </c>
      <c r="Q1235"/>
      <c r="R1235" t="inlineStr">
        <is>
          <t>NO</t>
        </is>
      </c>
      <c r="S1235" t="inlineStr">
        <is>
          <t>Delivery and Installation</t>
        </is>
      </c>
      <c r="T1235">
        <v>1</v>
      </c>
      <c r="U1235">
        <v>2480</v>
      </c>
      <c r="V1235" t="inlineStr">
        <is>
          <t>PHP</t>
        </is>
      </c>
      <c r="W1235">
        <v>2480</v>
      </c>
      <c r="X1235" s="2" t="str">
        <f>=HYPERLINK("https://www.larksuite.com/approval/admin/previewAttachment?key=PMhBCsJQDATQK02SSfLHy7hpKYrUjVRx8c8uuOj21TDUSIsSKHPBZmcNRiKraCPTgenTuoW2ds11367L4Yr9-bl_j4eC831btvVlqXZHBxkDgF1OjyYpFfH3-AUAAP__", "2 attachment(s)")</f>
        <v>2 attachment(s)</v>
      </c>
      <c r="Y1235"/>
      <c r="Z1235"/>
      <c r="AA1235"/>
      <c r="AB1235"/>
      <c r="AC1235"/>
      <c r="AD1235" s="4"/>
      <c r="AE1235"/>
      <c r="AF1235" s="2"/>
      <c r="AG1235" t="inlineStr">
        <is>
          <t>NzQyNTk5MTgyNzQ4MTg3MDM0MTpCMkYzMEU3Qi03MTg2LTQzNEQtQjdDQy04OEY3OUIwQjE0NDctNDo5MjU0ZjE0NDdmZTEyZWZkYTM3OTNjMTNjOTJkZDYyODox</t>
        </is>
      </c>
      <c r="AH1235"/>
      <c r="AI1235"/>
      <c r="AJ1235" t="inlineStr">
        <is>
          <t>LIQUIDITY PLAN (PAR # 202510120019 / 2025TEG-P0269)
1.1 Logistic Production &gt; Stage Platform Extension + rewiring of lights
Total Remaining Budget = Php 75,000.00
Actual Cost = Php 47,680.00
Balance = Php 27,320.00</t>
        </is>
      </c>
      <c r="AK1235"/>
    </row>
    <row r="1236" ht="25.5" customHeight="1">
      <c r="A1236" s="2" t="str">
        <f>=HYPERLINK("https://applink.larksuite.com/client/mini_program/open?appId=cli_9c7cc8a9a9edd105&amp;mode=appCenter&amp;path_pc=pc/pages/requested/index?instanceId=7568431646597205723&amp;source=bitable&amp;path=pages/detail/index?instanceId=7568431646597205723&amp;source=bitable", "202511030128")</f>
        <v>202511030128</v>
      </c>
      <c r="B1236" t="inlineStr">
        <is>
          <t>Approved</t>
        </is>
      </c>
      <c r="C1236" t="inlineStr">
        <is>
          <t>Procurement Order</t>
        </is>
      </c>
      <c r="D1236" s="3">
        <v>45964.736238425925</v>
      </c>
      <c r="E1236" s="3">
        <v>45965.71325231482</v>
      </c>
      <c r="F1236" t="inlineStr">
        <is>
          <t>Fatima Kathleen M. FLores</t>
        </is>
      </c>
      <c r="G1236" t="inlineStr">
        <is>
          <t>Procurement</t>
        </is>
      </c>
      <c r="H1236"/>
      <c r="I1236"/>
      <c r="J1236" t="inlineStr">
        <is>
          <t>Project</t>
        </is>
      </c>
      <c r="K1236" t="inlineStr">
        <is>
          <t>PDEI - Event Service</t>
        </is>
      </c>
      <c r="L1236" t="inlineStr">
        <is>
          <t>MPL PH S16 - Playoffs</t>
        </is>
      </c>
      <c r="M1236" t="inlineStr">
        <is>
          <t>2025TEG-P0215</t>
        </is>
      </c>
      <c r="N1236" t="inlineStr">
        <is>
          <t>Katherine Denise Lee Sy</t>
        </is>
      </c>
      <c r="O1236" t="inlineStr">
        <is>
          <t>202510070016-Katherine Denise Lee Sy-费用报销 - 副本 - 副本 - 副本-2025-10-07 04:15:06</t>
        </is>
      </c>
      <c r="P1236" t="inlineStr">
        <is>
          <t>YES</t>
        </is>
      </c>
      <c r="Q1236"/>
      <c r="R1236" t="inlineStr">
        <is>
          <t>NO</t>
        </is>
      </c>
      <c r="S1236" t="inlineStr">
        <is>
          <t>Outsourced Logistics Associates (Ingress to Egress)</t>
        </is>
      </c>
      <c r="T1236">
        <v>1</v>
      </c>
      <c r="U1236">
        <v>64800</v>
      </c>
      <c r="V1236" t="inlineStr">
        <is>
          <t>PHP</t>
        </is>
      </c>
      <c r="W1236">
        <v>64800</v>
      </c>
      <c r="X1236" s="2" t="str">
        <f>=HYPERLINK("https://www.larksuite.com/approval/admin/previewAttachment?key=PMsxDsJADATAL-3aPu-Zz9BwigApFUqo_HYEBe1Ik5PIOehZiKIV2Bo5w5mRo2QYMm9rSgVRVr327Xryofexg0_OFUef99u2XvwOgzzCJwBe_u6KiKoM_ByfAAAA__8", "2 attachment(s)")</f>
        <v>2 attachment(s)</v>
      </c>
      <c r="Y1236" t="inlineStr">
        <is>
          <t>Bank Transfer</t>
        </is>
      </c>
      <c r="Z1236" t="inlineStr">
        <is>
          <t>Marc Kevin Serrano</t>
        </is>
      </c>
      <c r="AA1236" t="inlineStr">
        <is>
          <t>1519218972</t>
        </is>
      </c>
      <c r="AB1236" t="inlineStr">
        <is>
          <t>BPI</t>
        </is>
      </c>
      <c r="AC1236" t="inlineStr">
        <is>
          <t>3 Don Guillermo Street, Barangay Holy Spirit, Commonwealth, Quezon City</t>
        </is>
      </c>
      <c r="AD1236" s="4">
        <v>45942</v>
      </c>
      <c r="AE1236" t="inlineStr">
        <is>
          <t>1st Payment - Nov. 7, 2025
Final Payment - Nov. 21, 2025</t>
        </is>
      </c>
      <c r="AF1236" s="2"/>
      <c r="AG1236" t="inlineStr">
        <is>
          <t>NzQyNTk5MTgyNzQ4MTg3MDM0MTo0QUZBRkRDQS0zNTI4LTRGNjYtOEVGMC0yNjEzOTEyNjlGNzItMTpjZDFlZjNhNGJmMjczM2E5YzgzMmU1YmFhYjExNGQ4ZDox</t>
        </is>
      </c>
      <c r="AH1236" t="inlineStr">
        <is>
          <t>Marc Kevin Serrano</t>
        </is>
      </c>
      <c r="AI1236"/>
      <c r="AJ1236" t="inlineStr">
        <is>
          <t>LIQUIDITY PLAN (PAR # 202509020094 / 2025TEG-P0215)
4.7 Manpower Arrangement &gt; MANPOWER PIC &gt;
Logistics Ingress
Logistics Egress
Total Remaining Budget = Php 70,500.00
Actual Cost = Php 64,800.00
Balance = Php 5,700.00</t>
        </is>
      </c>
      <c r="AK1236"/>
    </row>
    <row r="1237" ht="25.5" customHeight="1">
      <c r="A1237" s="2" t="str">
        <f>=HYPERLINK("https://applink.larksuite.com/client/mini_program/open?appId=cli_9c7cc8a9a9edd105&amp;mode=appCenter&amp;path_pc=pc/pages/requested/index?instanceId=7568465998714523360&amp;source=bitable&amp;path=pages/detail/index?instanceId=7568465998714523360&amp;source=bitable", "202511030153")</f>
        <v>202511030153</v>
      </c>
      <c r="B1237" t="inlineStr">
        <is>
          <t>Approved</t>
        </is>
      </c>
      <c r="C1237" t="inlineStr">
        <is>
          <t>Procurement Order</t>
        </is>
      </c>
      <c r="D1237" s="3">
        <v>45964.82881944445</v>
      </c>
      <c r="E1237" s="3">
        <v>45965.68100694445</v>
      </c>
      <c r="F1237" t="inlineStr">
        <is>
          <t>Fatima Kathleen M. FLores</t>
        </is>
      </c>
      <c r="G1237" t="inlineStr">
        <is>
          <t>Procurement</t>
        </is>
      </c>
      <c r="H1237"/>
      <c r="I1237"/>
      <c r="J1237" t="inlineStr">
        <is>
          <t>Project</t>
        </is>
      </c>
      <c r="K1237" t="inlineStr">
        <is>
          <t>PDEI - Game Marketing</t>
        </is>
      </c>
      <c r="L1237" t="inlineStr">
        <is>
          <t>WCG 2025 Creator Rumble</t>
        </is>
      </c>
      <c r="M1237" t="inlineStr">
        <is>
          <t>2025TEG-P0041</t>
        </is>
      </c>
      <c r="N1237" t="inlineStr">
        <is>
          <t>Maura Aurel Atilano Yap</t>
        </is>
      </c>
      <c r="O1237" t="inlineStr">
        <is>
          <t>202510170105-Maura Aurel Atilano Yap-费用报销 - 副本 - 副本 - 副本-2025-10-17 12:42:56</t>
        </is>
      </c>
      <c r="P1237" t="inlineStr">
        <is>
          <t>YES</t>
        </is>
      </c>
      <c r="Q1237"/>
      <c r="R1237" t="inlineStr">
        <is>
          <t>NO</t>
        </is>
      </c>
      <c r="S1237" t="inlineStr">
        <is>
          <t>Outsourced LED Operator</t>
        </is>
      </c>
      <c r="T1237">
        <v>1</v>
      </c>
      <c r="U1237">
        <v>7500</v>
      </c>
      <c r="V1237" t="inlineStr">
        <is>
          <t>PHP</t>
        </is>
      </c>
      <c r="W1237">
        <v>7500</v>
      </c>
      <c r="X1237" s="2" t="str">
        <f>=HYPERLINK("https://www.larksuite.com/approval/admin/previewAttachment?key=PMg7CgJBEATQK1X_u7yMicNi4IAgbtZnFww2fdmC7BBLwilKyFRkewbZJR5qlhgdqSJKSjlrH_f24P7qu7B1na85n49jfSRYqihztwYgt8ut3J1Mx9_xCwAA__8", "2 attachment(s)")</f>
        <v>2 attachment(s)</v>
      </c>
      <c r="Y1237" t="inlineStr">
        <is>
          <t>Bank Transfer</t>
        </is>
      </c>
      <c r="Z1237" t="inlineStr">
        <is>
          <t>Emir Ryan Concepcion</t>
        </is>
      </c>
      <c r="AA1237" t="inlineStr">
        <is>
          <t>3179710829</t>
        </is>
      </c>
      <c r="AB1237" t="inlineStr">
        <is>
          <t>BPI</t>
        </is>
      </c>
      <c r="AC1237" t="inlineStr">
        <is>
          <t>116 J.Molina Corner Blue Bird Street, Strip 70 Village, Concepcion Uno, Marikina City</t>
        </is>
      </c>
      <c r="AD1237" s="4">
        <v>45952</v>
      </c>
      <c r="AE1237" t="inlineStr">
        <is>
          <t>100% Full Payment - Nov. 7, 2025</t>
        </is>
      </c>
      <c r="AF1237" s="2"/>
      <c r="AG1237" t="inlineStr">
        <is>
          <t>NzQyNTk5MTgyNzQ4MTg3MDM0MTo2NzMwOUVEOC0xOTdGLTRBN0YtODBBQS1FMzc0NjZBRUVCODgtMTpiM2VmYjg5NDc4MjhiYmU4NjcwMmMzMzUyYzBiMTc3Njox</t>
        </is>
      </c>
      <c r="AH1237" t="inlineStr">
        <is>
          <t>Emir Ryan Concepcion</t>
        </is>
      </c>
      <c r="AI1237"/>
      <c r="AJ1237" t="inlineStr">
        <is>
          <t>LIQUIDITY PLAN (PAR # 202505160019 / 2025TEG-P0041)
FOR RENTAL/ FABRICATION/ PRODUCTION &gt;
Group Draw &amp; Creator Rumble Pt. 1 &gt;
Broadcast Technical Package
Total Remaining Budget = Php 60,500.00
Actual Cost = Php 7,500.00
Balance = Php 53,000.00</t>
        </is>
      </c>
      <c r="AK1237"/>
    </row>
    <row r="1238" ht="25.5" customHeight="1">
      <c r="A1238" s="2" t="str">
        <f>=HYPERLINK("https://applink.larksuite.com/client/mini_program/open?appId=cli_9c7cc8a9a9edd105&amp;mode=appCenter&amp;path_pc=pc/pages/requested/index?instanceId=7568465127066832604&amp;source=bitable&amp;path=pages/detail/index?instanceId=7568465127066832604&amp;source=bitable", "202511030152")</f>
        <v>202511030152</v>
      </c>
      <c r="B1238" t="inlineStr">
        <is>
          <t>Approved</t>
        </is>
      </c>
      <c r="C1238" t="inlineStr">
        <is>
          <t>Procurement Order</t>
        </is>
      </c>
      <c r="D1238" s="3">
        <v>45964.826469907406</v>
      </c>
      <c r="E1238" s="3">
        <v>45965.68015046296</v>
      </c>
      <c r="F1238" t="inlineStr">
        <is>
          <t>Fatima Kathleen M. FLores</t>
        </is>
      </c>
      <c r="G1238" t="inlineStr">
        <is>
          <t>Procurement</t>
        </is>
      </c>
      <c r="H1238"/>
      <c r="I1238"/>
      <c r="J1238" t="inlineStr">
        <is>
          <t>Project</t>
        </is>
      </c>
      <c r="K1238" t="inlineStr">
        <is>
          <t>PDEI - Game Marketing</t>
        </is>
      </c>
      <c r="L1238" t="inlineStr">
        <is>
          <t>WCG 2025 Creator Rumble</t>
        </is>
      </c>
      <c r="M1238" t="inlineStr">
        <is>
          <t>2025TEG-P0041</t>
        </is>
      </c>
      <c r="N1238" t="inlineStr">
        <is>
          <t>Maura Aurel Atilano Yap</t>
        </is>
      </c>
      <c r="O1238" t="inlineStr">
        <is>
          <t>202510170105-Maura Aurel Atilano Yap-费用报销 - 副本 - 副本 - 副本-2025-10-17 12:42:56</t>
        </is>
      </c>
      <c r="P1238" t="inlineStr">
        <is>
          <t>YES</t>
        </is>
      </c>
      <c r="Q1238"/>
      <c r="R1238" t="inlineStr">
        <is>
          <t>NO</t>
        </is>
      </c>
      <c r="S1238" t="inlineStr">
        <is>
          <t>Outsourced Audio Engineer</t>
        </is>
      </c>
      <c r="T1238">
        <v>1</v>
      </c>
      <c r="U1238">
        <v>13500</v>
      </c>
      <c r="V1238" t="inlineStr">
        <is>
          <t>PHP</t>
        </is>
      </c>
      <c r="W1238">
        <v>13500</v>
      </c>
      <c r="X1238" s="2" t="str">
        <f>=HYPERLINK("https://www.larksuite.com/approval/admin/previewAttachment?key=PMgxDgJRCATQK83AAB8vY-Pmx0Irk9WGs5tY2L5cRK6gZ0NNa3AqcimDVshcbgmNDasaxbKe47mvEefnjSBlvR8-5_22jxejywzlki8AvPzdS1J3Cj_HNwAA__8", "2 attachment(s)")</f>
        <v>2 attachment(s)</v>
      </c>
      <c r="Y1238" t="inlineStr">
        <is>
          <t>Bank Transfer</t>
        </is>
      </c>
      <c r="Z1238" t="inlineStr">
        <is>
          <t>Joshua Vignesh U Narayan</t>
        </is>
      </c>
      <c r="AA1238" t="inlineStr">
        <is>
          <t>09686047871</t>
        </is>
      </c>
      <c r="AB1238" t="inlineStr">
        <is>
          <t>GCash</t>
        </is>
      </c>
      <c r="AC1238" t="inlineStr">
        <is>
          <t>Celadon Park Condominium, Felix Huertas Rd .Santa Cruz Manila</t>
        </is>
      </c>
      <c r="AD1238" s="4">
        <v>45952</v>
      </c>
      <c r="AE1238" t="inlineStr">
        <is>
          <t>100% Full Payment - Nov. 7, 2025</t>
        </is>
      </c>
      <c r="AF1238" s="2"/>
      <c r="AG1238" t="inlineStr">
        <is>
          <t>NzQyNTk5MTgyNzQ4MTg3MDM0MToxMTI1ODg4Ny1BQTBFLTQyQzEtOURFMy1CNjQ3QTM2MENGRTMtMToyYTg3NjY1OWM2MTk3NWY0MjU0ODJlZTBjZTQ5Yzk1NDox</t>
        </is>
      </c>
      <c r="AH1238" t="inlineStr">
        <is>
          <t>Joshua Vignesh U Narayan</t>
        </is>
      </c>
      <c r="AI1238"/>
      <c r="AJ1238" t="inlineStr">
        <is>
          <t>LIQUIDITY PLAN (PAR # 202505160019 / 2025TEG-P0041)
FOR RENTAL/ FABRICATION/ PRODUCTION &gt;
Group Draw &amp; Creator Rumble Pt. 1 &gt;
Broadcast Technical Package
Total Remaining Budget = Php 74,000.00
Actual Cost = Php 13,500.00
Balance = Php 60,500.00</t>
        </is>
      </c>
      <c r="AK1238"/>
    </row>
    <row r="1239" ht="25.5" customHeight="1">
      <c r="A1239" s="2" t="str">
        <f>=HYPERLINK("https://applink.larksuite.com/client/mini_program/open?appId=cli_9c7cc8a9a9edd105&amp;mode=appCenter&amp;path_pc=pc/pages/requested/index?instanceId=7568460817847340769&amp;source=bitable&amp;path=pages/detail/index?instanceId=7568460817847340769&amp;source=bitable", "202511030149")</f>
        <v>202511030149</v>
      </c>
      <c r="B1239" t="inlineStr">
        <is>
          <t>Approved</t>
        </is>
      </c>
      <c r="C1239" t="inlineStr">
        <is>
          <t>Procurement Order</t>
        </is>
      </c>
      <c r="D1239" s="3">
        <v>45964.81484953704</v>
      </c>
      <c r="E1239" s="3">
        <v>45965.67438657407</v>
      </c>
      <c r="F1239" t="inlineStr">
        <is>
          <t>Fatima Kathleen M. FLores</t>
        </is>
      </c>
      <c r="G1239" t="inlineStr">
        <is>
          <t>Procurement</t>
        </is>
      </c>
      <c r="H1239"/>
      <c r="I1239"/>
      <c r="J1239" t="inlineStr">
        <is>
          <t>Project</t>
        </is>
      </c>
      <c r="K1239" t="inlineStr">
        <is>
          <t>PDEI - Game Marketing</t>
        </is>
      </c>
      <c r="L1239" t="inlineStr">
        <is>
          <t>WCG 2025 Creator Rumble</t>
        </is>
      </c>
      <c r="M1239" t="inlineStr">
        <is>
          <t>2025TEG-P0041</t>
        </is>
      </c>
      <c r="N1239" t="inlineStr">
        <is>
          <t>Maura Aurel Atilano Yap</t>
        </is>
      </c>
      <c r="O1239" t="inlineStr">
        <is>
          <t>202510170106-Maura Aurel Atilano Yap-费用报销 - 副本 - 副本 - 副本-2025-10-17 12:48:35</t>
        </is>
      </c>
      <c r="P1239" t="inlineStr">
        <is>
          <t>YES</t>
        </is>
      </c>
      <c r="Q1239"/>
      <c r="R1239" t="inlineStr">
        <is>
          <t>NO</t>
        </is>
      </c>
      <c r="S1239" t="inlineStr">
        <is>
          <t>Outsourced IT Associate</t>
        </is>
      </c>
      <c r="T1239">
        <v>1</v>
      </c>
      <c r="U1239">
        <v>4950</v>
      </c>
      <c r="V1239" t="inlineStr">
        <is>
          <t>PHP</t>
        </is>
      </c>
      <c r="W1239">
        <v>4950</v>
      </c>
      <c r="X1239" s="2" t="str">
        <f>=HYPERLINK("https://www.larksuite.com/approval/admin/previewAttachment?key=PMgxDgIxEAPAL3kTZ73mMzREJ5pcg4SgyNuRKK6drEDWiJ4GHc2IrZHFRIWK6oTSu-2QDIWa91zH_YxPeVrnWvQX-_18HPMVw2oN6mQvAHG7vIukncTf8QsAAP__", "2 attachment(s)")</f>
        <v>2 attachment(s)</v>
      </c>
      <c r="Y1239" t="inlineStr">
        <is>
          <t>Bank Transfer</t>
        </is>
      </c>
      <c r="Z1239" t="inlineStr">
        <is>
          <t>Rommel Lopera</t>
        </is>
      </c>
      <c r="AA1239" t="inlineStr">
        <is>
          <t>0946-059-5772</t>
        </is>
      </c>
      <c r="AB1239" t="inlineStr">
        <is>
          <t>GCash</t>
        </is>
      </c>
      <c r="AC1239" t="inlineStr">
        <is>
          <t>#29 EVERLAST COMPOUND MAMBUGAN ANTIPOLO CITY</t>
        </is>
      </c>
      <c r="AD1239" s="4">
        <v>45954</v>
      </c>
      <c r="AE1239" t="inlineStr">
        <is>
          <t>100% Full Payment - Nov. 7, 2025</t>
        </is>
      </c>
      <c r="AF1239" s="2"/>
      <c r="AG1239" t="inlineStr">
        <is>
          <t>NzQyNTk5MTgyNzQ4MTg3MDM0MTo3ODAyNkUyNS00NzA2LTQzQTgtOUIwOS1GOTJGRTZGRkJBNDAtMTo1YzdlNWEzNTdmNzVjYmZmNzkwNTcxMzE2ZGQ3NjQ3ODox</t>
        </is>
      </c>
      <c r="AH1239" t="inlineStr">
        <is>
          <t>Rommel Lopera</t>
        </is>
      </c>
      <c r="AI1239"/>
      <c r="AJ1239" t="inlineStr">
        <is>
          <t>LIQUIDITY PLAN (PAR # 202505160019 / 2025TEG-P0041)
MANPOWER &gt; IT &gt;
IT Associate
Total Budget = Php 6,000.00
Actual Cost = Php 4,950.00
Balance = Php 1,050.00</t>
        </is>
      </c>
      <c r="AK1239"/>
    </row>
    <row r="1240" ht="25.5" customHeight="1">
      <c r="A1240" s="2" t="str">
        <f>=HYPERLINK("https://applink.larksuite.com/client/mini_program/open?appId=cli_9c7cc8a9a9edd105&amp;mode=appCenter&amp;path_pc=pc/pages/requested/index?instanceId=7568459516400897761&amp;source=bitable&amp;path=pages/detail/index?instanceId=7568459516400897761&amp;source=bitable", "202511030148")</f>
        <v>202511030148</v>
      </c>
      <c r="B1240" t="inlineStr">
        <is>
          <t>Approved</t>
        </is>
      </c>
      <c r="C1240" t="inlineStr">
        <is>
          <t>Procurement Order</t>
        </is>
      </c>
      <c r="D1240" s="3">
        <v>45964.81134259259</v>
      </c>
      <c r="E1240" s="3">
        <v>45965.67376157407</v>
      </c>
      <c r="F1240" t="inlineStr">
        <is>
          <t>Fatima Kathleen M. FLores</t>
        </is>
      </c>
      <c r="G1240" t="inlineStr">
        <is>
          <t>Procurement</t>
        </is>
      </c>
      <c r="H1240"/>
      <c r="I1240"/>
      <c r="J1240" t="inlineStr">
        <is>
          <t>Project</t>
        </is>
      </c>
      <c r="K1240" t="inlineStr">
        <is>
          <t>PDEI - Game Marketing</t>
        </is>
      </c>
      <c r="L1240" t="inlineStr">
        <is>
          <t>WCG 2025 Creator Rumble</t>
        </is>
      </c>
      <c r="M1240" t="inlineStr">
        <is>
          <t>2025TEG-P0041</t>
        </is>
      </c>
      <c r="N1240" t="inlineStr">
        <is>
          <t>Maura Aurel Atilano Yap</t>
        </is>
      </c>
      <c r="O1240" t="inlineStr">
        <is>
          <t>202510170111-Maura Aurel Atilano Yap-费用报销 - 副本 - 副本 - 副本-2025-10-17 13:26:22</t>
        </is>
      </c>
      <c r="P1240" t="inlineStr">
        <is>
          <t>YES</t>
        </is>
      </c>
      <c r="Q1240"/>
      <c r="R1240" t="inlineStr">
        <is>
          <t>NO</t>
        </is>
      </c>
      <c r="S1240" t="inlineStr">
        <is>
          <t>Outsourced Logistics Associates</t>
        </is>
      </c>
      <c r="T1240">
        <v>1</v>
      </c>
      <c r="U1240">
        <v>16500</v>
      </c>
      <c r="V1240" t="inlineStr">
        <is>
          <t>PHP</t>
        </is>
      </c>
      <c r="W1240">
        <v>16500</v>
      </c>
      <c r="X1240" s="2" t="str">
        <f>=HYPERLINK("https://www.larksuite.com/approval/admin/previewAttachment?key=PMwxCsMwEATAL-1Kd7fafCZNjIkJAUHAnd4e3LidYmoQNZK9jDCbwaWsEelkBTAsFVdblAxRzWv77s_jtJL6HG1qzrnO92vffkyrNahH9AGAj9u7IsK-zsvxDwAA__8", "2 attachment(s)")</f>
        <v>2 attachment(s)</v>
      </c>
      <c r="Y1240" t="inlineStr">
        <is>
          <t>Bank Transfer</t>
        </is>
      </c>
      <c r="Z1240" t="inlineStr">
        <is>
          <t>RIC JACA</t>
        </is>
      </c>
      <c r="AA1240" t="inlineStr">
        <is>
          <t>09509516216</t>
        </is>
      </c>
      <c r="AB1240" t="inlineStr">
        <is>
          <t>GCash</t>
        </is>
      </c>
      <c r="AC1240" t="inlineStr">
        <is>
          <t>321 Sitio Langhaya Brgy. Dela Paz Antipolo Rizal</t>
        </is>
      </c>
      <c r="AD1240" s="4">
        <v>45954</v>
      </c>
      <c r="AE1240" t="inlineStr">
        <is>
          <t>100% Full Payment - Nov. 7, 2025</t>
        </is>
      </c>
      <c r="AF1240" s="2"/>
      <c r="AG1240" t="inlineStr">
        <is>
          <t>NzQyNTk5MTgyNzQ4MTg3MDM0MTpFMzI2ODA3Ni00NjY0LTQ2QjYtQjI0MC04MjhDQjYwNkEwREUtMTo3YzFkY2MwMTdhYzQwMDM0YmE2MmQxNmY0M2NkYjA0ZTox</t>
        </is>
      </c>
      <c r="AH1240" t="inlineStr">
        <is>
          <t>RIC JACA</t>
        </is>
      </c>
      <c r="AI1240"/>
      <c r="AJ1240" t="inlineStr">
        <is>
          <t>LIQUIDITY PLAN (PAR # 202505160019 / 2025TEG-P0041)
MANPOWER &gt; Logistics &gt;
Ingress Manpower
Egress Manpower
Logistics Manpower
Total Budget = Php 32,400.00
Actual Cost = Php 16,500.00
Balance = Php 15,900.00</t>
        </is>
      </c>
      <c r="AK1240"/>
    </row>
    <row r="1241" ht="25.5" customHeight="1">
      <c r="A1241" s="2" t="str">
        <f>=HYPERLINK("https://applink.larksuite.com/client/mini_program/open?appId=cli_9c7cc8a9a9edd105&amp;mode=appCenter&amp;path_pc=pc/pages/requested/index?instanceId=7568462220712005342&amp;source=bitable&amp;path=pages/detail/index?instanceId=7568462220712005342&amp;source=bitable", "202511030151")</f>
        <v>202511030151</v>
      </c>
      <c r="B1241" t="inlineStr">
        <is>
          <t>Approved</t>
        </is>
      </c>
      <c r="C1241" t="inlineStr">
        <is>
          <t>Procurement Order</t>
        </is>
      </c>
      <c r="D1241" s="3">
        <v>45964.81863425926</v>
      </c>
      <c r="E1241" s="3">
        <v>45968.54318287037</v>
      </c>
      <c r="F1241" t="inlineStr">
        <is>
          <t>Fatima Kathleen M. FLores</t>
        </is>
      </c>
      <c r="G1241" t="inlineStr">
        <is>
          <t>Procurement</t>
        </is>
      </c>
      <c r="H1241"/>
      <c r="I1241"/>
      <c r="J1241" t="inlineStr">
        <is>
          <t>Project</t>
        </is>
      </c>
      <c r="K1241" t="inlineStr">
        <is>
          <t>PDEI - Game Marketing</t>
        </is>
      </c>
      <c r="L1241" t="inlineStr">
        <is>
          <t>WCG 2025 Creator Rumble</t>
        </is>
      </c>
      <c r="M1241" t="inlineStr">
        <is>
          <t>2025TEG-P0041</t>
        </is>
      </c>
      <c r="N1241" t="inlineStr">
        <is>
          <t>Maura Aurel Atilano Yap</t>
        </is>
      </c>
      <c r="O1241" t="inlineStr">
        <is>
          <t>202510150009-Maura Aurel Atilano Yap-费用报销 - 副本 - 副本 - 副本-2025-10-15 02:35:48</t>
        </is>
      </c>
      <c r="P1241" t="inlineStr">
        <is>
          <t>YES</t>
        </is>
      </c>
      <c r="Q1241"/>
      <c r="R1241" t="inlineStr">
        <is>
          <t>YES</t>
        </is>
      </c>
      <c r="S1241" t="inlineStr">
        <is>
          <t>Outsourced Referee</t>
        </is>
      </c>
      <c r="T1241">
        <v>1</v>
      </c>
      <c r="U1241">
        <v>6400</v>
      </c>
      <c r="V1241" t="inlineStr">
        <is>
          <t>PHP</t>
        </is>
      </c>
      <c r="W1241">
        <v>6400</v>
      </c>
      <c r="X1241" s="2" t="str">
        <f>=HYPERLINK("https://www.larksuite.com/approval/admin/previewAttachment?key=PMtBCsJADAXQK_2f-ZNMvIybDkXFgiAqXeTsootuHzwfhI_O5gklLcGK7kNuZgga0JusrBiRCIZlzW09yz77XPa5Xe983F71vizrfLJn_F6T2gDA0-EtJGW68Hd8AwAA__8", "2 attachment(s)")</f>
        <v>2 attachment(s)</v>
      </c>
      <c r="Y1241" t="inlineStr">
        <is>
          <t>Bank Transfer</t>
        </is>
      </c>
      <c r="Z1241" t="inlineStr">
        <is>
          <t>Brian Joshua R Ciriaco</t>
        </is>
      </c>
      <c r="AA1241" t="inlineStr">
        <is>
          <t>0061 2040 7730</t>
        </is>
      </c>
      <c r="AB1241" t="inlineStr">
        <is>
          <t>BDO</t>
        </is>
      </c>
      <c r="AC1241" t="inlineStr">
        <is>
          <t>22 South Salvador, Krus na Ligas, Diliman, Quezon City</t>
        </is>
      </c>
      <c r="AD1241" s="4">
        <v>45950</v>
      </c>
      <c r="AE1241" t="inlineStr">
        <is>
          <t>100% Full Payment - Nov. 7, 2025</t>
        </is>
      </c>
      <c r="AF1241" s="2"/>
      <c r="AG1241" t="inlineStr">
        <is>
          <t>NzQyNTk5MTgyNzQ4MTg3MDM0MTo1NThDNzMwQS1FMDEwLTQ5NzktOTFBNC0wNzU5QjM5MTRERjktMToyNmYyOThmYTFkMGYxNDI0ODQ0N2VlZmI3YjlhMDI2MTox</t>
        </is>
      </c>
      <c r="AH1241" t="inlineStr">
        <is>
          <t>Brian Joshua R Ciriaco</t>
        </is>
      </c>
      <c r="AI1241"/>
      <c r="AJ1241" t="inlineStr">
        <is>
          <t>LIQUIDITY PLAN (PAR # 202505160019 / 2025TEG-P0041)
MANPOWER &gt; League Operations &gt;
Referees
Total Remaining Budget = (Php 1,000.00) NEGATIVE
Actual Cost = Php 6,400.00
Balance = (Php 7,400.00) OVER BUDGET</t>
        </is>
      </c>
      <c r="AK1241"/>
    </row>
    <row r="1242" ht="25.5" customHeight="1">
      <c r="A1242" s="2" t="str">
        <f>=HYPERLINK("https://applink.larksuite.com/client/mini_program/open?appId=cli_9c7cc8a9a9edd105&amp;mode=appCenter&amp;path_pc=pc/pages/requested/index?instanceId=7568392972773920479&amp;source=bitable&amp;path=pages/detail/index?instanceId=7568392972773920479&amp;source=bitable", "202511030087")</f>
        <v>202511030087</v>
      </c>
      <c r="B1242" t="inlineStr">
        <is>
          <t>Approved</t>
        </is>
      </c>
      <c r="C1242" t="inlineStr">
        <is>
          <t>Procurement Order</t>
        </is>
      </c>
      <c r="D1242" s="3">
        <v>45964.63202546296</v>
      </c>
      <c r="E1242" s="3">
        <v>45967.67616898148</v>
      </c>
      <c r="F1242" t="inlineStr">
        <is>
          <t>Fatima Kathleen M. FLores</t>
        </is>
      </c>
      <c r="G1242" t="inlineStr">
        <is>
          <t>Procurement</t>
        </is>
      </c>
      <c r="H1242"/>
      <c r="I1242"/>
      <c r="J1242" t="inlineStr">
        <is>
          <t>Project</t>
        </is>
      </c>
      <c r="K1242" t="inlineStr">
        <is>
          <t>PDEI - Event Service</t>
        </is>
      </c>
      <c r="L1242" t="inlineStr">
        <is>
          <t>Bingo Plus Panalo Caravan</t>
        </is>
      </c>
      <c r="M1242" t="inlineStr">
        <is>
          <t>2025TEG-P0216</t>
        </is>
      </c>
      <c r="N1242" t="inlineStr">
        <is>
          <t>Ronelle Kylene Chaneco Lim</t>
        </is>
      </c>
      <c r="O1242" t="inlineStr">
        <is>
          <t>202510170022-Ronelle Kylene Chaneco Lim-费用报销 - 副本 - 副本 - 副本-2025-10-17 03:41:07</t>
        </is>
      </c>
      <c r="P1242" t="inlineStr">
        <is>
          <t>YES</t>
        </is>
      </c>
      <c r="Q1242"/>
      <c r="R1242" t="inlineStr">
        <is>
          <t>YES</t>
        </is>
      </c>
      <c r="S1242" t="inlineStr">
        <is>
          <t>Outsourced Broadcast Associate (Laguna)</t>
        </is>
      </c>
      <c r="T1242">
        <v>1</v>
      </c>
      <c r="U1242">
        <v>2300</v>
      </c>
      <c r="V1242" t="inlineStr">
        <is>
          <t>PHP</t>
        </is>
      </c>
      <c r="W1242">
        <v>2300</v>
      </c>
      <c r="X1242" s="2" t="str">
        <f>=HYPERLINK("https://www.larksuite.com/approval/admin/previewAttachment?key=PMg7isNAEATQK1V_a2ovs4kHYYwUGZT12Q0OnL5ehl5l0ULKXLBh9Qq56GTIkdT4GCnQ6Jp9Hf87SjwvCvW6z5r7-Tj220p0ByMzFgD7-3kwM6VOfB2fAAAA__8", "2 attachment(s)")</f>
        <v>2 attachment(s)</v>
      </c>
      <c r="Y1242" t="inlineStr">
        <is>
          <t>Bank Transfer</t>
        </is>
      </c>
      <c r="Z1242" t="inlineStr">
        <is>
          <t>John Radilh Mancao</t>
        </is>
      </c>
      <c r="AA1242" t="inlineStr">
        <is>
          <t>010060106856</t>
        </is>
      </c>
      <c r="AB1242" t="inlineStr">
        <is>
          <t>Gotyme bank</t>
        </is>
      </c>
      <c r="AC1242" t="inlineStr">
        <is>
          <t>302 A ALAGAO ST. COMEMBO, TAGUIG CITY</t>
        </is>
      </c>
      <c r="AD1242" s="4">
        <v>45952</v>
      </c>
      <c r="AE1242" t="inlineStr">
        <is>
          <t>100% Full Payment - Nov. 7, 2025</t>
        </is>
      </c>
      <c r="AF1242" s="2"/>
      <c r="AG1242" t="inlineStr">
        <is>
          <t>NzQyNTk5MTgyNzQ4MTg3MDM0MTpDNDFENjA0Qy02QTZDLTQxNDMtQUZEMS0wQzRFRDdDODNEQzEtMTozYjk1YzFlYjg2MmEyNTM5MTg0Zjc1ZGI3ZjVmMGRmYjox</t>
        </is>
      </c>
      <c r="AH1242" t="inlineStr">
        <is>
          <t>John Radilh Mancao</t>
        </is>
      </c>
      <c r="AI1242"/>
      <c r="AJ1242" t="inlineStr">
        <is>
          <t>LIQUIDITY PLAN (PAR # 202509300084 / 2025TEG-P0216)
PROCUREMENT COST ESTIMATE TAB &gt; PROJECT PLANNING &gt;
Broadcast Associate
Total Remaining Budget = (Php 8,100.00) NEGATIVE
Actual Cost  = Php 2,300.00
Balance = (Php 10,400.00) OVER BUDGET</t>
        </is>
      </c>
      <c r="AK1242"/>
    </row>
    <row r="1243" ht="25.5" customHeight="1">
      <c r="A1243" s="2" t="str">
        <f>=HYPERLINK("https://applink.larksuite.com/client/mini_program/open?appId=cli_9c7cc8a9a9edd105&amp;mode=appCenter&amp;path_pc=pc/pages/requested/index?instanceId=7568393544759529181&amp;source=bitable&amp;path=pages/detail/index?instanceId=7568393544759529181&amp;source=bitable", "202511030088")</f>
        <v>202511030088</v>
      </c>
      <c r="B1243" t="inlineStr">
        <is>
          <t>Approved</t>
        </is>
      </c>
      <c r="C1243" t="inlineStr">
        <is>
          <t>Procurement Order</t>
        </is>
      </c>
      <c r="D1243" s="3">
        <v>45964.633564814816</v>
      </c>
      <c r="E1243" s="3">
        <v>45967.67699074074</v>
      </c>
      <c r="F1243" t="inlineStr">
        <is>
          <t>Fatima Kathleen M. FLores</t>
        </is>
      </c>
      <c r="G1243" t="inlineStr">
        <is>
          <t>Procurement</t>
        </is>
      </c>
      <c r="H1243"/>
      <c r="I1243"/>
      <c r="J1243" t="inlineStr">
        <is>
          <t>Project</t>
        </is>
      </c>
      <c r="K1243" t="inlineStr">
        <is>
          <t>PDEI - Event Service</t>
        </is>
      </c>
      <c r="L1243" t="inlineStr">
        <is>
          <t>Bingo Plus Panalo Caravan</t>
        </is>
      </c>
      <c r="M1243" t="inlineStr">
        <is>
          <t>2025TEG-P0216</t>
        </is>
      </c>
      <c r="N1243" t="inlineStr">
        <is>
          <t>Ronelle Kylene Chaneco Lim</t>
        </is>
      </c>
      <c r="O1243" t="inlineStr">
        <is>
          <t>202510170022-Ronelle Kylene Chaneco Lim-费用报销 - 副本 - 副本 - 副本-2025-10-17 03:41:07</t>
        </is>
      </c>
      <c r="P1243" t="inlineStr">
        <is>
          <t>YES</t>
        </is>
      </c>
      <c r="Q1243"/>
      <c r="R1243" t="inlineStr">
        <is>
          <t>YES</t>
        </is>
      </c>
      <c r="S1243" t="inlineStr">
        <is>
          <t>Outsourced Broadcast Associate (Caloocan)</t>
        </is>
      </c>
      <c r="T1243">
        <v>1</v>
      </c>
      <c r="U1243">
        <v>2300</v>
      </c>
      <c r="V1243" t="inlineStr">
        <is>
          <t>PHP</t>
        </is>
      </c>
      <c r="W1243">
        <v>2300</v>
      </c>
      <c r="X1243" s="2" t="str">
        <f>=HYPERLINK("https://www.larksuite.com/approval/admin/previewAttachment?key=PMg9CkIxEATgK-3PbCbjZWwMDxWthEeaPbtgYfuN6TZmeQ4Z5CHzZo2ZygJYqpBP72gnZXSGer2Pa9W5F7awXpvPR5_327E-XmKEMYGcZuaXvycBSAP2c_sGAAD__w", "2 attachment(s)")</f>
        <v>2 attachment(s)</v>
      </c>
      <c r="Y1243" t="inlineStr">
        <is>
          <t>Bank Transfer</t>
        </is>
      </c>
      <c r="Z1243" t="inlineStr">
        <is>
          <t>Emir Ryan Concepcion</t>
        </is>
      </c>
      <c r="AA1243" t="inlineStr">
        <is>
          <t>3179710829</t>
        </is>
      </c>
      <c r="AB1243" t="inlineStr">
        <is>
          <t>BPI</t>
        </is>
      </c>
      <c r="AC1243" t="inlineStr">
        <is>
          <t>116 J.Molina Corner Blue Bird Street, Strip 70 Village, Concepcion Uno, Marikina City</t>
        </is>
      </c>
      <c r="AD1243" s="4">
        <v>45952</v>
      </c>
      <c r="AE1243" t="inlineStr">
        <is>
          <t>100% Full Payment - Nov. 7, 2025</t>
        </is>
      </c>
      <c r="AF1243" s="2"/>
      <c r="AG1243" t="inlineStr">
        <is>
          <t>NzQyNTk5MTgyNzQ4MTg3MDM0MTo1NzQ5NTE0Ny1FOTIzLTRBMUYtQUFFQi1GNjUwNzdGRDlERkQtMTo1OGI5OGNmNWNkOTE1ZDE2ZWY3YjA4ODE2YmQ1MDNjOTox</t>
        </is>
      </c>
      <c r="AH1243" t="inlineStr">
        <is>
          <t>Emir Ryan Concepcion</t>
        </is>
      </c>
      <c r="AI1243"/>
      <c r="AJ1243" t="inlineStr">
        <is>
          <t>LIQUIDITY PLAN (PAR # 202509300084 / 2025TEG-P0216)
PROCUREMENT COST ESTIMATE TAB &gt; PROJECT PLANNING &gt;
Broadcast Associate
Total Remaining Budget = (Php 10,400.00) NEGATIVE
Actual Cost  = Php 2,300.00
Balance = (Php 12,700.00) OVER BUDGET</t>
        </is>
      </c>
      <c r="AK1243"/>
    </row>
    <row r="1244" ht="25.5" customHeight="1">
      <c r="A1244" s="2" t="str">
        <f>=HYPERLINK("https://applink.larksuite.com/client/mini_program/open?appId=cli_9c7cc8a9a9edd105&amp;mode=appCenter&amp;path_pc=pc/pages/requested/index?instanceId=7568442764271079135&amp;source=bitable&amp;path=pages/detail/index?instanceId=7568442764271079135&amp;source=bitable", "202511030140")</f>
        <v>202511030140</v>
      </c>
      <c r="B1244" t="inlineStr">
        <is>
          <t>Approved</t>
        </is>
      </c>
      <c r="C1244" t="inlineStr">
        <is>
          <t>Procurement Order</t>
        </is>
      </c>
      <c r="D1244" s="3">
        <v>45964.7662037037</v>
      </c>
      <c r="E1244" s="3">
        <v>45968.54002314815</v>
      </c>
      <c r="F1244" t="inlineStr">
        <is>
          <t>Fatima Kathleen M. FLores</t>
        </is>
      </c>
      <c r="G1244" t="inlineStr">
        <is>
          <t>Procurement</t>
        </is>
      </c>
      <c r="H1244"/>
      <c r="I1244"/>
      <c r="J1244" t="inlineStr">
        <is>
          <t>Project</t>
        </is>
      </c>
      <c r="K1244" t="inlineStr">
        <is>
          <t>PDEI - Event Service</t>
        </is>
      </c>
      <c r="L1244" t="inlineStr">
        <is>
          <t>Bingo Plus Panalo Caravan</t>
        </is>
      </c>
      <c r="M1244" t="inlineStr">
        <is>
          <t>2025TEG-P0216</t>
        </is>
      </c>
      <c r="N1244" t="inlineStr">
        <is>
          <t>Ronelle Kylene Chaneco Lim</t>
        </is>
      </c>
      <c r="O1244" t="inlineStr">
        <is>
          <t>202510240130-Ronelle Kylene Chaneco Lim-费用报销 - 副本 - 副本 - 副本-2025-10-24 11:43:45</t>
        </is>
      </c>
      <c r="P1244" t="inlineStr">
        <is>
          <t>NO</t>
        </is>
      </c>
      <c r="Q1244"/>
      <c r="R1244" t="inlineStr">
        <is>
          <t>YES</t>
        </is>
      </c>
      <c r="S1244" t="inlineStr">
        <is>
          <t>Outsourced Photography and Videography team</t>
        </is>
      </c>
      <c r="T1244">
        <v>1</v>
      </c>
      <c r="U1244">
        <v>109000</v>
      </c>
      <c r="V1244" t="inlineStr">
        <is>
          <t>PHP</t>
        </is>
      </c>
      <c r="W1244">
        <v>109000</v>
      </c>
      <c r="X1244" s="2" t="str">
        <f>=HYPERLINK("https://www.larksuite.com/approval/admin/previewAttachment?key=PMgxDsIwFAPQK33_ON8xl2FpVIGgE6Jbzo7E0PXVQNToaOWgkQ4s9RpkqphCyGh95YLkEJRe89jvr3xv4NPnlz4m1_nY9vlBtzJDjWwjInC7vImkXYy_xy8AAP__", "2 attachment(s)")</f>
        <v>2 attachment(s)</v>
      </c>
      <c r="Y1244" t="inlineStr">
        <is>
          <t>Bank Transfer</t>
        </is>
      </c>
      <c r="Z1244" t="inlineStr">
        <is>
          <t>Mark Arvin De Guzman</t>
        </is>
      </c>
      <c r="AA1244" t="inlineStr">
        <is>
          <t>4719284537</t>
        </is>
      </c>
      <c r="AB1244" t="inlineStr">
        <is>
          <t>BPI</t>
        </is>
      </c>
      <c r="AC1244" t="inlineStr">
        <is>
          <t>Sto. Rosario, Apalit Pampanga</t>
        </is>
      </c>
      <c r="AD1244" s="4">
        <v>45949</v>
      </c>
      <c r="AE1244" t="inlineStr">
        <is>
          <t>1st Payment - Oct. 24, 2025 (PAID)
2nd Payment - Nov. 7, 2025
Final Payment - Nov. 14, 2025</t>
        </is>
      </c>
      <c r="AF1244" s="2"/>
      <c r="AG1244" t="inlineStr">
        <is>
          <t>NzQyNTk5MTgyNzQ4MTg3MDM0MTo1N0QyNTYzMS1FNjJFLTQ5QTMtQkJFMi1GOUNERDFDOTJDMTAtMTo0YjM4NjJkNzUyOGQ1NGQ1YmEyYTcwZDMxMWJmYmUwYTox</t>
        </is>
      </c>
      <c r="AH1244" t="inlineStr">
        <is>
          <t>Mark Arvin De Guzman</t>
        </is>
      </c>
      <c r="AI1244"/>
      <c r="AJ1244" t="inlineStr">
        <is>
          <t>This is under RR PROJECT EXECUTION line items.</t>
        </is>
      </c>
      <c r="AK1244"/>
    </row>
    <row r="1245" ht="25.5" customHeight="1">
      <c r="A1245" s="2" t="str">
        <f>=HYPERLINK("https://applink.larksuite.com/client/mini_program/open?appId=cli_9c7cc8a9a9edd105&amp;mode=appCenter&amp;path_pc=pc/pages/requested/index?instanceId=7568442764271079135&amp;source=bitable&amp;path=pages/detail/index?instanceId=7568442764271079135&amp;source=bitable", "202511030140")</f>
        <v>202511030140</v>
      </c>
      <c r="B1245" t="inlineStr">
        <is>
          <t>Approved</t>
        </is>
      </c>
      <c r="C1245" t="inlineStr">
        <is>
          <t>Procurement Order</t>
        </is>
      </c>
      <c r="D1245" s="3">
        <v>45964.7662037037</v>
      </c>
      <c r="E1245" s="3">
        <v>45968.54002314815</v>
      </c>
      <c r="F1245" t="inlineStr">
        <is>
          <t>Fatima Kathleen M. FLores</t>
        </is>
      </c>
      <c r="G1245" t="inlineStr">
        <is>
          <t>Procurement</t>
        </is>
      </c>
      <c r="H1245"/>
      <c r="I1245"/>
      <c r="J1245" t="inlineStr">
        <is>
          <t>Project</t>
        </is>
      </c>
      <c r="K1245" t="inlineStr">
        <is>
          <t>PDEI - Event Service</t>
        </is>
      </c>
      <c r="L1245" t="inlineStr">
        <is>
          <t>Bingo Plus Panalo Caravan</t>
        </is>
      </c>
      <c r="M1245" t="inlineStr">
        <is>
          <t>2025TEG-P0216</t>
        </is>
      </c>
      <c r="N1245" t="inlineStr">
        <is>
          <t>Ronelle Kylene Chaneco Lim</t>
        </is>
      </c>
      <c r="O1245" t="inlineStr">
        <is>
          <t>202510240130-Ronelle Kylene Chaneco Lim-费用报销 - 副本 - 副本 - 副本-2025-10-24 11:43:45</t>
        </is>
      </c>
      <c r="P1245" t="inlineStr">
        <is>
          <t>NO</t>
        </is>
      </c>
      <c r="Q1245"/>
      <c r="R1245" t="inlineStr">
        <is>
          <t>YES</t>
        </is>
      </c>
      <c r="S1245" t="inlineStr">
        <is>
          <t>Outsourced Photography and Videography team (Addendum)</t>
        </is>
      </c>
      <c r="T1245">
        <v>1</v>
      </c>
      <c r="U1245">
        <v>6000</v>
      </c>
      <c r="V1245" t="inlineStr">
        <is>
          <t>PHP</t>
        </is>
      </c>
      <c r="W1245">
        <v>6000</v>
      </c>
      <c r="X1245" s="2" t="str">
        <f>=HYPERLINK("https://www.larksuite.com/approval/admin/previewAttachment?key=PMgxDsIwFAPQK33_ON8xl2FpVIGgE6Jbzo7E0PXVQNToaOWgkQ4s9RpkqphCyGh95YLkEJRe89jvr3xv4NPnlz4m1_nY9vlBtzJDjWwjInC7vImkXYy_4xcAAP__", "1 attachment(s)")</f>
        <v>1 attachment(s)</v>
      </c>
      <c r="Y1245"/>
      <c r="Z1245"/>
      <c r="AA1245"/>
      <c r="AB1245"/>
      <c r="AC1245"/>
      <c r="AD1245" s="4"/>
      <c r="AE1245"/>
      <c r="AF1245" s="2"/>
      <c r="AG1245" t="inlineStr">
        <is>
          <t>NzQyNTk5MTgyNzQ4MTg3MDM0MTo1N0QyNTYzMS1FNjJFLTQ5QTMtQkJFMi1GOUNERDFDOTJDMTAtMjo5Zjc3MzkwZTg2MWJlODI3MDM1MTlkZDMyNGIwNWJmOTox</t>
        </is>
      </c>
      <c r="AH1245"/>
      <c r="AI1245"/>
      <c r="AJ1245" t="inlineStr">
        <is>
          <t>This is under RR PROJECT EXECUTION line items.</t>
        </is>
      </c>
      <c r="AK1245"/>
    </row>
    <row r="1246" ht="25.5" customHeight="1">
      <c r="A1246" s="2" t="str">
        <f>=HYPERLINK("https://applink.larksuite.com/client/mini_program/open?appId=cli_9c7cc8a9a9edd105&amp;mode=appCenter&amp;path_pc=pc/pages/requested/index?instanceId=7568772613456056031&amp;source=bitable&amp;path=pages/detail/index?instanceId=7568772613456056031&amp;source=bitable", "202511040067")</f>
        <v>202511040067</v>
      </c>
      <c r="B1246" t="inlineStr">
        <is>
          <t>Approved</t>
        </is>
      </c>
      <c r="C1246" t="inlineStr">
        <is>
          <t>Procurement Order</t>
        </is>
      </c>
      <c r="D1246" s="3">
        <v>45965.65508101852</v>
      </c>
      <c r="E1246" s="3">
        <v>45965.671851851854</v>
      </c>
      <c r="F1246" t="inlineStr">
        <is>
          <t>Fatima Kathleen M. FLores</t>
        </is>
      </c>
      <c r="G1246" t="inlineStr">
        <is>
          <t>Procurement</t>
        </is>
      </c>
      <c r="H1246"/>
      <c r="I1246"/>
      <c r="J1246" t="inlineStr">
        <is>
          <t>Project</t>
        </is>
      </c>
      <c r="K1246" t="inlineStr">
        <is>
          <t>PDEI - Game Marketing</t>
        </is>
      </c>
      <c r="L1246" t="inlineStr">
        <is>
          <t>Mineski Socials Night</t>
        </is>
      </c>
      <c r="M1246" t="inlineStr">
        <is>
          <t>2025TEG-P0293</t>
        </is>
      </c>
      <c r="N1246" t="inlineStr">
        <is>
          <t>Ronelle Kylene Chaneco Lim</t>
        </is>
      </c>
      <c r="O1246" t="inlineStr">
        <is>
          <t>202511030086-Ronelle Kylene Chaneco Lim-费用报销 - 副本 - 副本 - 副本-2025-11-03 07:08:21</t>
        </is>
      </c>
      <c r="P1246" t="inlineStr">
        <is>
          <t>NO</t>
        </is>
      </c>
      <c r="Q1246"/>
      <c r="R1246" t="inlineStr">
        <is>
          <t>NO</t>
        </is>
      </c>
      <c r="S1246" t="inlineStr">
        <is>
          <t>Food - Custom Buffet (130 pax)</t>
        </is>
      </c>
      <c r="T1246">
        <v>1</v>
      </c>
      <c r="U1246">
        <v>156000</v>
      </c>
      <c r="V1246" t="inlineStr">
        <is>
          <t>PHP</t>
        </is>
      </c>
      <c r="W1246">
        <v>156000</v>
      </c>
      <c r="X1246" s="2"/>
      <c r="Y1246" t="inlineStr">
        <is>
          <t>Bank Transfer</t>
        </is>
      </c>
      <c r="Z1246" t="inlineStr">
        <is>
          <t>The Palace Day and Night Resto Inc</t>
        </is>
      </c>
      <c r="AA1246" t="inlineStr">
        <is>
          <t>0049-8029-1174</t>
        </is>
      </c>
      <c r="AB1246" t="inlineStr">
        <is>
          <t>BDO</t>
        </is>
      </c>
      <c r="AC1246" t="inlineStr">
        <is>
          <t>BGC, Taguig</t>
        </is>
      </c>
      <c r="AD1246" s="4">
        <v>45968</v>
      </c>
      <c r="AE1246" t="inlineStr">
        <is>
          <t>1st Payment - Php 125,000.00 (PAID)
Final Payment - Nov. 5, 2025</t>
        </is>
      </c>
      <c r="AF1246" s="2"/>
      <c r="AG1246" t="inlineStr">
        <is>
          <t>NzQyNTk5MTgyNzQ4MTg3MDM0MTo5MzFEMTNFMC1BQTA1LTQ2NDYtQkQ2OS1FMkY4RDVDN0Y5NEQtMToyYjIyZGRmM2FmMjc3YmQyN2M2M2YxYzcxMTg4NGJkNTox</t>
        </is>
      </c>
      <c r="AH1246" t="inlineStr">
        <is>
          <t>Yes Please</t>
        </is>
      </c>
      <c r="AI1246"/>
      <c r="AJ1246" t="inlineStr">
        <is>
          <t>LIQUIDITY PLAN (PAR # 202510310043 / 2025TEG-P0293)
Venue &gt;
Yes Please Beverage Consumables
Yes Please Food Consumables
Total Budget = Php 281,000.00
Actual Cost = Php 281,000.00</t>
        </is>
      </c>
      <c r="AK1246"/>
    </row>
    <row r="1247" ht="25.5" customHeight="1">
      <c r="A1247" s="2" t="str">
        <f>=HYPERLINK("https://applink.larksuite.com/client/mini_program/open?appId=cli_9c7cc8a9a9edd105&amp;mode=appCenter&amp;path_pc=pc/pages/requested/index?instanceId=7568772613456056031&amp;source=bitable&amp;path=pages/detail/index?instanceId=7568772613456056031&amp;source=bitable", "202511040067")</f>
        <v>202511040067</v>
      </c>
      <c r="B1247" t="inlineStr">
        <is>
          <t>Approved</t>
        </is>
      </c>
      <c r="C1247" t="inlineStr">
        <is>
          <t>Procurement Order</t>
        </is>
      </c>
      <c r="D1247" s="3">
        <v>45965.65508101852</v>
      </c>
      <c r="E1247" s="3">
        <v>45965.671851851854</v>
      </c>
      <c r="F1247" t="inlineStr">
        <is>
          <t>Fatima Kathleen M. FLores</t>
        </is>
      </c>
      <c r="G1247" t="inlineStr">
        <is>
          <t>Procurement</t>
        </is>
      </c>
      <c r="H1247"/>
      <c r="I1247"/>
      <c r="J1247" t="inlineStr">
        <is>
          <t>Project</t>
        </is>
      </c>
      <c r="K1247" t="inlineStr">
        <is>
          <t>PDEI - Game Marketing</t>
        </is>
      </c>
      <c r="L1247" t="inlineStr">
        <is>
          <t>Mineski Socials Night</t>
        </is>
      </c>
      <c r="M1247" t="inlineStr">
        <is>
          <t>2025TEG-P0293</t>
        </is>
      </c>
      <c r="N1247" t="inlineStr">
        <is>
          <t>Ronelle Kylene Chaneco Lim</t>
        </is>
      </c>
      <c r="O1247" t="inlineStr">
        <is>
          <t>202511030086-Ronelle Kylene Chaneco Lim-费用报销 - 副本 - 副本 - 副本-2025-11-03 07:08:21</t>
        </is>
      </c>
      <c r="P1247" t="inlineStr">
        <is>
          <t>NO</t>
        </is>
      </c>
      <c r="Q1247"/>
      <c r="R1247" t="inlineStr">
        <is>
          <t>NO</t>
        </is>
      </c>
      <c r="S1247" t="inlineStr">
        <is>
          <t>Drinks (Consumable)</t>
        </is>
      </c>
      <c r="T1247">
        <v>1</v>
      </c>
      <c r="U1247">
        <v>125000</v>
      </c>
      <c r="V1247" t="inlineStr">
        <is>
          <t>PHP</t>
        </is>
      </c>
      <c r="W1247">
        <v>125000</v>
      </c>
      <c r="X1247" s="2" t="str">
        <f>=HYPERLINK("https://www.larksuite.com/approval/admin/previewAttachment?key=PMg7jgJBDATQK1XZbld7L7PJjFr8E6RBBD47EgHpy0nkHPQsRNEKbI2ckiU9RmIknG1NqSDKqvf7-n8f59fjZgtml03XPk7b2p8cJTPII3wC4N_PXRFRlYGv8xMAAP__", "2 attachment(s)")</f>
        <v>2 attachment(s)</v>
      </c>
      <c r="Y1247"/>
      <c r="Z1247"/>
      <c r="AA1247"/>
      <c r="AB1247"/>
      <c r="AC1247"/>
      <c r="AD1247" s="4"/>
      <c r="AE1247"/>
      <c r="AF1247" s="2"/>
      <c r="AG1247" t="inlineStr">
        <is>
          <t>NzQyNTk5MTgyNzQ4MTg3MDM0MTo5MzFEMTNFMC1BQTA1LTQ2NDYtQkQ2OS1FMkY4RDVDN0Y5NEQtMjo5Zjg2Nzk0NDlkOTk3ZTRmYzVjOTlmMWEwY2QzYmZjYzox</t>
        </is>
      </c>
      <c r="AH1247"/>
      <c r="AI1247"/>
      <c r="AJ1247" t="inlineStr">
        <is>
          <t>LIQUIDITY PLAN (PAR # 202510310043 / 2025TEG-P0293)
Venue &gt;
Yes Please Beverage Consumables
Yes Please Food Consumables
Total Budget = Php 281,000.00
Actual Cost = Php 281,000.00</t>
        </is>
      </c>
      <c r="AK1247"/>
    </row>
    <row r="1248" ht="25.5" customHeight="1">
      <c r="A1248" s="2" t="str">
        <f>=HYPERLINK("https://applink.larksuite.com/client/mini_program/open?appId=cli_9c7cc8a9a9edd105&amp;mode=appCenter&amp;path_pc=pc/pages/requested/index?instanceId=7568391578578915035&amp;source=bitable&amp;path=pages/detail/index?instanceId=7568391578578915035&amp;source=bitable", "202511030085")</f>
        <v>202511030085</v>
      </c>
      <c r="B1248" t="inlineStr">
        <is>
          <t>Approved</t>
        </is>
      </c>
      <c r="C1248" t="inlineStr">
        <is>
          <t>Procurement Order</t>
        </is>
      </c>
      <c r="D1248" s="3">
        <v>45964.62826388889</v>
      </c>
      <c r="E1248" s="3">
        <v>45967.6791087963</v>
      </c>
      <c r="F1248" t="inlineStr">
        <is>
          <t>Fatima Kathleen M. FLores</t>
        </is>
      </c>
      <c r="G1248" t="inlineStr">
        <is>
          <t>Procurement</t>
        </is>
      </c>
      <c r="H1248"/>
      <c r="I1248"/>
      <c r="J1248" t="inlineStr">
        <is>
          <t>Project</t>
        </is>
      </c>
      <c r="K1248" t="inlineStr">
        <is>
          <t>PDEI - Event Service</t>
        </is>
      </c>
      <c r="L1248" t="inlineStr">
        <is>
          <t>Bingo Plus Panalo Caravan</t>
        </is>
      </c>
      <c r="M1248" t="inlineStr">
        <is>
          <t>2025TEG-P0216</t>
        </is>
      </c>
      <c r="N1248" t="inlineStr">
        <is>
          <t>Ronelle Kylene Chaneco Lim</t>
        </is>
      </c>
      <c r="O1248" t="inlineStr">
        <is>
          <t>202510230088-Ronelle Kylene Chaneco Lim-费用报销 - 副本 - 副本 - 副本-2025-10-23 09:32:53</t>
        </is>
      </c>
      <c r="P1248" t="inlineStr">
        <is>
          <t>YES</t>
        </is>
      </c>
      <c r="Q1248"/>
      <c r="R1248" t="inlineStr">
        <is>
          <t>YES</t>
        </is>
      </c>
      <c r="S1248" t="inlineStr">
        <is>
          <t>Outsourced Hospitality Manpower (Caloocan &amp; Laguna)</t>
        </is>
      </c>
      <c r="T1248">
        <v>1</v>
      </c>
      <c r="U1248">
        <v>6000</v>
      </c>
      <c r="V1248" t="inlineStr">
        <is>
          <t>PHP</t>
        </is>
      </c>
      <c r="W1248">
        <v>6000</v>
      </c>
      <c r="X1248" s="2" t="str">
        <f>=HYPERLINK("https://www.larksuite.com/approval/admin/previewAttachment?key=PMg9CsJAFATgK83723njZWwSghIjgqA2e3bBwvYbbRhdFkNImQs2WaNDVuxiywpR06eRAo2uuR7beffbktePjr7v74fP12XZ1qeV6A5GZjQAO_09mJnSSPwc3wAAAP__", "2 attachment(s)")</f>
        <v>2 attachment(s)</v>
      </c>
      <c r="Y1248" t="inlineStr">
        <is>
          <t>Bank Transfer</t>
        </is>
      </c>
      <c r="Z1248" t="inlineStr">
        <is>
          <t>Neil Kristopher Lou Adon Sy</t>
        </is>
      </c>
      <c r="AA1248" t="inlineStr">
        <is>
          <t>503-3-503-157048</t>
        </is>
      </c>
      <c r="AB1248" t="inlineStr">
        <is>
          <t>Metrobank</t>
        </is>
      </c>
      <c r="AC1248" t="inlineStr">
        <is>
          <t>23D Lerma St. Maypajo Caloocan City</t>
        </is>
      </c>
      <c r="AD1248" s="4">
        <v>45951</v>
      </c>
      <c r="AE1248" t="inlineStr">
        <is>
          <t>100% Full Payment - Oct. 31, 2025</t>
        </is>
      </c>
      <c r="AF1248" s="2"/>
      <c r="AG1248" t="inlineStr">
        <is>
          <t>NzQyNTk5MTgyNzQ4MTg3MDM0MTpEMTY0M0ZDQy1ERTEwLTQ0Q0ItQjhGQS1CMTk3REQyMUFBMTItMTpmOGYxOGU5NTUzOWZkNjMxNjY5MGJlMjU4NWZmYjdmMjox</t>
        </is>
      </c>
      <c r="AH1248" t="inlineStr">
        <is>
          <t>Neil Kristopher Lou Adon Sy</t>
        </is>
      </c>
      <c r="AI1248"/>
      <c r="AJ1248" t="inlineStr">
        <is>
          <t>No line item in internal CE. Unbudgeted</t>
        </is>
      </c>
      <c r="AK1248"/>
    </row>
    <row r="1249" ht="25.5" customHeight="1">
      <c r="A1249" s="2" t="str">
        <f>=HYPERLINK("https://applink.larksuite.com/client/mini_program/open?appId=cli_9c7cc8a9a9edd105&amp;mode=appCenter&amp;path_pc=pc/pages/requested/index?instanceId=7568439861405863648&amp;source=bitable&amp;path=pages/detail/index?instanceId=7568439861405863648&amp;source=bitable", "202511030137")</f>
        <v>202511030137</v>
      </c>
      <c r="B1249" t="inlineStr">
        <is>
          <t>Approved</t>
        </is>
      </c>
      <c r="C1249" t="inlineStr">
        <is>
          <t>Procurement Order</t>
        </is>
      </c>
      <c r="D1249" s="3">
        <v>45964.75837962963</v>
      </c>
      <c r="E1249" s="3">
        <v>45972.74358796296</v>
      </c>
      <c r="F1249" t="inlineStr">
        <is>
          <t>Fatima Kathleen M. FLores</t>
        </is>
      </c>
      <c r="G1249" t="inlineStr">
        <is>
          <t>Procurement</t>
        </is>
      </c>
      <c r="H1249"/>
      <c r="I1249"/>
      <c r="J1249" t="inlineStr">
        <is>
          <t>Project</t>
        </is>
      </c>
      <c r="K1249" t="inlineStr">
        <is>
          <t>PDEI - Event Service</t>
        </is>
      </c>
      <c r="L1249" t="inlineStr">
        <is>
          <t>MPL PH S16 - Playoffs</t>
        </is>
      </c>
      <c r="M1249" t="inlineStr">
        <is>
          <t>2025TEG-P0215</t>
        </is>
      </c>
      <c r="N1249" t="inlineStr">
        <is>
          <t>Katherine Denise Lee Sy</t>
        </is>
      </c>
      <c r="O1249" t="inlineStr">
        <is>
          <t>202510160088-Katherine Denise Lee Sy-费用报销 - 副本 - 副本 - 副本-2025-10-16 12:20:12</t>
        </is>
      </c>
      <c r="P1249" t="inlineStr">
        <is>
          <t>YES</t>
        </is>
      </c>
      <c r="Q1249"/>
      <c r="R1249" t="inlineStr">
        <is>
          <t>YES</t>
        </is>
      </c>
      <c r="S1249" t="inlineStr">
        <is>
          <t>Outsourced Lead Project Manager</t>
        </is>
      </c>
      <c r="T1249">
        <v>1</v>
      </c>
      <c r="U1249">
        <v>35000</v>
      </c>
      <c r="V1249" t="inlineStr">
        <is>
          <t>PHP</t>
        </is>
      </c>
      <c r="W1249">
        <v>35000</v>
      </c>
      <c r="X1249" s="2" t="str">
        <f>=HYPERLINK("https://www.larksuite.com/approval/admin/previewAttachment?key=PMgxCkJBDATQK02S2STjZWz-soiojfi7PbtgYfuyDdnDIgXKXLBdI5uhTiNGZyR7-7Yqoaxcez7X9fi4wpc_Zpz3l-_zdqz5tqFyRwUZDcAuf48iKSXxc3wDAAD__w", "2 attachment(s)")</f>
        <v>2 attachment(s)</v>
      </c>
      <c r="Y1249" t="inlineStr">
        <is>
          <t>Bank Transfer</t>
        </is>
      </c>
      <c r="Z1249" t="inlineStr">
        <is>
          <t>Regner John R. Peneza</t>
        </is>
      </c>
      <c r="AA1249" t="inlineStr">
        <is>
          <t>109654013457</t>
        </is>
      </c>
      <c r="AB1249" t="inlineStr">
        <is>
          <t>Unionbank</t>
        </is>
      </c>
      <c r="AC1249" t="inlineStr">
        <is>
          <t>Bldg 3 unit 102 Residencias De Manila, pandacan Manila</t>
        </is>
      </c>
      <c r="AD1249" s="4">
        <v>45944</v>
      </c>
      <c r="AE1249" t="inlineStr">
        <is>
          <t>100% Full Payment - Nov. 21, 2025</t>
        </is>
      </c>
      <c r="AF1249" s="2"/>
      <c r="AG1249" t="inlineStr">
        <is>
          <t>NzQyNTk5MTgyNzQ4MTg3MDM0MTo5QjVEN0MyQS0zODc2LTQxRDItQkE3RS1CRENGMEJFMEI0MzQtMTo5NjZiNjVmZjBiMzY5MzJlMWE3ZjhjMmYzZDU4ZTZjNjox</t>
        </is>
      </c>
      <c r="AH1249" t="inlineStr">
        <is>
          <t>Regner John R. Peneza</t>
        </is>
      </c>
      <c r="AI1249"/>
      <c r="AJ1249" t="inlineStr">
        <is>
          <t>No line item in internal CE. Unbudgeted</t>
        </is>
      </c>
      <c r="AK1249"/>
    </row>
    <row r="1250" ht="25.5" customHeight="1">
      <c r="A1250" s="2" t="str">
        <f>=HYPERLINK("https://applink.larksuite.com/client/mini_program/open?appId=cli_9c7cc8a9a9edd105&amp;mode=appCenter&amp;path_pc=pc/pages/requested/index?instanceId=7568790533074587355&amp;source=bitable&amp;path=pages/detail/index?instanceId=7568790533074587355&amp;source=bitable", "202511040094")</f>
        <v>202511040094</v>
      </c>
      <c r="B1250" t="inlineStr">
        <is>
          <t>Approved</t>
        </is>
      </c>
      <c r="C1250" t="inlineStr">
        <is>
          <t>Procurement Order</t>
        </is>
      </c>
      <c r="D1250" s="3">
        <v>45965.703368055554</v>
      </c>
      <c r="E1250" s="3">
        <v>45965.73065972222</v>
      </c>
      <c r="F1250" t="inlineStr">
        <is>
          <t>Fatima Kathleen M. FLores</t>
        </is>
      </c>
      <c r="G1250" t="inlineStr">
        <is>
          <t>Procurement</t>
        </is>
      </c>
      <c r="H1250"/>
      <c r="I1250"/>
      <c r="J1250" t="inlineStr">
        <is>
          <t>Project</t>
        </is>
      </c>
      <c r="K1250" t="inlineStr">
        <is>
          <t>PDEI - Game Marketing</t>
        </is>
      </c>
      <c r="L1250" t="inlineStr">
        <is>
          <t>WCG 2025 Creator Rumble</t>
        </is>
      </c>
      <c r="M1250" t="inlineStr">
        <is>
          <t>2025TEG-P0041</t>
        </is>
      </c>
      <c r="N1250" t="inlineStr">
        <is>
          <t>Maura Aurel Atilano Yap</t>
        </is>
      </c>
      <c r="O1250" t="inlineStr">
        <is>
          <t>202510170105-Maura Aurel Atilano Yap-费用报销 - 副本 - 副本 - 副本-2025-10-17 12:42:56</t>
        </is>
      </c>
      <c r="P1250" t="inlineStr">
        <is>
          <t>YES</t>
        </is>
      </c>
      <c r="Q1250"/>
      <c r="R1250" t="inlineStr">
        <is>
          <t>NO</t>
        </is>
      </c>
      <c r="S1250" t="inlineStr">
        <is>
          <t>Outsourced Camera Switcher</t>
        </is>
      </c>
      <c r="T1250">
        <v>1</v>
      </c>
      <c r="U1250">
        <v>3600</v>
      </c>
      <c r="V1250" t="inlineStr">
        <is>
          <t>PHP</t>
        </is>
      </c>
      <c r="W1250">
        <v>3600</v>
      </c>
      <c r="X1250" s="2" t="str">
        <f>=HYPERLINK("https://www.larksuite.com/approval/admin/previewAttachment?key=PMgxCkIxEATQK81kdzM7XsbGT1DEStAqZxcsfvtmE7OLMY00h8Gtmi2jIqCsVlTtsSkZoob38VrXzvIT_GqJKx77c7-t482yxoAiMxoAL6eHMtOeib_jFwAA__8", "2 attachment(s)")</f>
        <v>2 attachment(s)</v>
      </c>
      <c r="Y1250" t="inlineStr">
        <is>
          <t>Bank Transfer</t>
        </is>
      </c>
      <c r="Z1250" t="inlineStr">
        <is>
          <t>JOHN MARK PABELICO</t>
        </is>
      </c>
      <c r="AA1250" t="inlineStr">
        <is>
          <t>019809678942</t>
        </is>
      </c>
      <c r="AB1250" t="inlineStr">
        <is>
          <t>GoTyme Bank</t>
        </is>
      </c>
      <c r="AC1250" t="inlineStr">
        <is>
          <t>3195A Tindalo Street, UPS2, Brgy. San Martin de Porres, Parañaque City</t>
        </is>
      </c>
      <c r="AD1250" s="4">
        <v>45955</v>
      </c>
      <c r="AE1250" t="inlineStr">
        <is>
          <t>100% Full Payment - Nov. 7, 2025</t>
        </is>
      </c>
      <c r="AF1250" s="2"/>
      <c r="AG1250" t="inlineStr">
        <is>
          <t>NzQyNTk5MTgyNzQ4MTg3MDM0MTpGRjE4MEI2Ri03REEwLTQxRDItQUQ5NC0wRjZDQUVEREQ2MTQtMTo3NjFkMjdkMmJlMzc1NmJiMjg3NGNkYjJjZGUwMDBmNzox</t>
        </is>
      </c>
      <c r="AH1250" t="inlineStr">
        <is>
          <t>JOHN MARK PABELICO</t>
        </is>
      </c>
      <c r="AI1250"/>
      <c r="AJ1250" t="inlineStr">
        <is>
          <t>LIQUIDITY PLAN (PAR # 202505160019 / 2025TEG-P0041)
FOR RENTAL/ FABRICATION/ PRODUCTION &gt;
Group Draw &amp; Creator Rumble Pt. 1 &gt;
Broadcast Technical Package
Total Remaining Budget = Php 27,200.00
Actual Cost = Php 3,600.00
Balance = Php 23,600.00</t>
        </is>
      </c>
      <c r="AK1250"/>
    </row>
    <row r="1251" ht="25.5" customHeight="1">
      <c r="A1251" s="2" t="str">
        <f>=HYPERLINK("https://applink.larksuite.com/client/mini_program/open?appId=cli_9c7cc8a9a9edd105&amp;mode=appCenter&amp;path_pc=pc/pages/requested/index?instanceId=7568789876108234466&amp;source=bitable&amp;path=pages/detail/index?instanceId=7568789876108234466&amp;source=bitable", "202511040093")</f>
        <v>202511040093</v>
      </c>
      <c r="B1251" t="inlineStr">
        <is>
          <t>Approved</t>
        </is>
      </c>
      <c r="C1251" t="inlineStr">
        <is>
          <t>Procurement Order</t>
        </is>
      </c>
      <c r="D1251" s="3">
        <v>45965.70159722222</v>
      </c>
      <c r="E1251" s="3">
        <v>45965.73241898148</v>
      </c>
      <c r="F1251" t="inlineStr">
        <is>
          <t>Fatima Kathleen M. FLores</t>
        </is>
      </c>
      <c r="G1251" t="inlineStr">
        <is>
          <t>Procurement</t>
        </is>
      </c>
      <c r="H1251"/>
      <c r="I1251"/>
      <c r="J1251" t="inlineStr">
        <is>
          <t>Project</t>
        </is>
      </c>
      <c r="K1251" t="inlineStr">
        <is>
          <t>PDEI - Game Marketing</t>
        </is>
      </c>
      <c r="L1251" t="inlineStr">
        <is>
          <t>WCG 2025 Creator Rumble</t>
        </is>
      </c>
      <c r="M1251" t="inlineStr">
        <is>
          <t>2025TEG-P0041</t>
        </is>
      </c>
      <c r="N1251" t="inlineStr">
        <is>
          <t>Maura Aurel Atilano Yap</t>
        </is>
      </c>
      <c r="O1251" t="inlineStr">
        <is>
          <t>202510170105-Maura Aurel Atilano Yap-费用报销 - 副本 - 副本 - 副本-2025-10-17 12:42:56</t>
        </is>
      </c>
      <c r="P1251" t="inlineStr">
        <is>
          <t>YES</t>
        </is>
      </c>
      <c r="Q1251"/>
      <c r="R1251" t="inlineStr">
        <is>
          <t>NO</t>
        </is>
      </c>
      <c r="S1251" t="inlineStr">
        <is>
          <t>Outsourced Game Director</t>
        </is>
      </c>
      <c r="T1251">
        <v>1</v>
      </c>
      <c r="U1251">
        <v>4000</v>
      </c>
      <c r="V1251" t="inlineStr">
        <is>
          <t>PHP</t>
        </is>
      </c>
      <c r="W1251">
        <v>4000</v>
      </c>
      <c r="X1251" s="2" t="str">
        <f>=HYPERLINK("https://www.larksuite.com/approval/admin/previewAttachment?key=PMgxCgJBDAXQK_1M_uQnXsZmh0FYrGS1ytkFC9sXaYic5lFg2ShYa0YqKxWGHE5G9GiTCjI5ej33PTnrxNrX-Tn8Ur8fx14vm6UxICc9Adjt7y6SVUH8HN8AAAD__w", "2 attachment(s)")</f>
        <v>2 attachment(s)</v>
      </c>
      <c r="Y1251" t="inlineStr">
        <is>
          <t>Bank Transfer</t>
        </is>
      </c>
      <c r="Z1251" t="inlineStr">
        <is>
          <t>Zach Nixon Sy Inocencio</t>
        </is>
      </c>
      <c r="AA1251" t="inlineStr">
        <is>
          <t>4329139234</t>
        </is>
      </c>
      <c r="AB1251" t="inlineStr">
        <is>
          <t>BPI</t>
        </is>
      </c>
      <c r="AC1251" t="inlineStr">
        <is>
          <t>Avida Towers Intima Paco Manila</t>
        </is>
      </c>
      <c r="AD1251" s="4">
        <v>45955</v>
      </c>
      <c r="AE1251" t="inlineStr">
        <is>
          <t>100% Full Payment - Nov. 7, 2025</t>
        </is>
      </c>
      <c r="AF1251" s="2"/>
      <c r="AG1251" t="inlineStr">
        <is>
          <t>NzQyNTk5MTgyNzQ4MTg3MDM0MTozQUI2RTA0QS05NTVFLTRCMzEtQjM1My00RTRGRTE2RjM3NTAtMTo4ZmRhNjM4OGEzNzgyNDBiZjkxOTZhMGE5NDc1NzQxZDox</t>
        </is>
      </c>
      <c r="AH1251" t="inlineStr">
        <is>
          <t>Zach Nixon Sy Inocencio</t>
        </is>
      </c>
      <c r="AI1251"/>
      <c r="AJ1251" t="inlineStr">
        <is>
          <t>LIQUIDITY PLAN (PAR # 202505160019 / 2025TEG-P0041)
FOR RENTAL/ FABRICATION/ PRODUCTION &gt;
Group Draw &amp; Creator Rumble Pt. 1 &gt;
Broadcast Technical Package
Total Remaining Budget = Php 31,200.00
Actual Cost = Php 4,000.00
Balance = Php 27,200.00</t>
        </is>
      </c>
      <c r="AK1251"/>
    </row>
    <row r="1252" ht="25.5" customHeight="1">
      <c r="A1252" s="2" t="str">
        <f>=HYPERLINK("https://applink.larksuite.com/client/mini_program/open?appId=cli_9c7cc8a9a9edd105&amp;mode=appCenter&amp;path_pc=pc/pages/requested/index?instanceId=7568788807022038748&amp;source=bitable&amp;path=pages/detail/index?instanceId=7568788807022038748&amp;source=bitable", "202511040092")</f>
        <v>202511040092</v>
      </c>
      <c r="B1252" t="inlineStr">
        <is>
          <t>Approved</t>
        </is>
      </c>
      <c r="C1252" t="inlineStr">
        <is>
          <t>Procurement Order</t>
        </is>
      </c>
      <c r="D1252" s="3">
        <v>45965.69871527778</v>
      </c>
      <c r="E1252" s="3">
        <v>45965.73384259259</v>
      </c>
      <c r="F1252" t="inlineStr">
        <is>
          <t>Fatima Kathleen M. FLores</t>
        </is>
      </c>
      <c r="G1252" t="inlineStr">
        <is>
          <t>Procurement</t>
        </is>
      </c>
      <c r="H1252"/>
      <c r="I1252"/>
      <c r="J1252" t="inlineStr">
        <is>
          <t>Project</t>
        </is>
      </c>
      <c r="K1252" t="inlineStr">
        <is>
          <t>PDEI - Game Marketing</t>
        </is>
      </c>
      <c r="L1252" t="inlineStr">
        <is>
          <t>WCG 2025 Creator Rumble</t>
        </is>
      </c>
      <c r="M1252" t="inlineStr">
        <is>
          <t>2025TEG-P0041</t>
        </is>
      </c>
      <c r="N1252" t="inlineStr">
        <is>
          <t>Maura Aurel Atilano Yap</t>
        </is>
      </c>
      <c r="O1252" t="inlineStr">
        <is>
          <t>202510170105-Maura Aurel Atilano Yap-费用报销 - 副本 - 副本 - 副本-2025-10-17 12:42:56</t>
        </is>
      </c>
      <c r="P1252" t="inlineStr">
        <is>
          <t>YES</t>
        </is>
      </c>
      <c r="Q1252"/>
      <c r="R1252" t="inlineStr">
        <is>
          <t>NO</t>
        </is>
      </c>
      <c r="S1252" t="inlineStr">
        <is>
          <t>Outsourced Broadcast Technical Assistant</t>
        </is>
      </c>
      <c r="T1252">
        <v>1</v>
      </c>
      <c r="U1252">
        <v>3600</v>
      </c>
      <c r="V1252" t="inlineStr">
        <is>
          <t>PHP</t>
        </is>
      </c>
      <c r="W1252">
        <v>3600</v>
      </c>
      <c r="X1252" s="2" t="str">
        <f>=HYPERLINK("https://www.larksuite.com/approval/admin/previewAttachment?key=PMg9CsJAFATgK83725nnZWwMQdDYiIvNnl2wSPsNGYbKYjSyzRu2WEOUBMIdIaaWLyMbNAbWduzXqvmNZx-fqVc9uOb9tm9vq6Y7GJkhAHY5PZiZ3SPxd_wCAAD__w", "2 attachment(s)")</f>
        <v>2 attachment(s)</v>
      </c>
      <c r="Y1252" t="inlineStr">
        <is>
          <t>Bank Transfer</t>
        </is>
      </c>
      <c r="Z1252" t="inlineStr">
        <is>
          <t>Ej Cezar Falogme</t>
        </is>
      </c>
      <c r="AA1252" t="inlineStr">
        <is>
          <t>001526005059</t>
        </is>
      </c>
      <c r="AB1252" t="inlineStr">
        <is>
          <t>BDO Kabayan Savings</t>
        </is>
      </c>
      <c r="AC1252" t="inlineStr">
        <is>
          <t>33 J Pio Felipe St. Purok-1 New Lower Bicutan Taguig City</t>
        </is>
      </c>
      <c r="AD1252" s="4">
        <v>45947</v>
      </c>
      <c r="AE1252" t="inlineStr">
        <is>
          <t>100% Full Payment - Nov. 7, 2025</t>
        </is>
      </c>
      <c r="AF1252" s="2"/>
      <c r="AG1252" t="inlineStr">
        <is>
          <t>NzQyNTk5MTgyNzQ4MTg3MDM0MTo0MkU5MzZDQy1BRDU4LTQzNTgtQjNFQS1BOTNGN0U2NkNGNUMtMTo1ZGQxZmNhZDNmNWY2NTE1YTNjNmUxZGYyMmE4NmIzMzox</t>
        </is>
      </c>
      <c r="AH1252" t="inlineStr">
        <is>
          <t>Ej Cezar Falogme</t>
        </is>
      </c>
      <c r="AI1252"/>
      <c r="AJ1252" t="inlineStr">
        <is>
          <t>LIQUIDITY PLAN (PAR # 202505160019 / 2025TEG-P0041)
FOR RENTAL/ FABRICATION/ PRODUCTION &gt;
Group Draw &amp; Creator Rumble Pt. 1 &gt;
Broadcast Technical Package
Total Remaining Budget = Php 34,800.00
Actual Cost = Php 3,600.00
Balance = Php 31,200.00</t>
        </is>
      </c>
      <c r="AK1252"/>
    </row>
    <row r="1253" ht="25.5" customHeight="1">
      <c r="A1253" s="2" t="str">
        <f>=HYPERLINK("https://applink.larksuite.com/client/mini_program/open?appId=cli_9c7cc8a9a9edd105&amp;mode=appCenter&amp;path_pc=pc/pages/requested/index?instanceId=7568787767996501727&amp;source=bitable&amp;path=pages/detail/index?instanceId=7568787767996501727&amp;source=bitable", "202511040090")</f>
        <v>202511040090</v>
      </c>
      <c r="B1253" t="inlineStr">
        <is>
          <t>Approved</t>
        </is>
      </c>
      <c r="C1253" t="inlineStr">
        <is>
          <t>Procurement Order</t>
        </is>
      </c>
      <c r="D1253" s="3">
        <v>45965.695914351854</v>
      </c>
      <c r="E1253" s="3">
        <v>45965.7400462963</v>
      </c>
      <c r="F1253" t="inlineStr">
        <is>
          <t>Fatima Kathleen M. FLores</t>
        </is>
      </c>
      <c r="G1253" t="inlineStr">
        <is>
          <t>Procurement</t>
        </is>
      </c>
      <c r="H1253"/>
      <c r="I1253"/>
      <c r="J1253" t="inlineStr">
        <is>
          <t>Project</t>
        </is>
      </c>
      <c r="K1253" t="inlineStr">
        <is>
          <t>PDEI - Game Marketing</t>
        </is>
      </c>
      <c r="L1253" t="inlineStr">
        <is>
          <t>WCG 2025 Creator Rumble</t>
        </is>
      </c>
      <c r="M1253" t="inlineStr">
        <is>
          <t>2025TEG-P0041</t>
        </is>
      </c>
      <c r="N1253" t="inlineStr">
        <is>
          <t>Maura Aurel Atilano Yap</t>
        </is>
      </c>
      <c r="O1253" t="inlineStr">
        <is>
          <t>202510170105-Maura Aurel Atilano Yap-费用报销 - 副本 - 副本 - 副本-2025-10-17 12:42:56</t>
        </is>
      </c>
      <c r="P1253" t="inlineStr">
        <is>
          <t>YES</t>
        </is>
      </c>
      <c r="Q1253"/>
      <c r="R1253" t="inlineStr">
        <is>
          <t>NO</t>
        </is>
      </c>
      <c r="S1253" t="inlineStr">
        <is>
          <t>Outsourced Broadcast Assistant</t>
        </is>
      </c>
      <c r="T1253">
        <v>1</v>
      </c>
      <c r="U1253">
        <v>3600</v>
      </c>
      <c r="V1253" t="inlineStr">
        <is>
          <t>PHP</t>
        </is>
      </c>
      <c r="W1253">
        <v>3600</v>
      </c>
      <c r="X1253" s="2" t="str">
        <f>=HYPERLINK("https://www.larksuite.com/approval/admin/previewAttachment?key=PMgxCgIxFATQK838_PzJeBkbl6DFgiDoWuTsgsW2rwZRo7OVkWYYXOo1NKSSXR1UaMWiZIhqWNs-rxmfL5zHfkw-H1zv-21uL3YrAmqZbQDg5fSmzLQr8Xf8AgAA__8", "2 attachment(s)")</f>
        <v>2 attachment(s)</v>
      </c>
      <c r="Y1253" t="inlineStr">
        <is>
          <t>Bank Transfer</t>
        </is>
      </c>
      <c r="Z1253" t="inlineStr">
        <is>
          <t>John Mark Ramos</t>
        </is>
      </c>
      <c r="AA1253" t="inlineStr">
        <is>
          <t>0000007591426151</t>
        </is>
      </c>
      <c r="AB1253" t="inlineStr">
        <is>
          <t>RCBC</t>
        </is>
      </c>
      <c r="AC1253" t="inlineStr">
        <is>
          <t>Camella St. Patdu Compound South Green Heights, Putatan Muntinlupa City</t>
        </is>
      </c>
      <c r="AD1253" s="4">
        <v>45955</v>
      </c>
      <c r="AE1253" t="inlineStr">
        <is>
          <t>100% Full Payment - Nov. 7, 2025</t>
        </is>
      </c>
      <c r="AF1253" s="2"/>
      <c r="AG1253" t="inlineStr">
        <is>
          <t>NzQyNTk5MTgyNzQ4MTg3MDM0MTpCNjk0MzBEMS0yMDE4LTQ2MDUtQTg0RS1DNUQ3NjBBQTFFMjgtMTphZmVjMThiZmUzNzg2MDBlZjAzZWRhZmYxY2Q2NDkzNDox</t>
        </is>
      </c>
      <c r="AH1253" t="inlineStr">
        <is>
          <t>John Mark Ramos</t>
        </is>
      </c>
      <c r="AI1253"/>
      <c r="AJ1253" t="inlineStr">
        <is>
          <t>LIQUIDITY PLAN (PAR # 202505160019 / 2025TEG-P0041)
FOR RENTAL/ FABRICATION/ PRODUCTION &gt;
Group Draw &amp; Creator Rumble Pt. 1 &gt;
Broadcast Technical Package
Total Remaining Budget = Php 38,400.00
Actual Cost = Php 3,600.00
Balance = Php 34,800.00</t>
        </is>
      </c>
      <c r="AK1253"/>
    </row>
    <row r="1254" ht="25.5" customHeight="1">
      <c r="A1254" s="2" t="str">
        <f>=HYPERLINK("https://applink.larksuite.com/client/mini_program/open?appId=cli_9c7cc8a9a9edd105&amp;mode=appCenter&amp;path_pc=pc/pages/requested/index?instanceId=7568786762730852061&amp;source=bitable&amp;path=pages/detail/index?instanceId=7568786762730852061&amp;source=bitable", "202511040088")</f>
        <v>202511040088</v>
      </c>
      <c r="B1254" t="inlineStr">
        <is>
          <t>Approved</t>
        </is>
      </c>
      <c r="C1254" t="inlineStr">
        <is>
          <t>Procurement Order</t>
        </is>
      </c>
      <c r="D1254" s="3">
        <v>45965.69320601852</v>
      </c>
      <c r="E1254" s="3">
        <v>45965.73954861111</v>
      </c>
      <c r="F1254" t="inlineStr">
        <is>
          <t>Fatima Kathleen M. FLores</t>
        </is>
      </c>
      <c r="G1254" t="inlineStr">
        <is>
          <t>Procurement</t>
        </is>
      </c>
      <c r="H1254"/>
      <c r="I1254"/>
      <c r="J1254" t="inlineStr">
        <is>
          <t>Project</t>
        </is>
      </c>
      <c r="K1254" t="inlineStr">
        <is>
          <t>PDEI - Game Marketing</t>
        </is>
      </c>
      <c r="L1254" t="inlineStr">
        <is>
          <t>WCG 2025 Creator Rumble</t>
        </is>
      </c>
      <c r="M1254" t="inlineStr">
        <is>
          <t>2025TEG-P0041</t>
        </is>
      </c>
      <c r="N1254" t="inlineStr">
        <is>
          <t>Maura Aurel Atilano Yap</t>
        </is>
      </c>
      <c r="O1254" t="inlineStr">
        <is>
          <t>202510170105-Maura Aurel Atilano Yap-费用报销 - 副本 - 副本 - 副本-2025-10-17 12:42:56</t>
        </is>
      </c>
      <c r="P1254" t="inlineStr">
        <is>
          <t>YES</t>
        </is>
      </c>
      <c r="Q1254"/>
      <c r="R1254" t="inlineStr">
        <is>
          <t>NO</t>
        </is>
      </c>
      <c r="S1254" t="inlineStr">
        <is>
          <t>Outsourced Lead Technical Assistant</t>
        </is>
      </c>
      <c r="T1254">
        <v>1</v>
      </c>
      <c r="U1254">
        <v>6600</v>
      </c>
      <c r="V1254" t="inlineStr">
        <is>
          <t>PHP</t>
        </is>
      </c>
      <c r="W1254">
        <v>6600</v>
      </c>
      <c r="X1254" s="2" t="str">
        <f>=HYPERLINK("https://www.larksuite.com/approval/admin/previewAttachment?key=PMg5CgJhDAXgK72sL_EyNjP8CC4I4tLk7IKF7ZclyAqxbHiLNmQYWaxkKg0VipTREbJBoWH26zpe4vneeKbets_ifV6nbe0PiaYqaO5WAOTwd6O7d6fj5_gGAAD__w", "2 attachment(s)")</f>
        <v>2 attachment(s)</v>
      </c>
      <c r="Y1254" t="inlineStr">
        <is>
          <t>Bank Transfer</t>
        </is>
      </c>
      <c r="Z1254" t="inlineStr">
        <is>
          <t>John Radilh Mancao</t>
        </is>
      </c>
      <c r="AA1254" t="inlineStr">
        <is>
          <t>010060106856</t>
        </is>
      </c>
      <c r="AB1254" t="inlineStr">
        <is>
          <t>Gotyme bank</t>
        </is>
      </c>
      <c r="AC1254" t="inlineStr">
        <is>
          <t>302 A ALAGAO ST. COMEMBO, TAGUIG CITY</t>
        </is>
      </c>
      <c r="AD1254" s="4">
        <v>45954</v>
      </c>
      <c r="AE1254" t="inlineStr">
        <is>
          <t>100% Full Payment - Nov. 7, 2025</t>
        </is>
      </c>
      <c r="AF1254" s="2"/>
      <c r="AG1254" t="inlineStr">
        <is>
          <t>NzQyNTk5MTgyNzQ4MTg3MDM0MTozRkYwNTcxMS1GOTdCLTQ5NEQtQTIxMy1DQzE5RDZCQTVFNTctMToyZTMzZTk5M2QzMmFhMGEwMTE4MGYzYmI0MjJlNTg3OTox</t>
        </is>
      </c>
      <c r="AH1254" t="inlineStr">
        <is>
          <t>John Radilh Mancao</t>
        </is>
      </c>
      <c r="AI1254"/>
      <c r="AJ1254" t="inlineStr">
        <is>
          <t>LIQUIDITY PLAN (PAR # 202505160019 / 2025TEG-P0041)
FOR RENTAL/ FABRICATION/ PRODUCTION &gt;
Group Draw &amp; Creator Rumble Pt. 1 &gt;
Broadcast Technical Package
Total Remaining Budget = Php 45,000.00
Actual Cost = Php 6,600.00
Balance = Php 38,400.00</t>
        </is>
      </c>
      <c r="AK1254"/>
    </row>
    <row r="1255" ht="25.5" customHeight="1">
      <c r="A1255" s="2" t="str">
        <f>=HYPERLINK("https://applink.larksuite.com/client/mini_program/open?appId=cli_9c7cc8a9a9edd105&amp;mode=appCenter&amp;path_pc=pc/pages/requested/index?instanceId=7568785864491323100&amp;source=bitable&amp;path=pages/detail/index?instanceId=7568785864491323100&amp;source=bitable", "202511040086")</f>
        <v>202511040086</v>
      </c>
      <c r="B1255" t="inlineStr">
        <is>
          <t>Approved</t>
        </is>
      </c>
      <c r="C1255" t="inlineStr">
        <is>
          <t>Procurement Order</t>
        </is>
      </c>
      <c r="D1255" s="3">
        <v>45965.690787037034</v>
      </c>
      <c r="E1255" s="3">
        <v>45965.73908564815</v>
      </c>
      <c r="F1255" t="inlineStr">
        <is>
          <t>Fatima Kathleen M. FLores</t>
        </is>
      </c>
      <c r="G1255" t="inlineStr">
        <is>
          <t>Procurement</t>
        </is>
      </c>
      <c r="H1255"/>
      <c r="I1255"/>
      <c r="J1255" t="inlineStr">
        <is>
          <t>Project</t>
        </is>
      </c>
      <c r="K1255" t="inlineStr">
        <is>
          <t>PDEI - Game Marketing</t>
        </is>
      </c>
      <c r="L1255" t="inlineStr">
        <is>
          <t>WCG 2025 Creator Rumble</t>
        </is>
      </c>
      <c r="M1255" t="inlineStr">
        <is>
          <t>2025TEG-P0041</t>
        </is>
      </c>
      <c r="N1255" t="inlineStr">
        <is>
          <t>Maura Aurel Atilano Yap</t>
        </is>
      </c>
      <c r="O1255" t="inlineStr">
        <is>
          <t>202510170105-Maura Aurel Atilano Yap-费用报销 - 副本 - 副本 - 副本-2025-10-17 12:42:56</t>
        </is>
      </c>
      <c r="P1255" t="inlineStr">
        <is>
          <t>YES</t>
        </is>
      </c>
      <c r="Q1255"/>
      <c r="R1255" t="inlineStr">
        <is>
          <t>NO</t>
        </is>
      </c>
      <c r="S1255" t="inlineStr">
        <is>
          <t>Outsourced VMix Operator</t>
        </is>
      </c>
      <c r="T1255">
        <v>1</v>
      </c>
      <c r="U1255">
        <v>4000</v>
      </c>
      <c r="V1255" t="inlineStr">
        <is>
          <t>PHP</t>
        </is>
      </c>
      <c r="W1255">
        <v>4000</v>
      </c>
      <c r="X1255" s="2" t="str">
        <f>=HYPERLINK("https://www.larksuite.com/approval/admin/previewAttachment?key=PMgxCgJBDAXQK_0_yeQnXsbGZRFhQBB1LXJ2wcL2RRKRkxYFL44CWzNSOTPcizaMQI-mVBBl6G3t5_WBjvftuM-18Nz7db3s24OzNAZk7pYAePq7yd2rwvFzfAMAAP__", "2 attachment(s)")</f>
        <v>2 attachment(s)</v>
      </c>
      <c r="Y1255" t="inlineStr">
        <is>
          <t>Bank Transfer</t>
        </is>
      </c>
      <c r="Z1255" t="inlineStr">
        <is>
          <t>Gabriell Terrenal</t>
        </is>
      </c>
      <c r="AA1255" t="inlineStr">
        <is>
          <t>09260680055</t>
        </is>
      </c>
      <c r="AB1255" t="inlineStr">
        <is>
          <t>GCash</t>
        </is>
      </c>
      <c r="AC1255" t="inlineStr">
        <is>
          <t>Block 15 Lot 3 Rosas St Brgy. Pembo Taguig city</t>
        </is>
      </c>
      <c r="AD1255" s="4">
        <v>45955</v>
      </c>
      <c r="AE1255" t="inlineStr">
        <is>
          <t>100% Full Payment - Nov. 7, 2025</t>
        </is>
      </c>
      <c r="AF1255" s="2"/>
      <c r="AG1255" t="inlineStr">
        <is>
          <t>NzQyNTk5MTgyNzQ4MTg3MDM0MTo0NDkzQTY4Mi1DODUzLTQ4RTctQjBBMy1DRjFBNDRGMTY1OEUtMTpkNzYzYjlmYzA4Y2U3OTBmNGNmNjU1OGZjMGUzZTg0MTox</t>
        </is>
      </c>
      <c r="AH1255" t="inlineStr">
        <is>
          <t>Gabriell Terrenal</t>
        </is>
      </c>
      <c r="AI1255"/>
      <c r="AJ1255" t="inlineStr">
        <is>
          <t>LIQUIDITY PLAN (PAR # 202505160019 / 2025TEG-P0041)
FOR RENTAL/ FABRICATION/ PRODUCTION &gt;
Group Draw &amp; Creator Rumble Pt. 1 &gt;
Broadcast Technical Package
Total Remaining Budget = Php 49,000.00
Actual Cost = Php 4,000.00
Balance = Php 45,000.00</t>
        </is>
      </c>
      <c r="AK1255"/>
    </row>
    <row r="1256" ht="25.5" customHeight="1">
      <c r="A1256" s="2" t="str">
        <f>=HYPERLINK("https://applink.larksuite.com/client/mini_program/open?appId=cli_9c7cc8a9a9edd105&amp;mode=appCenter&amp;path_pc=pc/pages/requested/index?instanceId=7568792391797231325&amp;source=bitable&amp;path=pages/detail/index?instanceId=7568792391797231325&amp;source=bitable", "202511040096")</f>
        <v>202511040096</v>
      </c>
      <c r="B1256" t="inlineStr">
        <is>
          <t>Approved</t>
        </is>
      </c>
      <c r="C1256" t="inlineStr">
        <is>
          <t>Procurement Order</t>
        </is>
      </c>
      <c r="D1256" s="3">
        <v>45965.70837962963</v>
      </c>
      <c r="E1256" s="3">
        <v>45965.736863425926</v>
      </c>
      <c r="F1256" t="inlineStr">
        <is>
          <t>Fatima Kathleen M. FLores</t>
        </is>
      </c>
      <c r="G1256" t="inlineStr">
        <is>
          <t>Procurement</t>
        </is>
      </c>
      <c r="H1256"/>
      <c r="I1256"/>
      <c r="J1256" t="inlineStr">
        <is>
          <t>Project</t>
        </is>
      </c>
      <c r="K1256" t="inlineStr">
        <is>
          <t>PDEI - Game Marketing</t>
        </is>
      </c>
      <c r="L1256" t="inlineStr">
        <is>
          <t>WCG 2025 Creator Rumble</t>
        </is>
      </c>
      <c r="M1256" t="inlineStr">
        <is>
          <t>2025TEG-P0041</t>
        </is>
      </c>
      <c r="N1256" t="inlineStr">
        <is>
          <t>Maura Aurel Atilano Yap</t>
        </is>
      </c>
      <c r="O1256" t="inlineStr">
        <is>
          <t>202510170105-Maura Aurel Atilano Yap-费用报销 - 副本 - 副本 - 副本-2025-10-17 12:42:56</t>
        </is>
      </c>
      <c r="P1256" t="inlineStr">
        <is>
          <t>YES</t>
        </is>
      </c>
      <c r="Q1256"/>
      <c r="R1256" t="inlineStr">
        <is>
          <t>NO</t>
        </is>
      </c>
      <c r="S1256" t="inlineStr">
        <is>
          <t>Outsourced Game Observer</t>
        </is>
      </c>
      <c r="T1256">
        <v>1</v>
      </c>
      <c r="U1256">
        <v>3000</v>
      </c>
      <c r="V1256" t="inlineStr">
        <is>
          <t>PHP</t>
        </is>
      </c>
      <c r="W1256">
        <v>3000</v>
      </c>
      <c r="X1256" s="2" t="str">
        <f>=HYPERLINK("https://www.larksuite.com/approval/admin/previewAttachment?key=PMgxCgIxFATQK_2Z_5PJeBkbl0UQYUGMNjm7YLHt6wPRR0N2Rxl0YKn1ITMNWUwk2-KC5BCUsbbnfuX80OQx8JjH-7vm_bZvLzSLDGVVjojA5fRUVdm94u_xCwAA__8", "2 attachment(s)")</f>
        <v>2 attachment(s)</v>
      </c>
      <c r="Y1256" t="inlineStr">
        <is>
          <t>Bank Transfer</t>
        </is>
      </c>
      <c r="Z1256" t="inlineStr">
        <is>
          <t>Hans Jim San Jose De Cruz</t>
        </is>
      </c>
      <c r="AA1256" t="inlineStr">
        <is>
          <t>018991585964</t>
        </is>
      </c>
      <c r="AB1256" t="inlineStr">
        <is>
          <t>GoTyme Bank, Inc.</t>
        </is>
      </c>
      <c r="AC1256" t="inlineStr">
        <is>
          <t>19410 A Mendoza Street, Matatdo, San Isidro, Parañaque City</t>
        </is>
      </c>
      <c r="AD1256" s="4">
        <v>45955</v>
      </c>
      <c r="AE1256" t="inlineStr">
        <is>
          <t>100% Full Payment - Nov. 7, 2025</t>
        </is>
      </c>
      <c r="AF1256" s="2"/>
      <c r="AG1256" t="inlineStr">
        <is>
          <t>NzQyNTk5MTgyNzQ4MTg3MDM0MTowMjA0NzZBNS0xQkE3LTQ4NkUtOTlGQi1FMTJDODlGNEZDMEYtMTowM2JiNTllNTU5NDRkNzU1NTNiNjZkMzg4OTkwZDU1Yjox</t>
        </is>
      </c>
      <c r="AH1256" t="inlineStr">
        <is>
          <t>Hans Jim San Jose De Cruz</t>
        </is>
      </c>
      <c r="AI1256"/>
      <c r="AJ1256" t="inlineStr">
        <is>
          <t>LIQUIDITY PLAN (PAR # 202505160019 / 2025TEG-P0041)
MANPOWER &gt; Broadcast &amp; Production &gt;
Observer 1 
Total Remaining Budget = Php 3,000.00
Actual Cost = Php 3,000.00</t>
        </is>
      </c>
      <c r="AK1256"/>
    </row>
    <row r="1257" ht="25.5" customHeight="1">
      <c r="A1257" s="2" t="str">
        <f>=HYPERLINK("https://applink.larksuite.com/client/mini_program/open?appId=cli_9c7cc8a9a9edd105&amp;mode=appCenter&amp;path_pc=pc/pages/requested/index?instanceId=7568784816901082847&amp;source=bitable&amp;path=pages/detail/index?instanceId=7568784816901082847&amp;source=bitable", "202511040084")</f>
        <v>202511040084</v>
      </c>
      <c r="B1257" t="inlineStr">
        <is>
          <t>Approved</t>
        </is>
      </c>
      <c r="C1257" t="inlineStr">
        <is>
          <t>Procurement Order</t>
        </is>
      </c>
      <c r="D1257" s="3">
        <v>45965.68796296296</v>
      </c>
      <c r="E1257" s="3">
        <v>45965.73625</v>
      </c>
      <c r="F1257" t="inlineStr">
        <is>
          <t>Fatima Kathleen M. FLores</t>
        </is>
      </c>
      <c r="G1257" t="inlineStr">
        <is>
          <t>Procurement</t>
        </is>
      </c>
      <c r="H1257"/>
      <c r="I1257"/>
      <c r="J1257" t="inlineStr">
        <is>
          <t>Project</t>
        </is>
      </c>
      <c r="K1257" t="inlineStr">
        <is>
          <t>PDEI - Game Marketing</t>
        </is>
      </c>
      <c r="L1257" t="inlineStr">
        <is>
          <t>WCG 2025 Creator Rumble</t>
        </is>
      </c>
      <c r="M1257" t="inlineStr">
        <is>
          <t>2025TEG-P0041</t>
        </is>
      </c>
      <c r="N1257" t="inlineStr">
        <is>
          <t>Maura Aurel Atilano Yap</t>
        </is>
      </c>
      <c r="O1257" t="inlineStr">
        <is>
          <t>202510170105-Maura Aurel Atilano Yap-费用报销 - 副本 - 副本 - 副本-2025-10-17 12:42:56</t>
        </is>
      </c>
      <c r="P1257" t="inlineStr">
        <is>
          <t>YES</t>
        </is>
      </c>
      <c r="Q1257"/>
      <c r="R1257" t="inlineStr">
        <is>
          <t>NO</t>
        </is>
      </c>
      <c r="S1257" t="inlineStr">
        <is>
          <t>Outsourced VMix Operator</t>
        </is>
      </c>
      <c r="T1257">
        <v>1</v>
      </c>
      <c r="U1257">
        <v>4000</v>
      </c>
      <c r="V1257" t="inlineStr">
        <is>
          <t>PHP</t>
        </is>
      </c>
      <c r="W1257">
        <v>4000</v>
      </c>
      <c r="X1257" s="2" t="str">
        <f>=HYPERLINK("https://www.larksuite.com/approval/admin/previewAttachment?key=PMhBqgJBDATQK1Wl06nkX-ZvHBqHQRgQFRc5u-DC7YskIidHFLxoBbZmpNKTUSDS0tXWlAqiBnq7rX_RjvPBde7v_Zivfl4va7tzlsyg4T4SAP9-PuTuVeH4Oj4BAAD__w", "2 attachment(s)")</f>
        <v>2 attachment(s)</v>
      </c>
      <c r="Y1257" t="inlineStr">
        <is>
          <t>Bank Transfer</t>
        </is>
      </c>
      <c r="Z1257" t="inlineStr">
        <is>
          <t>Job Isaac M. Ong</t>
        </is>
      </c>
      <c r="AA1257" t="inlineStr">
        <is>
          <t>141002025240</t>
        </is>
      </c>
      <c r="AB1257" t="inlineStr">
        <is>
          <t>Chinabank</t>
        </is>
      </c>
      <c r="AC1257" t="inlineStr">
        <is>
          <t>Blk 14 Lot 52 Betel Palm Street, Whispering Palms Subdivision, Caloocan City</t>
        </is>
      </c>
      <c r="AD1257" s="4">
        <v>45955</v>
      </c>
      <c r="AE1257" t="inlineStr">
        <is>
          <t>100% Full Payment - Nov. 7, 2025</t>
        </is>
      </c>
      <c r="AF1257" s="2"/>
      <c r="AG1257" t="inlineStr">
        <is>
          <t>NzQyNTk5MTgyNzQ4MTg3MDM0MTowNTgyNzA4QS1FRjUxLTQ1NDMtQjVGQS02RUJBRTUxMDk1OTQtMTo5YmUzMzUxNTBjNWYyOTdhNjY1ZjZhMWI0N2YwZjEyMzox</t>
        </is>
      </c>
      <c r="AH1257" t="inlineStr">
        <is>
          <t>Job Isaac M. Ong</t>
        </is>
      </c>
      <c r="AI1257"/>
      <c r="AJ1257" t="inlineStr">
        <is>
          <t>LIQUIDITY PLAN (PAR # 202505160019 / 2025TEG-P0041)
FOR RENTAL/ FABRICATION/ PRODUCTION &gt;
Group Draw &amp; Creator Rumble Pt. 1 &gt;
Broadcast Technical Package
Total Remaining Budget = Php 53,000.00
Actual Cost = Php 4,000.00
Balance = Php 49,000.00</t>
        </is>
      </c>
      <c r="AK1257"/>
    </row>
    <row r="1258" ht="25.5" customHeight="1">
      <c r="A1258" s="2" t="str">
        <f>=HYPERLINK("https://applink.larksuite.com/client/mini_program/open?appId=cli_9c7cc8a9a9edd105&amp;mode=appCenter&amp;path_pc=pc/pages/requested/index?instanceId=7568430044884815585&amp;source=bitable&amp;path=pages/detail/index?instanceId=7568430044884815585&amp;source=bitable", "202511030127")</f>
        <v>202511030127</v>
      </c>
      <c r="B1258" t="inlineStr">
        <is>
          <t>Approved</t>
        </is>
      </c>
      <c r="C1258" t="inlineStr">
        <is>
          <t>Procurement Order</t>
        </is>
      </c>
      <c r="D1258" s="3">
        <v>45964.73193287037</v>
      </c>
      <c r="E1258" s="3">
        <v>45967.70552083333</v>
      </c>
      <c r="F1258" t="inlineStr">
        <is>
          <t>Fatima Kathleen M. FLores</t>
        </is>
      </c>
      <c r="G1258" t="inlineStr">
        <is>
          <t>Procurement</t>
        </is>
      </c>
      <c r="H1258"/>
      <c r="I1258"/>
      <c r="J1258" t="inlineStr">
        <is>
          <t>Project</t>
        </is>
      </c>
      <c r="K1258" t="inlineStr">
        <is>
          <t>PDEI - Event Service</t>
        </is>
      </c>
      <c r="L1258" t="inlineStr">
        <is>
          <t>MPL PH S16 - Playoffs</t>
        </is>
      </c>
      <c r="M1258" t="inlineStr">
        <is>
          <t>2025TEG-P0215</t>
        </is>
      </c>
      <c r="N1258" t="inlineStr">
        <is>
          <t>Katherine Denise Lee Sy</t>
        </is>
      </c>
      <c r="O1258" t="inlineStr">
        <is>
          <t>202510070016-Katherine Denise Lee Sy-费用报销 - 副本 - 副本 - 副本-2025-10-07 04:15:06</t>
        </is>
      </c>
      <c r="P1258" t="inlineStr">
        <is>
          <t>YES</t>
        </is>
      </c>
      <c r="Q1258"/>
      <c r="R1258" t="inlineStr">
        <is>
          <t>YES</t>
        </is>
      </c>
      <c r="S1258" t="inlineStr">
        <is>
          <t>Outsourced Logistics Associates (Ingress)</t>
        </is>
      </c>
      <c r="T1258">
        <v>1</v>
      </c>
      <c r="U1258">
        <v>64500</v>
      </c>
      <c r="V1258" t="inlineStr">
        <is>
          <t>PHP</t>
        </is>
      </c>
      <c r="W1258">
        <v>64500</v>
      </c>
      <c r="X1258" s="2" t="str">
        <f>=HYPERLINK("https://www.larksuite.com/approval/admin/previewAttachment?key=PMg7CgJhDATgK02SycvL2OyyiCIsCL9Y5OyChe0XJYhysWiwRRsy6VE0gKxiiXv56EhmIyUNsz-Pq6637hs_py69P85Zt-3YX-KdqkgjrQDI5e-WJLuD-Dm-AQAA__8", "2 attachment(s)")</f>
        <v>2 attachment(s)</v>
      </c>
      <c r="Y1258" t="inlineStr">
        <is>
          <t>Bank Transfer</t>
        </is>
      </c>
      <c r="Z1258" t="inlineStr">
        <is>
          <t>Rizel John Obong</t>
        </is>
      </c>
      <c r="AA1258" t="inlineStr">
        <is>
          <t>09709731174</t>
        </is>
      </c>
      <c r="AB1258" t="inlineStr">
        <is>
          <t>GCash</t>
        </is>
      </c>
      <c r="AC1258" t="inlineStr">
        <is>
          <t>84 Montreal St. Cubao Quezon City</t>
        </is>
      </c>
      <c r="AD1258" s="4">
        <v>45945</v>
      </c>
      <c r="AE1258" t="inlineStr">
        <is>
          <t>100% Full Payment - Nov. 7, 2025</t>
        </is>
      </c>
      <c r="AF1258" s="2"/>
      <c r="AG1258" t="inlineStr">
        <is>
          <t>NzQyNTk5MTgyNzQ4MTg3MDM0MTpDRURFMDg2RS05NTBELTQ1QkQtOTU4Ny02RDVFQkI2Qzk2ODktMTplZTcyN2Q5NzIzMjI3NzNmNTJiMmQ0MjgzYjJhNjg1Mzox</t>
        </is>
      </c>
      <c r="AH1258" t="inlineStr">
        <is>
          <t>Rizel John Obong</t>
        </is>
      </c>
      <c r="AI1258"/>
      <c r="AJ1258" t="inlineStr">
        <is>
          <t>FOR PARTICULAR 1:
LIQUIDITY PLAN (PAR # 202509020094 / 2025TEG-P0215)
4.7 Manpower Arrangement &gt; MANPOWER PIC &gt;
Logistics Ingress
Total Budget = Php 120,000.00
Actual Cost = Php 64,500.00
Balance = Php 55,500.00
FOR PARTICULAR 2 (RS CE):
LIQUIDITY PLAN (PAR # 202509020093 / 2025TEG-P0214)
REGULAR SEASON CE TAB &gt; MANPOWER LOGISTICS &gt;
Logistics Event Days
Total Remaining Budget = Php 53,550.00
Actual Cost = Php 60,000.00
Balance = (Php 6,450.00) OVER BUDGET</t>
        </is>
      </c>
      <c r="AK1258"/>
    </row>
    <row r="1259" ht="25.5" customHeight="1">
      <c r="A1259" s="2" t="str">
        <f>=HYPERLINK("https://applink.larksuite.com/client/mini_program/open?appId=cli_9c7cc8a9a9edd105&amp;mode=appCenter&amp;path_pc=pc/pages/requested/index?instanceId=7568430044884815585&amp;source=bitable&amp;path=pages/detail/index?instanceId=7568430044884815585&amp;source=bitable", "202511030127")</f>
        <v>202511030127</v>
      </c>
      <c r="B1259" t="inlineStr">
        <is>
          <t>Approved</t>
        </is>
      </c>
      <c r="C1259" t="inlineStr">
        <is>
          <t>Procurement Order</t>
        </is>
      </c>
      <c r="D1259" s="3">
        <v>45964.73193287037</v>
      </c>
      <c r="E1259" s="3">
        <v>45967.70552083333</v>
      </c>
      <c r="F1259" t="inlineStr">
        <is>
          <t>Fatima Kathleen M. FLores</t>
        </is>
      </c>
      <c r="G1259" t="inlineStr">
        <is>
          <t>Procurement</t>
        </is>
      </c>
      <c r="H1259"/>
      <c r="I1259"/>
      <c r="J1259" t="inlineStr">
        <is>
          <t>Project</t>
        </is>
      </c>
      <c r="K1259" t="inlineStr">
        <is>
          <t>PDEI - Event Service</t>
        </is>
      </c>
      <c r="L1259" t="inlineStr">
        <is>
          <t>MPL PH S16 - Playoffs</t>
        </is>
      </c>
      <c r="M1259" t="inlineStr">
        <is>
          <t>2025TEG-P0215</t>
        </is>
      </c>
      <c r="N1259" t="inlineStr">
        <is>
          <t>Katherine Denise Lee Sy</t>
        </is>
      </c>
      <c r="O1259" t="inlineStr">
        <is>
          <t>202510070016-Katherine Denise Lee Sy-费用报销 - 副本 - 副本 - 副本-2025-10-07 04:15:06</t>
        </is>
      </c>
      <c r="P1259" t="inlineStr">
        <is>
          <t>YES</t>
        </is>
      </c>
      <c r="Q1259"/>
      <c r="R1259" t="inlineStr">
        <is>
          <t>YES</t>
        </is>
      </c>
      <c r="S1259" t="inlineStr">
        <is>
          <t>Outsourced Logistics Associates (Rehearsals to Event Days)</t>
        </is>
      </c>
      <c r="T1259">
        <v>1</v>
      </c>
      <c r="U1259">
        <v>60000</v>
      </c>
      <c r="V1259" t="inlineStr">
        <is>
          <t>PHP</t>
        </is>
      </c>
      <c r="W1259">
        <v>60000</v>
      </c>
      <c r="X1259" s="2" t="str">
        <f>=HYPERLINK("https://www.larksuite.com/approval/admin/previewAttachment?key=PMgxCgJBDAXQK_2f_EwSL2OzyyKKsCCMWMzZBQvbN4oYFfTRUNMaXBmj5IBUpWJExbLFzEYyHWt_Hlebb9s3fU6bdn-ca962Y38xOs2QLnkB4OXvnpK6h_BzfgMAAP__", "1 attachment(s)")</f>
        <v>1 attachment(s)</v>
      </c>
      <c r="Y1259"/>
      <c r="Z1259"/>
      <c r="AA1259"/>
      <c r="AB1259"/>
      <c r="AC1259"/>
      <c r="AD1259" s="4"/>
      <c r="AE1259"/>
      <c r="AF1259" s="2"/>
      <c r="AG1259" t="inlineStr">
        <is>
          <t>NzQyNTk5MTgyNzQ4MTg3MDM0MTpDRURFMDg2RS05NTBELTQ1QkQtOTU4Ny02RDVFQkI2Qzk2ODktMjo0ODFkMzY2NWIzZGVkMjA3OWEyZjc1ZjFhMjk3MDkzZDox</t>
        </is>
      </c>
      <c r="AH1259"/>
      <c r="AI1259"/>
      <c r="AJ1259" t="inlineStr">
        <is>
          <t>FOR PARTICULAR 1:
LIQUIDITY PLAN (PAR # 202509020094 / 2025TEG-P0215)
4.7 Manpower Arrangement &gt; MANPOWER PIC &gt;
Logistics Ingress
Total Budget = Php 120,000.00
Actual Cost = Php 64,500.00
Balance = Php 55,500.00
FOR PARTICULAR 2 (RS CE):
LIQUIDITY PLAN (PAR # 202509020093 / 2025TEG-P0214)
REGULAR SEASON CE TAB &gt; MANPOWER LOGISTICS &gt;
Logistics Event Days
Total Remaining Budget = Php 53,550.00
Actual Cost = Php 60,000.00
Balance = (Php 6,450.00) OVER BUDGET</t>
        </is>
      </c>
      <c r="AK1259"/>
    </row>
    <row r="1260" ht="25.5" customHeight="1">
      <c r="A1260" s="2" t="str">
        <f>=HYPERLINK("https://applink.larksuite.com/client/mini_program/open?appId=cli_9c7cc8a9a9edd105&amp;mode=appCenter&amp;path_pc=pc/pages/requested/index?instanceId=7568425775372750559&amp;source=bitable&amp;path=pages/detail/index?instanceId=7568425775372750559&amp;source=bitable", "202511030121")</f>
        <v>202511030121</v>
      </c>
      <c r="B1260" t="inlineStr">
        <is>
          <t>Approved</t>
        </is>
      </c>
      <c r="C1260" t="inlineStr">
        <is>
          <t>Procurement Order</t>
        </is>
      </c>
      <c r="D1260" s="3">
        <v>45964.72041666666</v>
      </c>
      <c r="E1260" s="3">
        <v>45975.6778125</v>
      </c>
      <c r="F1260" t="inlineStr">
        <is>
          <t>Fatima Kathleen M. FLores</t>
        </is>
      </c>
      <c r="G1260" t="inlineStr">
        <is>
          <t>Procurement</t>
        </is>
      </c>
      <c r="H1260"/>
      <c r="I1260"/>
      <c r="J1260" t="inlineStr">
        <is>
          <t>Project</t>
        </is>
      </c>
      <c r="K1260" t="inlineStr">
        <is>
          <t>PDEI - Event Service</t>
        </is>
      </c>
      <c r="L1260" t="inlineStr">
        <is>
          <t>MPL PH S16 - Regular Season</t>
        </is>
      </c>
      <c r="M1260" t="inlineStr">
        <is>
          <t>2025TEG-P0214</t>
        </is>
      </c>
      <c r="N1260" t="inlineStr">
        <is>
          <t>Katherine Denise Lee Sy</t>
        </is>
      </c>
      <c r="O1260" t="inlineStr">
        <is>
          <t>202510290079-Katherine Denise Lee Sy-费用报销 - 副本 - 副本 - 副本-2025-10-29 07:03:58</t>
        </is>
      </c>
      <c r="P1260" t="inlineStr">
        <is>
          <t>YES</t>
        </is>
      </c>
      <c r="Q1260"/>
      <c r="R1260" t="inlineStr">
        <is>
          <t>YES</t>
        </is>
      </c>
      <c r="S1260" t="inlineStr">
        <is>
          <t>Outsourced Video Editor</t>
        </is>
      </c>
      <c r="T1260">
        <v>1</v>
      </c>
      <c r="U1260">
        <v>10000</v>
      </c>
      <c r="V1260" t="inlineStr">
        <is>
          <t>PHP</t>
        </is>
      </c>
      <c r="W1260">
        <v>10000</v>
      </c>
      <c r="X1260" s="2" t="str">
        <f>=HYPERLINK("https://www.larksuite.com/approval/admin/previewAttachment?key=PMg5CgJBEAXQK_1af5eXMXEY3BoaBNGgzi4YTPpyCHKEWBa8RAvSjByuQYZRGYio1hayQKGht7mfP_fbY6rGwtO_a_b7etm3l0RRFTR3GwDkdLjR3avS8Xf8AgAA__8", "2 attachment(s)")</f>
        <v>2 attachment(s)</v>
      </c>
      <c r="Y1260" t="inlineStr">
        <is>
          <t>Bank Transfer</t>
        </is>
      </c>
      <c r="Z1260" t="inlineStr">
        <is>
          <t>Mc Kenneth R. Esteban</t>
        </is>
      </c>
      <c r="AA1260" t="inlineStr">
        <is>
          <t>9619212212</t>
        </is>
      </c>
      <c r="AB1260" t="inlineStr">
        <is>
          <t>BPI</t>
        </is>
      </c>
      <c r="AC1260" t="inlineStr">
        <is>
          <t>10 Kasoy St. Pasong Tamo Quezon City</t>
        </is>
      </c>
      <c r="AD1260" s="4">
        <v>45950</v>
      </c>
      <c r="AE1260" t="inlineStr">
        <is>
          <t>100% Full Payment - Nov. 14, 2025</t>
        </is>
      </c>
      <c r="AF1260" s="2"/>
      <c r="AG1260" t="inlineStr">
        <is>
          <t>NzQyNTk5MTgyNzQ4MTg3MDM0MTpBRUQwODMxOC00ODVCLTRBMTgtOTc4MS02MTYyNTNCNzEwRkYtMTpiZThlMjA2YzYzZTU2NDMyYjlmYTVjZDg2YTdlYmVjOTox</t>
        </is>
      </c>
      <c r="AH1260" t="inlineStr">
        <is>
          <t>Mc Kenneth R. Esteban</t>
        </is>
      </c>
      <c r="AI1260"/>
      <c r="AJ1260" t="inlineStr">
        <is>
          <t>No line item in internal CE. Unbudgeted.</t>
        </is>
      </c>
      <c r="AK1260"/>
    </row>
    <row r="1261" ht="25.5" customHeight="1">
      <c r="A1261" s="2" t="str">
        <f>=HYPERLINK("https://applink.larksuite.com/client/mini_program/open?appId=cli_9c7cc8a9a9edd105&amp;mode=appCenter&amp;path_pc=pc/pages/requested/index?instanceId=7568424690419584735&amp;source=bitable&amp;path=pages/detail/index?instanceId=7568424690419584735&amp;source=bitable", "202511030120")</f>
        <v>202511030120</v>
      </c>
      <c r="B1261" t="inlineStr">
        <is>
          <t>Approved</t>
        </is>
      </c>
      <c r="C1261" t="inlineStr">
        <is>
          <t>Procurement Order</t>
        </is>
      </c>
      <c r="D1261" s="3">
        <v>45964.7175</v>
      </c>
      <c r="E1261" s="3">
        <v>45968.52300925926</v>
      </c>
      <c r="F1261" t="inlineStr">
        <is>
          <t>Fatima Kathleen M. FLores</t>
        </is>
      </c>
      <c r="G1261" t="inlineStr">
        <is>
          <t>Procurement</t>
        </is>
      </c>
      <c r="H1261"/>
      <c r="I1261"/>
      <c r="J1261" t="inlineStr">
        <is>
          <t>Project</t>
        </is>
      </c>
      <c r="K1261" t="inlineStr">
        <is>
          <t>PDEI - Event Service</t>
        </is>
      </c>
      <c r="L1261" t="inlineStr">
        <is>
          <t>MPL PH S16 - Playoffs</t>
        </is>
      </c>
      <c r="M1261" t="inlineStr">
        <is>
          <t>2025TEG-P0215</t>
        </is>
      </c>
      <c r="N1261" t="inlineStr">
        <is>
          <t>Katherine Denise Lee Sy</t>
        </is>
      </c>
      <c r="O1261" t="inlineStr">
        <is>
          <t>202510100065-Katherine Denise Lee Sy-费用报销 - 副本 - 副本 - 副本-2025-10-10 13:04:33</t>
        </is>
      </c>
      <c r="P1261" t="inlineStr">
        <is>
          <t>YES</t>
        </is>
      </c>
      <c r="Q1261"/>
      <c r="R1261" t="inlineStr">
        <is>
          <t>YES</t>
        </is>
      </c>
      <c r="S1261" t="inlineStr">
        <is>
          <t>Outsourced Broadcast Manpower (Ingress)</t>
        </is>
      </c>
      <c r="T1261">
        <v>1</v>
      </c>
      <c r="U1261">
        <v>25050</v>
      </c>
      <c r="V1261" t="inlineStr">
        <is>
          <t>PHP</t>
        </is>
      </c>
      <c r="W1261">
        <v>25050</v>
      </c>
      <c r="X1261" s="2" t="str">
        <f>=HYPERLINK("https://www.larksuite.com/approval/admin/previewAttachment?key=PMg9igJBEAXgK73qevW3l9nEptFhlAFBMaiziwamn6fA00S9wJJRkA7z5OBHpCwZaj1aIgohoeh5Xf_HduF-PG-vHdtcqx_n05p3sYoxEEpqApC_n2uQrHLi63gHAAD__w", "2 attachment(s)")</f>
        <v>2 attachment(s)</v>
      </c>
      <c r="Y1261" t="inlineStr">
        <is>
          <t>Bank Transfer</t>
        </is>
      </c>
      <c r="Z1261" t="inlineStr">
        <is>
          <t>Kenneth Singian</t>
        </is>
      </c>
      <c r="AA1261" t="inlineStr">
        <is>
          <t>09176559151</t>
        </is>
      </c>
      <c r="AB1261" t="inlineStr">
        <is>
          <t>GCash</t>
        </is>
      </c>
      <c r="AC1261" t="inlineStr">
        <is>
          <t>84 Montreal St. Cubao Quezon City</t>
        </is>
      </c>
      <c r="AD1261" s="4">
        <v>45946</v>
      </c>
      <c r="AE1261" t="inlineStr">
        <is>
          <t>100% Full Payment - Nov. 7, 2025</t>
        </is>
      </c>
      <c r="AF1261" s="2"/>
      <c r="AG1261" t="inlineStr">
        <is>
          <t>NzQyNTk5MTgyNzQ4MTg3MDM0MToxQjg3RjQ2NS1BNjQ4LTQ1REYtQjk4OC05MUY4MkFCMjg5MkItMTowMTljMTU2NWJjODM0ZmUwMjQyNzAwMmU4YmY5NThkZjox</t>
        </is>
      </c>
      <c r="AH1261" t="inlineStr">
        <is>
          <t>Kenneth Singian</t>
        </is>
      </c>
      <c r="AI1261"/>
      <c r="AJ1261" t="inlineStr">
        <is>
          <t>No line item in internal CE. Unbudgeted.</t>
        </is>
      </c>
      <c r="AK1261"/>
    </row>
    <row r="1262" ht="25.5" customHeight="1">
      <c r="A1262" s="2" t="str">
        <f>=HYPERLINK("https://applink.larksuite.com/client/mini_program/open?appId=cli_9c7cc8a9a9edd105&amp;mode=appCenter&amp;path_pc=pc/pages/requested/index?instanceId=7568437004220845788&amp;source=bitable&amp;path=pages/detail/index?instanceId=7568437004220845788&amp;source=bitable", "202511030134")</f>
        <v>202511030134</v>
      </c>
      <c r="B1262" t="inlineStr">
        <is>
          <t>Approved</t>
        </is>
      </c>
      <c r="C1262" t="inlineStr">
        <is>
          <t>Procurement Order</t>
        </is>
      </c>
      <c r="D1262" s="3">
        <v>45964.75068287037</v>
      </c>
      <c r="E1262" s="3">
        <v>45968.51421296296</v>
      </c>
      <c r="F1262" t="inlineStr">
        <is>
          <t>Fatima Kathleen M. FLores</t>
        </is>
      </c>
      <c r="G1262" t="inlineStr">
        <is>
          <t>Procurement</t>
        </is>
      </c>
      <c r="H1262"/>
      <c r="I1262"/>
      <c r="J1262" t="inlineStr">
        <is>
          <t>Project</t>
        </is>
      </c>
      <c r="K1262" t="inlineStr">
        <is>
          <t>PDEI - Event Service</t>
        </is>
      </c>
      <c r="L1262" t="inlineStr">
        <is>
          <t>MPL PH S16 - Regular Season</t>
        </is>
      </c>
      <c r="M1262" t="inlineStr">
        <is>
          <t>2025TEG-P0214</t>
        </is>
      </c>
      <c r="N1262" t="inlineStr">
        <is>
          <t>Katherine Denise Lee Sy</t>
        </is>
      </c>
      <c r="O1262" t="inlineStr">
        <is>
          <t>202510290058-Katherine Denise Lee Sy-费用报销 - 副本 - 副本 - 副本-2025-10-29 05:46:14</t>
        </is>
      </c>
      <c r="P1262" t="inlineStr">
        <is>
          <t>YES</t>
        </is>
      </c>
      <c r="Q1262"/>
      <c r="R1262" t="inlineStr">
        <is>
          <t>YES</t>
        </is>
      </c>
      <c r="S1262" t="inlineStr">
        <is>
          <t>Outsourced Mic Check Operator (Playoffs)</t>
        </is>
      </c>
      <c r="T1262">
        <v>1</v>
      </c>
      <c r="U1262">
        <v>8400</v>
      </c>
      <c r="V1262" t="inlineStr">
        <is>
          <t>PHP</t>
        </is>
      </c>
      <c r="W1262">
        <v>8400</v>
      </c>
      <c r="X1262" s="2" t="str">
        <f>=HYPERLINK("https://www.larksuite.com/approval/admin/previewAttachment?key=PMixDUIxDATQlc72JWezDA1RBEhUiMAvMjsSBe3raejZLHqBZV6wrdaTIYDuSDZlbt8mFWQK7PGY59dxe4-51j3b8YnY63qZ42mt5A4FGQnATn8PkazqxM_xDQAA__8", "2 attachment(s)")</f>
        <v>2 attachment(s)</v>
      </c>
      <c r="Y1262" t="inlineStr">
        <is>
          <t>Bank Transfer</t>
        </is>
      </c>
      <c r="Z1262" t="inlineStr">
        <is>
          <t>Kenneth Bayona</t>
        </is>
      </c>
      <c r="AA1262" t="inlineStr">
        <is>
          <t>09484380719</t>
        </is>
      </c>
      <c r="AB1262" t="inlineStr">
        <is>
          <t>Gcash</t>
        </is>
      </c>
      <c r="AC1262" t="inlineStr">
        <is>
          <t>San Nicolas 2nd, Magalang, Pampanga</t>
        </is>
      </c>
      <c r="AD1262" s="4">
        <v>45950</v>
      </c>
      <c r="AE1262" t="inlineStr">
        <is>
          <t>100% Full Payment - Nov. 7, 2025</t>
        </is>
      </c>
      <c r="AF1262" s="2"/>
      <c r="AG1262" t="inlineStr">
        <is>
          <t>NzQyNTk5MTgyNzQ4MTg3MDM0MToyNDBFM0MzMC1CN0U5LTQ5M0MtQjJDQi04MkIwRTA5NENFNkQtMTo2ZDMxNDI2ZWRmMmNkMGY5ZjRlMjdmOGFiZjM0MmJlMTox</t>
        </is>
      </c>
      <c r="AH1262" t="inlineStr">
        <is>
          <t>Kenneth Bayona</t>
        </is>
      </c>
      <c r="AI1262"/>
      <c r="AJ1262" t="inlineStr">
        <is>
          <t>LIQUIDITY PLAN (PAR # 202509020093 / 2025TEG-P0214)
REGULAR SEASON CE TAB &gt; MANPOWER EXECUTION &gt;
Mic Check / Spinner Operator - Liz Reyes
Total Remaining Budget = (Php 37,100.00) NEGATIVE
Actual Cost = Php 8,400.00
Balance = (Php 45,500.00) OVER BUDGET</t>
        </is>
      </c>
      <c r="AK1262"/>
    </row>
    <row r="1263" ht="25.5" customHeight="1">
      <c r="A1263" s="2" t="str">
        <f>=HYPERLINK("https://applink.larksuite.com/client/mini_program/open?appId=cli_9c7cc8a9a9edd105&amp;mode=appCenter&amp;path_pc=pc/pages/requested/index?instanceId=7568422007952396001&amp;source=bitable&amp;path=pages/detail/index?instanceId=7568422007952396001&amp;source=bitable", "202511030117")</f>
        <v>202511030117</v>
      </c>
      <c r="B1263" t="inlineStr">
        <is>
          <t>Approved</t>
        </is>
      </c>
      <c r="C1263" t="inlineStr">
        <is>
          <t>Procurement Order</t>
        </is>
      </c>
      <c r="D1263" s="3">
        <v>45964.71026620371</v>
      </c>
      <c r="E1263" s="3">
        <v>45967.7097337963</v>
      </c>
      <c r="F1263" t="inlineStr">
        <is>
          <t>Fatima Kathleen M. FLores</t>
        </is>
      </c>
      <c r="G1263" t="inlineStr">
        <is>
          <t>Procurement</t>
        </is>
      </c>
      <c r="H1263"/>
      <c r="I1263"/>
      <c r="J1263" t="inlineStr">
        <is>
          <t>Project</t>
        </is>
      </c>
      <c r="K1263" t="inlineStr">
        <is>
          <t>PDEI - Event Service</t>
        </is>
      </c>
      <c r="L1263" t="inlineStr">
        <is>
          <t>MPL PH S16 Addendum</t>
        </is>
      </c>
      <c r="M1263" t="inlineStr">
        <is>
          <t>2025TEG-P0269</t>
        </is>
      </c>
      <c r="N1263" t="inlineStr">
        <is>
          <t>Katherine Denise Lee Sy</t>
        </is>
      </c>
      <c r="O1263" t="inlineStr">
        <is>
          <t>202510280197-Katherine Denise Lee Sy-费用报销 - 副本 - 副本 - 副本-2025-10-28 11:25:47</t>
        </is>
      </c>
      <c r="P1263" t="inlineStr">
        <is>
          <t>YES</t>
        </is>
      </c>
      <c r="Q1263"/>
      <c r="R1263" t="inlineStr">
        <is>
          <t>YES</t>
        </is>
      </c>
      <c r="S1263" t="inlineStr">
        <is>
          <t>Outsourced Music Producer</t>
        </is>
      </c>
      <c r="T1263">
        <v>1</v>
      </c>
      <c r="U1263">
        <v>7000</v>
      </c>
      <c r="V1263" t="inlineStr">
        <is>
          <t>PHP</t>
        </is>
      </c>
      <c r="W1263">
        <v>7000</v>
      </c>
      <c r="X1263" s="2" t="str">
        <f>=HYPERLINK("https://www.larksuite.com/approval/admin/previewAttachment?key=PMgxqgJBEATQK1V193RN_cv8xGVRRBHExWTOLhiYvp5Ez8Fso8wwuDR6VgQgj0g3wBWLkiEqsbbb_n_ne3rocTkc15fXcT7t25PDioCyKicA_v08VVV2F76OTwAAAP__", "3 attachment(s)")</f>
        <v>3 attachment(s)</v>
      </c>
      <c r="Y1263" t="inlineStr">
        <is>
          <t>Bank Transfer</t>
        </is>
      </c>
      <c r="Z1263" t="inlineStr">
        <is>
          <t>Renata Elgincolin</t>
        </is>
      </c>
      <c r="AA1263" t="inlineStr">
        <is>
          <t>0081 6017 2910</t>
        </is>
      </c>
      <c r="AB1263" t="inlineStr">
        <is>
          <t>BDO</t>
        </is>
      </c>
      <c r="AC1263" t="inlineStr">
        <is>
          <t>15 Mary Grace st Metro Heights Subd Culiat QC Metro Manila</t>
        </is>
      </c>
      <c r="AD1263" s="4">
        <v>45954</v>
      </c>
      <c r="AE1263" t="inlineStr">
        <is>
          <t>100% Full Payment - Nov. 7, 2025</t>
        </is>
      </c>
      <c r="AF1263" s="2"/>
      <c r="AG1263" t="inlineStr">
        <is>
          <t>NzQyNTk5MTgyNzQ4MTg3MDM0MTpCNDRBRjhDMC0wNUYwLTQ4QTItOTI5Ri1CRjA4REUyQjc5OTMtMToyNjBhZDkyMjI3Y2YzY2I3OGQ2YjAyOGVmZjFlMDgxOTox</t>
        </is>
      </c>
      <c r="AH1263" t="inlineStr">
        <is>
          <t>Renata Elgincolin</t>
        </is>
      </c>
      <c r="AI1263"/>
      <c r="AJ1263" t="inlineStr">
        <is>
          <t>This is to be charged to a RUNNING ADDENDUM.</t>
        </is>
      </c>
      <c r="AK1263"/>
    </row>
    <row r="1264" ht="25.5" customHeight="1">
      <c r="A1264" s="2" t="str">
        <f>=HYPERLINK("https://applink.larksuite.com/client/mini_program/open?appId=cli_9c7cc8a9a9edd105&amp;mode=appCenter&amp;path_pc=pc/pages/requested/index?instanceId=7568418464830869217&amp;source=bitable&amp;path=pages/detail/index?instanceId=7568418464830869217&amp;source=bitable", "202511030115")</f>
        <v>202511030115</v>
      </c>
      <c r="B1264" t="inlineStr">
        <is>
          <t>Approved</t>
        </is>
      </c>
      <c r="C1264" t="inlineStr">
        <is>
          <t>Procurement Order</t>
        </is>
      </c>
      <c r="D1264" s="3">
        <v>45964.70071759259</v>
      </c>
      <c r="E1264" s="3">
        <v>45968.52104166667</v>
      </c>
      <c r="F1264" t="inlineStr">
        <is>
          <t>Fatima Kathleen M. FLores</t>
        </is>
      </c>
      <c r="G1264" t="inlineStr">
        <is>
          <t>Procurement</t>
        </is>
      </c>
      <c r="H1264"/>
      <c r="I1264"/>
      <c r="J1264" t="inlineStr">
        <is>
          <t>Project</t>
        </is>
      </c>
      <c r="K1264" t="inlineStr">
        <is>
          <t>PDEI - Event Service</t>
        </is>
      </c>
      <c r="L1264" t="inlineStr">
        <is>
          <t>MPL PH S16 - Regular Season</t>
        </is>
      </c>
      <c r="M1264" t="inlineStr">
        <is>
          <t>2025TEG-P0214</t>
        </is>
      </c>
      <c r="N1264" t="inlineStr">
        <is>
          <t>Katherine Denise Lee Sy</t>
        </is>
      </c>
      <c r="O1264" t="inlineStr">
        <is>
          <t>202510290035-Katherine Denise Lee Sy-费用报销 - 副本 - 副本 - 副本-2025-10-29 04:31:44</t>
        </is>
      </c>
      <c r="P1264" t="inlineStr">
        <is>
          <t>YES</t>
        </is>
      </c>
      <c r="Q1264"/>
      <c r="R1264" t="inlineStr">
        <is>
          <t>YES</t>
        </is>
      </c>
      <c r="S1264" t="inlineStr">
        <is>
          <t>Outsourced Spinner (Additional Day)</t>
        </is>
      </c>
      <c r="T1264">
        <v>1</v>
      </c>
      <c r="U1264">
        <v>1500</v>
      </c>
      <c r="V1264" t="inlineStr">
        <is>
          <t>PHP</t>
        </is>
      </c>
      <c r="W1264">
        <v>1500</v>
      </c>
      <c r="X1264" s="2" t="str">
        <f>=HYPERLINK("https://www.larksuite.com/approval/admin/previewAttachment?key=PMgxCgJRDATQK02S-ZnEy9jsZ5EFbQS7nF2wsH1ZhqxlkQ22ecNGK4tWTFagst00PiY1ZArMfp73Hav3oSuul3wf83kc537barlDQUYBsNvfQyS7k_g5vgEAAP__", "2 attachment(s)")</f>
        <v>2 attachment(s)</v>
      </c>
      <c r="Y1264" t="inlineStr">
        <is>
          <t>Bank Transfer</t>
        </is>
      </c>
      <c r="Z1264" t="inlineStr">
        <is>
          <t>Eliah Ysabella Gomez Regio</t>
        </is>
      </c>
      <c r="AA1264" t="inlineStr">
        <is>
          <t>09155882344</t>
        </is>
      </c>
      <c r="AB1264" t="inlineStr">
        <is>
          <t>Gcash</t>
        </is>
      </c>
      <c r="AC1264" t="inlineStr">
        <is>
          <t>Tropics 4 Filinvest East Homes Cainta, Rizal</t>
        </is>
      </c>
      <c r="AD1264" s="4">
        <v>45950</v>
      </c>
      <c r="AE1264" t="inlineStr">
        <is>
          <t>100% Full Payment - Nov. 7, 2025</t>
        </is>
      </c>
      <c r="AF1264" s="2"/>
      <c r="AG1264" t="inlineStr">
        <is>
          <t>NzQyNTk5MTgyNzQ4MTg3MDM0MTozQThDNEJCNy0wNjIyLTRFQkUtQjEzQy0zNzA0NjNDMDg2RUItMTpiMmNhNTIyYTY4OTYxODM1MTJmYTBlOWI3OTMwNjczZTox</t>
        </is>
      </c>
      <c r="AH1264" t="inlineStr">
        <is>
          <t>Eliah Ysabella Gomez Regio</t>
        </is>
      </c>
      <c r="AI1264"/>
      <c r="AJ1264" t="inlineStr">
        <is>
          <t>LIQUIDITY PLAN (PAR # 202509020093 / 2025TEG-P0214)
REGULAR SEASON CE TAB &gt; MANPOWER EXECUTION &gt;
Mic Check / Spinner Operator - Liz Reyes
Total Remaining Budget = (Php 35,600.00) NEGATIVE
Actual Cost = Php 1,500.00
Balance = (Php 37,100.00) OVER BUDGET</t>
        </is>
      </c>
      <c r="AK1264"/>
    </row>
    <row r="1265" ht="25.5" customHeight="1">
      <c r="A1265" s="2" t="str">
        <f>=HYPERLINK("https://applink.larksuite.com/client/mini_program/open?appId=cli_9c7cc8a9a9edd105&amp;mode=appCenter&amp;path_pc=pc/pages/requested/index?instanceId=7568417296054505186&amp;source=bitable&amp;path=pages/detail/index?instanceId=7568417296054505186&amp;source=bitable", "202511030114")</f>
        <v>202511030114</v>
      </c>
      <c r="B1265" t="inlineStr">
        <is>
          <t>Approved</t>
        </is>
      </c>
      <c r="C1265" t="inlineStr">
        <is>
          <t>Procurement Order</t>
        </is>
      </c>
      <c r="D1265" s="3">
        <v>45964.69756944444</v>
      </c>
      <c r="E1265" s="3">
        <v>45968.51695601852</v>
      </c>
      <c r="F1265" t="inlineStr">
        <is>
          <t>Fatima Kathleen M. FLores</t>
        </is>
      </c>
      <c r="G1265" t="inlineStr">
        <is>
          <t>Procurement</t>
        </is>
      </c>
      <c r="H1265"/>
      <c r="I1265"/>
      <c r="J1265" t="inlineStr">
        <is>
          <t>Project</t>
        </is>
      </c>
      <c r="K1265" t="inlineStr">
        <is>
          <t>PDEI - Event Service</t>
        </is>
      </c>
      <c r="L1265" t="inlineStr">
        <is>
          <t>MPL PH S16 - Regular Season</t>
        </is>
      </c>
      <c r="M1265" t="inlineStr">
        <is>
          <t>2025TEG-P0214</t>
        </is>
      </c>
      <c r="N1265" t="inlineStr">
        <is>
          <t>Katherine Denise Lee Sy</t>
        </is>
      </c>
      <c r="O1265" t="inlineStr">
        <is>
          <t>202510290035-Katherine Denise Lee Sy-费用报销 - 副本 - 副本 - 副本-2025-10-29 04:31:44</t>
        </is>
      </c>
      <c r="P1265" t="inlineStr">
        <is>
          <t>YES</t>
        </is>
      </c>
      <c r="Q1265"/>
      <c r="R1265" t="inlineStr">
        <is>
          <t>YES</t>
        </is>
      </c>
      <c r="S1265" t="inlineStr">
        <is>
          <t>Outsourced EN Broadcast CG/Director (Additional Days)</t>
        </is>
      </c>
      <c r="T1265">
        <v>1</v>
      </c>
      <c r="U1265">
        <v>7500</v>
      </c>
      <c r="V1265" t="inlineStr">
        <is>
          <t>PHP</t>
        </is>
      </c>
      <c r="W1265">
        <v>7500</v>
      </c>
      <c r="X1265" s="2" t="str">
        <f>=HYPERLINK("https://www.larksuite.com/approval/admin/previewAttachment?key=PMgxDsIwFAPQK9nJ_98xl2GhqsjAhFpgyNmRGFhfDaJGspcRZjO4lDWCai5kJJKjVluUDFEda3vs15NTr4_m8fb0gXXeb_v2ZFqtQT2iDwC8_L0rIuwK_BzfAAAA__8", "2 attachment(s)")</f>
        <v>2 attachment(s)</v>
      </c>
      <c r="Y1265" t="inlineStr">
        <is>
          <t>Bank Transfer</t>
        </is>
      </c>
      <c r="Z1265" t="inlineStr">
        <is>
          <t>JUAN MIGUEL NAVARRO</t>
        </is>
      </c>
      <c r="AA1265" t="inlineStr">
        <is>
          <t>1096 7202 2709</t>
        </is>
      </c>
      <c r="AB1265" t="inlineStr">
        <is>
          <t>Unionbank</t>
        </is>
      </c>
      <c r="AC1265" t="inlineStr">
        <is>
          <t>B33 L1-B, DILIGENCE ST., GOODWILL HOMES 1, SAN BARTOLOME, NOVALICHES, QUEZON CITY</t>
        </is>
      </c>
      <c r="AD1265" s="4">
        <v>45937</v>
      </c>
      <c r="AE1265" t="inlineStr">
        <is>
          <t>100% Full Payment - Nov. 7, 2025</t>
        </is>
      </c>
      <c r="AF1265" s="2"/>
      <c r="AG1265" t="inlineStr">
        <is>
          <t>NzQyNTk5MTgyNzQ4MTg3MDM0MToyODEwMTlDOC1DODNCLTQxREMtOTYzOC00QjhGNjlFNzJEMDQtMTpkZGUwOGE1MGYxZjBjOTE2NTJkOGQ2ZGE0NjEzZmQ3Mzox</t>
        </is>
      </c>
      <c r="AH1265" t="inlineStr">
        <is>
          <t>JUAN MIGUEL NAVARRO</t>
        </is>
      </c>
      <c r="AI1265"/>
      <c r="AJ1265" t="inlineStr">
        <is>
          <t>LIQUIDITY PLAN (PAR # 202509020093 / 2025TEG-P0214)
REGULAR SEASON CE TAB &gt; MANPOWER EXECUTION &gt;
EN Broadcast CG / Director - JM Navarro
Total Remaining Budget = (Php 2,500.00) NEGATIVE
Actual Cost = Php 7,500.00
Balance = (Php 10,000.00) OVER BUDGET</t>
        </is>
      </c>
      <c r="AK1265"/>
    </row>
    <row r="1266" ht="25.5" customHeight="1">
      <c r="A1266" s="2" t="str">
        <f>=HYPERLINK("https://applink.larksuite.com/client/mini_program/open?appId=cli_9c7cc8a9a9edd105&amp;mode=appCenter&amp;path_pc=pc/pages/requested/index?instanceId=7568416213328596705&amp;source=bitable&amp;path=pages/detail/index?instanceId=7568416213328596705&amp;source=bitable", "202511030113")</f>
        <v>202511030113</v>
      </c>
      <c r="B1266" t="inlineStr">
        <is>
          <t>Approved</t>
        </is>
      </c>
      <c r="C1266" t="inlineStr">
        <is>
          <t>Procurement Order</t>
        </is>
      </c>
      <c r="D1266" s="3">
        <v>45964.694652777776</v>
      </c>
      <c r="E1266" s="3">
        <v>45968.51802083333</v>
      </c>
      <c r="F1266" t="inlineStr">
        <is>
          <t>Fatima Kathleen M. FLores</t>
        </is>
      </c>
      <c r="G1266" t="inlineStr">
        <is>
          <t>Procurement</t>
        </is>
      </c>
      <c r="H1266"/>
      <c r="I1266"/>
      <c r="J1266" t="inlineStr">
        <is>
          <t>Project</t>
        </is>
      </c>
      <c r="K1266" t="inlineStr">
        <is>
          <t>PDEI - Event Service</t>
        </is>
      </c>
      <c r="L1266" t="inlineStr">
        <is>
          <t>MPL PH S16 - Regular Season</t>
        </is>
      </c>
      <c r="M1266" t="inlineStr">
        <is>
          <t>2025TEG-P0214</t>
        </is>
      </c>
      <c r="N1266" t="inlineStr">
        <is>
          <t>Katherine Denise Lee Sy</t>
        </is>
      </c>
      <c r="O1266" t="inlineStr">
        <is>
          <t>202510290035-Katherine Denise Lee Sy-费用报销 - 副本 - 副本 - 副本-2025-10-29 04:31:44</t>
        </is>
      </c>
      <c r="P1266" t="inlineStr">
        <is>
          <t>YES</t>
        </is>
      </c>
      <c r="Q1266"/>
      <c r="R1266" t="inlineStr">
        <is>
          <t>YES</t>
        </is>
      </c>
      <c r="S1266" t="inlineStr">
        <is>
          <t>Outsourced Dynamic CG Operator (Additional Days)</t>
        </is>
      </c>
      <c r="T1266">
        <v>1</v>
      </c>
      <c r="U1266">
        <v>8400</v>
      </c>
      <c r="V1266" t="inlineStr">
        <is>
          <t>PHP</t>
        </is>
      </c>
      <c r="W1266">
        <v>8400</v>
      </c>
      <c r="X1266" s="2" t="str">
        <f>=HYPERLINK("https://www.larksuite.com/approval/admin/previewAttachment?key=PMgrDgIBDATQK830Xy6DodkgQBFY1bOTILAviohyajSsKQ1uepQxhKpS3pHwlWVmI5mKnedxffj7NCEPkXNm9nO_HfOid4og1UwLAC9_1zSz7jD8HN8AAAD__w", "2 attachment(s)")</f>
        <v>2 attachment(s)</v>
      </c>
      <c r="Y1266" t="inlineStr">
        <is>
          <t>Bank Transfer</t>
        </is>
      </c>
      <c r="Z1266" t="inlineStr">
        <is>
          <t>Jan Laurence Antonio</t>
        </is>
      </c>
      <c r="AA1266" t="inlineStr">
        <is>
          <t>1094 2724 1990</t>
        </is>
      </c>
      <c r="AB1266" t="inlineStr">
        <is>
          <t>Unionbank</t>
        </is>
      </c>
      <c r="AC1266" t="inlineStr">
        <is>
          <t>46.F. Ablola St. Tangos North Navotas City</t>
        </is>
      </c>
      <c r="AD1266" s="4">
        <v>45937</v>
      </c>
      <c r="AE1266" t="inlineStr">
        <is>
          <t>100% Full Payment - Nov. 7, 2025</t>
        </is>
      </c>
      <c r="AF1266" s="2"/>
      <c r="AG1266" t="inlineStr">
        <is>
          <t>NzQyNTk5MTgyNzQ4MTg3MDM0MTpDMDA2MUVCOC1DODA3LTQxNkQtOEIxOS04OUQ2ODUyNjFENEMtMToyNzk5MTQ3MmVmN2VjYmYwNjQ2NWQyNDI4ZWRiYzU3MDox</t>
        </is>
      </c>
      <c r="AH1266" t="inlineStr">
        <is>
          <t>Jan Laurence Antonio</t>
        </is>
      </c>
      <c r="AI1266"/>
      <c r="AJ1266" t="inlineStr">
        <is>
          <t>LIQUIDITY PLAN (PAR # 202509020093 / 2025TEG-P0214)
REGULAR SEASON CE TAB &gt; MANPOWER EXECUTION &gt;
Dynamic CG Operator  
Total Remaining Budget = (Php 2,800.00) NEGATIVE
Actual Cost = Php 8,400.00
Balance = (Php 11,200.00) OVER BUDGET</t>
        </is>
      </c>
      <c r="AK1266"/>
    </row>
    <row r="1267" ht="25.5" customHeight="1">
      <c r="A1267" s="2" t="str">
        <f>=HYPERLINK("https://applink.larksuite.com/client/mini_program/open?appId=cli_9c7cc8a9a9edd105&amp;mode=appCenter&amp;path_pc=pc/pages/requested/index?instanceId=7566961086000287452&amp;source=bitable&amp;path=pages/detail/index?instanceId=7566961086000287452&amp;source=bitable", "202510300068")</f>
        <v>202510300068</v>
      </c>
      <c r="B1267" t="inlineStr">
        <is>
          <t>Approved</t>
        </is>
      </c>
      <c r="C1267" t="inlineStr">
        <is>
          <t>Procurement Order</t>
        </is>
      </c>
      <c r="D1267" s="3">
        <v>45960.77337962963</v>
      </c>
      <c r="E1267" s="3">
        <v>45968.51925925926</v>
      </c>
      <c r="F1267" t="inlineStr">
        <is>
          <t>Fatima Kathleen M. FLores</t>
        </is>
      </c>
      <c r="G1267" t="inlineStr">
        <is>
          <t>Procurement</t>
        </is>
      </c>
      <c r="H1267"/>
      <c r="I1267"/>
      <c r="J1267" t="inlineStr">
        <is>
          <t>Project</t>
        </is>
      </c>
      <c r="K1267" t="inlineStr">
        <is>
          <t>PDEI - Event Service</t>
        </is>
      </c>
      <c r="L1267" t="inlineStr">
        <is>
          <t>MPL PH S16 - Regular Season</t>
        </is>
      </c>
      <c r="M1267" t="inlineStr">
        <is>
          <t>2025TEG-P0214</t>
        </is>
      </c>
      <c r="N1267" t="inlineStr">
        <is>
          <t>Katherine Denise Lee Sy</t>
        </is>
      </c>
      <c r="O1267" t="inlineStr">
        <is>
          <t>202508050031-Jessica Jane Lor Felicilda-费用报销 - 副本 - 副本 - 副本-2025-08-05 04:40:37</t>
        </is>
      </c>
      <c r="P1267" t="inlineStr">
        <is>
          <t>NO</t>
        </is>
      </c>
      <c r="Q1267"/>
      <c r="R1267" t="inlineStr">
        <is>
          <t>YES</t>
        </is>
      </c>
      <c r="S1267" t="inlineStr">
        <is>
          <t>Logistics Services (Egress)  (Oct. 13, 2025)</t>
        </is>
      </c>
      <c r="T1267">
        <v>1</v>
      </c>
      <c r="U1267">
        <v>28000</v>
      </c>
      <c r="V1267" t="inlineStr">
        <is>
          <t>PHP</t>
        </is>
      </c>
      <c r="W1267">
        <v>28000</v>
      </c>
      <c r="X1267" s="2" t="str">
        <f>=HYPERLINK("https://www.larksuite.com/approval/admin/previewAttachment?key=PMgxrgIxDATQK42die35l_nNriIQokLK0vjsSBS0L8oQNW2EQJkL1jkjFIYKAF7J6e1tmUJaDvT5XP_3rcfaxOG89L563451vmwq3ZGDHAXA_n4-kqQUxNfxCQAA__8", "3 attachment(s)")</f>
        <v>3 attachment(s)</v>
      </c>
      <c r="Y1267" t="inlineStr">
        <is>
          <t>Bank Transfer</t>
        </is>
      </c>
      <c r="Z1267" t="inlineStr">
        <is>
          <t>Truckrentalph Transport Logistics Inc</t>
        </is>
      </c>
      <c r="AA1267" t="inlineStr">
        <is>
          <t>121-700-001-557</t>
        </is>
      </c>
      <c r="AB1267" t="inlineStr">
        <is>
          <t>Chinabank</t>
        </is>
      </c>
      <c r="AC1267" t="inlineStr">
        <is>
          <t>3878 Daffodil St., Sun Valley Parañaque</t>
        </is>
      </c>
      <c r="AD1267" s="4">
        <v>45943</v>
      </c>
      <c r="AE1267" t="inlineStr">
        <is>
          <t>100% Full Payment upon completion of services</t>
        </is>
      </c>
      <c r="AF1267" s="2"/>
      <c r="AG1267" t="inlineStr">
        <is>
          <t>NzQyNTk5MTgyNzQ4MTg3MDM0MTo2MTMxMDQ3QS02NzUyLTQ1QkQtOEQ4OS0xN0Y5QjFDRDhBRjktMTpkZDEyNjMxMjE4MjBhZGZhMWJiNTBlNzlkMDA5MDEwYjox</t>
        </is>
      </c>
      <c r="AH1267" t="inlineStr">
        <is>
          <t>Truckrentalph Transport Logistics Inc.</t>
        </is>
      </c>
      <c r="AI1267"/>
      <c r="AJ1267" t="inlineStr">
        <is>
          <t>LIQUIDITY PLAN (PAR # 202509020093 / 2025TEG-P0214)
REGULAR SEASON CE TAB &gt; 1.1 Logistic Production&gt;
INGRESS  &amp; EGRESS Mobilization (from MET)
Total Remaining Budget = Php 12,150.25
Actual Cost = Php 28,000.00
Balance = (Php 15,849.75) OVER BUDGET</t>
        </is>
      </c>
      <c r="AK1267"/>
    </row>
    <row r="1268" ht="25.5" customHeight="1">
      <c r="A1268" s="2" t="str">
        <f>=HYPERLINK("https://applink.larksuite.com/client/mini_program/open?appId=cli_9c7cc8a9a9edd105&amp;mode=appCenter&amp;path_pc=pc/pages/requested/index?instanceId=7568414809746673375&amp;source=bitable&amp;path=pages/detail/index?instanceId=7568414809746673375&amp;source=bitable", "202511030111")</f>
        <v>202511030111</v>
      </c>
      <c r="B1268" t="inlineStr">
        <is>
          <t>Approved</t>
        </is>
      </c>
      <c r="C1268" t="inlineStr">
        <is>
          <t>Procurement Order</t>
        </is>
      </c>
      <c r="D1268" s="3">
        <v>45964.69086805556</v>
      </c>
      <c r="E1268" s="3">
        <v>45968.5200462963</v>
      </c>
      <c r="F1268" t="inlineStr">
        <is>
          <t>Fatima Kathleen M. FLores</t>
        </is>
      </c>
      <c r="G1268" t="inlineStr">
        <is>
          <t>Procurement</t>
        </is>
      </c>
      <c r="H1268"/>
      <c r="I1268"/>
      <c r="J1268" t="inlineStr">
        <is>
          <t>Project</t>
        </is>
      </c>
      <c r="K1268" t="inlineStr">
        <is>
          <t>PDEI - Event Service</t>
        </is>
      </c>
      <c r="L1268" t="inlineStr">
        <is>
          <t>MPL PH S16 - Regular Season</t>
        </is>
      </c>
      <c r="M1268" t="inlineStr">
        <is>
          <t>2025TEG-P0214</t>
        </is>
      </c>
      <c r="N1268" t="inlineStr">
        <is>
          <t>Katherine Denise Lee Sy</t>
        </is>
      </c>
      <c r="O1268" t="inlineStr">
        <is>
          <t>202510290035-Katherine Denise Lee Sy-费用报销 - 副本 - 副本 - 副本-2025-10-29 04:31:44</t>
        </is>
      </c>
      <c r="P1268" t="inlineStr">
        <is>
          <t>YES</t>
        </is>
      </c>
      <c r="Q1268"/>
      <c r="R1268" t="inlineStr">
        <is>
          <t>YES</t>
        </is>
      </c>
      <c r="S1268" t="inlineStr">
        <is>
          <t>Outsourced Main CG Xpression Operator (Additional days)</t>
        </is>
      </c>
      <c r="T1268">
        <v>1</v>
      </c>
      <c r="U1268">
        <v>8640</v>
      </c>
      <c r="V1268" t="inlineStr">
        <is>
          <t>PHP</t>
        </is>
      </c>
      <c r="W1268">
        <v>8640</v>
      </c>
      <c r="X1268" s="2" t="str">
        <f>=HYPERLINK("https://www.larksuite.com/approval/admin/previewAttachment?key=PMgxCgJBDAXQK_0kf_InXsbGZVBEEWTXKmcXLGxfTkPOYZEFlnnBWiMnjRMlZipCo71NKsgU6O2xzn58fHs9ed9rv3H1cb2s7W2j5A4FGROAnf4eIlmVxM_xDQAA__8", "2 attachment(s)")</f>
        <v>2 attachment(s)</v>
      </c>
      <c r="Y1268" t="inlineStr">
        <is>
          <t>Bank Transfer</t>
        </is>
      </c>
      <c r="Z1268" t="inlineStr">
        <is>
          <t>Alec Roi Dolorso</t>
        </is>
      </c>
      <c r="AA1268" t="inlineStr">
        <is>
          <t>0000049934563</t>
        </is>
      </c>
      <c r="AB1268" t="inlineStr">
        <is>
          <t>Security Bank</t>
        </is>
      </c>
      <c r="AC1268" t="inlineStr">
        <is>
          <t>22B Virginia Drive. Rodriguez Subd. Baesa Quezon City</t>
        </is>
      </c>
      <c r="AD1268" s="4">
        <v>45889</v>
      </c>
      <c r="AE1268" t="inlineStr">
        <is>
          <t>100% Full Payment - Nov. 7, 2025</t>
        </is>
      </c>
      <c r="AF1268" s="2"/>
      <c r="AG1268" t="inlineStr">
        <is>
          <t>NzQyNTk5MTgyNzQ4MTg3MDM0MTpCREM3NEM1RC1FNjE0LTRGNzYtOEI5Mi1EQ0MwRDBDNzQxQzItMTpmNjI1ZTg1MDM5ZjMyZmMxM2Q1MjIzMWM4NThhNDM5NDox</t>
        </is>
      </c>
      <c r="AH1268" t="inlineStr">
        <is>
          <t>Alec Roi Dolorso</t>
        </is>
      </c>
      <c r="AI1268"/>
      <c r="AJ1268" t="inlineStr">
        <is>
          <t>LIQUIDITY PLAN (PAR # 202509020093 / 2025TEG-P0214)
REGULAR SEASON CE TAB &gt; MANPOWER EXECUTION &gt;
Main CG - 
Total Remaining Budget = Php 7,800.00
Actual Cost = Php 8,640.00
Balance = (Php 840.00) OVER BUDGET
^ additional work days</t>
        </is>
      </c>
      <c r="AK1268"/>
    </row>
    <row r="1269" ht="25.5" customHeight="1">
      <c r="A1269" s="2" t="str">
        <f>=HYPERLINK("https://applink.larksuite.com/client/mini_program/open?appId=cli_9c7cc8a9a9edd105&amp;mode=appCenter&amp;path_pc=pc/pages/requested/index?instanceId=7566506792755154655&amp;source=bitable&amp;path=pages/detail/index?instanceId=7566506792755154655&amp;source=bitable", "202510290047")</f>
        <v>202510290047</v>
      </c>
      <c r="B1269" t="inlineStr">
        <is>
          <t>Approved</t>
        </is>
      </c>
      <c r="C1269" t="inlineStr">
        <is>
          <t>Procurement Order</t>
        </is>
      </c>
      <c r="D1269" s="3">
        <v>45959.54914351852</v>
      </c>
      <c r="E1269" s="3">
        <v>45967.660949074074</v>
      </c>
      <c r="F1269" t="inlineStr">
        <is>
          <t>Fatima Kathleen M. FLores</t>
        </is>
      </c>
      <c r="G1269" t="inlineStr">
        <is>
          <t>Procurement</t>
        </is>
      </c>
      <c r="H1269"/>
      <c r="I1269"/>
      <c r="J1269" t="inlineStr">
        <is>
          <t>Project</t>
        </is>
      </c>
      <c r="K1269" t="inlineStr">
        <is>
          <t>PDEI - Event Service</t>
        </is>
      </c>
      <c r="L1269" t="inlineStr">
        <is>
          <t>MDL PH S6 Playoffs + Grand Finals Watch Party</t>
        </is>
      </c>
      <c r="M1269" t="inlineStr">
        <is>
          <t>2025TEG-P0197</t>
        </is>
      </c>
      <c r="N1269" t="inlineStr">
        <is>
          <t>Kervin</t>
        </is>
      </c>
      <c r="O1269" t="inlineStr">
        <is>
          <t>202510060091-Kervin-费用报销 - 副本 - 副本 - 副本-2025-10-06 09:04:07</t>
        </is>
      </c>
      <c r="P1269" t="inlineStr">
        <is>
          <t>YES</t>
        </is>
      </c>
      <c r="Q1269"/>
      <c r="R1269" t="inlineStr">
        <is>
          <t>YES</t>
        </is>
      </c>
      <c r="S1269" t="inlineStr">
        <is>
          <t>Outsourced Head Referee</t>
        </is>
      </c>
      <c r="T1269">
        <v>1</v>
      </c>
      <c r="U1269">
        <v>7200</v>
      </c>
      <c r="V1269" t="inlineStr">
        <is>
          <t>PHP</t>
        </is>
      </c>
      <c r="W1269">
        <v>7200</v>
      </c>
      <c r="X1269" s="2" t="str">
        <f>=HYPERLINK("https://www.larksuite.com/approval/admin/previewAttachment?key=PMgxrsJADATQK429Y8_6X-Y3rCKKBEVCCjQ-OxIF7ctpyBk2ssAyL1grMgOpckVYMCPa26SCTAO9ju2f_jp5PrSvdVzvva_7bVtPi5I7NMgxAdjfz4dIViXxdXwCAAD__w", "2 attachment(s)")</f>
        <v>2 attachment(s)</v>
      </c>
      <c r="Y1269" t="inlineStr">
        <is>
          <t>Bank Transfer</t>
        </is>
      </c>
      <c r="Z1269" t="inlineStr">
        <is>
          <t>Mico Tabernilla</t>
        </is>
      </c>
      <c r="AA1269" t="inlineStr">
        <is>
          <t>303-900-2977</t>
        </is>
      </c>
      <c r="AB1269" t="inlineStr">
        <is>
          <t>BPI</t>
        </is>
      </c>
      <c r="AC1269" t="inlineStr">
        <is>
          <t>4004 Yague St. Brgy Tejeros, Makati City</t>
        </is>
      </c>
      <c r="AD1269" s="4">
        <v>45947</v>
      </c>
      <c r="AE1269" t="inlineStr">
        <is>
          <t>100% Full Payment - Nov. 7, 2025</t>
        </is>
      </c>
      <c r="AF1269" s="2"/>
      <c r="AG1269" t="inlineStr">
        <is>
          <t>NzQyNTk5MTgyNzQ4MTg3MDM0MTo5QTk0Q0YwMS0xMUMwLTQ4NzYtQkYyOS1BQzk5MEVGNjhCQTEtMTowMzNjYjhhZmQ2NWEyMzMzZjI3YmYzNDdiNzRkOGZlZjox</t>
        </is>
      </c>
      <c r="AH1269" t="inlineStr">
        <is>
          <t>Mico Tabernilla</t>
        </is>
      </c>
      <c r="AI1269"/>
      <c r="AJ1269" t="inlineStr">
        <is>
          <t>LIQUIDITY PLAN (PAR # 202510060066 / 2025TEG-P0197)
(ONLINE) COST ESTIMATE &gt; 4. STAGING &amp; PRODUCTION &gt;
4.3 Manpower Arrangement &gt; LEAGUE OPS (ONLINE) &gt;
Head Referee 
Total Budget = Php 6,000.00
Actual Cost = Php 7,200.00
Balance = (Php 1,200.00) OVER BUDGET</t>
        </is>
      </c>
      <c r="AK1269"/>
    </row>
    <row r="1270" ht="25.5" customHeight="1">
      <c r="A1270" s="2" t="str">
        <f>=HYPERLINK("https://applink.larksuite.com/client/mini_program/open?appId=cli_9c7cc8a9a9edd105&amp;mode=appCenter&amp;path_pc=pc/pages/requested/index?instanceId=7566508085687111388&amp;source=bitable&amp;path=pages/detail/index?instanceId=7566508085687111388&amp;source=bitable", "202510290048")</f>
        <v>202510290048</v>
      </c>
      <c r="B1270" t="inlineStr">
        <is>
          <t>Approved</t>
        </is>
      </c>
      <c r="C1270" t="inlineStr">
        <is>
          <t>Procurement Order</t>
        </is>
      </c>
      <c r="D1270" s="3">
        <v>45959.55262731481</v>
      </c>
      <c r="E1270" s="3">
        <v>45967.66006944444</v>
      </c>
      <c r="F1270" t="inlineStr">
        <is>
          <t>Fatima Kathleen M. FLores</t>
        </is>
      </c>
      <c r="G1270" t="inlineStr">
        <is>
          <t>Procurement</t>
        </is>
      </c>
      <c r="H1270"/>
      <c r="I1270"/>
      <c r="J1270" t="inlineStr">
        <is>
          <t>Project</t>
        </is>
      </c>
      <c r="K1270" t="inlineStr">
        <is>
          <t>PDEI - Event Service</t>
        </is>
      </c>
      <c r="L1270" t="inlineStr">
        <is>
          <t>MDL PH S6 Playoffs + Grand Finals Watch Party</t>
        </is>
      </c>
      <c r="M1270" t="inlineStr">
        <is>
          <t>2025TEG-P0197</t>
        </is>
      </c>
      <c r="N1270" t="inlineStr">
        <is>
          <t>Kervin</t>
        </is>
      </c>
      <c r="O1270" t="inlineStr">
        <is>
          <t>202510060091-Kervin-费用报销 - 副本 - 副本 - 副本-2025-10-06 09:04:07</t>
        </is>
      </c>
      <c r="P1270" t="inlineStr">
        <is>
          <t>YES</t>
        </is>
      </c>
      <c r="Q1270"/>
      <c r="R1270" t="inlineStr">
        <is>
          <t>YES</t>
        </is>
      </c>
      <c r="S1270" t="inlineStr">
        <is>
          <t>Outsourced Referee</t>
        </is>
      </c>
      <c r="T1270">
        <v>1</v>
      </c>
      <c r="U1270">
        <v>5700</v>
      </c>
      <c r="V1270" t="inlineStr">
        <is>
          <t>PHP</t>
        </is>
      </c>
      <c r="W1270">
        <v>5700</v>
      </c>
      <c r="X1270" s="2" t="str">
        <f>=HYPERLINK("https://www.larksuite.com/approval/admin/previewAttachment?key=PMg7CgJhDATgK838eUziZWxcFi0UQVCbnF2w2PbLIrKClg1vrgZHkRkoVGSJpFXNGkoNUYbZ7vv54zd8YXrUkyt83tfLvr0YrbUgc7cCwNPhJnfvTsff8QsAAP__", "2 attachment(s)")</f>
        <v>2 attachment(s)</v>
      </c>
      <c r="Y1270" t="inlineStr">
        <is>
          <t>Bank Transfer</t>
        </is>
      </c>
      <c r="Z1270" t="inlineStr">
        <is>
          <t>JOHN JOSEPH SANCHEZ</t>
        </is>
      </c>
      <c r="AA1270" t="inlineStr">
        <is>
          <t>2487023763</t>
        </is>
      </c>
      <c r="AB1270" t="inlineStr">
        <is>
          <t>LANDBANK</t>
        </is>
      </c>
      <c r="AC1270" t="inlineStr">
        <is>
          <t>Certeza St. Beata Pandacan, Manila</t>
        </is>
      </c>
      <c r="AD1270" s="4">
        <v>45947</v>
      </c>
      <c r="AE1270" t="inlineStr">
        <is>
          <t>100% Full Payment - Nov. 7, 2025</t>
        </is>
      </c>
      <c r="AF1270" s="2"/>
      <c r="AG1270" t="inlineStr">
        <is>
          <t>NzQyNTk5MTgyNzQ4MTg3MDM0MTpBREUyMDM1RC0xQzJDLTQyMjItOUUwQy0xQzk1NjUwMEQ5REYtMTpmZTFhY2UxYjU3MjdlNTViNzU1MzcwODRjNTk3Nzc2OTox</t>
        </is>
      </c>
      <c r="AH1270" t="inlineStr">
        <is>
          <t>JOHN JOSEPH SANCHEZ</t>
        </is>
      </c>
      <c r="AI1270"/>
      <c r="AJ1270" t="inlineStr">
        <is>
          <t>LIQUIDITY PLAN (PAR # 202510060066 / 2025TEG-P0197)
(ONLINE) COST ESTIMATE &gt; 4. STAGING &amp; PRODUCTION &gt;
4.3 Manpower Arrangement &gt; LEAGUE OPS (ONLINE) &gt;
Referee 1
Total Budget = Php 5,100.00
Actual Cost = Php 5,700.00
Balance = (Php 600.00) OVER BUDGET</t>
        </is>
      </c>
      <c r="AK1270"/>
    </row>
    <row r="1271" ht="25.5" customHeight="1">
      <c r="A1271" s="2" t="str">
        <f>=HYPERLINK("https://applink.larksuite.com/client/mini_program/open?appId=cli_9c7cc8a9a9edd105&amp;mode=appCenter&amp;path_pc=pc/pages/requested/index?instanceId=7566508756901564130&amp;source=bitable&amp;path=pages/detail/index?instanceId=7566508756901564130&amp;source=bitable", "202510290051")</f>
        <v>202510290051</v>
      </c>
      <c r="B1271" t="inlineStr">
        <is>
          <t>Approved</t>
        </is>
      </c>
      <c r="C1271" t="inlineStr">
        <is>
          <t>Procurement Order</t>
        </is>
      </c>
      <c r="D1271" s="3">
        <v>45959.554444444446</v>
      </c>
      <c r="E1271" s="3">
        <v>45967.65887731482</v>
      </c>
      <c r="F1271" t="inlineStr">
        <is>
          <t>Fatima Kathleen M. FLores</t>
        </is>
      </c>
      <c r="G1271" t="inlineStr">
        <is>
          <t>Procurement</t>
        </is>
      </c>
      <c r="H1271"/>
      <c r="I1271"/>
      <c r="J1271" t="inlineStr">
        <is>
          <t>Project</t>
        </is>
      </c>
      <c r="K1271" t="inlineStr">
        <is>
          <t>PDEI - Event Service</t>
        </is>
      </c>
      <c r="L1271" t="inlineStr">
        <is>
          <t>MDL PH S6 Playoffs + Grand Finals Watch Party</t>
        </is>
      </c>
      <c r="M1271" t="inlineStr">
        <is>
          <t>2025TEG-P0197</t>
        </is>
      </c>
      <c r="N1271" t="inlineStr">
        <is>
          <t>Kervin</t>
        </is>
      </c>
      <c r="O1271" t="inlineStr">
        <is>
          <t>202510060091-Kervin-费用报销 - 副本 - 副本 - 副本-2025-10-06 09:04:07</t>
        </is>
      </c>
      <c r="P1271" t="inlineStr">
        <is>
          <t>YES</t>
        </is>
      </c>
      <c r="Q1271"/>
      <c r="R1271" t="inlineStr">
        <is>
          <t>YES</t>
        </is>
      </c>
      <c r="S1271" t="inlineStr">
        <is>
          <t>Outsourced Referee</t>
        </is>
      </c>
      <c r="T1271">
        <v>1</v>
      </c>
      <c r="U1271">
        <v>5700</v>
      </c>
      <c r="V1271" t="inlineStr">
        <is>
          <t>PHP</t>
        </is>
      </c>
      <c r="W1271">
        <v>5700</v>
      </c>
      <c r="X1271" s="2" t="str">
        <f>=HYPERLINK("https://www.larksuite.com/approval/admin/previewAttachment?key=PMgxDsJADATAL-2e1_aZz9BwikiRNEhRGr8diYJ2YhIxnRYFFUeBnR7hmOlRoIdo6NHMLCTT0OvYnhf38z7XtH3o1tHX-7WtD71yDKRJNgHw8XdLSVUh_BzfAAAA__8", "2 attachment(s)")</f>
        <v>2 attachment(s)</v>
      </c>
      <c r="Y1271" t="inlineStr">
        <is>
          <t>Bank Transfer</t>
        </is>
      </c>
      <c r="Z1271" t="inlineStr">
        <is>
          <t>Jefferson Serrano</t>
        </is>
      </c>
      <c r="AA1271" t="inlineStr">
        <is>
          <t>109325419981</t>
        </is>
      </c>
      <c r="AB1271" t="inlineStr">
        <is>
          <t>UnionBank</t>
        </is>
      </c>
      <c r="AC1271" t="inlineStr">
        <is>
          <t>1308 Casañas Street Sampaloc Manila</t>
        </is>
      </c>
      <c r="AD1271" s="4">
        <v>45947</v>
      </c>
      <c r="AE1271" t="inlineStr">
        <is>
          <t>100% Full Payment - Nov. 7, 2025</t>
        </is>
      </c>
      <c r="AF1271" s="2"/>
      <c r="AG1271" t="inlineStr">
        <is>
          <t>NzQyNTk5MTgyNzQ4MTg3MDM0MTo4RTc3Q0JBOS0xNzk1LTQxNjYtQkE1Mi1FREYxNEE3RDlFMTctMTpmMjgzN2MyMzY4YTU5NTM3MmRjYTg2MDNhYWRkYzMzYjox</t>
        </is>
      </c>
      <c r="AH1271" t="inlineStr">
        <is>
          <t>Jefferson Serrano</t>
        </is>
      </c>
      <c r="AI1271"/>
      <c r="AJ1271" t="inlineStr">
        <is>
          <t>LIQUIDITY PLAN (PAR # 202510060066 / 2025TEG-P0197)
(ONLINE) COST ESTIMATE &gt; 4. STAGING &amp; PRODUCTION &gt;
4.3 Manpower Arrangement &gt; LEAGUE OPS (ONLINE) &gt;
Referee 3
Total Budget = Php 5,100.00
Actual Cost = Php 5,700.00
Balance = (Php 600.00) OVER BUDGET</t>
        </is>
      </c>
      <c r="AK1271"/>
    </row>
    <row r="1272" ht="25.5" customHeight="1">
      <c r="A1272" s="2" t="str">
        <f>=HYPERLINK("https://applink.larksuite.com/client/mini_program/open?appId=cli_9c7cc8a9a9edd105&amp;mode=appCenter&amp;path_pc=pc/pages/requested/index?instanceId=7568389301562511072&amp;source=bitable&amp;path=pages/detail/index?instanceId=7568389301562511072&amp;source=bitable", "202511030084")</f>
        <v>202511030084</v>
      </c>
      <c r="B1272" t="inlineStr">
        <is>
          <t>Approved</t>
        </is>
      </c>
      <c r="C1272" t="inlineStr">
        <is>
          <t>Procurement Order</t>
        </is>
      </c>
      <c r="D1272" s="3">
        <v>45964.62212962963</v>
      </c>
      <c r="E1272" s="3">
        <v>45967.66197916667</v>
      </c>
      <c r="F1272" t="inlineStr">
        <is>
          <t>Fatima Kathleen M. FLores</t>
        </is>
      </c>
      <c r="G1272" t="inlineStr">
        <is>
          <t>Procurement</t>
        </is>
      </c>
      <c r="H1272"/>
      <c r="I1272"/>
      <c r="J1272" t="inlineStr">
        <is>
          <t>Project</t>
        </is>
      </c>
      <c r="K1272" t="inlineStr">
        <is>
          <t>PDEI - Event Service</t>
        </is>
      </c>
      <c r="L1272" t="inlineStr">
        <is>
          <t>MDL PH S6 Playoffs + Grand Finals Watch Party</t>
        </is>
      </c>
      <c r="M1272" t="inlineStr">
        <is>
          <t>2025TEG-P0197</t>
        </is>
      </c>
      <c r="N1272" t="inlineStr">
        <is>
          <t>Kervin</t>
        </is>
      </c>
      <c r="O1272" t="inlineStr">
        <is>
          <t>202510150113-Kervin-费用报销 - 副本 - 副本 - 副本-2025-10-15 09:40:51</t>
        </is>
      </c>
      <c r="P1272" t="inlineStr">
        <is>
          <t>YES</t>
        </is>
      </c>
      <c r="Q1272"/>
      <c r="R1272" t="inlineStr">
        <is>
          <t>YES</t>
        </is>
      </c>
      <c r="S1272" t="inlineStr">
        <is>
          <t>Outsourced Hospitality Officer</t>
        </is>
      </c>
      <c r="T1272">
        <v>1</v>
      </c>
      <c r="U1272">
        <v>3750</v>
      </c>
      <c r="V1272" t="inlineStr">
        <is>
          <t>PHP</t>
        </is>
      </c>
      <c r="W1272">
        <v>3750</v>
      </c>
      <c r="X1272" s="2" t="str">
        <f>=HYPERLINK("https://www.larksuite.com/approval/admin/previewAttachment?key=PMixDcJQDATQle5sf983y9AkikiRCikhhWdHoqB9OYmcg56FKFqBrZHTZzk40gYJWVtTKohy9Hpsz_vcr1t7fXQdhqXP17Ktb46SGeQRPgHw8XdXRFRl4Of4BgAA__8", "2 attachment(s)")</f>
        <v>2 attachment(s)</v>
      </c>
      <c r="Y1272" t="inlineStr">
        <is>
          <t>Bank Transfer</t>
        </is>
      </c>
      <c r="Z1272" t="inlineStr">
        <is>
          <t>Aldrin James Varona</t>
        </is>
      </c>
      <c r="AA1272" t="inlineStr">
        <is>
          <t>09935644135</t>
        </is>
      </c>
      <c r="AB1272" t="inlineStr">
        <is>
          <t>GCash</t>
        </is>
      </c>
      <c r="AC1272" t="inlineStr">
        <is>
          <t>Blk 1 Q Lot 37 Phase 3 E1 Barangay 14 Dagat Dagatan Caloocan City</t>
        </is>
      </c>
      <c r="AD1272" s="4">
        <v>45951</v>
      </c>
      <c r="AE1272" t="inlineStr">
        <is>
          <t>100% Full payment - Nov. 7, 2025</t>
        </is>
      </c>
      <c r="AF1272" s="2"/>
      <c r="AG1272" t="inlineStr">
        <is>
          <t>NzQyNTk5MTgyNzQ4MTg3MDM0MTo5QUUyQ0U4MC1FMEVFLTQwRkEtOTk4MC05N0QxRjg2QUI0RjgtMTo5ZDJkZmUyMWNmOGVlYTBhOWNmMWMzM2VmNTQ3ODI3ODox</t>
        </is>
      </c>
      <c r="AH1272" t="inlineStr">
        <is>
          <t>Aldrin James Varona</t>
        </is>
      </c>
      <c r="AI1272"/>
      <c r="AJ1272" t="inlineStr">
        <is>
          <t>LIQUIDITY PLAN (PAR # 202510060066 / 2025TEG-P0197)
(ONLINE) COST ESTIMATE &gt; 8. MPL FESTIVAL &gt;
Hospitality
Total Budget = Php 2,000.00
Actual Cost = Php 3,750.00
Balance = (Php 1,750.00) OVER BUDGET
^ manpower was asked to report earlier than scheduled.</t>
        </is>
      </c>
      <c r="AK1272"/>
    </row>
    <row r="1273" ht="25.5" customHeight="1">
      <c r="A1273" s="2" t="str">
        <f>=HYPERLINK("https://applink.larksuite.com/client/mini_program/open?appId=cli_9c7cc8a9a9edd105&amp;mode=appCenter&amp;path_pc=pc/pages/requested/index?instanceId=7568800726126726882&amp;source=bitable&amp;path=pages/detail/index?instanceId=7568800726126726882&amp;source=bitable", "202511040111")</f>
        <v>202511040111</v>
      </c>
      <c r="B1273" t="inlineStr">
        <is>
          <t>Approved</t>
        </is>
      </c>
      <c r="C1273" t="inlineStr">
        <is>
          <t>Procurement Order</t>
        </is>
      </c>
      <c r="D1273" s="3">
        <v>45965.730833333335</v>
      </c>
      <c r="E1273" s="3">
        <v>45965.7719212963</v>
      </c>
      <c r="F1273" t="inlineStr">
        <is>
          <t>Fatima Kathleen M. FLores</t>
        </is>
      </c>
      <c r="G1273" t="inlineStr">
        <is>
          <t>Procurement</t>
        </is>
      </c>
      <c r="H1273"/>
      <c r="I1273"/>
      <c r="J1273" t="inlineStr">
        <is>
          <t>Project</t>
        </is>
      </c>
      <c r="K1273" t="inlineStr">
        <is>
          <t>PDEI - Game Marketing</t>
        </is>
      </c>
      <c r="L1273" t="inlineStr">
        <is>
          <t>WCG 2025 Creator Rumble</t>
        </is>
      </c>
      <c r="M1273" t="inlineStr">
        <is>
          <t>2025TEG-P0041</t>
        </is>
      </c>
      <c r="N1273" t="inlineStr">
        <is>
          <t>Maura Aurel Atilano Yap</t>
        </is>
      </c>
      <c r="O1273" t="inlineStr">
        <is>
          <t>202510170105-Maura Aurel Atilano Yap-费用报销 - 副本 - 副本 - 副本-2025-10-17 12:42:56</t>
        </is>
      </c>
      <c r="P1273" t="inlineStr">
        <is>
          <t>YES</t>
        </is>
      </c>
      <c r="Q1273"/>
      <c r="R1273" t="inlineStr">
        <is>
          <t>NO</t>
        </is>
      </c>
      <c r="S1273" t="inlineStr">
        <is>
          <t>Outsourced Stage Hand</t>
        </is>
      </c>
      <c r="T1273">
        <v>1</v>
      </c>
      <c r="U1273">
        <v>3000</v>
      </c>
      <c r="V1273" t="inlineStr">
        <is>
          <t>PHP</t>
        </is>
      </c>
      <c r="W1273">
        <v>3000</v>
      </c>
      <c r="X1273" s="2" t="str">
        <f>=HYPERLINK("https://www.larksuite.com/approval/admin/previewAttachment?key=PMgxikJBEATQK1XV9HR172U28fMRQRCE0WTOLhiYviwia3JkI5pqcHtmFWAllVZWaWvTbpge2Mf9_Nd6qdfqdzxupPe6Xs7jydmW4BExCgD_fj4cEd0Z-Do-AQAA__8", "2 attachment(s)")</f>
        <v>2 attachment(s)</v>
      </c>
      <c r="Y1273" t="inlineStr">
        <is>
          <t>Bank Transfer</t>
        </is>
      </c>
      <c r="Z1273" t="inlineStr">
        <is>
          <t>John Matthew Dullas</t>
        </is>
      </c>
      <c r="AA1273" t="inlineStr">
        <is>
          <t>0922-221-2585</t>
        </is>
      </c>
      <c r="AB1273" t="inlineStr">
        <is>
          <t>Gcash</t>
        </is>
      </c>
      <c r="AC1273" t="inlineStr">
        <is>
          <t>54 Pag-asa Avenue Brgy. Katuparan Taguig City</t>
        </is>
      </c>
      <c r="AD1273" s="4">
        <v>45955</v>
      </c>
      <c r="AE1273" t="inlineStr">
        <is>
          <t>100% Full Payment - Nov. 7, 2025</t>
        </is>
      </c>
      <c r="AF1273" s="2"/>
      <c r="AG1273" t="inlineStr">
        <is>
          <t>NzQyNTk5MTgyNzQ4MTg3MDM0MTpEQzY0RjlBNS1DRTY0LTQwNTYtQjkzQy1GNDE3ODkzNEIzNjYtMTphMDlmOWNmZGM2YTExM2JjZjk0OTFmYTA4YmI1MzkyMTox</t>
        </is>
      </c>
      <c r="AH1273" t="inlineStr">
        <is>
          <t>John Matthew Dullas</t>
        </is>
      </c>
      <c r="AI1273"/>
      <c r="AJ1273" t="inlineStr">
        <is>
          <t>LIQUIDITY PLAN (PAR # 202505160019 / 2025TEG-P0041)
MANPOWER &gt; Broadcast &amp; Production &gt;
Stage Hand
Total Budget = Php 3,750.00
Actual Cost = Php 3,000.00
Balance = Php 750.00</t>
        </is>
      </c>
      <c r="AK1273"/>
    </row>
    <row r="1274" ht="25.5" customHeight="1">
      <c r="A1274" s="2" t="str">
        <f>=HYPERLINK("https://applink.larksuite.com/client/mini_program/open?appId=cli_9c7cc8a9a9edd105&amp;mode=appCenter&amp;path_pc=pc/pages/requested/index?instanceId=7566548236698128092&amp;source=bitable&amp;path=pages/detail/index?instanceId=7566548236698128092&amp;source=bitable", "202510290094")</f>
        <v>202510290094</v>
      </c>
      <c r="B1274" t="inlineStr">
        <is>
          <t>Approved</t>
        </is>
      </c>
      <c r="C1274" t="inlineStr">
        <is>
          <t>Procurement Order</t>
        </is>
      </c>
      <c r="D1274" s="3">
        <v>45959.660833333335</v>
      </c>
      <c r="E1274" s="3">
        <v>45967.656331018516</v>
      </c>
      <c r="F1274" t="inlineStr">
        <is>
          <t>Fatima Kathleen M. FLores</t>
        </is>
      </c>
      <c r="G1274" t="inlineStr">
        <is>
          <t>Procurement</t>
        </is>
      </c>
      <c r="H1274"/>
      <c r="I1274"/>
      <c r="J1274" t="inlineStr">
        <is>
          <t>Project</t>
        </is>
      </c>
      <c r="K1274" t="inlineStr">
        <is>
          <t>GG - Event Service</t>
        </is>
      </c>
      <c r="L1274" t="inlineStr">
        <is>
          <t>HOK Philippine Kings League - Fall Season</t>
        </is>
      </c>
      <c r="M1274" t="inlineStr">
        <is>
          <t>2025TEG-P0219</t>
        </is>
      </c>
      <c r="N1274" t="inlineStr">
        <is>
          <t>Frances Angelita Arreglado</t>
        </is>
      </c>
      <c r="O1274" t="inlineStr">
        <is>
          <t>202510150056-Reign Santos Fortea-费用报销 - 副本 - 副本 - 副本-2025-10-15 06:22:34</t>
        </is>
      </c>
      <c r="P1274" t="inlineStr">
        <is>
          <t>YES</t>
        </is>
      </c>
      <c r="Q1274"/>
      <c r="R1274" t="inlineStr">
        <is>
          <t>YES</t>
        </is>
      </c>
      <c r="S1274" t="inlineStr">
        <is>
          <t>Outsourced Referee (Playoffs)</t>
        </is>
      </c>
      <c r="T1274">
        <v>1</v>
      </c>
      <c r="U1274">
        <v>9900</v>
      </c>
      <c r="V1274" t="inlineStr">
        <is>
          <t>PHP</t>
        </is>
      </c>
      <c r="W1274">
        <v>9900</v>
      </c>
      <c r="X1274" s="2" t="str">
        <f>=HYPERLINK("https://www.larksuite.com/approval/admin/previewAttachment?key=PMg7CgJBEATQK1X1v72MyQ6LGwwIgkZ9dsHA9EURUU6NhjWlwUmPcCvRiC5KoWVkmNlIpmLWPu_Mz9MvvbSO5WvP-3Gc60XvFEGqmRYA3v6uaWbdYfg5vgEAAP__", "2 attachment(s)")</f>
        <v>2 attachment(s)</v>
      </c>
      <c r="Y1274" t="inlineStr">
        <is>
          <t>Bank Transfer</t>
        </is>
      </c>
      <c r="Z1274" t="inlineStr">
        <is>
          <t>Brian Angelo Rollo</t>
        </is>
      </c>
      <c r="AA1274" t="inlineStr">
        <is>
          <t>09667960353</t>
        </is>
      </c>
      <c r="AB1274" t="inlineStr">
        <is>
          <t>GCash</t>
        </is>
      </c>
      <c r="AC1274" t="inlineStr">
        <is>
          <t>51-B 17th Avenue, Cubao, Quezon City</t>
        </is>
      </c>
      <c r="AD1274" s="4">
        <v>45939</v>
      </c>
      <c r="AE1274" t="inlineStr">
        <is>
          <t>100% Full Payment - Nov. 7, 2025</t>
        </is>
      </c>
      <c r="AF1274" s="2"/>
      <c r="AG1274" t="inlineStr">
        <is>
          <t>NzQyNTk5MTgyNzQ4MTg3MDM0MTpCOUM1MEFBOC05OUE1LTQyODUtOUYwRS03M0NBRUE4NEMyRjEtMTpkMzdkYTkxMDE5NzcxMzY5YmQ1MmNiMDkyZDk3MTM3ODox</t>
        </is>
      </c>
      <c r="AH1274" t="inlineStr">
        <is>
          <t>Brian Angelo Rollo</t>
        </is>
      </c>
      <c r="AI1274"/>
      <c r="AJ1274" t="inlineStr">
        <is>
          <t>No line item in internal CE under Playoffs. Unbudgeted</t>
        </is>
      </c>
      <c r="AK1274"/>
    </row>
    <row r="1275" ht="25.5" customHeight="1">
      <c r="A1275" s="2" t="str">
        <f>=HYPERLINK("https://applink.larksuite.com/client/mini_program/open?appId=cli_9c7cc8a9a9edd105&amp;mode=appCenter&amp;path_pc=pc/pages/requested/index?instanceId=7566550347448078045&amp;source=bitable&amp;path=pages/detail/index?instanceId=7566550347448078045&amp;source=bitable", "202510290099")</f>
        <v>202510290099</v>
      </c>
      <c r="B1275" t="inlineStr">
        <is>
          <t>Approved</t>
        </is>
      </c>
      <c r="C1275" t="inlineStr">
        <is>
          <t>Procurement Order</t>
        </is>
      </c>
      <c r="D1275" s="3">
        <v>45959.6665162037</v>
      </c>
      <c r="E1275" s="3">
        <v>45967.65493055555</v>
      </c>
      <c r="F1275" t="inlineStr">
        <is>
          <t>Fatima Kathleen M. FLores</t>
        </is>
      </c>
      <c r="G1275" t="inlineStr">
        <is>
          <t>Procurement</t>
        </is>
      </c>
      <c r="H1275"/>
      <c r="I1275"/>
      <c r="J1275" t="inlineStr">
        <is>
          <t>Project</t>
        </is>
      </c>
      <c r="K1275" t="inlineStr">
        <is>
          <t>GG - Event Service</t>
        </is>
      </c>
      <c r="L1275" t="inlineStr">
        <is>
          <t>HOK Philippine Kings League - Fall Season</t>
        </is>
      </c>
      <c r="M1275" t="inlineStr">
        <is>
          <t>2025TEG-P0219</t>
        </is>
      </c>
      <c r="N1275" t="inlineStr">
        <is>
          <t>Frances Angelita Arreglado</t>
        </is>
      </c>
      <c r="O1275" t="inlineStr">
        <is>
          <t>202510150056-Reign Santos Fortea-费用报销 - 副本 - 副本 - 副本-2025-10-15 06:22:34</t>
        </is>
      </c>
      <c r="P1275" t="inlineStr">
        <is>
          <t>YES</t>
        </is>
      </c>
      <c r="Q1275"/>
      <c r="R1275" t="inlineStr">
        <is>
          <t>YES</t>
        </is>
      </c>
      <c r="S1275" t="inlineStr">
        <is>
          <t>Outsourced Referee (Playoffs)</t>
        </is>
      </c>
      <c r="T1275">
        <v>1</v>
      </c>
      <c r="U1275">
        <v>8250</v>
      </c>
      <c r="V1275" t="inlineStr">
        <is>
          <t>PHP</t>
        </is>
      </c>
      <c r="W1275">
        <v>8250</v>
      </c>
      <c r="X1275" s="2" t="str">
        <f>=HYPERLINK("https://www.larksuite.com/approval/admin/previewAttachment?key=PMgxDsIwDAXQK33H3_4xl2FpVFEoLEgRS86OxMD6shuyh3kWWNYKthSZEXCK7FAHY7VlUkEmxxrP_fqyz3ZyjnEc5_1Ra962fbwtSq1BTnoHYJe_u0hWJfFzfAMAAP__", "2 attachment(s)")</f>
        <v>2 attachment(s)</v>
      </c>
      <c r="Y1275" t="inlineStr">
        <is>
          <t>Bank Transfer</t>
        </is>
      </c>
      <c r="Z1275" t="inlineStr">
        <is>
          <t>Allan Rigates</t>
        </is>
      </c>
      <c r="AA1275" t="inlineStr">
        <is>
          <t>0135-7000-7795</t>
        </is>
      </c>
      <c r="AB1275" t="inlineStr">
        <is>
          <t>BDO</t>
        </is>
      </c>
      <c r="AC1275" t="inlineStr">
        <is>
          <t>2340 Lamesa St. Ugong Valenzuela City</t>
        </is>
      </c>
      <c r="AD1275" s="4">
        <v>45939</v>
      </c>
      <c r="AE1275" t="inlineStr">
        <is>
          <t>100% Full Payment - Nov. 7, 2025</t>
        </is>
      </c>
      <c r="AF1275" s="2"/>
      <c r="AG1275" t="inlineStr">
        <is>
          <t>NzQyNTk5MTgyNzQ4MTg3MDM0MTpCQkE4Mjk5Ny05MjFDLTQ4Q0QtOTg5Ny02MzI4MjdCNDgyQTktMTo4MDcwNTcwZGZlZmExMjJkZGY4NDVhNmJiYzQ4YmUwYzox</t>
        </is>
      </c>
      <c r="AH1275" t="inlineStr">
        <is>
          <t>Allan Rigates</t>
        </is>
      </c>
      <c r="AI1275"/>
      <c r="AJ1275" t="inlineStr">
        <is>
          <t>No line item in internal CE under Playoffs. Unbudgeted</t>
        </is>
      </c>
      <c r="AK1275"/>
    </row>
    <row r="1276" ht="25.5" customHeight="1">
      <c r="A1276" s="2" t="str">
        <f>=HYPERLINK("https://applink.larksuite.com/client/mini_program/open?appId=cli_9c7cc8a9a9edd105&amp;mode=appCenter&amp;path_pc=pc/pages/requested/index?instanceId=7566551102020194016&amp;source=bitable&amp;path=pages/detail/index?instanceId=7566551102020194016&amp;source=bitable", "202510290100")</f>
        <v>202510290100</v>
      </c>
      <c r="B1276" t="inlineStr">
        <is>
          <t>Approved</t>
        </is>
      </c>
      <c r="C1276" t="inlineStr">
        <is>
          <t>Procurement Order</t>
        </is>
      </c>
      <c r="D1276" s="3">
        <v>45959.66855324074</v>
      </c>
      <c r="E1276" s="3">
        <v>45967.65278935185</v>
      </c>
      <c r="F1276" t="inlineStr">
        <is>
          <t>Fatima Kathleen M. FLores</t>
        </is>
      </c>
      <c r="G1276" t="inlineStr">
        <is>
          <t>Procurement</t>
        </is>
      </c>
      <c r="H1276"/>
      <c r="I1276"/>
      <c r="J1276" t="inlineStr">
        <is>
          <t>Project</t>
        </is>
      </c>
      <c r="K1276" t="inlineStr">
        <is>
          <t>GG - Event Service</t>
        </is>
      </c>
      <c r="L1276" t="inlineStr">
        <is>
          <t>HOK Philippine Kings League - Fall Season</t>
        </is>
      </c>
      <c r="M1276" t="inlineStr">
        <is>
          <t>2025TEG-P0219</t>
        </is>
      </c>
      <c r="N1276" t="inlineStr">
        <is>
          <t>Frances Angelita Arreglado</t>
        </is>
      </c>
      <c r="O1276" t="inlineStr">
        <is>
          <t>202510150056-Reign Santos Fortea-费用报销 - 副本 - 副本 - 副本-2025-10-15 06:22:34</t>
        </is>
      </c>
      <c r="P1276" t="inlineStr">
        <is>
          <t>YES</t>
        </is>
      </c>
      <c r="Q1276"/>
      <c r="R1276" t="inlineStr">
        <is>
          <t>YES</t>
        </is>
      </c>
      <c r="S1276" t="inlineStr">
        <is>
          <t>Outsourced Referee (Playoffs)</t>
        </is>
      </c>
      <c r="T1276">
        <v>1</v>
      </c>
      <c r="U1276">
        <v>11550</v>
      </c>
      <c r="V1276" t="inlineStr">
        <is>
          <t>PHP</t>
        </is>
      </c>
      <c r="W1276">
        <v>11550</v>
      </c>
      <c r="X1276" s="2" t="str">
        <f>=HYPERLINK("https://www.larksuite.com/approval/admin/previewAttachment?key=PMg9igJREATgK1VV_73ey2zi8BAcYUAw67MLBqZfLiJX0LLhTTU4FZkRJASB7WCOhlWNYhnmeO7_bXRdj0vStvOc9_22jxejS0KZuy0A_Pu5lbt3p-Pr-AQAAP__", "2 attachment(s)")</f>
        <v>2 attachment(s)</v>
      </c>
      <c r="Y1276" t="inlineStr">
        <is>
          <t>Bank Transfer</t>
        </is>
      </c>
      <c r="Z1276" t="inlineStr">
        <is>
          <t>Jairard Proverbs Palon</t>
        </is>
      </c>
      <c r="AA1276" t="inlineStr">
        <is>
          <t>09367382717</t>
        </is>
      </c>
      <c r="AB1276" t="inlineStr">
        <is>
          <t>GCash</t>
        </is>
      </c>
      <c r="AC1276" t="inlineStr">
        <is>
          <t>Block 3 Lot 8, Cowslip St. Lancaster Residences, Alapan 2-A, Imus City, Cavite</t>
        </is>
      </c>
      <c r="AD1276" s="4">
        <v>45939</v>
      </c>
      <c r="AE1276" t="inlineStr">
        <is>
          <t>100% Full Payment - Nov. 7, 2025</t>
        </is>
      </c>
      <c r="AF1276" s="2"/>
      <c r="AG1276" t="inlineStr">
        <is>
          <t>NzQyNTk5MTgyNzQ4MTg3MDM0MTpENzhEQUE1Qy0yMkJDLTQ0NzEtQjBGRi1ERENGQkU1NzBFMzYtMTo5MGJkZTNjODg2ZmM2OGVkMDNiYjZlY2MzOTFlZjRiZjox</t>
        </is>
      </c>
      <c r="AH1276" t="inlineStr">
        <is>
          <t>Jairard Proverbs Palon</t>
        </is>
      </c>
      <c r="AI1276"/>
      <c r="AJ1276" t="inlineStr">
        <is>
          <t>No line item in internal CE under Playoffs. Unbudgeted</t>
        </is>
      </c>
      <c r="AK1276"/>
    </row>
    <row r="1277" ht="25.5" customHeight="1">
      <c r="A1277" s="2" t="str">
        <f>=HYPERLINK("https://applink.larksuite.com/client/mini_program/open?appId=cli_9c7cc8a9a9edd105&amp;mode=appCenter&amp;path_pc=pc/pages/requested/index?instanceId=7566551639713140445&amp;source=bitable&amp;path=pages/detail/index?instanceId=7566551639713140445&amp;source=bitable", "202510290101")</f>
        <v>202510290101</v>
      </c>
      <c r="B1277" t="inlineStr">
        <is>
          <t>Approved</t>
        </is>
      </c>
      <c r="C1277" t="inlineStr">
        <is>
          <t>Procurement Order</t>
        </is>
      </c>
      <c r="D1277" s="3">
        <v>45959.67</v>
      </c>
      <c r="E1277" s="3">
        <v>45967.65186342593</v>
      </c>
      <c r="F1277" t="inlineStr">
        <is>
          <t>Fatima Kathleen M. FLores</t>
        </is>
      </c>
      <c r="G1277" t="inlineStr">
        <is>
          <t>Procurement</t>
        </is>
      </c>
      <c r="H1277"/>
      <c r="I1277"/>
      <c r="J1277" t="inlineStr">
        <is>
          <t>Project</t>
        </is>
      </c>
      <c r="K1277" t="inlineStr">
        <is>
          <t>GG - Event Service</t>
        </is>
      </c>
      <c r="L1277" t="inlineStr">
        <is>
          <t>HOK Philippine Kings League - Fall Season</t>
        </is>
      </c>
      <c r="M1277" t="inlineStr">
        <is>
          <t>2025TEG-P0219</t>
        </is>
      </c>
      <c r="N1277" t="inlineStr">
        <is>
          <t>Frances Angelita Arreglado</t>
        </is>
      </c>
      <c r="O1277" t="inlineStr">
        <is>
          <t>202510150056-Reign Santos Fortea-费用报销 - 副本 - 副本 - 副本-2025-10-15 06:22:34</t>
        </is>
      </c>
      <c r="P1277" t="inlineStr">
        <is>
          <t>YES</t>
        </is>
      </c>
      <c r="Q1277"/>
      <c r="R1277" t="inlineStr">
        <is>
          <t>YES</t>
        </is>
      </c>
      <c r="S1277" t="inlineStr">
        <is>
          <t>Outsourced Referee (Playoffs)</t>
        </is>
      </c>
      <c r="T1277">
        <v>1</v>
      </c>
      <c r="U1277">
        <v>8250</v>
      </c>
      <c r="V1277" t="inlineStr">
        <is>
          <t>PHP</t>
        </is>
      </c>
      <c r="W1277">
        <v>8250</v>
      </c>
      <c r="X1277" s="2" t="str">
        <f>=HYPERLINK("https://www.larksuite.com/approval/admin/previewAttachment?key=PMg7CgJBEATQK1VNf2ray5i4LCqMibCsQZ9dMDB9OYmcQcuCF0eBrciMYFqJRod79GhKBVGG3tZ-PZ-P43zNtT5DKuvjftu3N6M0BmTuNgHw8neTu1el4-f4BgAA__8", "2 attachment(s)")</f>
        <v>2 attachment(s)</v>
      </c>
      <c r="Y1277" t="inlineStr">
        <is>
          <t>Bank Transfer</t>
        </is>
      </c>
      <c r="Z1277" t="inlineStr">
        <is>
          <t>Michael Joseph T. Ibarra</t>
        </is>
      </c>
      <c r="AA1277" t="inlineStr">
        <is>
          <t>09471275542</t>
        </is>
      </c>
      <c r="AB1277" t="inlineStr">
        <is>
          <t>GCash</t>
        </is>
      </c>
      <c r="AC1277" t="inlineStr">
        <is>
          <t>Block 4 Lot 15 Kasoy Street. Palmera Homes Phase 1-A. Brgy Sta Monica, Novaliches, Quezon City</t>
        </is>
      </c>
      <c r="AD1277" s="4">
        <v>45939</v>
      </c>
      <c r="AE1277" t="inlineStr">
        <is>
          <t>100% Full Payment - Nov. 7, 2025</t>
        </is>
      </c>
      <c r="AF1277" s="2"/>
      <c r="AG1277" t="inlineStr">
        <is>
          <t>NzQyNTk5MTgyNzQ4MTg3MDM0MTpFNERCOTlBRC04NkM0LTQzOEEtOTEwNS04ODQ5OEYzRUREMUMtMTo4ZjNkZjEyODc5ODNlNjFjZTQ4ZjVkOTJiM2FkYjhiYzox</t>
        </is>
      </c>
      <c r="AH1277" t="inlineStr">
        <is>
          <t>Michael Joseph T. Ibarra</t>
        </is>
      </c>
      <c r="AI1277"/>
      <c r="AJ1277" t="inlineStr">
        <is>
          <t>No line item in internal CE under Playoffs. Unbudgeted</t>
        </is>
      </c>
      <c r="AK1277"/>
    </row>
    <row r="1278" ht="25.5" customHeight="1">
      <c r="A1278" s="2" t="str">
        <f>=HYPERLINK("https://applink.larksuite.com/client/mini_program/open?appId=cli_9c7cc8a9a9edd105&amp;mode=appCenter&amp;path_pc=pc/pages/requested/index?instanceId=7566559366212488930&amp;source=bitable&amp;path=pages/detail/index?instanceId=7566559366212488930&amp;source=bitable", "202510290109")</f>
        <v>202510290109</v>
      </c>
      <c r="B1278" t="inlineStr">
        <is>
          <t>Approved</t>
        </is>
      </c>
      <c r="C1278" t="inlineStr">
        <is>
          <t>Procurement Order</t>
        </is>
      </c>
      <c r="D1278" s="3">
        <v>45959.69082175926</v>
      </c>
      <c r="E1278" s="3">
        <v>45967.65105324074</v>
      </c>
      <c r="F1278" t="inlineStr">
        <is>
          <t>Fatima Kathleen M. FLores</t>
        </is>
      </c>
      <c r="G1278" t="inlineStr">
        <is>
          <t>Procurement</t>
        </is>
      </c>
      <c r="H1278"/>
      <c r="I1278"/>
      <c r="J1278" t="inlineStr">
        <is>
          <t>Project</t>
        </is>
      </c>
      <c r="K1278" t="inlineStr">
        <is>
          <t>GG - Event Service</t>
        </is>
      </c>
      <c r="L1278" t="inlineStr">
        <is>
          <t>HOK Philippine Kings League - Fall Season</t>
        </is>
      </c>
      <c r="M1278" t="inlineStr">
        <is>
          <t>2025TEG-P0219</t>
        </is>
      </c>
      <c r="N1278" t="inlineStr">
        <is>
          <t>Frances Angelita Arreglado</t>
        </is>
      </c>
      <c r="O1278" t="inlineStr">
        <is>
          <t>202510150057-Reign Santos Fortea-费用报销 - 副本 - 副本 - 副本-2025-10-15 06:23:38</t>
        </is>
      </c>
      <c r="P1278" t="inlineStr">
        <is>
          <t>YES</t>
        </is>
      </c>
      <c r="Q1278"/>
      <c r="R1278" t="inlineStr">
        <is>
          <t>YES</t>
        </is>
      </c>
      <c r="S1278" t="inlineStr">
        <is>
          <t>Outsourced Asst. League Operations (Playoffs)</t>
        </is>
      </c>
      <c r="T1278">
        <v>1</v>
      </c>
      <c r="U1278">
        <v>8000</v>
      </c>
      <c r="V1278" t="inlineStr">
        <is>
          <t>PHP</t>
        </is>
      </c>
      <c r="W1278">
        <v>8000</v>
      </c>
      <c r="X1278" s="2" t="str">
        <f>=HYPERLINK("https://www.larksuite.com/approval/admin/previewAttachment?key=PMixDcJQDATQlc72ffsfy9AQRRCRChFoPDsSRdqX05BzWKRAmQvWNTLHUGS6OedUoL2tSiirQC_7ev3wge9z27i_Qwf6uN_W5WVD5Y4KMiYAu5weRVJK4u_4BQAA__8", "2 attachment(s)")</f>
        <v>2 attachment(s)</v>
      </c>
      <c r="Y1278" t="inlineStr">
        <is>
          <t>Bank Transfer</t>
        </is>
      </c>
      <c r="Z1278" t="inlineStr">
        <is>
          <t>Jose Mari Lim</t>
        </is>
      </c>
      <c r="AA1278" t="inlineStr">
        <is>
          <t>014732060341</t>
        </is>
      </c>
      <c r="AB1278" t="inlineStr">
        <is>
          <t>GoTyme</t>
        </is>
      </c>
      <c r="AC1278" t="inlineStr">
        <is>
          <t>4 Lauan, Project 3, Quezon City, Metro Manila</t>
        </is>
      </c>
      <c r="AD1278" s="4">
        <v>45939</v>
      </c>
      <c r="AE1278" t="inlineStr">
        <is>
          <t>100% Full Payment - Nov. 7, 2025</t>
        </is>
      </c>
      <c r="AF1278" s="2"/>
      <c r="AG1278" t="inlineStr">
        <is>
          <t>NzQyNTk5MTgyNzQ4MTg3MDM0MTpCMjk3RTZBOC1GMUVELTQxMDctQjI2RC00N0UyNzVFN0U5RDQtMTozNzgxZDUyZjlhZDdhMDIzYThhMjE1OWVlNGViOGQ0Yzox</t>
        </is>
      </c>
      <c r="AH1278" t="inlineStr">
        <is>
          <t>Jose Mari Lim</t>
        </is>
      </c>
      <c r="AI1278"/>
      <c r="AJ1278" t="inlineStr">
        <is>
          <t>No line item in internal CE under Playoffs. Unbudgeted</t>
        </is>
      </c>
      <c r="AK1278"/>
    </row>
    <row r="1279" ht="25.5" customHeight="1">
      <c r="A1279" s="2" t="str">
        <f>=HYPERLINK("https://applink.larksuite.com/client/mini_program/open?appId=cli_9c7cc8a9a9edd105&amp;mode=appCenter&amp;path_pc=pc/pages/requested/index?instanceId=7566560645370384096&amp;source=bitable&amp;path=pages/detail/index?instanceId=7566560645370384096&amp;source=bitable", "202510290111")</f>
        <v>202510290111</v>
      </c>
      <c r="B1279" t="inlineStr">
        <is>
          <t>Approved</t>
        </is>
      </c>
      <c r="C1279" t="inlineStr">
        <is>
          <t>Procurement Order</t>
        </is>
      </c>
      <c r="D1279" s="3">
        <v>45959.69427083333</v>
      </c>
      <c r="E1279" s="3">
        <v>45966.71454861111</v>
      </c>
      <c r="F1279" t="inlineStr">
        <is>
          <t>Fatima Kathleen M. FLores</t>
        </is>
      </c>
      <c r="G1279" t="inlineStr">
        <is>
          <t>Procurement</t>
        </is>
      </c>
      <c r="H1279"/>
      <c r="I1279"/>
      <c r="J1279" t="inlineStr">
        <is>
          <t>Project</t>
        </is>
      </c>
      <c r="K1279" t="inlineStr">
        <is>
          <t>GG - Event Service</t>
        </is>
      </c>
      <c r="L1279" t="inlineStr">
        <is>
          <t>HOK Philippine Kings League - Fall Season</t>
        </is>
      </c>
      <c r="M1279" t="inlineStr">
        <is>
          <t>2025TEG-P0219</t>
        </is>
      </c>
      <c r="N1279" t="inlineStr">
        <is>
          <t>Frances Angelita Arreglado</t>
        </is>
      </c>
      <c r="O1279" t="inlineStr">
        <is>
          <t>202510150058-Reign Santos Fortea-费用报销 - 副本 - 副本 - 副本-2025-10-15 06:30:38</t>
        </is>
      </c>
      <c r="P1279" t="inlineStr">
        <is>
          <t>YES</t>
        </is>
      </c>
      <c r="Q1279"/>
      <c r="R1279" t="inlineStr">
        <is>
          <t>YES</t>
        </is>
      </c>
      <c r="S1279" t="inlineStr">
        <is>
          <t>Outsourced Dynamic CG Operator (Playoffs)</t>
        </is>
      </c>
      <c r="T1279">
        <v>1</v>
      </c>
      <c r="U1279">
        <v>16750</v>
      </c>
      <c r="V1279" t="inlineStr">
        <is>
          <t>PHP</t>
        </is>
      </c>
      <c r="W1279">
        <v>16750</v>
      </c>
      <c r="X1279" s="2" t="str">
        <f>=HYPERLINK("https://www.larksuite.com/approval/admin/previewAttachment?key=PMhBCsJQDATQK01-JskfL-OmpQhSN2Kti5xdcOH25TTkDPMUKBuCdUVmJJLhBZ-EskdblVBWjl737bq8Rpwf7Hqfj_vBPm7Ltj4tVGOgnPQJwC5_9yIpJfFzfAMAAP__", "2 attachment(s)")</f>
        <v>2 attachment(s)</v>
      </c>
      <c r="Y1279" t="inlineStr">
        <is>
          <t>Bank Transfer</t>
        </is>
      </c>
      <c r="Z1279" t="inlineStr">
        <is>
          <t>Lucky Rodriguez</t>
        </is>
      </c>
      <c r="AA1279" t="inlineStr">
        <is>
          <t>9809306523</t>
        </is>
      </c>
      <c r="AB1279" t="inlineStr">
        <is>
          <t>BPI</t>
        </is>
      </c>
      <c r="AC1279" t="inlineStr">
        <is>
          <t>Purok 3 Zone 1 Lot B Gumamela Drive, Mahabang Parang, Angono Rizal</t>
        </is>
      </c>
      <c r="AD1279" s="4">
        <v>45938</v>
      </c>
      <c r="AE1279" t="inlineStr">
        <is>
          <t>100% Full Payment - Nov. 7, 2025</t>
        </is>
      </c>
      <c r="AF1279" s="2"/>
      <c r="AG1279" t="inlineStr">
        <is>
          <t>NzQyNTk5MTgyNzQ4MTg3MDM0MTpFQTRGMzc4OS0zRjc2LTQyNUItQUU5OC01RjREOEVGRDA1NkItMTpjMmZhYmFjNmRlYzVhNWM0NjcwMWNmNDg0YzcxM2ZiZjox</t>
        </is>
      </c>
      <c r="AH1279" t="inlineStr">
        <is>
          <t>Lucky Rodriguez</t>
        </is>
      </c>
      <c r="AI1279"/>
      <c r="AJ1279" t="inlineStr">
        <is>
          <t>LIQUIDITY PLAN (PAR # 202508190134 / 2025TEG-P0219)
INTERNAL 0820 COST ESTIMATE &gt; REGULAR SEASON &gt;
Labor Cost &gt; BROADCAST &amp; PRODUCTION &gt;
Dynamic CG Operator
Total Remaining Budget = Php 10,000.00
Actual Cost = Php 16,750.00
Balance = (Php 6,750.00) OVER BUDGET</t>
        </is>
      </c>
      <c r="AK1279"/>
    </row>
    <row r="1280" ht="25.5" customHeight="1">
      <c r="A1280" s="2" t="str">
        <f>=HYPERLINK("https://applink.larksuite.com/client/mini_program/open?appId=cli_9c7cc8a9a9edd105&amp;mode=appCenter&amp;path_pc=pc/pages/requested/index?instanceId=7566561805749767904&amp;source=bitable&amp;path=pages/detail/index?instanceId=7566561805749767904&amp;source=bitable", "202510290114")</f>
        <v>202510290114</v>
      </c>
      <c r="B1280" t="inlineStr">
        <is>
          <t>Approved</t>
        </is>
      </c>
      <c r="C1280" t="inlineStr">
        <is>
          <t>Procurement Order</t>
        </is>
      </c>
      <c r="D1280" s="3">
        <v>45959.69739583333</v>
      </c>
      <c r="E1280" s="3">
        <v>45967.64957175926</v>
      </c>
      <c r="F1280" t="inlineStr">
        <is>
          <t>Fatima Kathleen M. FLores</t>
        </is>
      </c>
      <c r="G1280" t="inlineStr">
        <is>
          <t>Procurement</t>
        </is>
      </c>
      <c r="H1280"/>
      <c r="I1280"/>
      <c r="J1280" t="inlineStr">
        <is>
          <t>Project</t>
        </is>
      </c>
      <c r="K1280" t="inlineStr">
        <is>
          <t>GG - Event Service</t>
        </is>
      </c>
      <c r="L1280" t="inlineStr">
        <is>
          <t>HOK Philippine Kings League - Fall Season</t>
        </is>
      </c>
      <c r="M1280" t="inlineStr">
        <is>
          <t>2025TEG-P0219</t>
        </is>
      </c>
      <c r="N1280" t="inlineStr">
        <is>
          <t>Frances Angelita Arreglado</t>
        </is>
      </c>
      <c r="O1280" t="inlineStr">
        <is>
          <t>202510150059-Reign Santos Fortea-费用报销 - 副本 - 副本 - 副本-2025-10-15 06:33:49</t>
        </is>
      </c>
      <c r="P1280" t="inlineStr">
        <is>
          <t>YES</t>
        </is>
      </c>
      <c r="Q1280"/>
      <c r="R1280" t="inlineStr">
        <is>
          <t>YES</t>
        </is>
      </c>
      <c r="S1280" t="inlineStr">
        <is>
          <t>Outsourced Game Observer</t>
        </is>
      </c>
      <c r="T1280">
        <v>1</v>
      </c>
      <c r="U1280">
        <v>13500</v>
      </c>
      <c r="V1280" t="inlineStr">
        <is>
          <t>PHP</t>
        </is>
      </c>
      <c r="W1280">
        <v>13500</v>
      </c>
      <c r="X1280" s="2" t="str">
        <f>=HYPERLINK("https://www.larksuite.com/approval/admin/previewAttachment?key=PMgxCgIxFATQK80kP38yXsbGECwUAsKuTc4uWGz7shPZG2saYRaDWy2zJTuawkoZscumZIiq2OM979S5Xjz8Pb3mGvt4Pub4sFmlQDWidgC8XV4VEXYG_o5fAAAA__8", "2 attachment(s)")</f>
        <v>2 attachment(s)</v>
      </c>
      <c r="Y1280" t="inlineStr">
        <is>
          <t>Bank Transfer</t>
        </is>
      </c>
      <c r="Z1280" t="inlineStr">
        <is>
          <t>John Radilh Mancao</t>
        </is>
      </c>
      <c r="AA1280" t="inlineStr">
        <is>
          <t>010060106856</t>
        </is>
      </c>
      <c r="AB1280" t="inlineStr">
        <is>
          <t>Gotyme Bank</t>
        </is>
      </c>
      <c r="AC1280" t="inlineStr">
        <is>
          <t>302 A ALAGAO ST. COMEMBO, TAGUIG CITY</t>
        </is>
      </c>
      <c r="AD1280" s="4">
        <v>45938</v>
      </c>
      <c r="AE1280" t="inlineStr">
        <is>
          <t>100% Full Payment - Nov. 7, 2025</t>
        </is>
      </c>
      <c r="AF1280" s="2"/>
      <c r="AG1280" t="inlineStr">
        <is>
          <t>NzQyNTk5MTgyNzQ4MTg3MDM0MTo4QTgzMzBFNy03MkI5LTQ3QzctQjBBRi03NDBFQzgwMTRCQjgtMTpiNDFjYWI4ODNmODRkNzI1YWNmOTMyYmNkZTczOGNiMzox</t>
        </is>
      </c>
      <c r="AH1280" t="inlineStr">
        <is>
          <t>John Radilh Mancao</t>
        </is>
      </c>
      <c r="AI1280"/>
      <c r="AJ1280" t="inlineStr">
        <is>
          <t>No line item in internal CE under Playoffs. Unbudgeted.</t>
        </is>
      </c>
      <c r="AK1280"/>
    </row>
    <row r="1281" ht="25.5" customHeight="1">
      <c r="A1281" s="2" t="str">
        <f>=HYPERLINK("https://applink.larksuite.com/client/mini_program/open?appId=cli_9c7cc8a9a9edd105&amp;mode=appCenter&amp;path_pc=pc/pages/requested/index?instanceId=7566583701199408862&amp;source=bitable&amp;path=pages/detail/index?instanceId=7566583701199408862&amp;source=bitable", "202510290138")</f>
        <v>202510290138</v>
      </c>
      <c r="B1281" t="inlineStr">
        <is>
          <t>Approved</t>
        </is>
      </c>
      <c r="C1281" t="inlineStr">
        <is>
          <t>Procurement Order</t>
        </is>
      </c>
      <c r="D1281" s="3">
        <v>45959.75640046296</v>
      </c>
      <c r="E1281" s="3">
        <v>45967.641435185185</v>
      </c>
      <c r="F1281" t="inlineStr">
        <is>
          <t>Fatima Kathleen M. FLores</t>
        </is>
      </c>
      <c r="G1281" t="inlineStr">
        <is>
          <t>Procurement</t>
        </is>
      </c>
      <c r="H1281"/>
      <c r="I1281"/>
      <c r="J1281" t="inlineStr">
        <is>
          <t>Project</t>
        </is>
      </c>
      <c r="K1281" t="inlineStr">
        <is>
          <t>GG - Event Service</t>
        </is>
      </c>
      <c r="L1281" t="inlineStr">
        <is>
          <t>HOK Philippine Kings League - Fall Season</t>
        </is>
      </c>
      <c r="M1281" t="inlineStr">
        <is>
          <t>2025TEG-P0219</t>
        </is>
      </c>
      <c r="N1281" t="inlineStr">
        <is>
          <t>Frances Angelita Arreglado</t>
        </is>
      </c>
      <c r="O1281" t="inlineStr">
        <is>
          <t>202510150063-Reign Santos Fortea-费用报销 - 副本 - 副本 - 副本-2025-10-15 06:38:03</t>
        </is>
      </c>
      <c r="P1281" t="inlineStr">
        <is>
          <t>YES</t>
        </is>
      </c>
      <c r="Q1281"/>
      <c r="R1281" t="inlineStr">
        <is>
          <t>YES</t>
        </is>
      </c>
      <c r="S1281" t="inlineStr">
        <is>
          <t>Outsourced Stage Hand</t>
        </is>
      </c>
      <c r="T1281">
        <v>1</v>
      </c>
      <c r="U1281">
        <v>7500</v>
      </c>
      <c r="V1281" t="inlineStr">
        <is>
          <t>PHP</t>
        </is>
      </c>
      <c r="W1281">
        <v>7500</v>
      </c>
      <c r="X1281" s="2" t="str">
        <f>=HYPERLINK("https://www.larksuite.com/approval/admin/previewAttachment?key=PMi7CQJhEATglmb2vTZj8h-HiJqI4gVbu2Bg-kURUU6NhjWlwUmP8NIE2W2oChkZZjaSqZjtvp_XS_yz_LjqUbeHzPuy9u1J7xRBqpkWAJ7-rmlm3WH4Ob4BAAD__w", "2 attachment(s)")</f>
        <v>2 attachment(s)</v>
      </c>
      <c r="Y1281" t="inlineStr">
        <is>
          <t>Bank Transfer</t>
        </is>
      </c>
      <c r="Z1281" t="inlineStr">
        <is>
          <t>Emmanuel Cleto Francisco</t>
        </is>
      </c>
      <c r="AA1281" t="inlineStr">
        <is>
          <t>008450414941</t>
        </is>
      </c>
      <c r="AB1281" t="inlineStr">
        <is>
          <t>BDO</t>
        </is>
      </c>
      <c r="AC1281" t="inlineStr">
        <is>
          <t>7 Aguirre St. zone 4 Signal Village Taguig City</t>
        </is>
      </c>
      <c r="AD1281" s="4">
        <v>45938</v>
      </c>
      <c r="AE1281" t="inlineStr">
        <is>
          <t>100% Full Payment - Nov. 7, 2025</t>
        </is>
      </c>
      <c r="AF1281" s="2"/>
      <c r="AG1281" t="inlineStr">
        <is>
          <t>NzQyNTk5MTgyNzQ4MTg3MDM0MTowQzNFQTA4Ri1ENDRGLTRBNjMtQjVDNy1ENzZGMTM5NTc4QzEtMTo2NzhmNzBlODA5ZjhkNDZiZjA4NjJiZWJjODdlNmNmZDox</t>
        </is>
      </c>
      <c r="AH1281" t="inlineStr">
        <is>
          <t>Emmanuel Cleto Francisco</t>
        </is>
      </c>
      <c r="AI1281"/>
      <c r="AJ1281" t="inlineStr">
        <is>
          <t>No line item in internal CE under Playoffs. Unbudgeted.</t>
        </is>
      </c>
      <c r="AK1281"/>
    </row>
    <row r="1282" ht="25.5" customHeight="1">
      <c r="A1282" s="2" t="str">
        <f>=HYPERLINK("https://applink.larksuite.com/client/mini_program/open?appId=cli_9c7cc8a9a9edd105&amp;mode=appCenter&amp;path_pc=pc/pages/requested/index?instanceId=7566584250301042401&amp;source=bitable&amp;path=pages/detail/index?instanceId=7566584250301042401&amp;source=bitable", "202510290139")</f>
        <v>202510290139</v>
      </c>
      <c r="B1282" t="inlineStr">
        <is>
          <t>Approved</t>
        </is>
      </c>
      <c r="C1282" t="inlineStr">
        <is>
          <t>Procurement Order</t>
        </is>
      </c>
      <c r="D1282" s="3">
        <v>45959.757881944446</v>
      </c>
      <c r="E1282" s="3">
        <v>45967.6391087963</v>
      </c>
      <c r="F1282" t="inlineStr">
        <is>
          <t>Fatima Kathleen M. FLores</t>
        </is>
      </c>
      <c r="G1282" t="inlineStr">
        <is>
          <t>Procurement</t>
        </is>
      </c>
      <c r="H1282"/>
      <c r="I1282"/>
      <c r="J1282" t="inlineStr">
        <is>
          <t>Project</t>
        </is>
      </c>
      <c r="K1282" t="inlineStr">
        <is>
          <t>GG - Event Service</t>
        </is>
      </c>
      <c r="L1282" t="inlineStr">
        <is>
          <t>HOK Philippine Kings League - Fall Season</t>
        </is>
      </c>
      <c r="M1282" t="inlineStr">
        <is>
          <t>2025TEG-P0219</t>
        </is>
      </c>
      <c r="N1282" t="inlineStr">
        <is>
          <t>Frances Angelita Arreglado</t>
        </is>
      </c>
      <c r="O1282" t="inlineStr">
        <is>
          <t>202510150063-Reign Santos Fortea-费用报销 - 副本 - 副本 - 副本-2025-10-15 06:38:03</t>
        </is>
      </c>
      <c r="P1282" t="inlineStr">
        <is>
          <t>YES</t>
        </is>
      </c>
      <c r="Q1282"/>
      <c r="R1282" t="inlineStr">
        <is>
          <t>YES</t>
        </is>
      </c>
      <c r="S1282" t="inlineStr">
        <is>
          <t>Outsourced Stage Hand</t>
        </is>
      </c>
      <c r="T1282">
        <v>1</v>
      </c>
      <c r="U1282">
        <v>7500</v>
      </c>
      <c r="V1282" t="inlineStr">
        <is>
          <t>PHP</t>
        </is>
      </c>
      <c r="W1282">
        <v>7500</v>
      </c>
      <c r="X1282" s="2" t="str">
        <f>=HYPERLINK("https://www.larksuite.com/approval/admin/previewAttachment?key=PMgxDgJRCATQK83AAB8vY-Nmo4U2Zjex4OwmFrYvF5Er6NlQ0xqcisxYsoCDkAkcG1Y1iuWY7blfTz5eh7HF_dMH5rzf9u3N6DJDueQLAC9_95LUncLP8Q0AAP__", "2 attachment(s)")</f>
        <v>2 attachment(s)</v>
      </c>
      <c r="Y1282" t="inlineStr">
        <is>
          <t>Bank Transfer</t>
        </is>
      </c>
      <c r="Z1282" t="inlineStr">
        <is>
          <t>John Matthew Dullas</t>
        </is>
      </c>
      <c r="AA1282" t="inlineStr">
        <is>
          <t>0922-221-2585</t>
        </is>
      </c>
      <c r="AB1282" t="inlineStr">
        <is>
          <t>GCash</t>
        </is>
      </c>
      <c r="AC1282" t="inlineStr">
        <is>
          <t>54 Pag-asa Avenue Brgy. Katuparan Taguig City</t>
        </is>
      </c>
      <c r="AD1282" s="4">
        <v>45938</v>
      </c>
      <c r="AE1282" t="inlineStr">
        <is>
          <t>100% Full Payment - Nov. 7, 2025</t>
        </is>
      </c>
      <c r="AF1282" s="2"/>
      <c r="AG1282" t="inlineStr">
        <is>
          <t>NzQyNTk5MTgyNzQ4MTg3MDM0MTpCRkFDOUI1Ny1CRTNGLTQ4NTktQkE3NS1GODk3QTU2RkVCNEUtMTo4MmU4ZTc2OWQ0Y2EzYzVlYzI2ZWI2YzVhOTYyMmEzYjox</t>
        </is>
      </c>
      <c r="AH1282" t="inlineStr">
        <is>
          <t>John Matthew Dullas</t>
        </is>
      </c>
      <c r="AI1282"/>
      <c r="AJ1282" t="inlineStr">
        <is>
          <t>No line item in internal CE under Playoffs. Unbudgeted.</t>
        </is>
      </c>
      <c r="AK1282"/>
    </row>
    <row r="1283" ht="25.5" customHeight="1">
      <c r="A1283" s="2" t="str">
        <f>=HYPERLINK("https://applink.larksuite.com/client/mini_program/open?appId=cli_9c7cc8a9a9edd105&amp;mode=appCenter&amp;path_pc=pc/pages/requested/index?instanceId=7566585585817652956&amp;source=bitable&amp;path=pages/detail/index?instanceId=7566585585817652956&amp;source=bitable", "202510290142")</f>
        <v>202510290142</v>
      </c>
      <c r="B1283" t="inlineStr">
        <is>
          <t>Approved</t>
        </is>
      </c>
      <c r="C1283" t="inlineStr">
        <is>
          <t>Procurement Order</t>
        </is>
      </c>
      <c r="D1283" s="3">
        <v>45959.76148148148</v>
      </c>
      <c r="E1283" s="3">
        <v>45967.638020833336</v>
      </c>
      <c r="F1283" t="inlineStr">
        <is>
          <t>Fatima Kathleen M. FLores</t>
        </is>
      </c>
      <c r="G1283" t="inlineStr">
        <is>
          <t>Procurement</t>
        </is>
      </c>
      <c r="H1283"/>
      <c r="I1283"/>
      <c r="J1283" t="inlineStr">
        <is>
          <t>Project</t>
        </is>
      </c>
      <c r="K1283" t="inlineStr">
        <is>
          <t>GG - Event Service</t>
        </is>
      </c>
      <c r="L1283" t="inlineStr">
        <is>
          <t>HOK Philippine Kings League - Fall Season</t>
        </is>
      </c>
      <c r="M1283" t="inlineStr">
        <is>
          <t>2025TEG-P0219</t>
        </is>
      </c>
      <c r="N1283" t="inlineStr">
        <is>
          <t>Frances Angelita Arreglado</t>
        </is>
      </c>
      <c r="O1283" t="inlineStr">
        <is>
          <t>202510150068-Reign Santos Fortea-费用报销 - 副本 - 副本 - 副本-2025-10-15 06:53:14</t>
        </is>
      </c>
      <c r="P1283" t="inlineStr">
        <is>
          <t>YES</t>
        </is>
      </c>
      <c r="Q1283"/>
      <c r="R1283" t="inlineStr">
        <is>
          <t>YES</t>
        </is>
      </c>
      <c r="S1283" t="inlineStr">
        <is>
          <t>Outsourced LED Operator</t>
        </is>
      </c>
      <c r="T1283">
        <v>1</v>
      </c>
      <c r="U1283">
        <v>12000</v>
      </c>
      <c r="V1283" t="inlineStr">
        <is>
          <t>PHP</t>
        </is>
      </c>
      <c r="W1283">
        <v>12000</v>
      </c>
      <c r="X1283" s="2" t="str">
        <f>=HYPERLINK("https://www.larksuite.com/approval/admin/previewAttachment?key=PMgxjgIxDAXQK307tr-9l9km0YhBTIWIROGzI1HQvkhBpMuIgpVoQZoe4emensJwLY_WFrJA4UCv6_i_3ni89Nx7rnne2fs2j_UUL6qCw2wkAPn7-aCZVYXh6_gEAAD__w", "2 attachment(s)")</f>
        <v>2 attachment(s)</v>
      </c>
      <c r="Y1283" t="inlineStr">
        <is>
          <t>Bank Transfer</t>
        </is>
      </c>
      <c r="Z1283" t="inlineStr">
        <is>
          <t>Emir Ryan Concepcion</t>
        </is>
      </c>
      <c r="AA1283" t="inlineStr">
        <is>
          <t>3179710829</t>
        </is>
      </c>
      <c r="AB1283" t="inlineStr">
        <is>
          <t>BPI</t>
        </is>
      </c>
      <c r="AC1283" t="inlineStr">
        <is>
          <t>116 J.Molina Corner Blue Bird Street, Strip 70 Village, Concepcion Uno, Marikina City</t>
        </is>
      </c>
      <c r="AD1283" s="4">
        <v>45937</v>
      </c>
      <c r="AE1283" t="inlineStr">
        <is>
          <t>100% Full Payment - Nov. 7, 2025</t>
        </is>
      </c>
      <c r="AF1283" s="2"/>
      <c r="AG1283" t="inlineStr">
        <is>
          <t>NzQyNTk5MTgyNzQ4MTg3MDM0MTpDMUVEM0VFOS05MTNGLTQ1MEEtQTNFNi0wNUI3MUU0NDZFNjEtMTo4ZTBjODMxOGIzZGMyZDMwYzk4M2Q3NDQzZWU3MzY0Zjox</t>
        </is>
      </c>
      <c r="AH1283" t="inlineStr">
        <is>
          <t>Emir Ryan Concepcion</t>
        </is>
      </c>
      <c r="AI1283"/>
      <c r="AJ1283" t="inlineStr">
        <is>
          <t>No line item in internal CE under Playoffs. Unbudgeted.</t>
        </is>
      </c>
      <c r="AK1283"/>
    </row>
    <row r="1284" ht="25.5" customHeight="1">
      <c r="A1284" s="2" t="str">
        <f>=HYPERLINK("https://applink.larksuite.com/client/mini_program/open?appId=cli_9c7cc8a9a9edd105&amp;mode=appCenter&amp;path_pc=pc/pages/requested/index?instanceId=7566587011876785890&amp;source=bitable&amp;path=pages/detail/index?instanceId=7566587011876785890&amp;source=bitable", "202510290144")</f>
        <v>202510290144</v>
      </c>
      <c r="B1284" t="inlineStr">
        <is>
          <t>Approved</t>
        </is>
      </c>
      <c r="C1284" t="inlineStr">
        <is>
          <t>Procurement Order</t>
        </is>
      </c>
      <c r="D1284" s="3">
        <v>45959.76532407408</v>
      </c>
      <c r="E1284" s="3">
        <v>45967.620671296296</v>
      </c>
      <c r="F1284" t="inlineStr">
        <is>
          <t>Fatima Kathleen M. FLores</t>
        </is>
      </c>
      <c r="G1284" t="inlineStr">
        <is>
          <t>Procurement</t>
        </is>
      </c>
      <c r="H1284"/>
      <c r="I1284"/>
      <c r="J1284" t="inlineStr">
        <is>
          <t>Project</t>
        </is>
      </c>
      <c r="K1284" t="inlineStr">
        <is>
          <t>GG - Event Service</t>
        </is>
      </c>
      <c r="L1284" t="inlineStr">
        <is>
          <t>HOK Philippine Kings League - Fall Season</t>
        </is>
      </c>
      <c r="M1284" t="inlineStr">
        <is>
          <t>2025TEG-P0219</t>
        </is>
      </c>
      <c r="N1284" t="inlineStr">
        <is>
          <t>Frances Angelita Arreglado</t>
        </is>
      </c>
      <c r="O1284" t="inlineStr">
        <is>
          <t>202510150069-Reign Santos Fortea-费用报销 - 副本 - 副本 - 副本-2025-10-15 06:54:27</t>
        </is>
      </c>
      <c r="P1284" t="inlineStr">
        <is>
          <t>YES</t>
        </is>
      </c>
      <c r="Q1284"/>
      <c r="R1284" t="inlineStr">
        <is>
          <t>YES</t>
        </is>
      </c>
      <c r="S1284" t="inlineStr">
        <is>
          <t>Outsourced Stream Moderator</t>
        </is>
      </c>
      <c r="T1284">
        <v>1</v>
      </c>
      <c r="U1284">
        <v>6000</v>
      </c>
      <c r="V1284" t="inlineStr">
        <is>
          <t>PHP</t>
        </is>
      </c>
      <c r="W1284">
        <v>6000</v>
      </c>
      <c r="X1284" s="2" t="str">
        <f>=HYPERLINK("https://www.larksuite.com/approval/admin/previewAttachment?key=PMg7CgJBEATQK1VNf6rby5i4LLLgMiBqNGcXDExfFpEVtGx4czS4FJlRAllKVVRjjUWpIcqwtsd-hX2OE3jNeQaOud732749Ga0xIHO3AsDL303u3p2On-MbAAD__w", "2 attachment(s)")</f>
        <v>2 attachment(s)</v>
      </c>
      <c r="Y1284" t="inlineStr">
        <is>
          <t>Bank Transfer</t>
        </is>
      </c>
      <c r="Z1284" t="inlineStr">
        <is>
          <t>Ej Cezar Falogme</t>
        </is>
      </c>
      <c r="AA1284" t="inlineStr">
        <is>
          <t>001526005059</t>
        </is>
      </c>
      <c r="AB1284" t="inlineStr">
        <is>
          <t>BDO Kabayan Savings</t>
        </is>
      </c>
      <c r="AC1284" t="inlineStr">
        <is>
          <t>33 J Pio Felipe St. Purok-1 New Lower Bicutan Taguig City</t>
        </is>
      </c>
      <c r="AD1284" s="4">
        <v>45940</v>
      </c>
      <c r="AE1284" t="inlineStr">
        <is>
          <t>100% Full Payment - Nov. 7, 2025</t>
        </is>
      </c>
      <c r="AF1284" s="2"/>
      <c r="AG1284" t="inlineStr">
        <is>
          <t>NzQyNTk5MTgyNzQ4MTg3MDM0MTpBNDg2NEZENy00NDc1LTREQUEtOTVDOC0yNjcyOTUzMUMwOUQtMTo3YTYzYzMzMTE3YTg3NTNlMDNjNjJkZTQwY2VlM2UxZTox</t>
        </is>
      </c>
      <c r="AH1284" t="inlineStr">
        <is>
          <t>Ej Cezar Falogme</t>
        </is>
      </c>
      <c r="AI1284"/>
      <c r="AJ1284" t="inlineStr">
        <is>
          <t>LIQUIDITY PLAN (PAR # 202508190134 / 2025TEG-P0219)
INTERNAL 0820 COST ESTIMATE &gt; REGULAR SEASON &gt;
Labor Cost &gt; BROADCAST &amp; PRODUCTION &gt;
Stream Moderator 
Total Remaining Budget = Php 2,000.00
Actual Cost = Php 6,000.00
Balance = (Php 3,200.00) OVER BUDGET</t>
        </is>
      </c>
      <c r="AK1284"/>
    </row>
    <row r="1285" ht="25.5" customHeight="1">
      <c r="A1285" s="2" t="str">
        <f>=HYPERLINK("https://applink.larksuite.com/client/mini_program/open?appId=cli_9c7cc8a9a9edd105&amp;mode=appCenter&amp;path_pc=pc/pages/requested/index?instanceId=7566587757762481883&amp;source=bitable&amp;path=pages/detail/index?instanceId=7566587757762481883&amp;source=bitable", "202510290145")</f>
        <v>202510290145</v>
      </c>
      <c r="B1285" t="inlineStr">
        <is>
          <t>Approved</t>
        </is>
      </c>
      <c r="C1285" t="inlineStr">
        <is>
          <t>Procurement Order</t>
        </is>
      </c>
      <c r="D1285" s="3">
        <v>45959.76733796296</v>
      </c>
      <c r="E1285" s="3">
        <v>45967.60851851852</v>
      </c>
      <c r="F1285" t="inlineStr">
        <is>
          <t>Fatima Kathleen M. FLores</t>
        </is>
      </c>
      <c r="G1285" t="inlineStr">
        <is>
          <t>Procurement</t>
        </is>
      </c>
      <c r="H1285"/>
      <c r="I1285"/>
      <c r="J1285" t="inlineStr">
        <is>
          <t>Project</t>
        </is>
      </c>
      <c r="K1285" t="inlineStr">
        <is>
          <t>GG - Event Service</t>
        </is>
      </c>
      <c r="L1285" t="inlineStr">
        <is>
          <t>HOK Philippine Kings League - Fall Season</t>
        </is>
      </c>
      <c r="M1285" t="inlineStr">
        <is>
          <t>2025TEG-P0219</t>
        </is>
      </c>
      <c r="N1285" t="inlineStr">
        <is>
          <t>Frances Angelita Arreglado</t>
        </is>
      </c>
      <c r="O1285" t="inlineStr">
        <is>
          <t>202510150069-Reign Santos Fortea-费用报销 - 副本 - 副本 - 副本-2025-10-15 06:54:27</t>
        </is>
      </c>
      <c r="P1285" t="inlineStr">
        <is>
          <t>YES</t>
        </is>
      </c>
      <c r="Q1285"/>
      <c r="R1285" t="inlineStr">
        <is>
          <t>YES</t>
        </is>
      </c>
      <c r="S1285" t="inlineStr">
        <is>
          <t>Outsourced Stream Moderator</t>
        </is>
      </c>
      <c r="T1285">
        <v>1</v>
      </c>
      <c r="U1285">
        <v>3000</v>
      </c>
      <c r="V1285" t="inlineStr">
        <is>
          <t>PHP</t>
        </is>
      </c>
      <c r="W1285">
        <v>3000</v>
      </c>
      <c r="X1285" s="2" t="str">
        <f>=HYPERLINK("https://www.larksuite.com/approval/admin/previewAttachment?key=PMgxCgJRDATQK02SSSbxMjYui_C1EsTmn12wsH3Vhuq0qAHHfGBbWZUtpVTOtu7Yvk0ayBTYx_O8Ln-sD5h0aeXs9_12Hi_LkTsUZDQAu_w9RHKmiJ_jGwAA__8", "2 attachment(s)")</f>
        <v>2 attachment(s)</v>
      </c>
      <c r="Y1285" t="inlineStr">
        <is>
          <t>Bank Transfer</t>
        </is>
      </c>
      <c r="Z1285" t="inlineStr">
        <is>
          <t>Angelina Rose Ancheta</t>
        </is>
      </c>
      <c r="AA1285" t="inlineStr">
        <is>
          <t>11048191185</t>
        </is>
      </c>
      <c r="AB1285" t="inlineStr">
        <is>
          <t>Seabank</t>
        </is>
      </c>
      <c r="AC1285" t="inlineStr">
        <is>
          <t>512 Padre Burgos St. Brgy. Poblacion Mandaluyong City</t>
        </is>
      </c>
      <c r="AD1285" s="4">
        <v>45940</v>
      </c>
      <c r="AE1285" t="inlineStr">
        <is>
          <t>100% Full Payment - Nov. 7, 2025</t>
        </is>
      </c>
      <c r="AF1285" s="2"/>
      <c r="AG1285" t="inlineStr">
        <is>
          <t>NzQyNTk5MTgyNzQ4MTg3MDM0MTo0RDc3OTlFRS1BMDZGLTQ2MDYtOUY3RC1BMzU4REFERUQwMDMtMTo3ZDE3YWMxNTdlOWE4OTUzZmQ5YjNhNjdjNGNkZjdjMzox</t>
        </is>
      </c>
      <c r="AH1285" t="inlineStr">
        <is>
          <t>Angelina Rose Ancheta</t>
        </is>
      </c>
      <c r="AI1285"/>
      <c r="AJ1285" t="inlineStr">
        <is>
          <t>LIQUIDITY PLAN (PAR # 202508190134 / 2025TEG-P0219)
INTERNAL 0820 COST ESTIMATE &gt; REGULAR SEASON &gt;
Labor Cost &gt; BROADCAST &amp; PRODUCTION &gt;
Stream Moderator 
Total Remaining Budget = (Php 3,200.00) NEGATIVE
Actual Cost = Php 3,000.00
Balance = (Php 6,200.00) OVER BUDGET</t>
        </is>
      </c>
      <c r="AK1285"/>
    </row>
    <row r="1286" ht="25.5" customHeight="1">
      <c r="A1286" s="2" t="str">
        <f>=HYPERLINK("https://applink.larksuite.com/client/mini_program/open?appId=cli_9c7cc8a9a9edd105&amp;mode=appCenter&amp;path_pc=pc/pages/requested/index?instanceId=7568396168317734626&amp;source=bitable&amp;path=pages/detail/index?instanceId=7568396168317734626&amp;source=bitable", "202511030089")</f>
        <v>202511030089</v>
      </c>
      <c r="B1286" t="inlineStr">
        <is>
          <t>Approved</t>
        </is>
      </c>
      <c r="C1286" t="inlineStr">
        <is>
          <t>Procurement Order</t>
        </is>
      </c>
      <c r="D1286" s="3">
        <v>45964.64063657408</v>
      </c>
      <c r="E1286" s="3">
        <v>45967.607777777775</v>
      </c>
      <c r="F1286" t="inlineStr">
        <is>
          <t>Fatima Kathleen M. FLores</t>
        </is>
      </c>
      <c r="G1286" t="inlineStr">
        <is>
          <t>Procurement</t>
        </is>
      </c>
      <c r="H1286"/>
      <c r="I1286"/>
      <c r="J1286" t="inlineStr">
        <is>
          <t>Project</t>
        </is>
      </c>
      <c r="K1286" t="inlineStr">
        <is>
          <t>GG - Event Service</t>
        </is>
      </c>
      <c r="L1286" t="inlineStr">
        <is>
          <t>HOK Philippine Kings League - Fall Season</t>
        </is>
      </c>
      <c r="M1286" t="inlineStr">
        <is>
          <t>2025TEG-P0219</t>
        </is>
      </c>
      <c r="N1286" t="inlineStr">
        <is>
          <t>Frances Angelita Arreglado</t>
        </is>
      </c>
      <c r="O1286" t="inlineStr">
        <is>
          <t>202510270141-Frances Angelita Arreglado-费用报销 - 副本 - 副本 - 副本-2025-10-27 08:28:35</t>
        </is>
      </c>
      <c r="P1286" t="inlineStr">
        <is>
          <t>YES</t>
        </is>
      </c>
      <c r="Q1286"/>
      <c r="R1286" t="inlineStr">
        <is>
          <t>YES</t>
        </is>
      </c>
      <c r="S1286" t="inlineStr">
        <is>
          <t>Outsourced Graphic Artist</t>
        </is>
      </c>
      <c r="T1286">
        <v>1</v>
      </c>
      <c r="U1286">
        <v>115000</v>
      </c>
      <c r="V1286" t="inlineStr">
        <is>
          <t>PHP</t>
        </is>
      </c>
      <c r="W1286">
        <v>115000</v>
      </c>
      <c r="X1286" s="2" t="str">
        <f>=HYPERLINK("https://www.larksuite.com/approval/admin/previewAttachment?key=PMgxqgJhDATgK80k-TPJu8xrXBZFrIRdLXJ2wcL2yyKyFj0b0bQGRyvLO5nllDzScmwoNUQ5Znvs_7ej9abWiTv5Oue4XvbtydUygzzCCwD_fu6KiO4MfB2fAAAA__8", "3 attachment(s)")</f>
        <v>3 attachment(s)</v>
      </c>
      <c r="Y1286" t="inlineStr">
        <is>
          <t>Bank Transfer</t>
        </is>
      </c>
      <c r="Z1286" t="inlineStr">
        <is>
          <t>Ruben A. Mercado Jr.</t>
        </is>
      </c>
      <c r="AA1286" t="inlineStr">
        <is>
          <t>1096 6595 8663</t>
        </is>
      </c>
      <c r="AB1286" t="inlineStr">
        <is>
          <t>Unionbank</t>
        </is>
      </c>
      <c r="AC1286" t="inlineStr">
        <is>
          <t>L 33 Blk 15 DM8 Subd. San Andress Hagonoy St. Cainta Rizal</t>
        </is>
      </c>
      <c r="AD1286" s="4">
        <v>45931</v>
      </c>
      <c r="AE1286" t="inlineStr">
        <is>
          <t>1st Payment - Nov. 7, 2025
Final Payment - Nov. 21, 2025</t>
        </is>
      </c>
      <c r="AF1286" s="2"/>
      <c r="AG1286" t="inlineStr">
        <is>
          <t>NzQyNTk5MTgyNzQ4MTg3MDM0MTozQTg2MTRDNS0zRTYyLTRCODctODA3MC05ODg1QTUyOURGRTctMTo3MjRiZTQwNTlkYjQzN2Y5MDNmYTI5MmI3OGE2NmM5Nzox</t>
        </is>
      </c>
      <c r="AH1286" t="inlineStr">
        <is>
          <t>Ruben A. Mercado Jr.</t>
        </is>
      </c>
      <c r="AI1286"/>
      <c r="AJ1286" t="inlineStr">
        <is>
          <t>No line item in internal CE. Unbudgeted. As per PM: Client requested to have updated assets for Playoffs. No available internal manpower from creatives is available to assist.</t>
        </is>
      </c>
      <c r="AK1286"/>
    </row>
    <row r="1287" ht="25.5" customHeight="1">
      <c r="A1287" s="2" t="str">
        <f>=HYPERLINK("https://applink.larksuite.com/client/mini_program/open?appId=cli_9c7cc8a9a9edd105&amp;mode=appCenter&amp;path_pc=pc/pages/requested/index?instanceId=7568848198236638945&amp;source=bitable&amp;path=pages/detail/index?instanceId=7568848198236638945&amp;source=bitable", "202511040169")</f>
        <v>202511040169</v>
      </c>
      <c r="B1287" t="inlineStr">
        <is>
          <t>Approved</t>
        </is>
      </c>
      <c r="C1287" t="inlineStr">
        <is>
          <t>Procurement Order</t>
        </is>
      </c>
      <c r="D1287" s="3">
        <v>45965.858761574076</v>
      </c>
      <c r="E1287" s="3">
        <v>45966.45890046296</v>
      </c>
      <c r="F1287" t="inlineStr">
        <is>
          <t>Fatima Kathleen M. FLores</t>
        </is>
      </c>
      <c r="G1287" t="inlineStr">
        <is>
          <t>Procurement</t>
        </is>
      </c>
      <c r="H1287"/>
      <c r="I1287"/>
      <c r="J1287" t="inlineStr">
        <is>
          <t>Project</t>
        </is>
      </c>
      <c r="K1287" t="inlineStr">
        <is>
          <t>GG - Event Service</t>
        </is>
      </c>
      <c r="L1287" t="inlineStr">
        <is>
          <t>PKL Season 2 - Social Media Management</t>
        </is>
      </c>
      <c r="M1287" t="inlineStr">
        <is>
          <t>2025TEG-P0239</t>
        </is>
      </c>
      <c r="N1287" t="inlineStr">
        <is>
          <t>Maura Aurel Atilano Yap</t>
        </is>
      </c>
      <c r="O1287" t="inlineStr">
        <is>
          <t>202510300016-Maura Aurel Atilano Yap-费用报销 - 副本 - 副本 - 副本-2025-10-30 02:48:55</t>
        </is>
      </c>
      <c r="P1287" t="inlineStr">
        <is>
          <t>YES</t>
        </is>
      </c>
      <c r="Q1287"/>
      <c r="R1287" t="inlineStr">
        <is>
          <t>NO</t>
        </is>
      </c>
      <c r="S1287" t="inlineStr">
        <is>
          <t>Outsourced Social Media Clipper (Addendum)</t>
        </is>
      </c>
      <c r="T1287">
        <v>1</v>
      </c>
      <c r="U1287">
        <v>1250</v>
      </c>
      <c r="V1287" t="inlineStr">
        <is>
          <t>PHP</t>
        </is>
      </c>
      <c r="W1287">
        <v>1250</v>
      </c>
      <c r="X1287" s="2" t="str">
        <f>=HYPERLINK("https://www.larksuite.com/approval/admin/previewAttachment?key=PMi7DQJBDATQlsZrr8dDMyScTiBEhPhs4NqRCC59WYasaZ5CyIZgzZlVUaYanumlmD3aSIFGR2-P_fxaN0KLn3lfX_d-Xy_79rQpjgF6hBcAOx3ujAgpA3_HLwAA__8", "2 attachment(s)")</f>
        <v>2 attachment(s)</v>
      </c>
      <c r="Y1287" t="inlineStr">
        <is>
          <t>Bank Transfer</t>
        </is>
      </c>
      <c r="Z1287" t="inlineStr">
        <is>
          <t>Michael Robert M. Nocheseda</t>
        </is>
      </c>
      <c r="AA1287" t="inlineStr">
        <is>
          <t>123210118946</t>
        </is>
      </c>
      <c r="AB1287" t="inlineStr">
        <is>
          <t>PNB</t>
        </is>
      </c>
      <c r="AC1287" t="inlineStr">
        <is>
          <t>480 Anahaw St. Comembo, Taguig City</t>
        </is>
      </c>
      <c r="AD1287" s="4">
        <v>45935</v>
      </c>
      <c r="AE1287" t="inlineStr">
        <is>
          <t>100% Full Payment - Nov. 7, 2025</t>
        </is>
      </c>
      <c r="AF1287" s="2"/>
      <c r="AG1287" t="inlineStr">
        <is>
          <t>NzQyNTk5MTgyNzQ4MTg3MDM0MTowQjNGNzA2RC0yODQ0LTQ1OTEtODFBQS01NDdBNkY1QjE5MzktMTpkMTZlMzNiMzVlMDZkMDFhZTU5YThkYzBjMTIyNTY0OTox</t>
        </is>
      </c>
      <c r="AH1287" t="inlineStr">
        <is>
          <t>Michael Robert M. Nocheseda</t>
        </is>
      </c>
      <c r="AI1287"/>
      <c r="AJ1287" t="inlineStr">
        <is>
          <t>LIQUIDITY PLAN (PAR # 202508200095 / 2025TEG-P0239)
MARKETING SERVICES &gt; Social Media Manager
Total Remaining Budget = Php 31,250.00
Actual Cost = Php 1,250.00
Balance = Php 30,000.00</t>
        </is>
      </c>
      <c r="AK1287"/>
    </row>
    <row r="1288" ht="25.5" customHeight="1">
      <c r="A1288" s="2" t="str">
        <f>=HYPERLINK("https://applink.larksuite.com/client/mini_program/open?appId=cli_9c7cc8a9a9edd105&amp;mode=appCenter&amp;path_pc=pc/pages/requested/index?instanceId=7568846486797029090&amp;source=bitable&amp;path=pages/detail/index?instanceId=7568846486797029090&amp;source=bitable", "202511040159")</f>
        <v>202511040159</v>
      </c>
      <c r="B1288" t="inlineStr">
        <is>
          <t>Approved</t>
        </is>
      </c>
      <c r="C1288" t="inlineStr">
        <is>
          <t>Procurement Order</t>
        </is>
      </c>
      <c r="D1288" s="3">
        <v>45965.854155092595</v>
      </c>
      <c r="E1288" s="3">
        <v>45966.737280092595</v>
      </c>
      <c r="F1288" t="inlineStr">
        <is>
          <t>Fatima Kathleen M. FLores</t>
        </is>
      </c>
      <c r="G1288" t="inlineStr">
        <is>
          <t>Procurement</t>
        </is>
      </c>
      <c r="H1288"/>
      <c r="I1288"/>
      <c r="J1288" t="inlineStr">
        <is>
          <t>Project</t>
        </is>
      </c>
      <c r="K1288" t="inlineStr">
        <is>
          <t>PDEI - Slash</t>
        </is>
      </c>
      <c r="L1288" t="inlineStr">
        <is>
          <t>BPI Wealth Summit 2025</t>
        </is>
      </c>
      <c r="M1288" t="inlineStr">
        <is>
          <t>2025TEG-P0295</t>
        </is>
      </c>
      <c r="N1288" t="inlineStr">
        <is>
          <t>Arvin Evangelista Dela Cruz</t>
        </is>
      </c>
      <c r="O1288" t="inlineStr">
        <is>
          <t>202510290057-Arvin Evangelista Dela Cruz-费用报销 - 副本 - 副本 - 副本-2025-10-29 05:46:04</t>
        </is>
      </c>
      <c r="P1288" t="inlineStr">
        <is>
          <t>YES</t>
        </is>
      </c>
      <c r="Q1288"/>
      <c r="R1288" t="inlineStr">
        <is>
          <t>NO</t>
        </is>
      </c>
      <c r="S1288" t="inlineStr">
        <is>
          <t>Outsource Game Developer</t>
        </is>
      </c>
      <c r="T1288">
        <v>1</v>
      </c>
      <c r="U1288">
        <v>112750</v>
      </c>
      <c r="V1288" t="inlineStr">
        <is>
          <t>PHP</t>
        </is>
      </c>
      <c r="W1288">
        <v>112750</v>
      </c>
      <c r="X1288" s="2" t="str">
        <f>=HYPERLINK("https://www.larksuite.com/approval/admin/previewAttachment?key=PMgxCsJQEATQK8383ezseBmbfIKIVoKm-WcXLGxfNVG9McpIcxhc2qo7K7tkYRjGGouSISqw5vO4Up-Tc4_p-yPOWO_bfswXN2sMKDKjAfDy91Bm2pX4Ob4BAAD__w", "2 attachment(s)")</f>
        <v>2 attachment(s)</v>
      </c>
      <c r="Y1288" t="inlineStr">
        <is>
          <t>Bank Transfer</t>
        </is>
      </c>
      <c r="Z1288" t="inlineStr">
        <is>
          <t>Ricky Guevarra</t>
        </is>
      </c>
      <c r="AA1288" t="inlineStr">
        <is>
          <t>0579186459</t>
        </is>
      </c>
      <c r="AB1288" t="inlineStr">
        <is>
          <t>BPI</t>
        </is>
      </c>
      <c r="AC1288" t="inlineStr">
        <is>
          <t>Unit 2309, Tower 2, SMDC Light Resideces, Mandaluyong</t>
        </is>
      </c>
      <c r="AD1288" s="4">
        <v>45955</v>
      </c>
      <c r="AE1288" t="inlineStr">
        <is>
          <t>1st Payment - Nov. 7, 2025
Final Payment - Nov. 21, 2025</t>
        </is>
      </c>
      <c r="AF1288" s="2"/>
      <c r="AG1288" t="inlineStr">
        <is>
          <t>NzQyNTk5MTgyNzQ4MTg3MDM0MTpCMjc0NjdENy1GOEZELTQ0REUtQjM3OC0xMzVGMkI0RjM5QTUtMTpjM2E0ZmMwYjFkN2YyMWI1M2RkYWRkNjgxNzJiZDkxYTox</t>
        </is>
      </c>
      <c r="AH1288" t="inlineStr">
        <is>
          <t>Ricky Guevarra</t>
        </is>
      </c>
      <c r="AI1288"/>
      <c r="AJ1288" t="inlineStr">
        <is>
          <t>LIQUIDITY PLAN (PAR # 202510290055 / 2025TEG-P0295)
Outsource Game Developer
Total Budget = Php 112,750.00
Actual Cost = Php 112,750.00</t>
        </is>
      </c>
      <c r="AK1288"/>
    </row>
    <row r="1289" ht="25.5" customHeight="1">
      <c r="A1289" s="2" t="str">
        <f>=HYPERLINK("https://applink.larksuite.com/client/mini_program/open?appId=cli_9c7cc8a9a9edd105&amp;mode=appCenter&amp;path_pc=pc/pages/requested/index?instanceId=7568844601222532827&amp;source=bitable&amp;path=pages/detail/index?instanceId=7568844601222532827&amp;source=bitable", "202511040153")</f>
        <v>202511040153</v>
      </c>
      <c r="B1289" t="inlineStr">
        <is>
          <t>Approved</t>
        </is>
      </c>
      <c r="C1289" t="inlineStr">
        <is>
          <t>Procurement Order</t>
        </is>
      </c>
      <c r="D1289" s="3">
        <v>45965.849074074074</v>
      </c>
      <c r="E1289" s="3">
        <v>45966.498935185184</v>
      </c>
      <c r="F1289" t="inlineStr">
        <is>
          <t>Fatima Kathleen M. FLores</t>
        </is>
      </c>
      <c r="G1289" t="inlineStr">
        <is>
          <t>Procurement</t>
        </is>
      </c>
      <c r="H1289"/>
      <c r="I1289"/>
      <c r="J1289" t="inlineStr">
        <is>
          <t>Project</t>
        </is>
      </c>
      <c r="K1289" t="inlineStr">
        <is>
          <t>PDEI - Slash</t>
        </is>
      </c>
      <c r="L1289" t="inlineStr">
        <is>
          <t>BPI Wealth Summit 2025</t>
        </is>
      </c>
      <c r="M1289" t="inlineStr">
        <is>
          <t>2025TEG-P0295</t>
        </is>
      </c>
      <c r="N1289" t="inlineStr">
        <is>
          <t>Arvin Evangelista Dela Cruz</t>
        </is>
      </c>
      <c r="O1289" t="inlineStr">
        <is>
          <t>202510290059-Arvin Evangelista Dela Cruz-费用报销 - 副本 - 副本 - 副本-2025-10-29 05:54:05</t>
        </is>
      </c>
      <c r="P1289" t="inlineStr">
        <is>
          <t>YES</t>
        </is>
      </c>
      <c r="Q1289"/>
      <c r="R1289" t="inlineStr">
        <is>
          <t>NO</t>
        </is>
      </c>
      <c r="S1289" t="inlineStr">
        <is>
          <t>Outsourced Onground Tech Support</t>
        </is>
      </c>
      <c r="T1289">
        <v>1</v>
      </c>
      <c r="U1289">
        <v>11540</v>
      </c>
      <c r="V1289" t="inlineStr">
        <is>
          <t>PHP</t>
        </is>
      </c>
      <c r="W1289">
        <v>11540</v>
      </c>
      <c r="X1289" s="2" t="str">
        <f>=HYPERLINK("https://www.larksuite.com/approval/admin/previewAttachment?key=PMhNCsJADAXgK738TF7iZdy0DEI7IAhFFzm74MLtFymIHGJR8BItSHNEpntAVHWYprK1hSxQaOh9zfv6YBzHe8trnc9z9vXY5v6SUVQFzd0SgNz-bnT3qnD8HN8AAAD__w", "2 attachment(s)")</f>
        <v>2 attachment(s)</v>
      </c>
      <c r="Y1289" t="inlineStr">
        <is>
          <t>Bank Transfer</t>
        </is>
      </c>
      <c r="Z1289" t="inlineStr">
        <is>
          <t>Jhun Aldrin Manes</t>
        </is>
      </c>
      <c r="AA1289" t="inlineStr">
        <is>
          <t>09668330217</t>
        </is>
      </c>
      <c r="AB1289" t="inlineStr">
        <is>
          <t>GCash</t>
        </is>
      </c>
      <c r="AC1289" t="inlineStr">
        <is>
          <t>2042 Candido St. Brgy. Mapulang Lupa. Valenzuela City</t>
        </is>
      </c>
      <c r="AD1289" s="4">
        <v>45955</v>
      </c>
      <c r="AE1289" t="inlineStr">
        <is>
          <t>100% Full Payment - Nov. 7, 2025</t>
        </is>
      </c>
      <c r="AF1289" s="2"/>
      <c r="AG1289" t="inlineStr">
        <is>
          <t>NzQyNTk5MTgyNzQ4MTg3MDM0MTo0Nzc5QjI1NS01NEVFLTQzMDctQUVDNS03MDM1OTZGMUYyMjMtMTpkZDk4M2ZhYTc5OGY0NDFjZDUzMjc0MTU1ZGQwZGZhZTox</t>
        </is>
      </c>
      <c r="AH1289" t="inlineStr">
        <is>
          <t>Jhun Aldrin Manes</t>
        </is>
      </c>
      <c r="AI1289"/>
      <c r="AJ1289" t="inlineStr">
        <is>
          <t>LIQUIDITY PLAN (PAR # 202510290055 / 2025TEG-P0295)
Outsource Tech Support
Total Budget = Php 11,540.00
Actual Cost = Php 11,540.00</t>
        </is>
      </c>
      <c r="AK1289"/>
    </row>
    <row r="1290" ht="25.5" customHeight="1">
      <c r="A1290" s="2" t="str">
        <f>=HYPERLINK("https://applink.larksuite.com/client/mini_program/open?appId=cli_9c7cc8a9a9edd105&amp;mode=appCenter&amp;path_pc=pc/pages/requested/index?instanceId=7568840916992036575&amp;source=bitable&amp;path=pages/detail/index?instanceId=7568840916992036575&amp;source=bitable", "202511040145")</f>
        <v>202511040145</v>
      </c>
      <c r="B1290" t="inlineStr">
        <is>
          <t>Approved</t>
        </is>
      </c>
      <c r="C1290" t="inlineStr">
        <is>
          <t>Procurement Order</t>
        </is>
      </c>
      <c r="D1290" s="3">
        <v>45965.83914351852</v>
      </c>
      <c r="E1290" s="3">
        <v>45966.457719907405</v>
      </c>
      <c r="F1290" t="inlineStr">
        <is>
          <t>Fatima Kathleen M. FLores</t>
        </is>
      </c>
      <c r="G1290" t="inlineStr">
        <is>
          <t>Procurement</t>
        </is>
      </c>
      <c r="H1290"/>
      <c r="I1290"/>
      <c r="J1290" t="inlineStr">
        <is>
          <t>Project</t>
        </is>
      </c>
      <c r="K1290" t="inlineStr">
        <is>
          <t>PDEI - Event Service</t>
        </is>
      </c>
      <c r="L1290" t="inlineStr">
        <is>
          <t>GTCC September Arena</t>
        </is>
      </c>
      <c r="M1290" t="inlineStr">
        <is>
          <t>2025TEG-P0236</t>
        </is>
      </c>
      <c r="N1290" t="inlineStr">
        <is>
          <t>Frances Angelita Arreglado</t>
        </is>
      </c>
      <c r="O1290" t="inlineStr">
        <is>
          <t>202510090104-Frances Angelita Arreglado-费用报销 - 副本 - 副本 - 副本-2025-10-09 11:43:47</t>
        </is>
      </c>
      <c r="P1290" t="inlineStr">
        <is>
          <t>YES</t>
        </is>
      </c>
      <c r="Q1290"/>
      <c r="R1290" t="inlineStr">
        <is>
          <t>NO</t>
        </is>
      </c>
      <c r="S1290" t="inlineStr">
        <is>
          <t>Rental of Broadcast Equipment</t>
        </is>
      </c>
      <c r="T1290">
        <v>1</v>
      </c>
      <c r="U1290">
        <v>114000</v>
      </c>
      <c r="V1290" t="inlineStr">
        <is>
          <t>PHP</t>
        </is>
      </c>
      <c r="W1290">
        <v>114000</v>
      </c>
      <c r="X1290" s="2" t="str">
        <f>=HYPERLINK("https://www.larksuite.com/approval/admin/previewAttachment?key=PMg9CgIxEAXgK73J_D4vY5MlGEUbQbaZswsWtl-UIMpFgzDKIKTTo8pACXJAw9N7tGQSKano47mu530_gDW3-dznqz-3uY63OHMMpJppAZDL3zXNjAzDz_ENAAD__w", "2 attachment(s)")</f>
        <v>2 attachment(s)</v>
      </c>
      <c r="Y1290" t="inlineStr">
        <is>
          <t>Bank Transfer</t>
        </is>
      </c>
      <c r="Z1290" t="inlineStr">
        <is>
          <t>VINCE RAFAEL GARCIA</t>
        </is>
      </c>
      <c r="AA1290" t="inlineStr">
        <is>
          <t>0576664233</t>
        </is>
      </c>
      <c r="AB1290" t="inlineStr">
        <is>
          <t>BPI</t>
        </is>
      </c>
      <c r="AC1290" t="inlineStr">
        <is>
          <t>7 Don Felipe St. Villa Cecilla Subdivision. Mambugan Antipolo City Rizal</t>
        </is>
      </c>
      <c r="AD1290" s="4">
        <v>45918</v>
      </c>
      <c r="AE1290" t="inlineStr">
        <is>
          <t>1st Payment - Nov. 7, 2025
Final Payment - Nov. 21, 2025</t>
        </is>
      </c>
      <c r="AF1290" s="2"/>
      <c r="AG1290" t="inlineStr">
        <is>
          <t>NzQyNTk5MTgyNzQ4MTg3MDM0MTpBNTE1MjNGNi1FNjVELTQ5NjQtQjM2NS1ENDg4RkNDOUVGM0UtMTpmZjg4M2Q2MDVlNTVhYzhhODZjNGNlZDExN2U2MjM4YTox</t>
        </is>
      </c>
      <c r="AH1290" t="inlineStr">
        <is>
          <t>VINCE RAFAEL GARCIA</t>
        </is>
      </c>
      <c r="AI1290"/>
      <c r="AJ1290" t="inlineStr">
        <is>
          <t>LIQUIDITY PLAN (PAR # 202508110059 / 2025TEG-P0236)
FINAL 911 - CE INTERNAL &gt; BROADCAST &amp; PRODUCTION &gt;
Broadcast Equipment Package
Total Remaining Budget = Php 265,264.00
Actual Cost = Php 114,000.00
Balance = Php 151,264.00</t>
        </is>
      </c>
      <c r="AK1290"/>
    </row>
    <row r="1291" ht="25.5" customHeight="1">
      <c r="A1291" s="2" t="str">
        <f>=HYPERLINK("https://applink.larksuite.com/client/mini_program/open?appId=cli_9c7cc8a9a9edd105&amp;mode=appCenter&amp;path_pc=pc/pages/requested/index?instanceId=7568833844455984859&amp;source=bitable&amp;path=pages/detail/index?instanceId=7568833844455984859&amp;source=bitable", "202511040139")</f>
        <v>202511040139</v>
      </c>
      <c r="B1291" t="inlineStr">
        <is>
          <t>Approved</t>
        </is>
      </c>
      <c r="C1291" t="inlineStr">
        <is>
          <t>Procurement Order</t>
        </is>
      </c>
      <c r="D1291" s="3">
        <v>45965.820081018515</v>
      </c>
      <c r="E1291" s="3">
        <v>45966.45385416667</v>
      </c>
      <c r="F1291" t="inlineStr">
        <is>
          <t>Fatima Kathleen M. FLores</t>
        </is>
      </c>
      <c r="G1291" t="inlineStr">
        <is>
          <t>Procurement</t>
        </is>
      </c>
      <c r="H1291"/>
      <c r="I1291"/>
      <c r="J1291" t="inlineStr">
        <is>
          <t>Project</t>
        </is>
      </c>
      <c r="K1291" t="inlineStr">
        <is>
          <t>PDEI - Game Marketing</t>
        </is>
      </c>
      <c r="L1291" t="inlineStr">
        <is>
          <t>WCG 2025 Creator Rumble</t>
        </is>
      </c>
      <c r="M1291" t="inlineStr">
        <is>
          <t>2025TEG-P0041</t>
        </is>
      </c>
      <c r="N1291" t="inlineStr">
        <is>
          <t>Maura Aurel Atilano Yap</t>
        </is>
      </c>
      <c r="O1291" t="inlineStr">
        <is>
          <t>202510170099-Maura Aurel Atilano Yap-费用报销 - 副本 - 副本 - 副本-2025-10-17 12:02:06</t>
        </is>
      </c>
      <c r="P1291" t="inlineStr">
        <is>
          <t>YES</t>
        </is>
      </c>
      <c r="Q1291"/>
      <c r="R1291" t="inlineStr">
        <is>
          <t>NO</t>
        </is>
      </c>
      <c r="S1291" t="inlineStr">
        <is>
          <t>Outsourced Usher</t>
        </is>
      </c>
      <c r="T1291">
        <v>1</v>
      </c>
      <c r="U1291">
        <v>4500</v>
      </c>
      <c r="V1291" t="inlineStr">
        <is>
          <t>PHP</t>
        </is>
      </c>
      <c r="W1291">
        <v>4500</v>
      </c>
      <c r="X1291" s="2" t="str">
        <f>=HYPERLINK("https://www.larksuite.com/approval/admin/previewAttachment?key=PMhLCgJBDATQK1U6la7Ey7iZZvCPILjL2QUXs30zDTPDfBZYNgrWipnpniQjKplRPdqkgkyOXs_9fB-P7RXXWHjrJvb3su3rY1EaA3LSE4CdDneRrJrE3_ELAAD__w", "2 attachment(s)")</f>
        <v>2 attachment(s)</v>
      </c>
      <c r="Y1291" t="inlineStr">
        <is>
          <t>Bank Transfer</t>
        </is>
      </c>
      <c r="Z1291" t="inlineStr">
        <is>
          <t>Salvador Tabios III</t>
        </is>
      </c>
      <c r="AA1291" t="inlineStr">
        <is>
          <t>09272251589</t>
        </is>
      </c>
      <c r="AB1291" t="inlineStr">
        <is>
          <t>Gcash</t>
        </is>
      </c>
      <c r="AC1291" t="inlineStr">
        <is>
          <t>85 A Flores Pasig City</t>
        </is>
      </c>
      <c r="AD1291" s="4">
        <v>45955</v>
      </c>
      <c r="AE1291" t="inlineStr">
        <is>
          <t>100% Full Payment - Nov. 7, 2025</t>
        </is>
      </c>
      <c r="AF1291" s="2"/>
      <c r="AG1291" t="inlineStr">
        <is>
          <t>NzQyNTk5MTgyNzQ4MTg3MDM0MTpFMTk1QkZDOC01QTk0LTQ4QTktQTM3Ri03M0UyNkM1RjAyMUItMTphNDA4YWJmY2IxMGJmMThlNDNhZjhhMzFhNmQ1MGU1NTox</t>
        </is>
      </c>
      <c r="AH1291" t="inlineStr">
        <is>
          <t>Salvador Tabios III</t>
        </is>
      </c>
      <c r="AI1291"/>
      <c r="AJ1291" t="inlineStr">
        <is>
          <t>LIQUIDITY PLAN (PAR # 202505160019 / 2025TEG-P0041)
MANPOWER &gt; Broadcast &amp; Production &gt;
Runners
Total Remaining Budget = Php 8,500.00
Actual Cost = Php 4,500.00
Balance = Php 4,000.00</t>
        </is>
      </c>
      <c r="AK1291"/>
    </row>
    <row r="1292" ht="25.5" customHeight="1">
      <c r="A1292" s="2" t="str">
        <f>=HYPERLINK("https://applink.larksuite.com/client/mini_program/open?appId=cli_9c7cc8a9a9edd105&amp;mode=appCenter&amp;path_pc=pc/pages/requested/index?instanceId=7568832103148703454&amp;source=bitable&amp;path=pages/detail/index?instanceId=7568832103148703454&amp;source=bitable", "202511040137")</f>
        <v>202511040137</v>
      </c>
      <c r="B1292" t="inlineStr">
        <is>
          <t>Approved</t>
        </is>
      </c>
      <c r="C1292" t="inlineStr">
        <is>
          <t>Procurement Order</t>
        </is>
      </c>
      <c r="D1292" s="3">
        <v>45965.81539351852</v>
      </c>
      <c r="E1292" s="3">
        <v>45966.45322916667</v>
      </c>
      <c r="F1292" t="inlineStr">
        <is>
          <t>Fatima Kathleen M. FLores</t>
        </is>
      </c>
      <c r="G1292" t="inlineStr">
        <is>
          <t>Procurement</t>
        </is>
      </c>
      <c r="H1292"/>
      <c r="I1292"/>
      <c r="J1292" t="inlineStr">
        <is>
          <t>Project</t>
        </is>
      </c>
      <c r="K1292" t="inlineStr">
        <is>
          <t>PDEI - Game Marketing</t>
        </is>
      </c>
      <c r="L1292" t="inlineStr">
        <is>
          <t>WCG 2025 Creator Rumble</t>
        </is>
      </c>
      <c r="M1292" t="inlineStr">
        <is>
          <t>2025TEG-P0041</t>
        </is>
      </c>
      <c r="N1292" t="inlineStr">
        <is>
          <t>Maura Aurel Atilano Yap</t>
        </is>
      </c>
      <c r="O1292" t="inlineStr">
        <is>
          <t>202510170099-Maura Aurel Atilano Yap-费用报销 - 副本 - 副本 - 副本-2025-10-17 12:02:06</t>
        </is>
      </c>
      <c r="P1292" t="inlineStr">
        <is>
          <t>YES</t>
        </is>
      </c>
      <c r="Q1292"/>
      <c r="R1292" t="inlineStr">
        <is>
          <t>NO</t>
        </is>
      </c>
      <c r="S1292" t="inlineStr">
        <is>
          <t>Outsourced Usher</t>
        </is>
      </c>
      <c r="T1292">
        <v>1</v>
      </c>
      <c r="U1292">
        <v>3000</v>
      </c>
      <c r="V1292" t="inlineStr">
        <is>
          <t>PHP</t>
        </is>
      </c>
      <c r="W1292">
        <v>3000</v>
      </c>
      <c r="X1292" s="2" t="str">
        <f>=HYPERLINK("https://www.larksuite.com/approval/admin/previewAttachment?key=PMgxDgIxEAPAL9lZJ97lMzREJyhCg7gub0eiuHZGEiM7YxRUbAVu95EZjQgqjVDXbpt2wXRgz3XcX2eZ6625Fvmd-3w-jvlhL7cGhxQJgLfLw5KqhvB3_AIAAP__", "2 attachment(s)")</f>
        <v>2 attachment(s)</v>
      </c>
      <c r="Y1292" t="inlineStr">
        <is>
          <t>Bank Transfer</t>
        </is>
      </c>
      <c r="Z1292" t="inlineStr">
        <is>
          <t>Luis Pablo Raphael M. Juliano</t>
        </is>
      </c>
      <c r="AA1292" t="inlineStr">
        <is>
          <t>09561406860</t>
        </is>
      </c>
      <c r="AB1292" t="inlineStr">
        <is>
          <t>Gcash</t>
        </is>
      </c>
      <c r="AC1292" t="inlineStr">
        <is>
          <t>Lot D-1A Secured Compound Banlat Road, Tandang Sora, Quezon City</t>
        </is>
      </c>
      <c r="AD1292" s="4">
        <v>45955</v>
      </c>
      <c r="AE1292" t="inlineStr">
        <is>
          <t>100% Full Payment - Nov. 7, 2025</t>
        </is>
      </c>
      <c r="AF1292" s="2"/>
      <c r="AG1292" t="inlineStr">
        <is>
          <t>NzQyNTk5MTgyNzQ4MTg3MDM0MTo4NEYyQzVBMy05MTc5LTQyM0MtQUEzOC05NjI0NDlDMkYzNUUtMToyZDI1OTljMzRmZjBhOTgwNDAxNjM0ODA3OTMzOTk1ZDox</t>
        </is>
      </c>
      <c r="AH1292" t="inlineStr">
        <is>
          <t>Luis Pablo Raphael M. Juliano</t>
        </is>
      </c>
      <c r="AI1292"/>
      <c r="AJ1292" t="inlineStr">
        <is>
          <t>LIQUIDITY PLAN (PAR # 202505160019 / 2025TEG-P0041)
MANPOWER &gt; Broadcast &amp; Production &gt;
Runners
Total Remaining Budget = Php 11,500.00
Actual Cost = Php 3,000.00
Balance = Php 8,500.00</t>
        </is>
      </c>
      <c r="AK1292"/>
    </row>
    <row r="1293" ht="25.5" customHeight="1">
      <c r="A1293" s="2" t="str">
        <f>=HYPERLINK("https://applink.larksuite.com/client/mini_program/open?appId=cli_9c7cc8a9a9edd105&amp;mode=appCenter&amp;path_pc=pc/pages/requested/index?instanceId=7568830948037381858&amp;source=bitable&amp;path=pages/detail/index?instanceId=7568830948037381858&amp;source=bitable", "202511040136")</f>
        <v>202511040136</v>
      </c>
      <c r="B1293" t="inlineStr">
        <is>
          <t>Approved</t>
        </is>
      </c>
      <c r="C1293" t="inlineStr">
        <is>
          <t>Procurement Order</t>
        </is>
      </c>
      <c r="D1293" s="3">
        <v>45965.81228009259</v>
      </c>
      <c r="E1293" s="3">
        <v>45966.45260416667</v>
      </c>
      <c r="F1293" t="inlineStr">
        <is>
          <t>Fatima Kathleen M. FLores</t>
        </is>
      </c>
      <c r="G1293" t="inlineStr">
        <is>
          <t>Procurement</t>
        </is>
      </c>
      <c r="H1293"/>
      <c r="I1293"/>
      <c r="J1293" t="inlineStr">
        <is>
          <t>Project</t>
        </is>
      </c>
      <c r="K1293" t="inlineStr">
        <is>
          <t>PDEI - Game Marketing</t>
        </is>
      </c>
      <c r="L1293" t="inlineStr">
        <is>
          <t>WCG 2025 Creator Rumble</t>
        </is>
      </c>
      <c r="M1293" t="inlineStr">
        <is>
          <t>2025TEG-P0041</t>
        </is>
      </c>
      <c r="N1293" t="inlineStr">
        <is>
          <t>Maura Aurel Atilano Yap</t>
        </is>
      </c>
      <c r="O1293" t="inlineStr">
        <is>
          <t>202510170099-Maura Aurel Atilano Yap-费用报销 - 副本 - 副本 - 副本-2025-10-17 12:02:06</t>
        </is>
      </c>
      <c r="P1293" t="inlineStr">
        <is>
          <t>YES</t>
        </is>
      </c>
      <c r="Q1293"/>
      <c r="R1293" t="inlineStr">
        <is>
          <t>NO</t>
        </is>
      </c>
      <c r="S1293" t="inlineStr">
        <is>
          <t>Outsourced Usher</t>
        </is>
      </c>
      <c r="T1293">
        <v>1</v>
      </c>
      <c r="U1293">
        <v>3000</v>
      </c>
      <c r="V1293" t="inlineStr">
        <is>
          <t>PHP</t>
        </is>
      </c>
      <c r="W1293">
        <v>3000</v>
      </c>
      <c r="X1293" s="2" t="str">
        <f>=HYPERLINK("https://www.larksuite.com/approval/admin/previewAttachment?key=PMixDcJQDATQlc7f9r8zy9AkioiAChFB4dmRKNK-KcNUms9ClI2CNXNKjgrB6TKlerSRBRodvT63a-bx8X0XYvm-748-bsu2viyLY4Ae4QJgl9OdEVE1A3_HLwAA__8", "2 attachment(s)")</f>
        <v>2 attachment(s)</v>
      </c>
      <c r="Y1293" t="inlineStr">
        <is>
          <t>Bank Transfer</t>
        </is>
      </c>
      <c r="Z1293" t="inlineStr">
        <is>
          <t>Kimberly Rose Culala</t>
        </is>
      </c>
      <c r="AA1293" t="inlineStr">
        <is>
          <t>1010-1024-0818</t>
        </is>
      </c>
      <c r="AB1293" t="inlineStr">
        <is>
          <t>PNB</t>
        </is>
      </c>
      <c r="AC1293" t="inlineStr">
        <is>
          <t>12 Little Tagaytay Marulas Valenzuela City</t>
        </is>
      </c>
      <c r="AD1293" s="4">
        <v>45955</v>
      </c>
      <c r="AE1293" t="inlineStr">
        <is>
          <t>100% Full Payment - Nov. 7, 2025</t>
        </is>
      </c>
      <c r="AF1293" s="2"/>
      <c r="AG1293" t="inlineStr">
        <is>
          <t>NzQyNTk5MTgyNzQ4MTg3MDM0MTpGNzU5QzIzQi01OUNGLTRDQzQtQjg0RC0wRDYxOTk5MkFCNUQtMTpkOWVkZTZkY2RiYTI4NzcxOWZiNzFiZTYwZmQxNmViNzox</t>
        </is>
      </c>
      <c r="AH1293" t="inlineStr">
        <is>
          <t>Kimberly Rose Culala</t>
        </is>
      </c>
      <c r="AI1293"/>
      <c r="AJ1293" t="inlineStr">
        <is>
          <t>LIQUIDITY PLAN (PAR # 202505160019 / 2025TEG-P0041)
MANPOWER &gt; Broadcast &amp; Production &gt;
Runners
Total Remaining Budget = Php 14,500.00
Actual Cost = Php 3,000.00
Balance = Php 11,500.00</t>
        </is>
      </c>
      <c r="AK1293"/>
    </row>
    <row r="1294" ht="25.5" customHeight="1">
      <c r="A1294" s="2" t="str">
        <f>=HYPERLINK("https://applink.larksuite.com/client/mini_program/open?appId=cli_9c7cc8a9a9edd105&amp;mode=appCenter&amp;path_pc=pc/pages/requested/index?instanceId=7568829197456527073&amp;source=bitable&amp;path=pages/detail/index?instanceId=7568829197456527073&amp;source=bitable", "202511040132")</f>
        <v>202511040132</v>
      </c>
      <c r="B1294" t="inlineStr">
        <is>
          <t>Approved</t>
        </is>
      </c>
      <c r="C1294" t="inlineStr">
        <is>
          <t>Procurement Order</t>
        </is>
      </c>
      <c r="D1294" s="3">
        <v>45965.80755787037</v>
      </c>
      <c r="E1294" s="3">
        <v>45966.451944444445</v>
      </c>
      <c r="F1294" t="inlineStr">
        <is>
          <t>Fatima Kathleen M. FLores</t>
        </is>
      </c>
      <c r="G1294" t="inlineStr">
        <is>
          <t>Procurement</t>
        </is>
      </c>
      <c r="H1294"/>
      <c r="I1294"/>
      <c r="J1294" t="inlineStr">
        <is>
          <t>Project</t>
        </is>
      </c>
      <c r="K1294" t="inlineStr">
        <is>
          <t>PDEI - Game Marketing</t>
        </is>
      </c>
      <c r="L1294" t="inlineStr">
        <is>
          <t>WCG 2025 Creator Rumble</t>
        </is>
      </c>
      <c r="M1294" t="inlineStr">
        <is>
          <t>2025TEG-P0041</t>
        </is>
      </c>
      <c r="N1294" t="inlineStr">
        <is>
          <t>Maura Aurel Atilano Yap</t>
        </is>
      </c>
      <c r="O1294" t="inlineStr">
        <is>
          <t>202510170099-Maura Aurel Atilano Yap-费用报销 - 副本 - 副本 - 副本-2025-10-17 12:02:06</t>
        </is>
      </c>
      <c r="P1294" t="inlineStr">
        <is>
          <t>YES</t>
        </is>
      </c>
      <c r="Q1294"/>
      <c r="R1294" t="inlineStr">
        <is>
          <t>NO</t>
        </is>
      </c>
      <c r="S1294" t="inlineStr">
        <is>
          <t>Outsourced Runner</t>
        </is>
      </c>
      <c r="T1294">
        <v>1</v>
      </c>
      <c r="U1294">
        <v>1500</v>
      </c>
      <c r="V1294" t="inlineStr">
        <is>
          <t>PHP</t>
        </is>
      </c>
      <c r="W1294">
        <v>1500</v>
      </c>
      <c r="X1294" s="2" t="str">
        <f>=HYPERLINK("https://www.larksuite.com/approval/admin/previewAttachment?key=PMgrDgJBEATQK1V_q4vLYNhsQDCGZN2cnQSBfT2GnrJoIWUu2Gb1jMvErC4nGNu3kQKNgX28z_vrEs1HWGtYa1_Px3l8rER3MDJjANjt78HMlDrxc3wDAAD__w", "2 attachment(s)")</f>
        <v>2 attachment(s)</v>
      </c>
      <c r="Y1294" t="inlineStr">
        <is>
          <t>Bank Transfer</t>
        </is>
      </c>
      <c r="Z1294" t="inlineStr">
        <is>
          <t>Cassandra Lindsey Ten Napel</t>
        </is>
      </c>
      <c r="AA1294" t="inlineStr">
        <is>
          <t>09453203393</t>
        </is>
      </c>
      <c r="AB1294" t="inlineStr">
        <is>
          <t>GCash</t>
        </is>
      </c>
      <c r="AC1294" t="inlineStr">
        <is>
          <t>Block 46, Lot 11, Bel Air Drive, Bel Air 3, Brgy. Loma, Biñan, Laguna</t>
        </is>
      </c>
      <c r="AD1294" s="4">
        <v>45956</v>
      </c>
      <c r="AE1294" t="inlineStr">
        <is>
          <t>100% Full Payment - Nov. 7, 2025</t>
        </is>
      </c>
      <c r="AF1294" s="2"/>
      <c r="AG1294" t="inlineStr">
        <is>
          <t>NzQyNTk5MTgyNzQ4MTg3MDM0MTo4QTRDRkJFOC0wRUZGLTQyQjgtQTQzNy0zNUY2ODBBN0E3NDctMTo0NTA1OTUxNWQ5MjFlYjdkOGQ5MmEwZTI3NDk5YjlkZDox</t>
        </is>
      </c>
      <c r="AH1294" t="inlineStr">
        <is>
          <t>Cassandra Lindsey Ten Napel</t>
        </is>
      </c>
      <c r="AI1294"/>
      <c r="AJ1294" t="inlineStr">
        <is>
          <t>LIQUIDITY PLAN (PAR # 202505160019 / 2025TEG-P0041)
MANPOWER &gt; Broadcast &amp; Production &gt;
Runners
Total Budget = Php 16,000.00
Actual Cost = Php 1,500.00
Balance = Php 14,500.00</t>
        </is>
      </c>
      <c r="AK1294"/>
    </row>
    <row r="1295" ht="25.5" customHeight="1">
      <c r="A1295" s="2" t="str">
        <f>=HYPERLINK("https://applink.larksuite.com/client/mini_program/open?appId=cli_9c7cc8a9a9edd105&amp;mode=appCenter&amp;path_pc=pc/pages/requested/index?instanceId=7566929969599778530&amp;source=bitable&amp;path=pages/detail/index?instanceId=7566929969599778530&amp;source=bitable", "202510300043")</f>
        <v>202510300043</v>
      </c>
      <c r="B1295" t="inlineStr">
        <is>
          <t>Approved</t>
        </is>
      </c>
      <c r="C1295" t="inlineStr">
        <is>
          <t>Procurement Order</t>
        </is>
      </c>
      <c r="D1295" s="3">
        <v>45960.68952546296</v>
      </c>
      <c r="E1295" s="3">
        <v>45975.67872685185</v>
      </c>
      <c r="F1295" t="inlineStr">
        <is>
          <t>Fatima Kathleen M. FLores</t>
        </is>
      </c>
      <c r="G1295" t="inlineStr">
        <is>
          <t>Procurement</t>
        </is>
      </c>
      <c r="H1295"/>
      <c r="I1295"/>
      <c r="J1295" t="inlineStr">
        <is>
          <t>Project</t>
        </is>
      </c>
      <c r="K1295" t="inlineStr">
        <is>
          <t>PDEI - Event Service</t>
        </is>
      </c>
      <c r="L1295" t="inlineStr">
        <is>
          <t>MPL PH S16 Addendum</t>
        </is>
      </c>
      <c r="M1295" t="inlineStr">
        <is>
          <t>2025TEG-P0269</t>
        </is>
      </c>
      <c r="N1295" t="inlineStr">
        <is>
          <t>Katherine Denise Lee Sy</t>
        </is>
      </c>
      <c r="O1295" t="inlineStr">
        <is>
          <t>202510020061-Katherine Denise Lee Sy-费用报销 - 副本 - 副本 - 副本-2025-10-02 08:07:40</t>
        </is>
      </c>
      <c r="P1295" t="inlineStr">
        <is>
          <t>NO</t>
        </is>
      </c>
      <c r="Q1295"/>
      <c r="R1295" t="inlineStr">
        <is>
          <t>NO</t>
        </is>
      </c>
      <c r="S1295" t="inlineStr">
        <is>
          <t>Sticker on sintra A3</t>
        </is>
      </c>
      <c r="T1295">
        <v>1</v>
      </c>
      <c r="U1295">
        <v>251</v>
      </c>
      <c r="V1295" t="inlineStr">
        <is>
          <t>PHP</t>
        </is>
      </c>
      <c r="W1295">
        <v>251</v>
      </c>
      <c r="X1295" s="2" t="str">
        <f>=HYPERLINK("https://www.larksuite.com/approval/admin/previewAttachment?key=PMgxDsIwDAXQK33Hjn8-l2EhimjVTkgIBp8diaHry2HI0c1TCFkTrNgz1aRUl8jRHdXKSIFGR81z3c8vjt24f9Y2j9jq_Xys-bIutgZ6hA8AdrvcGRFSBv6OXwAAAP__", "2 attachment(s)")</f>
        <v>2 attachment(s)</v>
      </c>
      <c r="Y1295" t="inlineStr">
        <is>
          <t>Bank Transfer</t>
        </is>
      </c>
      <c r="Z1295" t="inlineStr">
        <is>
          <t>MaxPrecision Corporation</t>
        </is>
      </c>
      <c r="AA1295" t="inlineStr">
        <is>
          <t>4440117166</t>
        </is>
      </c>
      <c r="AB1295" t="inlineStr">
        <is>
          <t>BDO</t>
        </is>
      </c>
      <c r="AC1295" t="inlineStr">
        <is>
          <t>No. 5 Lt. Artiaga Street, Brgy Corazon De Jesus San Juan, Metro Manila</t>
        </is>
      </c>
      <c r="AD1295" s="4">
        <v>45932</v>
      </c>
      <c r="AE1295" t="inlineStr">
        <is>
          <t>100% Full Payment - 30 days upon complete delivery</t>
        </is>
      </c>
      <c r="AF1295" s="2"/>
      <c r="AG1295" t="inlineStr">
        <is>
          <t>NzQyNTk5MTgyNzQ4MTg3MDM0MTo3MDhDQTUxRi1EQ0FGLTQ1MTYtOTFCOC03OTZBNjQ1MjZFQjgtMTpmOGU1ZGU0Mzg1OTFkMDk1NzUwN2JkMmQ0OThlYmEzMzox</t>
        </is>
      </c>
      <c r="AH1295" t="inlineStr">
        <is>
          <t>MaxPrecision Corporation</t>
        </is>
      </c>
      <c r="AI1295"/>
      <c r="AJ1295" t="inlineStr">
        <is>
          <t>LIQUIDITY PLAN (PAR # 202510120019 / 2025TEG-P0269)
ADDENDUM 1 TAB &gt; Reskinning of Collats &gt; 
T stands 7pcs
Total Budget = Php 4,000.00
Actual Cost = Php 251.00
Balance = Php 3,749.00</t>
        </is>
      </c>
      <c r="AK1295"/>
    </row>
    <row r="1296" ht="25.5" customHeight="1">
      <c r="A1296" s="2" t="str">
        <f>=HYPERLINK("https://applink.larksuite.com/client/mini_program/open?appId=cli_9c7cc8a9a9edd105&amp;mode=appCenter&amp;path_pc=pc/pages/requested/index?instanceId=7566932856660840157&amp;source=bitable&amp;path=pages/detail/index?instanceId=7566932856660840157&amp;source=bitable", "202510300045")</f>
        <v>202510300045</v>
      </c>
      <c r="B1296" t="inlineStr">
        <is>
          <t>Approved</t>
        </is>
      </c>
      <c r="C1296" t="inlineStr">
        <is>
          <t>Procurement Order</t>
        </is>
      </c>
      <c r="D1296" s="3">
        <v>45960.69730324074</v>
      </c>
      <c r="E1296" s="3">
        <v>45967.71103009259</v>
      </c>
      <c r="F1296" t="inlineStr">
        <is>
          <t>Fatima Kathleen M. FLores</t>
        </is>
      </c>
      <c r="G1296" t="inlineStr">
        <is>
          <t>Procurement</t>
        </is>
      </c>
      <c r="H1296"/>
      <c r="I1296"/>
      <c r="J1296" t="inlineStr">
        <is>
          <t>Project</t>
        </is>
      </c>
      <c r="K1296" t="inlineStr">
        <is>
          <t>PDEI - Game Marketing</t>
        </is>
      </c>
      <c r="L1296" t="inlineStr">
        <is>
          <t>SMDC Heroes Clash Community Arena Tournament Year 3</t>
        </is>
      </c>
      <c r="M1296" t="inlineStr">
        <is>
          <t>2025TEG-P0247</t>
        </is>
      </c>
      <c r="N1296" t="inlineStr">
        <is>
          <t>Clifford Markus Ortiz Martinez</t>
        </is>
      </c>
      <c r="O1296" t="inlineStr">
        <is>
          <t>202510010089-Clifford Markus Ortiz Martinez-费用报销 - 副本 - 副本 - 副本-2025-10-01 09:12:57;202510060115-Clifford Markus Ortiz Martinez-费用报销 - 副本 - 副本 - 副本-2025-10-06 10:34:31</t>
        </is>
      </c>
      <c r="P1296" t="inlineStr">
        <is>
          <t>NO</t>
        </is>
      </c>
      <c r="Q1296"/>
      <c r="R1296" t="inlineStr">
        <is>
          <t>YES</t>
        </is>
      </c>
      <c r="S1296" t="inlineStr">
        <is>
          <t>Mock Check SMDC MPlace Sticker on Sintra 2ft x 4ft (Rush)</t>
        </is>
      </c>
      <c r="T1296">
        <v>4</v>
      </c>
      <c r="U1296">
        <v>1400</v>
      </c>
      <c r="V1296" t="inlineStr">
        <is>
          <t>PHP</t>
        </is>
      </c>
      <c r="W1296">
        <v>5600</v>
      </c>
      <c r="X1296" s="2" t="str">
        <f>=HYPERLINK("https://www.larksuite.com/approval/admin/previewAttachment?key=PMg7CsJgEATgK83sa_71MjYJQZCAIIgWe3bBwvarRdRKejWiaQ2OsqrdVlYVVoCpsaHUEOWY_TyuonmGHp_7ue3vnNdtO_Yns2UGeYQvALz83RUR3RX4Ob4BAAD__w", "2 attachment(s)")</f>
        <v>2 attachment(s)</v>
      </c>
      <c r="Y1296" t="inlineStr">
        <is>
          <t>Bank Transfer</t>
        </is>
      </c>
      <c r="Z1296" t="inlineStr">
        <is>
          <t>MaxPrecision Corporation</t>
        </is>
      </c>
      <c r="AA1296" t="inlineStr">
        <is>
          <t>4440117166</t>
        </is>
      </c>
      <c r="AB1296" t="inlineStr">
        <is>
          <t>BDO</t>
        </is>
      </c>
      <c r="AC1296" t="inlineStr">
        <is>
          <t>No. 5 Lt. Artiaga Street, Brgy Corazon De Jesus San Juan City</t>
        </is>
      </c>
      <c r="AD1296" s="4">
        <v>45932</v>
      </c>
      <c r="AE1296" t="inlineStr">
        <is>
          <t>100% Full Payment - 30 days upon complete delivery</t>
        </is>
      </c>
      <c r="AF1296" s="2"/>
      <c r="AG1296" t="inlineStr">
        <is>
          <t>NzQyNTk5MTgyNzQ4MTg3MDM0MTpCMUUxMTFGMi0xQ0I2LTQxNTMtQjNGRS0wRUZBM0YwQUU3RTQtMTpiZjcxMmI2MzU0YWYyYjVkM2Y2MjRiOTdiYTdiMDY5Zjox</t>
        </is>
      </c>
      <c r="AH1296" t="inlineStr">
        <is>
          <t>MaxPrecision Corporation</t>
        </is>
      </c>
      <c r="AI1296"/>
      <c r="AJ1296" t="inlineStr">
        <is>
          <t>LIQUIDITY PLAN (PAR # 202509190067 / 2025TEG-P0247)
MPLACE &gt; Mock Cheque
Total Budget = Php 2,500.00
Actual Cost = Php 6,850.00
Balance = (Php 4,350.00) OVER BUDGET</t>
        </is>
      </c>
      <c r="AK1296"/>
    </row>
    <row r="1297" ht="25.5" customHeight="1">
      <c r="A1297" s="2" t="str">
        <f>=HYPERLINK("https://applink.larksuite.com/client/mini_program/open?appId=cli_9c7cc8a9a9edd105&amp;mode=appCenter&amp;path_pc=pc/pages/requested/index?instanceId=7566932856660840157&amp;source=bitable&amp;path=pages/detail/index?instanceId=7566932856660840157&amp;source=bitable", "202510300045")</f>
        <v>202510300045</v>
      </c>
      <c r="B1297" t="inlineStr">
        <is>
          <t>Approved</t>
        </is>
      </c>
      <c r="C1297" t="inlineStr">
        <is>
          <t>Procurement Order</t>
        </is>
      </c>
      <c r="D1297" s="3">
        <v>45960.69730324074</v>
      </c>
      <c r="E1297" s="3">
        <v>45967.71103009259</v>
      </c>
      <c r="F1297" t="inlineStr">
        <is>
          <t>Fatima Kathleen M. FLores</t>
        </is>
      </c>
      <c r="G1297" t="inlineStr">
        <is>
          <t>Procurement</t>
        </is>
      </c>
      <c r="H1297"/>
      <c r="I1297"/>
      <c r="J1297" t="inlineStr">
        <is>
          <t>Project</t>
        </is>
      </c>
      <c r="K1297" t="inlineStr">
        <is>
          <t>PDEI - Game Marketing</t>
        </is>
      </c>
      <c r="L1297" t="inlineStr">
        <is>
          <t>SMDC Heroes Clash Community Arena Tournament Year 3</t>
        </is>
      </c>
      <c r="M1297" t="inlineStr">
        <is>
          <t>2025TEG-P0247</t>
        </is>
      </c>
      <c r="N1297" t="inlineStr">
        <is>
          <t>Clifford Markus Ortiz Martinez</t>
        </is>
      </c>
      <c r="O1297" t="inlineStr">
        <is>
          <t>202510010089-Clifford Markus Ortiz Martinez-费用报销 - 副本 - 副本 - 副本-2025-10-01 09:12:57;202510060115-Clifford Markus Ortiz Martinez-费用报销 - 副本 - 副本 - 副本-2025-10-06 10:34:31</t>
        </is>
      </c>
      <c r="P1297" t="inlineStr">
        <is>
          <t>NO</t>
        </is>
      </c>
      <c r="Q1297"/>
      <c r="R1297" t="inlineStr">
        <is>
          <t>YES</t>
        </is>
      </c>
      <c r="S1297" t="inlineStr">
        <is>
          <t>Mock Cheque SMDC MPlace Sticker on Sintra 2ft x 4ft</t>
        </is>
      </c>
      <c r="T1297">
        <v>1</v>
      </c>
      <c r="U1297">
        <v>1250</v>
      </c>
      <c r="V1297" t="inlineStr">
        <is>
          <t>PHP</t>
        </is>
      </c>
      <c r="W1297">
        <v>1250</v>
      </c>
      <c r="X1297" s="2" t="str">
        <f>=HYPERLINK("https://www.larksuite.com/approval/admin/previewAttachment?key=PMg7CsJgEATgK83sa_71MjYJQZCAIIgWe3bBwvarRdRKejWiaQ2OsqrdVlYVVoCpsaHUEOWY_TyuonmGHp_7ue3vnNdtO_Yns2UGeYQvALz83RUR3RX4Ob8BAAD__w", "2 attachment(s)")</f>
        <v>2 attachment(s)</v>
      </c>
      <c r="Y1297"/>
      <c r="Z1297"/>
      <c r="AA1297"/>
      <c r="AB1297"/>
      <c r="AC1297"/>
      <c r="AD1297" s="4"/>
      <c r="AE1297"/>
      <c r="AF1297" s="2"/>
      <c r="AG1297" t="inlineStr">
        <is>
          <t>NzQyNTk5MTgyNzQ4MTg3MDM0MTpCMUUxMTFGMi0xQ0I2LTQxNTMtQjNGRS0wRUZBM0YwQUU3RTQtMjpjMmVkOTI0YmMxZDIxZjdlZTAzMTlkODc1NjU2ZWQ5ODox</t>
        </is>
      </c>
      <c r="AH1297"/>
      <c r="AI1297"/>
      <c r="AJ1297" t="inlineStr">
        <is>
          <t>LIQUIDITY PLAN (PAR # 202509190067 / 2025TEG-P0247)
MPLACE &gt; Mock Cheque
Total Budget = Php 2,500.00
Actual Cost = Php 6,850.00
Balance = (Php 4,350.00) OVER BUDGET</t>
        </is>
      </c>
      <c r="AK1297"/>
    </row>
    <row r="1298" ht="25.5" customHeight="1">
      <c r="A1298" s="2" t="str">
        <f>=HYPERLINK("https://applink.larksuite.com/client/mini_program/open?appId=cli_9c7cc8a9a9edd105&amp;mode=appCenter&amp;path_pc=pc/pages/requested/index?instanceId=7569097967039237851&amp;source=bitable&amp;path=pages/detail/index?instanceId=7569097967039237851&amp;source=bitable", "202511050057")</f>
        <v>202511050057</v>
      </c>
      <c r="B1298" t="inlineStr">
        <is>
          <t>Approved</t>
        </is>
      </c>
      <c r="C1298" t="inlineStr">
        <is>
          <t>Procurement Order</t>
        </is>
      </c>
      <c r="D1298" s="3">
        <v>45966.53184027778</v>
      </c>
      <c r="E1298" s="3">
        <v>45966.67046296296</v>
      </c>
      <c r="F1298" t="inlineStr">
        <is>
          <t>Fatima Kathleen M. FLores</t>
        </is>
      </c>
      <c r="G1298" t="inlineStr">
        <is>
          <t>Procurement</t>
        </is>
      </c>
      <c r="H1298"/>
      <c r="I1298"/>
      <c r="J1298" t="inlineStr">
        <is>
          <t>Project</t>
        </is>
      </c>
      <c r="K1298" t="inlineStr">
        <is>
          <t>PDEI - Event Service</t>
        </is>
      </c>
      <c r="L1298" t="inlineStr">
        <is>
          <t>MPL PH S16 - Regular Season</t>
        </is>
      </c>
      <c r="M1298" t="inlineStr">
        <is>
          <t>2025TEG-P0214</t>
        </is>
      </c>
      <c r="N1298" t="inlineStr">
        <is>
          <t>Katherine Denise Lee Sy</t>
        </is>
      </c>
      <c r="O1298" t="inlineStr">
        <is>
          <t>202509180078-Katherine Denise Lee Sy-费用报销 - 副本 - 副本 - 副本-2025-09-18 11:36:37</t>
        </is>
      </c>
      <c r="P1298" t="inlineStr">
        <is>
          <t>NO</t>
        </is>
      </c>
      <c r="Q1298"/>
      <c r="R1298" t="inlineStr">
        <is>
          <t>NO</t>
        </is>
      </c>
      <c r="S1298" t="inlineStr">
        <is>
          <t>Hotel Accommodation (Week 5 - Sept. 27 to 29, 2025)</t>
        </is>
      </c>
      <c r="T1298">
        <v>1</v>
      </c>
      <c r="U1298">
        <v>30800</v>
      </c>
      <c r="V1298" t="inlineStr">
        <is>
          <t>PHP</t>
        </is>
      </c>
      <c r="W1298">
        <v>30800</v>
      </c>
      <c r="X1298" s="2" t="str">
        <f>=HYPERLINK("https://www.larksuite.com/approval/admin/previewAttachment?key=PMhNCkIxDATgK02aNNPxMm76KP6gCIL6Fjm74MLtl8OQo5unELImWLGnICoJV3OObtXKSIFGR223dbzbZ588v6_z8li76nWaa3taF1sDPcIHADv83RkRUgZ-jm8AAAD__w", "2 attachment(s)")</f>
        <v>2 attachment(s)</v>
      </c>
      <c r="Y1298" t="inlineStr">
        <is>
          <t>Bank Transfer</t>
        </is>
      </c>
      <c r="Z1298" t="inlineStr">
        <is>
          <t>Green Sun Hotel Management Inc.</t>
        </is>
      </c>
      <c r="AA1298" t="inlineStr">
        <is>
          <t>634-7-634-02936-9</t>
        </is>
      </c>
      <c r="AB1298" t="inlineStr">
        <is>
          <t>Metrobank</t>
        </is>
      </c>
      <c r="AC1298" t="inlineStr">
        <is>
          <t>2285 Don Chino Roces Ave. Ext., Magallanes, Makati City</t>
        </is>
      </c>
      <c r="AD1298" s="4">
        <v>45927</v>
      </c>
      <c r="AE1298" t="inlineStr">
        <is>
          <t>100% Full Payment</t>
        </is>
      </c>
      <c r="AF1298" s="2"/>
      <c r="AG1298" t="inlineStr">
        <is>
          <t>NzQyNTk5MTgyNzQ4MTg3MDM0MTozNkQxOUNENy00NUU1LTQyMDMtODk1MS1DRDFFMDNFRDQzNjUtMTo2ZWQyMWViZWUzMGY1YjkzMDZhYTI0NzZkOTY5N2MzMjox</t>
        </is>
      </c>
      <c r="AH1298" t="inlineStr">
        <is>
          <t>Green Sun Hotel Management Inc.</t>
        </is>
      </c>
      <c r="AI1298"/>
      <c r="AJ1298" t="inlineStr">
        <is>
          <t>LIQUIDITY PLAN (PAR # 202509020093 / 2025TEG-P0214)
REGULAR SEASON CE TAB &gt; 4.1 Staging and Production&gt;
BROADCAST TECHNICALS (TUCK IN HERE) &gt;
HIDE FROM CLIENT
Total Remaining Budget = Php 253,328.55
Actual Cost = Php 30,800.00
Balance = Php 222,528.55</t>
        </is>
      </c>
      <c r="AK1298"/>
    </row>
    <row r="1299" ht="25.5" customHeight="1">
      <c r="A1299" s="2" t="str">
        <f>=HYPERLINK("https://applink.larksuite.com/client/mini_program/open?appId=cli_9c7cc8a9a9edd105&amp;mode=appCenter&amp;path_pc=pc/pages/requested/index?instanceId=7569187462266785504&amp;source=bitable&amp;path=pages/detail/index?instanceId=7569187462266785504&amp;source=bitable", "202511050131")</f>
        <v>202511050131</v>
      </c>
      <c r="B1299" t="inlineStr">
        <is>
          <t>Approved</t>
        </is>
      </c>
      <c r="C1299" t="inlineStr">
        <is>
          <t>Procurement Order</t>
        </is>
      </c>
      <c r="D1299" s="3">
        <v>45966.77300925926</v>
      </c>
      <c r="E1299" s="3">
        <v>45968.52850694444</v>
      </c>
      <c r="F1299" t="inlineStr">
        <is>
          <t>Fatima Kathleen M. FLores</t>
        </is>
      </c>
      <c r="G1299" t="inlineStr">
        <is>
          <t>Procurement</t>
        </is>
      </c>
      <c r="H1299"/>
      <c r="I1299"/>
      <c r="J1299" t="inlineStr">
        <is>
          <t>Project</t>
        </is>
      </c>
      <c r="K1299" t="inlineStr">
        <is>
          <t>PDEI - Game Marketing</t>
        </is>
      </c>
      <c r="L1299" t="inlineStr">
        <is>
          <t>Mineski Socials Night</t>
        </is>
      </c>
      <c r="M1299" t="inlineStr">
        <is>
          <t>2025TEG-P0293</t>
        </is>
      </c>
      <c r="N1299" t="inlineStr">
        <is>
          <t>Ronelle Kylene Chaneco Lim</t>
        </is>
      </c>
      <c r="O1299" t="inlineStr">
        <is>
          <t>202511040025-Ronelle Kylene Chaneco Lim-费用报销 - 副本 - 副本 - 副本-2025-11-04 04:06:37;202510230025-Ronelle Kylene Chaneco Lim-费用报销 - 副本 - 副本 - 副本-2025-10-23 04:13:56</t>
        </is>
      </c>
      <c r="P1299" t="inlineStr">
        <is>
          <t>NO</t>
        </is>
      </c>
      <c r="Q1299"/>
      <c r="R1299" t="inlineStr">
        <is>
          <t>YES</t>
        </is>
      </c>
      <c r="S1299" t="inlineStr">
        <is>
          <t>Guest / Bingo Cards</t>
        </is>
      </c>
      <c r="T1299">
        <v>300</v>
      </c>
      <c r="U1299">
        <v>112</v>
      </c>
      <c r="V1299" t="inlineStr">
        <is>
          <t>PHP</t>
        </is>
      </c>
      <c r="W1299">
        <v>33600</v>
      </c>
      <c r="X1299" s="2" t="str">
        <f>=HYPERLINK("https://www.larksuite.com/approval/admin/previewAttachment?key=PMg7CgJBEATQK1V_a9rLmDgs6rIgCKMGfXbBwPTlEOQIsSx4iRakGVky6KmayREBb20hCxQaeh7b-bNueMV7Pfa7zWPvdb1s8ylRVAXN3QYAOf3d6O5V6fg5vgEAAP__", "2 attachment(s)")</f>
        <v>2 attachment(s)</v>
      </c>
      <c r="Y1299" t="inlineStr">
        <is>
          <t>Bank Transfer</t>
        </is>
      </c>
      <c r="Z1299" t="inlineStr">
        <is>
          <t>Bescost Digital Marketing Services Inc.</t>
        </is>
      </c>
      <c r="AA1299" t="inlineStr">
        <is>
          <t>00000-5674-8951</t>
        </is>
      </c>
      <c r="AB1299" t="inlineStr">
        <is>
          <t>Security Bank</t>
        </is>
      </c>
      <c r="AC1299" t="inlineStr">
        <is>
          <t>5105-A Sulok St., Brgy. Ugong, Valenzuela City</t>
        </is>
      </c>
      <c r="AD1299" s="4">
        <v>45967</v>
      </c>
      <c r="AE1299" t="inlineStr">
        <is>
          <t>100% Full Payment - 15 days upon complete delivery</t>
        </is>
      </c>
      <c r="AF1299" s="2"/>
      <c r="AG1299" t="inlineStr">
        <is>
          <t>NzQyNTk5MTgyNzQ4MTg3MDM0MToyNkIyRDA0NS0wQjEyLTQwNUEtOTEzNC0wMjY0NDBGOTgxNzQtMToxNzA2Nzc3OGIxNzA5NDVhYTM2NzcyMGQxYmQxMzk2NTox</t>
        </is>
      </c>
      <c r="AH1299" t="inlineStr">
        <is>
          <t>Bescost Digital Marketing Services Inc.</t>
        </is>
      </c>
      <c r="AI1299"/>
      <c r="AJ1299" t="inlineStr">
        <is>
          <t>LIQUIDITY PLAN (PAR # 202510310043 / 2025TEG-P0293)
Marketing Collateral - Onsite Branding &gt; Entrance Poster w Easel Stand
Merchandise &gt; Quest Card
Total Budget = Php 36,100.00
Actual Cost = Php 50,736.00
Balance = (Php 16,800.00) OVER BUDGET</t>
        </is>
      </c>
      <c r="AK1299"/>
    </row>
    <row r="1300" ht="25.5" customHeight="1">
      <c r="A1300" s="2" t="str">
        <f>=HYPERLINK("https://applink.larksuite.com/client/mini_program/open?appId=cli_9c7cc8a9a9edd105&amp;mode=appCenter&amp;path_pc=pc/pages/requested/index?instanceId=7569187462266785504&amp;source=bitable&amp;path=pages/detail/index?instanceId=7569187462266785504&amp;source=bitable", "202511050131")</f>
        <v>202511050131</v>
      </c>
      <c r="B1300" t="inlineStr">
        <is>
          <t>Approved</t>
        </is>
      </c>
      <c r="C1300" t="inlineStr">
        <is>
          <t>Procurement Order</t>
        </is>
      </c>
      <c r="D1300" s="3">
        <v>45966.77300925926</v>
      </c>
      <c r="E1300" s="3">
        <v>45968.52850694444</v>
      </c>
      <c r="F1300" t="inlineStr">
        <is>
          <t>Fatima Kathleen M. FLores</t>
        </is>
      </c>
      <c r="G1300" t="inlineStr">
        <is>
          <t>Procurement</t>
        </is>
      </c>
      <c r="H1300"/>
      <c r="I1300"/>
      <c r="J1300" t="inlineStr">
        <is>
          <t>Project</t>
        </is>
      </c>
      <c r="K1300" t="inlineStr">
        <is>
          <t>PDEI - Game Marketing</t>
        </is>
      </c>
      <c r="L1300" t="inlineStr">
        <is>
          <t>Mineski Socials Night</t>
        </is>
      </c>
      <c r="M1300" t="inlineStr">
        <is>
          <t>2025TEG-P0293</t>
        </is>
      </c>
      <c r="N1300" t="inlineStr">
        <is>
          <t>Ronelle Kylene Chaneco Lim</t>
        </is>
      </c>
      <c r="O1300" t="inlineStr">
        <is>
          <t>202511040025-Ronelle Kylene Chaneco Lim-费用报销 - 副本 - 副本 - 副本-2025-11-04 04:06:37;202510230025-Ronelle Kylene Chaneco Lim-费用报销 - 副本 - 副本 - 副本-2025-10-23 04:13:56</t>
        </is>
      </c>
      <c r="P1300" t="inlineStr">
        <is>
          <t>NO</t>
        </is>
      </c>
      <c r="Q1300"/>
      <c r="R1300" t="inlineStr">
        <is>
          <t>YES</t>
        </is>
      </c>
      <c r="S1300" t="inlineStr">
        <is>
          <t>Guest Cards (Revised Design)</t>
        </is>
      </c>
      <c r="T1300">
        <v>150</v>
      </c>
      <c r="U1300">
        <v>112</v>
      </c>
      <c r="V1300" t="inlineStr">
        <is>
          <t>PHP</t>
        </is>
      </c>
      <c r="W1300">
        <v>16800</v>
      </c>
      <c r="X1300" s="2"/>
      <c r="Y1300"/>
      <c r="Z1300"/>
      <c r="AA1300"/>
      <c r="AB1300"/>
      <c r="AC1300"/>
      <c r="AD1300" s="4"/>
      <c r="AE1300"/>
      <c r="AF1300" s="2"/>
      <c r="AG1300" t="inlineStr">
        <is>
          <t>NzQyNTk5MTgyNzQ4MTg3MDM0MToyNkIyRDA0NS0wQjEyLTQwNUEtOTEzNC0wMjY0NDBGOTgxNzQtMjozZWVkYzY4ZWQyMzdlNzI1ODNhYjQ5MjlkMzY1YzRiZjox</t>
        </is>
      </c>
      <c r="AH1300"/>
      <c r="AI1300"/>
      <c r="AJ1300" t="inlineStr">
        <is>
          <t>LIQUIDITY PLAN (PAR # 202510310043 / 2025TEG-P0293)
Marketing Collateral - Onsite Branding &gt; Entrance Poster w Easel Stand
Merchandise &gt; Quest Card
Total Budget = Php 36,100.00
Actual Cost = Php 50,736.00
Balance = (Php 16,800.00) OVER BUDGET</t>
        </is>
      </c>
      <c r="AK1300"/>
    </row>
    <row r="1301" ht="25.5" customHeight="1">
      <c r="A1301" s="2" t="str">
        <f>=HYPERLINK("https://applink.larksuite.com/client/mini_program/open?appId=cli_9c7cc8a9a9edd105&amp;mode=appCenter&amp;path_pc=pc/pages/requested/index?instanceId=7569187462266785504&amp;source=bitable&amp;path=pages/detail/index?instanceId=7569187462266785504&amp;source=bitable", "202511050131")</f>
        <v>202511050131</v>
      </c>
      <c r="B1301" t="inlineStr">
        <is>
          <t>Approved</t>
        </is>
      </c>
      <c r="C1301" t="inlineStr">
        <is>
          <t>Procurement Order</t>
        </is>
      </c>
      <c r="D1301" s="3">
        <v>45966.77300925926</v>
      </c>
      <c r="E1301" s="3">
        <v>45968.52850694444</v>
      </c>
      <c r="F1301" t="inlineStr">
        <is>
          <t>Fatima Kathleen M. FLores</t>
        </is>
      </c>
      <c r="G1301" t="inlineStr">
        <is>
          <t>Procurement</t>
        </is>
      </c>
      <c r="H1301"/>
      <c r="I1301"/>
      <c r="J1301" t="inlineStr">
        <is>
          <t>Project</t>
        </is>
      </c>
      <c r="K1301" t="inlineStr">
        <is>
          <t>PDEI - Game Marketing</t>
        </is>
      </c>
      <c r="L1301" t="inlineStr">
        <is>
          <t>Mineski Socials Night</t>
        </is>
      </c>
      <c r="M1301" t="inlineStr">
        <is>
          <t>2025TEG-P0293</t>
        </is>
      </c>
      <c r="N1301" t="inlineStr">
        <is>
          <t>Ronelle Kylene Chaneco Lim</t>
        </is>
      </c>
      <c r="O1301" t="inlineStr">
        <is>
          <t>202511040025-Ronelle Kylene Chaneco Lim-费用报销 - 副本 - 副本 - 副本-2025-11-04 04:06:37;202510230025-Ronelle Kylene Chaneco Lim-费用报销 - 副本 - 副本 - 副本-2025-10-23 04:13:56</t>
        </is>
      </c>
      <c r="P1301" t="inlineStr">
        <is>
          <t>NO</t>
        </is>
      </c>
      <c r="Q1301"/>
      <c r="R1301" t="inlineStr">
        <is>
          <t>YES</t>
        </is>
      </c>
      <c r="S1301" t="inlineStr">
        <is>
          <t>A3 Poster (Sticker on Sintra)</t>
        </is>
      </c>
      <c r="T1301">
        <v>1</v>
      </c>
      <c r="U1301">
        <v>336</v>
      </c>
      <c r="V1301" t="inlineStr">
        <is>
          <t>PHP</t>
        </is>
      </c>
      <c r="W1301">
        <v>336</v>
      </c>
      <c r="X1301" s="2" t="str">
        <f>=HYPERLINK("https://www.larksuite.com/approval/admin/previewAttachment?key=PMg7CgJBEATQK1V_a9rLmDgs6rIgCKMGfXbBwPTlEOQIsSx4iRakGVky6KmayREBb20hCxQaeh7b-bNueMV7Pfa7zWPvdb1s8ylRVAXN3QYAOf3d6O5V6fi5fgMAAP__", "1 attachment(s)")</f>
        <v>1 attachment(s)</v>
      </c>
      <c r="Y1301"/>
      <c r="Z1301"/>
      <c r="AA1301"/>
      <c r="AB1301"/>
      <c r="AC1301"/>
      <c r="AD1301" s="4"/>
      <c r="AE1301"/>
      <c r="AF1301" s="2"/>
      <c r="AG1301" t="inlineStr">
        <is>
          <t>NzQyNTk5MTgyNzQ4MTg3MDM0MToyNkIyRDA0NS0wQjEyLTQwNUEtOTEzNC0wMjY0NDBGOTgxNzQtMzo0NTQzNGM3OGM2YTRhYjRmYzlkNTc1NTA4ZTk2YzIyODox</t>
        </is>
      </c>
      <c r="AH1301"/>
      <c r="AI1301"/>
      <c r="AJ1301" t="inlineStr">
        <is>
          <t>LIQUIDITY PLAN (PAR # 202510310043 / 2025TEG-P0293)
Marketing Collateral - Onsite Branding &gt; Entrance Poster w Easel Stand
Merchandise &gt; Quest Card
Total Budget = Php 36,100.00
Actual Cost = Php 50,736.00
Balance = (Php 16,800.00) OVER BUDGET</t>
        </is>
      </c>
      <c r="AK1301"/>
    </row>
    <row r="1302" ht="25.5" customHeight="1">
      <c r="A1302" s="2" t="str">
        <f>=HYPERLINK("https://applink.larksuite.com/client/mini_program/open?appId=cli_9c7cc8a9a9edd105&amp;mode=appCenter&amp;path_pc=pc/pages/requested/index?instanceId=7568836609227902683&amp;source=bitable&amp;path=pages/detail/index?instanceId=7568836609227902683&amp;source=bitable", "202511040141")</f>
        <v>202511040141</v>
      </c>
      <c r="B1302" t="inlineStr">
        <is>
          <t>Approved</t>
        </is>
      </c>
      <c r="C1302" t="inlineStr">
        <is>
          <t>Procurement Order</t>
        </is>
      </c>
      <c r="D1302" s="3">
        <v>45965.82753472222</v>
      </c>
      <c r="E1302" s="3">
        <v>45975.45738425926</v>
      </c>
      <c r="F1302" t="inlineStr">
        <is>
          <t>Fatima Kathleen M. FLores</t>
        </is>
      </c>
      <c r="G1302" t="inlineStr">
        <is>
          <t>Procurement</t>
        </is>
      </c>
      <c r="H1302"/>
      <c r="I1302"/>
      <c r="J1302" t="inlineStr">
        <is>
          <t>Project</t>
        </is>
      </c>
      <c r="K1302" t="inlineStr">
        <is>
          <t>PDEI - Event Service</t>
        </is>
      </c>
      <c r="L1302" t="inlineStr">
        <is>
          <t>MPL PH S16 Addendum 2</t>
        </is>
      </c>
      <c r="M1302" t="inlineStr">
        <is>
          <t>2025TEG-P0299</t>
        </is>
      </c>
      <c r="N1302" t="inlineStr">
        <is>
          <t>Jessica Jane Lor Felicilda</t>
        </is>
      </c>
      <c r="O1302" t="inlineStr">
        <is>
          <t>202510300062-Jessica Jane Lor Felicilda-费用报销 - 副本 - 副本 - 副本-2025-10-30 10:08:02</t>
        </is>
      </c>
      <c r="P1302" t="inlineStr">
        <is>
          <t>YES</t>
        </is>
      </c>
      <c r="Q1302"/>
      <c r="R1302" t="inlineStr">
        <is>
          <t>YES</t>
        </is>
      </c>
      <c r="S1302" t="inlineStr">
        <is>
          <t>Outsourced Logistics Associate</t>
        </is>
      </c>
      <c r="T1302">
        <v>1</v>
      </c>
      <c r="U1302">
        <v>15600</v>
      </c>
      <c r="V1302" t="inlineStr">
        <is>
          <t>PHP</t>
        </is>
      </c>
      <c r="W1302">
        <v>15600</v>
      </c>
      <c r="X1302" s="2" t="str">
        <f>=HYPERLINK("https://www.larksuite.com/approval/admin/previewAttachment?key=PMg7CsIAEATQK83-d7yMjSGIkiAIQYs9u2CR9mULskMsCacoIVOR3ZYJqhah2TY6UkWUlGGWbb1GHB_7uj23fcfrMcf9ti5vCZYqytytAcjldCt3J9Pxd_wCAAD__w", "2 attachment(s)")</f>
        <v>2 attachment(s)</v>
      </c>
      <c r="Y1302" t="inlineStr">
        <is>
          <t>Bank Transfer</t>
        </is>
      </c>
      <c r="Z1302" t="inlineStr">
        <is>
          <t>Allen Bert Araño</t>
        </is>
      </c>
      <c r="AA1302" t="inlineStr">
        <is>
          <t>109855637640</t>
        </is>
      </c>
      <c r="AB1302" t="inlineStr">
        <is>
          <t>Unionbank</t>
        </is>
      </c>
      <c r="AC1302" t="inlineStr">
        <is>
          <t>Marungko, Angat, Bulacan</t>
        </is>
      </c>
      <c r="AD1302" s="4">
        <v>45951</v>
      </c>
      <c r="AE1302" t="inlineStr">
        <is>
          <t>100% Full Payment - Nov. 7, 2025</t>
        </is>
      </c>
      <c r="AF1302" s="2"/>
      <c r="AG1302" t="inlineStr">
        <is>
          <t>NzQyNTk5MTgyNzQ4MTg3MDM0MTo1NTEzM0E2RC02MUIxLTRGRDctOUIwMi00RDI2RDRBODFDNzQtMTo5YWUxMzBlMzUyMDk4YTU5YTFmNTBkYWQzM2UzYjFiYjox</t>
        </is>
      </c>
      <c r="AH1302" t="inlineStr">
        <is>
          <t>Allen Bert Araño</t>
        </is>
      </c>
      <c r="AI1302"/>
      <c r="AJ1302" t="inlineStr">
        <is>
          <t>LIQUIDITY PLAN (PAR # 202511030050 / 2025TEG-P0299)
ADDENDUM 2 CE &gt; Logistics for Sponsor Collaterals
Total Budget = Php 14,000.00
Actual Cost = Php 15,600.00
Balance = (Php 1,600.00) OVER BUDGET</t>
        </is>
      </c>
      <c r="AK1302"/>
    </row>
    <row r="1303" ht="25.5" customHeight="1">
      <c r="A1303" s="2" t="str">
        <f>=HYPERLINK("https://applink.larksuite.com/client/mini_program/open?appId=cli_9c7cc8a9a9edd105&amp;mode=appCenter&amp;path_pc=pc/pages/requested/index?instanceId=7568794512382791391&amp;source=bitable&amp;path=pages/detail/index?instanceId=7568794512382791391&amp;source=bitable", "202511040101")</f>
        <v>202511040101</v>
      </c>
      <c r="B1303" t="inlineStr">
        <is>
          <t>Approved</t>
        </is>
      </c>
      <c r="C1303" t="inlineStr">
        <is>
          <t>Procurement Order</t>
        </is>
      </c>
      <c r="D1303" s="3">
        <v>45965.71409722222</v>
      </c>
      <c r="E1303" s="3">
        <v>45972.69863425926</v>
      </c>
      <c r="F1303" t="inlineStr">
        <is>
          <t>Fatima Kathleen M. FLores</t>
        </is>
      </c>
      <c r="G1303" t="inlineStr">
        <is>
          <t>Procurement</t>
        </is>
      </c>
      <c r="H1303"/>
      <c r="I1303"/>
      <c r="J1303" t="inlineStr">
        <is>
          <t>Project</t>
        </is>
      </c>
      <c r="K1303" t="inlineStr">
        <is>
          <t>PDEI - Game Marketing</t>
        </is>
      </c>
      <c r="L1303" t="inlineStr">
        <is>
          <t>WCG 2025 Creator Rumble</t>
        </is>
      </c>
      <c r="M1303" t="inlineStr">
        <is>
          <t>2025TEG-P0041</t>
        </is>
      </c>
      <c r="N1303" t="inlineStr">
        <is>
          <t>Maura Aurel Atilano Yap</t>
        </is>
      </c>
      <c r="O1303" t="inlineStr">
        <is>
          <t>202510170105-Maura Aurel Atilano Yap-费用报销 - 副本 - 副本 - 副本-2025-10-17 12:42:56</t>
        </is>
      </c>
      <c r="P1303" t="inlineStr">
        <is>
          <t>YES</t>
        </is>
      </c>
      <c r="Q1303"/>
      <c r="R1303" t="inlineStr">
        <is>
          <t>YES</t>
        </is>
      </c>
      <c r="S1303" t="inlineStr">
        <is>
          <t>Outsourced Highlights / Replay Operator</t>
        </is>
      </c>
      <c r="T1303">
        <v>1</v>
      </c>
      <c r="U1303">
        <v>3300</v>
      </c>
      <c r="V1303" t="inlineStr">
        <is>
          <t>PHP</t>
        </is>
      </c>
      <c r="W1303">
        <v>3300</v>
      </c>
      <c r="X1303" s="2" t="str">
        <f>=HYPERLINK("https://www.larksuite.com/approval/admin/previewAttachment?key=PMg9CkJBDATgK80k2Z3Ey9j4WPwFQVCbnF2weO03k5g56LMQRSuwNWaqYtA8TUUvtjWlgihHb491XE5drp8v8onbuPf7fFrbi6NkBnmEJwAedndFRNUM_B2_AAAA__8", "2 attachment(s)")</f>
        <v>2 attachment(s)</v>
      </c>
      <c r="Y1303" t="inlineStr">
        <is>
          <t>Bank Transfer</t>
        </is>
      </c>
      <c r="Z1303" t="inlineStr">
        <is>
          <t>Dannie Rizal N. Iremedio</t>
        </is>
      </c>
      <c r="AA1303" t="inlineStr">
        <is>
          <t>0000075157652</t>
        </is>
      </c>
      <c r="AB1303" t="inlineStr">
        <is>
          <t>Security Bank</t>
        </is>
      </c>
      <c r="AC1303" t="inlineStr">
        <is>
          <t>790 P. Ocampo St , Brgy 719, Zone 78 Malate, Manila</t>
        </is>
      </c>
      <c r="AD1303" s="4">
        <v>45955</v>
      </c>
      <c r="AE1303" t="inlineStr">
        <is>
          <t>100% Full Payment - Nov. 7, 2025</t>
        </is>
      </c>
      <c r="AF1303" s="2"/>
      <c r="AG1303" t="inlineStr">
        <is>
          <t>NzQyNTk5MTgyNzQ4MTg3MDM0MTpFRjYwODlCNC02MTYwLTRGOTAtOTVDRC0wNEE5RDIwOUI4OEQtMTpjODI3MTAxY2UxZGIzMzFkZGJmNzZlNzg2MWMxMjIyMjox</t>
        </is>
      </c>
      <c r="AH1303" t="inlineStr">
        <is>
          <t>Dannie Rizal N. Iremedio</t>
        </is>
      </c>
      <c r="AI1303"/>
      <c r="AJ1303" t="inlineStr">
        <is>
          <t>LIQUIDITY PLAN (PAR # 202505160019 / 2025TEG-P0041)
MANPOWER &gt; Broadcast &amp; Production &gt;
Highlights Operator 
Total Remaining Budget = (Php 2,250.00) NEGATIVE
Actual Cost = Php 3,300.00
Balance = (Php 5,550.00) OVER BUDGET</t>
        </is>
      </c>
      <c r="AK1303"/>
    </row>
    <row r="1304" ht="25.5" customHeight="1">
      <c r="A1304" s="2" t="str">
        <f>=HYPERLINK("https://applink.larksuite.com/client/mini_program/open?appId=cli_9c7cc8a9a9edd105&amp;mode=appCenter&amp;path_pc=pc/pages/requested/index?instanceId=7568797174142668507&amp;source=bitable&amp;path=pages/detail/index?instanceId=7568797174142668507&amp;source=bitable", "202511040103")</f>
        <v>202511040103</v>
      </c>
      <c r="B1304" t="inlineStr">
        <is>
          <t>Approved</t>
        </is>
      </c>
      <c r="C1304" t="inlineStr">
        <is>
          <t>Procurement Order</t>
        </is>
      </c>
      <c r="D1304" s="3">
        <v>45965.72126157407</v>
      </c>
      <c r="E1304" s="3">
        <v>45972.695810185185</v>
      </c>
      <c r="F1304" t="inlineStr">
        <is>
          <t>Fatima Kathleen M. FLores</t>
        </is>
      </c>
      <c r="G1304" t="inlineStr">
        <is>
          <t>Procurement</t>
        </is>
      </c>
      <c r="H1304"/>
      <c r="I1304"/>
      <c r="J1304" t="inlineStr">
        <is>
          <t>Project</t>
        </is>
      </c>
      <c r="K1304" t="inlineStr">
        <is>
          <t>PDEI - Game Marketing</t>
        </is>
      </c>
      <c r="L1304" t="inlineStr">
        <is>
          <t>WCG 2025 Creator Rumble</t>
        </is>
      </c>
      <c r="M1304" t="inlineStr">
        <is>
          <t>2025TEG-P0041</t>
        </is>
      </c>
      <c r="N1304" t="inlineStr">
        <is>
          <t>Maura Aurel Atilano Yap</t>
        </is>
      </c>
      <c r="O1304" t="inlineStr">
        <is>
          <t>202510170105-Maura Aurel Atilano Yap-费用报销 - 副本 - 副本 - 副本-2025-10-17 12:42:56</t>
        </is>
      </c>
      <c r="P1304" t="inlineStr">
        <is>
          <t>YES</t>
        </is>
      </c>
      <c r="Q1304"/>
      <c r="R1304" t="inlineStr">
        <is>
          <t>YES</t>
        </is>
      </c>
      <c r="S1304" t="inlineStr">
        <is>
          <t>Outsourced Floor Director</t>
        </is>
      </c>
      <c r="T1304">
        <v>1</v>
      </c>
      <c r="U1304">
        <v>4000</v>
      </c>
      <c r="V1304" t="inlineStr">
        <is>
          <t>PHP</t>
        </is>
      </c>
      <c r="W1304">
        <v>4000</v>
      </c>
      <c r="X1304" s="2" t="str">
        <f>=HYPERLINK("https://www.larksuite.com/approval/admin/previewAttachment?key=PMgxqgJBEATQK1V313RN_cv8ZJdFFo1ExWDOLhiYvp6BniOqDTrSiKXRU1aIweyeA1q5QjIUKqz9dvxvj_SL7yLPq-tcz8t27PcYViZUZE0A8ffzEkm7ia_jEwAA__8", "2 attachment(s)")</f>
        <v>2 attachment(s)</v>
      </c>
      <c r="Y1304" t="inlineStr">
        <is>
          <t>Bank Transfer</t>
        </is>
      </c>
      <c r="Z1304" t="inlineStr">
        <is>
          <t>MAICAH DOLOR ASTRONOMO</t>
        </is>
      </c>
      <c r="AA1304" t="inlineStr">
        <is>
          <t>010913463655</t>
        </is>
      </c>
      <c r="AB1304" t="inlineStr">
        <is>
          <t>GOTYME BANK CORPORATION</t>
        </is>
      </c>
      <c r="AC1304" t="inlineStr">
        <is>
          <t>218 Paso St. Bagumbayan Taguig City</t>
        </is>
      </c>
      <c r="AD1304" s="4">
        <v>45955</v>
      </c>
      <c r="AE1304" t="inlineStr">
        <is>
          <t>100% Full Payment - Nov. 7, 2025</t>
        </is>
      </c>
      <c r="AF1304" s="2"/>
      <c r="AG1304" t="inlineStr">
        <is>
          <t>NzQyNTk5MTgyNzQ4MTg3MDM0MTpDMUMxRDlEMC05QkU0LTQ4QzYtQjE3Qi1FMjkzOTA2NTI0MTItMTo5NTc3N2ZhM2Q2YmVhYjA2NDQ0NjdjNTIzNTg3Y2RlODox</t>
        </is>
      </c>
      <c r="AH1304" t="inlineStr">
        <is>
          <t>MAICAH DOLOR ASTRONOMO</t>
        </is>
      </c>
      <c r="AI1304"/>
      <c r="AJ1304" t="inlineStr">
        <is>
          <t>LIQUIDITY PLAN (PAR # 202505160019 / 2025TEG-P0041)
MANPOWER &gt; Broadcast &amp; Production &gt;
Floor Director 
Total Budget = Php 3,750.00
Actual Cost = Php 4,000.00
Balance = (Php 250.00) OVER BUDGET</t>
        </is>
      </c>
      <c r="AK1304"/>
    </row>
    <row r="1305" ht="25.5" customHeight="1">
      <c r="A1305" s="2" t="str">
        <f>=HYPERLINK("https://applink.larksuite.com/client/mini_program/open?appId=cli_9c7cc8a9a9edd105&amp;mode=appCenter&amp;path_pc=pc/pages/requested/index?instanceId=7568802004055674590&amp;source=bitable&amp;path=pages/detail/index?instanceId=7568802004055674590&amp;source=bitable", "202511040113")</f>
        <v>202511040113</v>
      </c>
      <c r="B1305" t="inlineStr">
        <is>
          <t>Approved</t>
        </is>
      </c>
      <c r="C1305" t="inlineStr">
        <is>
          <t>Procurement Order</t>
        </is>
      </c>
      <c r="D1305" s="3">
        <v>45965.73428240741</v>
      </c>
      <c r="E1305" s="3">
        <v>45972.69472222222</v>
      </c>
      <c r="F1305" t="inlineStr">
        <is>
          <t>Fatima Kathleen M. FLores</t>
        </is>
      </c>
      <c r="G1305" t="inlineStr">
        <is>
          <t>Procurement</t>
        </is>
      </c>
      <c r="H1305"/>
      <c r="I1305"/>
      <c r="J1305" t="inlineStr">
        <is>
          <t>Project</t>
        </is>
      </c>
      <c r="K1305" t="inlineStr">
        <is>
          <t>PDEI - Game Marketing</t>
        </is>
      </c>
      <c r="L1305" t="inlineStr">
        <is>
          <t>WCG 2025 Creator Rumble</t>
        </is>
      </c>
      <c r="M1305" t="inlineStr">
        <is>
          <t>2025TEG-P0041</t>
        </is>
      </c>
      <c r="N1305" t="inlineStr">
        <is>
          <t>Maura Aurel Atilano Yap</t>
        </is>
      </c>
      <c r="O1305" t="inlineStr">
        <is>
          <t>202510170105-Maura Aurel Atilano Yap-费用报销 - 副本 - 副本 - 副本-2025-10-17 12:42:56</t>
        </is>
      </c>
      <c r="P1305" t="inlineStr">
        <is>
          <t>YES</t>
        </is>
      </c>
      <c r="Q1305"/>
      <c r="R1305" t="inlineStr">
        <is>
          <t>YES</t>
        </is>
      </c>
      <c r="S1305" t="inlineStr">
        <is>
          <t>Outsourced Stage Hand</t>
        </is>
      </c>
      <c r="T1305">
        <v>1</v>
      </c>
      <c r="U1305">
        <v>3600</v>
      </c>
      <c r="V1305" t="inlineStr">
        <is>
          <t>PHP</t>
        </is>
      </c>
      <c r="W1305">
        <v>3600</v>
      </c>
      <c r="X1305" s="2" t="str">
        <f>=HYPERLINK("https://www.larksuite.com/approval/admin/previewAttachment?key=PMi5DcJQEATQlmbvHZoh8ZdFgCPEFWztSAROX7YgO8SScIoSMhXZDQUcEVkexOhIFVFShlnHfr3H873Fdx39MZrO67bt6yHBUkWZuzUAuZxu5e5kOv6OXwAAAP__", "2 attachment(s)")</f>
        <v>2 attachment(s)</v>
      </c>
      <c r="Y1305" t="inlineStr">
        <is>
          <t>Bank Transfer</t>
        </is>
      </c>
      <c r="Z1305" t="inlineStr">
        <is>
          <t>Emmanuel Cleto Francisco</t>
        </is>
      </c>
      <c r="AA1305" t="inlineStr">
        <is>
          <t>008450414941</t>
        </is>
      </c>
      <c r="AB1305" t="inlineStr">
        <is>
          <t>BDO</t>
        </is>
      </c>
      <c r="AC1305" t="inlineStr">
        <is>
          <t>7 Aguirre St. zone 4 Signal Village Taguig City</t>
        </is>
      </c>
      <c r="AD1305" s="4">
        <v>45955</v>
      </c>
      <c r="AE1305" t="inlineStr">
        <is>
          <t>100% Full Payment - Nov. 7, 2025</t>
        </is>
      </c>
      <c r="AF1305" s="2"/>
      <c r="AG1305" t="inlineStr">
        <is>
          <t>NzQyNTk5MTgyNzQ4MTg3MDM0MTo5QzA1MkRBRS1EMkRDLTQzMzAtQUIyMS0wOEVCQTdFMjA0QTItMTowOGVjOTgyOGJiOWNjZGM4N2MwMmMxNjYyZTY0NjU5NTox</t>
        </is>
      </c>
      <c r="AH1305" t="inlineStr">
        <is>
          <t>Emmanuel Cleto Francisco</t>
        </is>
      </c>
      <c r="AI1305"/>
      <c r="AJ1305" t="inlineStr">
        <is>
          <t>LIQUIDITY PLAN (PAR # 202505160019 / 2025TEG-P0041)
MANPOWER &gt; Broadcast &amp; Production &gt;
Stage Hand
Total Remaining Budget = Php 750.00
Actual Cost = Php 3,600.00
Balance = (Php 2,850.00) OVER BUDGET</t>
        </is>
      </c>
      <c r="AK1305"/>
    </row>
    <row r="1306" ht="25.5" customHeight="1">
      <c r="A1306" s="2" t="str">
        <f>=HYPERLINK("https://applink.larksuite.com/client/mini_program/open?appId=cli_9c7cc8a9a9edd105&amp;mode=appCenter&amp;path_pc=pc/pages/requested/index?instanceId=7568804820736364257&amp;source=bitable&amp;path=pages/detail/index?instanceId=7568804820736364257&amp;source=bitable", "202511040115")</f>
        <v>202511040115</v>
      </c>
      <c r="B1306" t="inlineStr">
        <is>
          <t>Approved</t>
        </is>
      </c>
      <c r="C1306" t="inlineStr">
        <is>
          <t>Procurement Order</t>
        </is>
      </c>
      <c r="D1306" s="3">
        <v>45965.741875</v>
      </c>
      <c r="E1306" s="3">
        <v>45972.693032407406</v>
      </c>
      <c r="F1306" t="inlineStr">
        <is>
          <t>Fatima Kathleen M. FLores</t>
        </is>
      </c>
      <c r="G1306" t="inlineStr">
        <is>
          <t>Procurement</t>
        </is>
      </c>
      <c r="H1306"/>
      <c r="I1306"/>
      <c r="J1306" t="inlineStr">
        <is>
          <t>Project</t>
        </is>
      </c>
      <c r="K1306" t="inlineStr">
        <is>
          <t>PDEI - Game Marketing</t>
        </is>
      </c>
      <c r="L1306" t="inlineStr">
        <is>
          <t>WCG 2025 Creator Rumble</t>
        </is>
      </c>
      <c r="M1306" t="inlineStr">
        <is>
          <t>2025TEG-P0041</t>
        </is>
      </c>
      <c r="N1306" t="inlineStr">
        <is>
          <t>Maura Aurel Atilano Yap</t>
        </is>
      </c>
      <c r="O1306" t="inlineStr">
        <is>
          <t>202510170105-Maura Aurel Atilano Yap-费用报销 - 副本 - 副本 - 副本-2025-10-17 12:42:56</t>
        </is>
      </c>
      <c r="P1306" t="inlineStr">
        <is>
          <t>YES</t>
        </is>
      </c>
      <c r="Q1306"/>
      <c r="R1306" t="inlineStr">
        <is>
          <t>YES</t>
        </is>
      </c>
      <c r="S1306" t="inlineStr">
        <is>
          <t>Outsourced Lighting Director</t>
        </is>
      </c>
      <c r="T1306">
        <v>1</v>
      </c>
      <c r="U1306">
        <v>7500</v>
      </c>
      <c r="V1306" t="inlineStr">
        <is>
          <t>PHP</t>
        </is>
      </c>
      <c r="W1306">
        <v>7500</v>
      </c>
      <c r="X1306" s="2" t="str">
        <f>=HYPERLINK("https://www.larksuite.com/approval/admin/previewAttachment?key=PMs9qsJgEAXQLd2ZufP3NvOahA8hiY2g1axdtLA9cKIEUS4WDbZoQyY9qsBSpIUF1XN0JLORkobZr_Vf9D5ed5zbuvw85nnb1v4Q79TPI60AyN_PLUl2B_F1vAMAAP__", "2 attachment(s)")</f>
        <v>2 attachment(s)</v>
      </c>
      <c r="Y1306" t="inlineStr">
        <is>
          <t>Bank Transfer</t>
        </is>
      </c>
      <c r="Z1306" t="inlineStr">
        <is>
          <t>Mark Anthony Flor</t>
        </is>
      </c>
      <c r="AA1306" t="inlineStr">
        <is>
          <t>09199712271</t>
        </is>
      </c>
      <c r="AB1306" t="inlineStr">
        <is>
          <t>GCash</t>
        </is>
      </c>
      <c r="AC1306" t="inlineStr">
        <is>
          <t>Blk179 Lot44 St. Cecilia Street, Deca Homes Loma de Gato, Marilao, Bulacan</t>
        </is>
      </c>
      <c r="AD1306" s="4">
        <v>45955</v>
      </c>
      <c r="AE1306" t="inlineStr">
        <is>
          <t>100% Full Payment - Nov. 7, 2025</t>
        </is>
      </c>
      <c r="AF1306" s="2"/>
      <c r="AG1306" t="inlineStr">
        <is>
          <t>NzQyNTk5MTgyNzQ4MTg3MDM0MTpDMDJDQzE1QS04QUNBLTQ4NzEtOTFCMy04MTlDRjk2M0ZBQzEtMTpiNDc0NGFiNTg5ZTViOTY1YjIxOGViZjNiMzMzYWI3OTox</t>
        </is>
      </c>
      <c r="AH1306" t="inlineStr">
        <is>
          <t>Mark Anthony Flor</t>
        </is>
      </c>
      <c r="AI1306"/>
      <c r="AJ1306" t="inlineStr">
        <is>
          <t>LIQUIDITY PLAN (PAR # 202505160019 / 2025TEG-P0041)
MANPOWER &gt; Broadcast &amp; Production &gt;
Lighting operator
Total Budget = Php 3,750.00
Actual Cost = Php 7,500.00
Balance = (Php 3,750.00) OVER BUDGET</t>
        </is>
      </c>
      <c r="AK1306"/>
    </row>
    <row r="1307" ht="25.5" customHeight="1">
      <c r="A1307" s="2" t="str">
        <f>=HYPERLINK("https://applink.larksuite.com/client/mini_program/open?appId=cli_9c7cc8a9a9edd105&amp;mode=appCenter&amp;path_pc=pc/pages/requested/index?instanceId=7569084942643105506&amp;source=bitable&amp;path=pages/detail/index?instanceId=7569084942643105506&amp;source=bitable", "202511050047")</f>
        <v>202511050047</v>
      </c>
      <c r="B1307" t="inlineStr">
        <is>
          <t>Approved</t>
        </is>
      </c>
      <c r="C1307" t="inlineStr">
        <is>
          <t>Procurement Order</t>
        </is>
      </c>
      <c r="D1307" s="3">
        <v>45966.49674768518</v>
      </c>
      <c r="E1307" s="3">
        <v>45975.720138888886</v>
      </c>
      <c r="F1307" t="inlineStr">
        <is>
          <t>Fatima Kathleen M. FLores</t>
        </is>
      </c>
      <c r="G1307" t="inlineStr">
        <is>
          <t>Procurement</t>
        </is>
      </c>
      <c r="H1307"/>
      <c r="I1307"/>
      <c r="J1307" t="inlineStr">
        <is>
          <t>Project</t>
        </is>
      </c>
      <c r="K1307" t="inlineStr">
        <is>
          <t>PDEI - Event Service</t>
        </is>
      </c>
      <c r="L1307" t="inlineStr">
        <is>
          <t>HOK Philippine Kings League - Fall Season</t>
        </is>
      </c>
      <c r="M1307" t="inlineStr">
        <is>
          <t>2025TEG-P0219</t>
        </is>
      </c>
      <c r="N1307" t="inlineStr">
        <is>
          <t>Frances Angelita Arreglado</t>
        </is>
      </c>
      <c r="O1307" t="inlineStr">
        <is>
          <t>202509080101-Reign Santos Fortea-费用报销 - 副本 - 副本 - 副本-2025-09-08 09:15:40</t>
        </is>
      </c>
      <c r="P1307" t="inlineStr">
        <is>
          <t>NO</t>
        </is>
      </c>
      <c r="Q1307"/>
      <c r="R1307" t="inlineStr">
        <is>
          <t>YES</t>
        </is>
      </c>
      <c r="S1307" t="inlineStr">
        <is>
          <t>Back-up Internet Line (Globe / Oct. 13 to 31, 2025)</t>
        </is>
      </c>
      <c r="T1307">
        <v>1</v>
      </c>
      <c r="U1307">
        <v>195474.44</v>
      </c>
      <c r="V1307" t="inlineStr">
        <is>
          <t>PHP</t>
        </is>
      </c>
      <c r="W1307">
        <v>195474.44</v>
      </c>
      <c r="X1307" s="2" t="str">
        <f>=HYPERLINK("https://www.larksuite.com/approval/admin/previewAttachment?key=PMg7jsJgDATgK43tsf3PXmYbogiKVCg8Cp8diYL2q2WolRYlUOaCTWcJi6IXw5CJGh_rFto6MNux_5_vW3sQz5dOHDmP62Xf7pZqd3SQsQDY38-jSUpFfB2fAAAA__8", "2 attachment(s)")</f>
        <v>2 attachment(s)</v>
      </c>
      <c r="Y1307" t="inlineStr">
        <is>
          <t>Check</t>
        </is>
      </c>
      <c r="Z1307" t="inlineStr">
        <is>
          <t>Innove Communications Inc.</t>
        </is>
      </c>
      <c r="AA1307" t="inlineStr">
        <is>
          <t>NA</t>
        </is>
      </c>
      <c r="AB1307" t="inlineStr">
        <is>
          <t>NA</t>
        </is>
      </c>
      <c r="AC1307" t="inlineStr">
        <is>
          <t>Taguig City</t>
        </is>
      </c>
      <c r="AD1307" s="4">
        <v>45943</v>
      </c>
      <c r="AE1307" t="inlineStr">
        <is>
          <t>100% Full Payment - Nov. 7, 2025</t>
        </is>
      </c>
      <c r="AF1307" s="2"/>
      <c r="AG1307" t="inlineStr">
        <is>
          <t>NzQyNTk5MTgyNzQ4MTg3MDM0MTpGQzIxNzFFNy1DOUVGLTQ3QTgtQTM2MS0yQUU3NjkzQzNDNzgtMTo3MTQ1YTZlMDNkZWRmMTVlMmQ4Yzk3NzNmNWM1MWZjYzox</t>
        </is>
      </c>
      <c r="AH1307" t="inlineStr">
        <is>
          <t>Innove Communications Inc.</t>
        </is>
      </c>
      <c r="AI1307"/>
      <c r="AJ1307" t="inlineStr">
        <is>
          <t>LIQUIDITY PLAN (PAR # 202508190134 / 2025TEG-P0219)
INTERNAL 0820 COST ESTIMATE &gt; REGULAR SEASON &gt;
NETWORK INFRASTRUCTURE &gt;
Internet (Main Line)
Internet (Back-up Line)
Total Remaining Budget = Php 147,200.00
Actual Cost = Php 195,474.44
Balance = (Php 48,274.44) OVER BUDGET</t>
        </is>
      </c>
      <c r="AK1307"/>
    </row>
    <row r="1308" ht="25.5" customHeight="1">
      <c r="A1308" s="2" t="str">
        <f>=HYPERLINK("https://applink.larksuite.com/client/mini_program/open?appId=cli_9c7cc8a9a9edd105&amp;mode=appCenter&amp;path_pc=pc/pages/requested/index?instanceId=7569456135712034523&amp;source=bitable&amp;path=pages/detail/index?instanceId=7569456135712034523&amp;source=bitable", "202511060035")</f>
        <v>202511060035</v>
      </c>
      <c r="B1308" t="inlineStr">
        <is>
          <t>Approved</t>
        </is>
      </c>
      <c r="C1308" t="inlineStr">
        <is>
          <t>Procurement Order</t>
        </is>
      </c>
      <c r="D1308" s="3">
        <v>45967.497037037036</v>
      </c>
      <c r="E1308" s="3">
        <v>45972.7478587963</v>
      </c>
      <c r="F1308" t="inlineStr">
        <is>
          <t>Fatima Kathleen M. FLores</t>
        </is>
      </c>
      <c r="G1308" t="inlineStr">
        <is>
          <t>Procurement</t>
        </is>
      </c>
      <c r="H1308"/>
      <c r="I1308"/>
      <c r="J1308" t="inlineStr">
        <is>
          <t>Project</t>
        </is>
      </c>
      <c r="K1308" t="inlineStr">
        <is>
          <t>PDEI - Event Service</t>
        </is>
      </c>
      <c r="L1308" t="inlineStr">
        <is>
          <t>MDL PH S6 Playoffs + Grand Finals Watch Party</t>
        </is>
      </c>
      <c r="M1308" t="inlineStr">
        <is>
          <t>2025TEG-P0197</t>
        </is>
      </c>
      <c r="N1308" t="inlineStr">
        <is>
          <t>Kervin</t>
        </is>
      </c>
      <c r="O1308" t="inlineStr">
        <is>
          <t>202510060089-Kervin-费用报销 - 副本 - 副本 - 副本-2025-10-06 09:01:57</t>
        </is>
      </c>
      <c r="P1308" t="inlineStr">
        <is>
          <t>YES</t>
        </is>
      </c>
      <c r="Q1308"/>
      <c r="R1308" t="inlineStr">
        <is>
          <t>YES</t>
        </is>
      </c>
      <c r="S1308" t="inlineStr">
        <is>
          <t>Outsourced Lead Stream Engineer / Stream Moderator</t>
        </is>
      </c>
      <c r="T1308">
        <v>1</v>
      </c>
      <c r="U1308">
        <v>12000</v>
      </c>
      <c r="V1308" t="inlineStr">
        <is>
          <t>PHP</t>
        </is>
      </c>
      <c r="W1308">
        <v>12000</v>
      </c>
      <c r="X1308" s="2" t="str">
        <f>=HYPERLINK("https://www.larksuite.com/approval/admin/previewAttachment?key=PMg9CsJAEAXgK703vztexibLoglCQAg2c3bBwvaLQcRwahSsKAV2epR5UD0pUHPRlmZmIZmKnq91P_fn5PY59rmOM6--Htuab3qlCFLNdADg7e-aZlYVhp_jGwAA__8", "2 attachment(s)")</f>
        <v>2 attachment(s)</v>
      </c>
      <c r="Y1308" t="inlineStr">
        <is>
          <t>Bank Transfer</t>
        </is>
      </c>
      <c r="Z1308" t="inlineStr">
        <is>
          <t>SEAN JHONAS A. ARAGO</t>
        </is>
      </c>
      <c r="AA1308" t="inlineStr">
        <is>
          <t>011880108133</t>
        </is>
      </c>
      <c r="AB1308" t="inlineStr">
        <is>
          <t>BDO</t>
        </is>
      </c>
      <c r="AC1308" t="inlineStr">
        <is>
          <t>7 SUNFLOWER ST. LUMANG BAYAN EXECUTIVE VILLAGE, BRGY. MAYAMOT, ANTIPOLO CITY</t>
        </is>
      </c>
      <c r="AD1308" s="4">
        <v>45939</v>
      </c>
      <c r="AE1308" t="inlineStr">
        <is>
          <t>100% Full Payment - Nov. 7, 2025</t>
        </is>
      </c>
      <c r="AF1308" s="2"/>
      <c r="AG1308" t="inlineStr">
        <is>
          <t>NzQyNTk5MTgyNzQ4MTg3MDM0MTo5RTY4OENFOS0yMDM5LTQ4MEUtQjhFRS02MjYwMTk4RUQxMzItMTo3OGEwOTQzM2Q3ZGQ1YzI2OTFhYWUyODFmYzhhYzhjMDox</t>
        </is>
      </c>
      <c r="AH1308" t="inlineStr">
        <is>
          <t>SEAN JHONAS A. ARAGO</t>
        </is>
      </c>
      <c r="AI1308"/>
      <c r="AJ1308" t="inlineStr">
        <is>
          <t>LIQUIDITY PLAN (PAR # 202510060066 / 2025TEG-P0197)
(ONLINE) COST ESTIMATE &gt; 4. STAGING &amp; PRODUCTION &gt;
4.3 Manpower Arrangement &gt; FROM REGULAR SEASON &gt;
Lead Stream Engineer / Stream Moderator 
Total Budget = Php 9,000.00
Actual Cost = Php 12,000.00
Balance = (Php 3,000.00) OVER BUDGET</t>
        </is>
      </c>
      <c r="AK1308"/>
    </row>
    <row r="1309" ht="25.5" customHeight="1">
      <c r="A1309" s="2" t="str">
        <f>=HYPERLINK("https://applink.larksuite.com/client/mini_program/open?appId=cli_9c7cc8a9a9edd105&amp;mode=appCenter&amp;path_pc=pc/pages/requested/index?instanceId=7569904489742798557&amp;source=bitable&amp;path=pages/detail/index?instanceId=7569904489742798557&amp;source=bitable", "202511070099")</f>
        <v>202511070099</v>
      </c>
      <c r="B1309" t="inlineStr">
        <is>
          <t>Approved</t>
        </is>
      </c>
      <c r="C1309" t="inlineStr">
        <is>
          <t>Procurement Order</t>
        </is>
      </c>
      <c r="D1309" s="3">
        <v>45968.70525462963</v>
      </c>
      <c r="E1309" s="3">
        <v>45972.678564814814</v>
      </c>
      <c r="F1309" t="inlineStr">
        <is>
          <t>Fatima Kathleen M. FLores</t>
        </is>
      </c>
      <c r="G1309" t="inlineStr">
        <is>
          <t>Procurement</t>
        </is>
      </c>
      <c r="H1309"/>
      <c r="I1309"/>
      <c r="J1309" t="inlineStr">
        <is>
          <t>Project</t>
        </is>
      </c>
      <c r="K1309" t="inlineStr">
        <is>
          <t>GG - Event Service</t>
        </is>
      </c>
      <c r="L1309" t="inlineStr">
        <is>
          <t>KIC 2025 - Carnival &amp; Mini Battle</t>
        </is>
      </c>
      <c r="M1309" t="inlineStr">
        <is>
          <t>2025TEG-P0301</t>
        </is>
      </c>
      <c r="N1309" t="inlineStr">
        <is>
          <t>Maura Aurel Atilano Yap</t>
        </is>
      </c>
      <c r="O1309" t="inlineStr">
        <is>
          <t>202511060148-Maura Aurel Atilano Yap-费用报销 - 副本 - 副本 - 副本-2025-11-06 13:04:39</t>
        </is>
      </c>
      <c r="P1309" t="inlineStr">
        <is>
          <t>NO</t>
        </is>
      </c>
      <c r="Q1309"/>
      <c r="R1309" t="inlineStr">
        <is>
          <t>YES</t>
        </is>
      </c>
      <c r="S1309" t="inlineStr">
        <is>
          <t>Mini Battle Booth Fabrication</t>
        </is>
      </c>
      <c r="T1309">
        <v>1</v>
      </c>
      <c r="U1309">
        <v>448000</v>
      </c>
      <c r="V1309" t="inlineStr">
        <is>
          <t>PHP</t>
        </is>
      </c>
      <c r="W1309">
        <v>448000</v>
      </c>
      <c r="X1309" s="2" t="str">
        <f>=HYPERLINK("https://www.larksuite.com/approval/admin/previewAttachment?key=PMgxDkIxDAPQKzmpU8dchoXqCyGYEH_r2ZEYWN_swOyKMQ060oitmjbItphyV2nnDslQaGCv13F91icfJ0qNzrX2eb8d6x1lZUKDHA0gLn8fImlP4uf4BgAA__8", "2 attachment(s)")</f>
        <v>2 attachment(s)</v>
      </c>
      <c r="Y1309" t="inlineStr">
        <is>
          <t>Bank Transfer</t>
        </is>
      </c>
      <c r="Z1309" t="inlineStr">
        <is>
          <t>Marivic Reotan</t>
        </is>
      </c>
      <c r="AA1309" t="inlineStr">
        <is>
          <t>0429800633</t>
        </is>
      </c>
      <c r="AB1309" t="inlineStr">
        <is>
          <t>BPI</t>
        </is>
      </c>
      <c r="AC1309" t="inlineStr">
        <is>
          <t>72 Tumana Dulo, Bagong Silangan, District 2, QC</t>
        </is>
      </c>
      <c r="AD1309" s="4">
        <v>45971</v>
      </c>
      <c r="AE1309" t="inlineStr">
        <is>
          <t>60% Down Payment upon confirmation
40% Balance - Nov. 28, 2025
NOTE: VENDOR IS STILL IN THE PROCESSING THEIR BIR 2303. AS PER AGREEMENT, THEY'LL ISSUE OFFICIAL INVOICE  ON THE FINAL PAYMENT.</t>
        </is>
      </c>
      <c r="AF1309" s="2" t="str">
        <f>=HYPERLINK("https://www.larksuite.com/approval/admin/previewAttachment?key=TMg7CgJBEATQK1VNf8vLmDgsIhqJm_XZBSPTl01kBy0FF5fAqUgJ7q3yVeqImjWsEoplmP06rs_4rMeJqEavvee83479ZrYlXOFOAeDlz0moLe3n-AYAAP__", "5 attachment(s)")</f>
        <v>5 attachment(s)</v>
      </c>
      <c r="AG1309" t="inlineStr">
        <is>
          <t>NzQyNTk5MTgyNzQ4MTg3MDM0MTo1OTRCNzc0NS1CQ0YxLTRDMkYtOTczRS04MjQyNzA2RTk3NUItMTpmNDJmOGQyY2RiYjJiNDRhMDViYzNhYTYzYTE0NjJlOTox</t>
        </is>
      </c>
      <c r="AH1309" t="inlineStr">
        <is>
          <t>M.F.R. Designs</t>
        </is>
      </c>
      <c r="AI1309"/>
      <c r="AJ1309" t="inlineStr">
        <is>
          <t>LIQUIDITY PLAN (PAR # 202511060038 / 2025TEG-P0301)
CARNIVAL - SHOOTING GALLERY &gt; MINI-BATTLE BOOTH &gt;
Decoration &gt; R90 to 98
Total Budget = Php 246,900.00
Actual Cost = Php 448,000.00
Balance = (Php 201,100.00) OVER BUDGET</t>
        </is>
      </c>
      <c r="AK1309"/>
    </row>
    <row r="1310" ht="25.5" customHeight="1">
      <c r="A1310" s="2" t="str">
        <f>=HYPERLINK("https://applink.larksuite.com/client/mini_program/open?appId=cli_9c7cc8a9a9edd105&amp;mode=appCenter&amp;path_pc=pc/pages/requested/index?instanceId=7570943870964371167&amp;source=bitable&amp;path=pages/detail/index?instanceId=7570943870964371167&amp;source=bitable", "202511100026")</f>
        <v>202511100026</v>
      </c>
      <c r="B1310" t="inlineStr">
        <is>
          <t>Recalled</t>
        </is>
      </c>
      <c r="C1310" t="inlineStr">
        <is>
          <t>Procurement Order</t>
        </is>
      </c>
      <c r="D1310" s="3">
        <v>45971.50618055555</v>
      </c>
      <c r="E1310" s="3">
        <v>45971.72767361111</v>
      </c>
      <c r="F1310" t="inlineStr">
        <is>
          <t>Fatima Kathleen M. FLores</t>
        </is>
      </c>
      <c r="G1310" t="inlineStr">
        <is>
          <t>Procurement</t>
        </is>
      </c>
      <c r="H1310"/>
      <c r="I1310"/>
      <c r="J1310" t="inlineStr">
        <is>
          <t>Project</t>
        </is>
      </c>
      <c r="K1310" t="inlineStr">
        <is>
          <t>GG - Event Service</t>
        </is>
      </c>
      <c r="L1310" t="inlineStr">
        <is>
          <t>KIC 2025 - Group Stage &amp; Knockouts</t>
        </is>
      </c>
      <c r="M1310" t="inlineStr">
        <is>
          <t>2025TEG-P0286</t>
        </is>
      </c>
      <c r="N1310" t="inlineStr">
        <is>
          <t>Frances Angelita Arreglado</t>
        </is>
      </c>
      <c r="O1310" t="inlineStr">
        <is>
          <t>202511080012-Frances Angelita Arreglado-费用报销 - 副本 - 副本 - 副本-2025-11-08 04:12:07</t>
        </is>
      </c>
      <c r="P1310" t="inlineStr">
        <is>
          <t>NO</t>
        </is>
      </c>
      <c r="Q1310"/>
      <c r="R1310" t="inlineStr">
        <is>
          <t>NO</t>
        </is>
      </c>
      <c r="S1310" t="inlineStr">
        <is>
          <t>Outsourced Camera Crew (with equipment)</t>
        </is>
      </c>
      <c r="T1310">
        <v>1</v>
      </c>
      <c r="U1310">
        <v>894540</v>
      </c>
      <c r="V1310" t="inlineStr">
        <is>
          <t>PHP</t>
        </is>
      </c>
      <c r="W1310">
        <v>894540</v>
      </c>
      <c r="X1310" s="2" t="str">
        <f>=HYPERLINK("https://www.larksuite.com/approval/admin/previewAttachment?key=PMg7DsIwEATQK814xzteLkPjKEJ8KpR0PjsSRdqXg8jRGVlQsRW43I1SDKNSYTK92qJdMB1c22e_z6NpPsfr1KHJ9zofc9--7OXW4JBiAODt8rCkqhT-jl8AAAD__w", "2 attachment(s)")</f>
        <v>2 attachment(s)</v>
      </c>
      <c r="Y1310" t="inlineStr">
        <is>
          <t>Bank Transfer</t>
        </is>
      </c>
      <c r="Z1310" t="inlineStr">
        <is>
          <t>Ryan Matias</t>
        </is>
      </c>
      <c r="AA1310" t="inlineStr">
        <is>
          <t>1996 2285 79</t>
        </is>
      </c>
      <c r="AB1310" t="inlineStr">
        <is>
          <t>BPI</t>
        </is>
      </c>
      <c r="AC1310" t="inlineStr">
        <is>
          <t>Kingsville, Antipolo</t>
        </is>
      </c>
      <c r="AD1310" s="4">
        <v>45973</v>
      </c>
      <c r="AE1310" t="inlineStr">
        <is>
          <t>50% Down Payment upon confirmation
50% balance - 30 days upon completion of services</t>
        </is>
      </c>
      <c r="AF1310" s="2"/>
      <c r="AG1310" t="inlineStr">
        <is>
          <t>NzQyNTk5MTgyNzQ4MTg3MDM0MTo4QzdFNTUxMC04RkI2LTQ4NzgtOTk1Qy02OTlDNzIxMzZCRTgtMTpkMWE4MzZlNzc0N2MxMDQxZTU2NDQ5ODRjZDYwOThjMTox</t>
        </is>
      </c>
      <c r="AH1310" t="inlineStr">
        <is>
          <t>RY MATIAS PHOTO &amp; VIDEO SERVICES</t>
        </is>
      </c>
      <c r="AI1310"/>
      <c r="AJ1310" t="inlineStr">
        <is>
          <t>LIQUIDITY PLAN (PAR # 202510290062 / 2025TEG-P0286) 
1108 CE KIC GS+KO TAB &gt; GROUPSTAGE - KNOCKOUTS (Main Event) &gt;
BROADCAST TEAM &gt; 
Cameraman Master
Cameraman Sub Master
"Cameraman Ronin (Gimbal)
- Operator + Equipment"
"Drone Operator
- Licensed"
Asisstant Cemaraman 1
Total Budget = Php 900,000.00
Actual Cost = Php 894,540.00
Balance = Php 5,460.00</t>
        </is>
      </c>
      <c r="AK1310"/>
    </row>
    <row r="1311" ht="25.5" customHeight="1">
      <c r="A1311" s="2" t="str">
        <f>=HYPERLINK("https://applink.larksuite.com/client/mini_program/open?appId=cli_9c7cc8a9a9edd105&amp;mode=appCenter&amp;path_pc=pc/pages/requested/index?instanceId=7570954235735461599&amp;source=bitable&amp;path=pages/detail/index?instanceId=7570954235735461599&amp;source=bitable", "202511100044")</f>
        <v>202511100044</v>
      </c>
      <c r="B1311" t="inlineStr">
        <is>
          <t>Approved</t>
        </is>
      </c>
      <c r="C1311" t="inlineStr">
        <is>
          <t>Procurement Order</t>
        </is>
      </c>
      <c r="D1311" s="3">
        <v>45971.534108796295</v>
      </c>
      <c r="E1311" s="3">
        <v>45972.64988425926</v>
      </c>
      <c r="F1311" t="inlineStr">
        <is>
          <t>Fatima Kathleen M. FLores</t>
        </is>
      </c>
      <c r="G1311" t="inlineStr">
        <is>
          <t>Procurement</t>
        </is>
      </c>
      <c r="H1311"/>
      <c r="I1311"/>
      <c r="J1311" t="inlineStr">
        <is>
          <t>Project</t>
        </is>
      </c>
      <c r="K1311" t="inlineStr">
        <is>
          <t>GG - Event Service</t>
        </is>
      </c>
      <c r="L1311" t="inlineStr">
        <is>
          <t>KIC 2025 - Carnival &amp; Mini Battle</t>
        </is>
      </c>
      <c r="M1311" t="inlineStr">
        <is>
          <t>2025TEG-P0301</t>
        </is>
      </c>
      <c r="N1311" t="inlineStr">
        <is>
          <t>Maura Aurel Atilano Yap</t>
        </is>
      </c>
      <c r="O1311" t="inlineStr">
        <is>
          <t>202511060151-Maura Aurel Atilano Yap-费用报销 - 副本 - 副本 - 副本-2025-11-06 13:26:28</t>
        </is>
      </c>
      <c r="P1311" t="inlineStr">
        <is>
          <t>NO</t>
        </is>
      </c>
      <c r="Q1311"/>
      <c r="R1311" t="inlineStr">
        <is>
          <t>NO</t>
        </is>
      </c>
      <c r="S1311" t="inlineStr">
        <is>
          <t>Outsourced DIY Merchandise Booth (with 1800 pcs Tote Bags)</t>
        </is>
      </c>
      <c r="T1311">
        <v>1</v>
      </c>
      <c r="U1311">
        <v>526400</v>
      </c>
      <c r="V1311" t="inlineStr">
        <is>
          <t>PHP</t>
        </is>
      </c>
      <c r="W1311">
        <v>526400</v>
      </c>
      <c r="X1311" s="2" t="str">
        <f>=HYPERLINK("https://www.larksuite.com/approval/admin/previewAttachment?key=PMhNCsJADAXgK703SSbzvIwbS1Foh4L4s8nZBRfdfn0QfQStCy42gZWRUHizSAvvDKlaMVNIprGWfb1u8Zr7_B6PjZ-po97327o8GcrWkOZuAwAvp1u6u9Qdf8cvAAD__w", "2 attachment(s)")</f>
        <v>2 attachment(s)</v>
      </c>
      <c r="Y1311" t="inlineStr">
        <is>
          <t>Bank Transfer</t>
        </is>
      </c>
      <c r="Z1311" t="inlineStr">
        <is>
          <t>Sakura Digital Technologies Inc.</t>
        </is>
      </c>
      <c r="AA1311" t="inlineStr">
        <is>
          <t>0002280 29359</t>
        </is>
      </c>
      <c r="AB1311" t="inlineStr">
        <is>
          <t>BDO</t>
        </is>
      </c>
      <c r="AC1311" t="inlineStr">
        <is>
          <t>2F Unit 204 762 Aurora Blvd. Corner Mangga Rd., Kaunlaran, QC</t>
        </is>
      </c>
      <c r="AD1311" s="4">
        <v>45975</v>
      </c>
      <c r="AE1311" t="inlineStr">
        <is>
          <t>50% Down Payment upon confirmation
50% Balance upon completion of services</t>
        </is>
      </c>
      <c r="AF1311" s="2" t="str">
        <f>=HYPERLINK("https://www.larksuite.com/approval/admin/previewAttachment?key=TMg7CsJAGATgK83s_9rxMjaGoJAsAfHR7NkFq7RfdiJ70FJwsQmcFQWFN4uy8GRIs01WCcUyzmVfr1u8xj6-x2PjZ-iY7_ttXZ7MbglXuFMAeDk5CXVL-zt-AQAA__8", "3 attachment(s)")</f>
        <v>3 attachment(s)</v>
      </c>
      <c r="AG1311" t="inlineStr">
        <is>
          <t>NzQyNTk5MTgyNzQ4MTg3MDM0MTpDNzgzREZCQy05M0JELTQ5ODctQkM3MS02RkY2MjNGMEQxQTktMTo0Yzg5MzI5YTEzZGQwYmMwNjhlMjI0NjA2MDkyODE2Yzox</t>
        </is>
      </c>
      <c r="AH1311" t="inlineStr">
        <is>
          <t>POP UP PRINT MNL</t>
        </is>
      </c>
      <c r="AI1311"/>
      <c r="AJ1311" t="inlineStr">
        <is>
          <t>LIQUIDITY PLAN (PAR # 202511060038 / 2025TEG-P0301)
1108 COST ESTIMATE TAB &gt; YELLOW STUDIO &gt; 
DIY Merch Booth &gt;
Tote Bags
DTF Sticker Sheet
Merch Booth Operator
DIY Tote Bag Booth Vendor - Group Stage
Total Budget = Php 778,400.00
Actual Cost = Php 526,400.00
Balance = Php 252,000.00</t>
        </is>
      </c>
      <c r="AK1311"/>
    </row>
    <row r="1312" ht="25.5" customHeight="1">
      <c r="A1312" s="2" t="str">
        <f>=HYPERLINK("https://applink.larksuite.com/client/mini_program/open?appId=cli_9c7cc8a9a9edd105&amp;mode=appCenter&amp;path_pc=pc/pages/requested/index?instanceId=7569474135609380576&amp;source=bitable&amp;path=pages/detail/index?instanceId=7569474135609380576&amp;source=bitable", "202511060048")</f>
        <v>202511060048</v>
      </c>
      <c r="B1312" t="inlineStr">
        <is>
          <t>Approved</t>
        </is>
      </c>
      <c r="C1312" t="inlineStr">
        <is>
          <t>Procurement Order</t>
        </is>
      </c>
      <c r="D1312" s="3">
        <v>45967.54554398148</v>
      </c>
      <c r="E1312" s="3">
        <v>45974.958865740744</v>
      </c>
      <c r="F1312" t="inlineStr">
        <is>
          <t>Fatima Kathleen M. FLores</t>
        </is>
      </c>
      <c r="G1312" t="inlineStr">
        <is>
          <t>Procurement</t>
        </is>
      </c>
      <c r="H1312"/>
      <c r="I1312"/>
      <c r="J1312" t="inlineStr">
        <is>
          <t>Project</t>
        </is>
      </c>
      <c r="K1312" t="inlineStr">
        <is>
          <t>PDEI - Event Service</t>
        </is>
      </c>
      <c r="L1312" t="inlineStr">
        <is>
          <t>MPL PH S16 Addendum</t>
        </is>
      </c>
      <c r="M1312" t="inlineStr">
        <is>
          <t>2025TEG-P0269</t>
        </is>
      </c>
      <c r="N1312" t="inlineStr">
        <is>
          <t>Katherine Denise Lee Sy</t>
        </is>
      </c>
      <c r="O1312" t="inlineStr">
        <is>
          <t>202510160038-Katherine Denise Lee Sy-费用报销 - 副本 - 副本 - 副本-2025-10-16 07:34:29</t>
        </is>
      </c>
      <c r="P1312" t="inlineStr">
        <is>
          <t>YES</t>
        </is>
      </c>
      <c r="Q1312"/>
      <c r="R1312" t="inlineStr">
        <is>
          <t>NO</t>
        </is>
      </c>
      <c r="S1312" t="inlineStr">
        <is>
          <t>Outsourced Broadcast Associate</t>
        </is>
      </c>
      <c r="T1312">
        <v>1</v>
      </c>
      <c r="U1312">
        <v>29100</v>
      </c>
      <c r="V1312" t="inlineStr">
        <is>
          <t>PHP</t>
        </is>
      </c>
      <c r="W1312">
        <v>29100</v>
      </c>
      <c r="X1312" s="2" t="str">
        <f>=HYPERLINK("https://www.larksuite.com/approval/admin/previewAttachment?key=PMgxCsJQEATQK838nb_z18vYGIKCqYRAij27YGH7chG5JiMLKo4C2zNLFmMmKhams0fTLpgO9nbs9-t8gYHrHRhLR5_Px759OMtjwCHFAsDb38OSqlL4Ob4BAAD__w", "2 attachment(s)")</f>
        <v>2 attachment(s)</v>
      </c>
      <c r="Y1312" t="inlineStr">
        <is>
          <t>Bank Transfer</t>
        </is>
      </c>
      <c r="Z1312" t="inlineStr">
        <is>
          <t>VINCE RAFAEL GARCIA</t>
        </is>
      </c>
      <c r="AA1312" t="inlineStr">
        <is>
          <t>0576664233</t>
        </is>
      </c>
      <c r="AB1312" t="inlineStr">
        <is>
          <t>BPI</t>
        </is>
      </c>
      <c r="AC1312" t="inlineStr">
        <is>
          <t>7 Don Felipe St. Villa Cecilla Subdivision. Mambugan Antipolo City Rizal</t>
        </is>
      </c>
      <c r="AD1312" s="4">
        <v>45951</v>
      </c>
      <c r="AE1312" t="inlineStr">
        <is>
          <t>100% Full Payment - Nov. 7, 2025</t>
        </is>
      </c>
      <c r="AF1312" s="2"/>
      <c r="AG1312" t="inlineStr">
        <is>
          <t>NzQyNTk5MTgyNzQ4MTg3MDM0MTo3RjA4NjYwNy0xNUU0LTQ0NDctQUQ4OC1FNDdBNjFGMzkxNUMtMToyZjc4YTc1ZjIzNDkzYWRhZjY1N2VjYmM4NTFjZjYyYjox</t>
        </is>
      </c>
      <c r="AH1312" t="inlineStr">
        <is>
          <t>VINCE RAFAEL GARCIA</t>
        </is>
      </c>
      <c r="AI1312"/>
      <c r="AJ1312" t="inlineStr">
        <is>
          <t>LIQUIDITY PLAN (PAR # 202510120019 / 2025TEG-P0269)
ADDENDUM 1 TAB &gt; MPL Festival Broadcast Tech &gt; 
Broadcast Associate / Caretaker
Commset 5pc
Total Budget = Php 33,950.00
Actual Cost = Php 29,100.00
Balance = Php 4,850.00</t>
        </is>
      </c>
      <c r="AK1312"/>
    </row>
    <row r="1313" ht="25.5" customHeight="1">
      <c r="A1313" s="2" t="str">
        <f>=HYPERLINK("https://applink.larksuite.com/client/mini_program/open?appId=cli_9c7cc8a9a9edd105&amp;mode=appCenter&amp;path_pc=pc/pages/requested/index?instanceId=7568850310190337755&amp;source=bitable&amp;path=pages/detail/index?instanceId=7568850310190337755&amp;source=bitable", "202511040180")</f>
        <v>202511040180</v>
      </c>
      <c r="B1313" t="inlineStr">
        <is>
          <t>Approved</t>
        </is>
      </c>
      <c r="C1313" t="inlineStr">
        <is>
          <t>Procurement Order</t>
        </is>
      </c>
      <c r="D1313" s="3">
        <v>45965.86445601852</v>
      </c>
      <c r="E1313" s="3">
        <v>45972.734247685185</v>
      </c>
      <c r="F1313" t="inlineStr">
        <is>
          <t>Fatima Kathleen M. FLores</t>
        </is>
      </c>
      <c r="G1313" t="inlineStr">
        <is>
          <t>Procurement</t>
        </is>
      </c>
      <c r="H1313"/>
      <c r="I1313"/>
      <c r="J1313" t="inlineStr">
        <is>
          <t>Project</t>
        </is>
      </c>
      <c r="K1313" t="inlineStr">
        <is>
          <t>PDEI - Event Service</t>
        </is>
      </c>
      <c r="L1313" t="inlineStr">
        <is>
          <t>MPL PH S16 - Playoffs</t>
        </is>
      </c>
      <c r="M1313" t="inlineStr">
        <is>
          <t>2025TEG-P0215</t>
        </is>
      </c>
      <c r="N1313" t="inlineStr">
        <is>
          <t>Katherine Denise Lee Sy</t>
        </is>
      </c>
      <c r="O1313" t="inlineStr">
        <is>
          <t>202510070020-Katherine Denise Lee Sy-费用报销 - 副本 - 副本 - 副本-2025-10-07 04:37:01</t>
        </is>
      </c>
      <c r="P1313" t="inlineStr">
        <is>
          <t>NO</t>
        </is>
      </c>
      <c r="Q1313"/>
      <c r="R1313" t="inlineStr">
        <is>
          <t>YES</t>
        </is>
      </c>
      <c r="S1313" t="inlineStr">
        <is>
          <t>Crew Meals - Ingress to Rehearsals (Breakfast, Lunch, Dinner)</t>
        </is>
      </c>
      <c r="T1313">
        <v>2213</v>
      </c>
      <c r="U1313">
        <v>115</v>
      </c>
      <c r="V1313" t="inlineStr">
        <is>
          <t>PHP</t>
        </is>
      </c>
      <c r="W1313">
        <v>254495</v>
      </c>
      <c r="X1313" s="2"/>
      <c r="Y1313" t="inlineStr">
        <is>
          <t>Bank Transfer</t>
        </is>
      </c>
      <c r="Z1313" t="inlineStr">
        <is>
          <t>Michelle Francine G. Manuntag</t>
        </is>
      </c>
      <c r="AA1313" t="inlineStr">
        <is>
          <t>000170292002</t>
        </is>
      </c>
      <c r="AB1313" t="inlineStr">
        <is>
          <t>BDO</t>
        </is>
      </c>
      <c r="AC1313" t="inlineStr">
        <is>
          <t>Makati City</t>
        </is>
      </c>
      <c r="AD1313" s="4">
        <v>45946</v>
      </c>
      <c r="AE1313" t="inlineStr">
        <is>
          <t>50% Down Payment upon confirmation
50% Final payment upon completion of services</t>
        </is>
      </c>
      <c r="AF1313" s="2"/>
      <c r="AG1313" t="inlineStr">
        <is>
          <t>NzQyNTk5MTgyNzQ4MTg3MDM0MTozMTczRDhEQy0xMDI3LTQxRTctQUI2MC1BQThCNUY1OUVDRUUtMTpiMmJmZTI4NDExNjJiNzBkNzFlZTFiYjgwOGVlOTVkNzox</t>
        </is>
      </c>
      <c r="AH1313" t="inlineStr">
        <is>
          <t>Michelle Francine G. Manuntag</t>
        </is>
      </c>
      <c r="AI1313"/>
      <c r="AJ1313" t="inlineStr">
        <is>
          <t>LIQUIDITY PLAN (PAR # 202509020094 / 2025TEG-P0215)
6.2 F&amp;B Arrangement &gt; PO Season Crew &gt;
Ingress and Rehearsal Meals Day 1
Ingress and Rehearsal Meals Day 2
Ingress and Rehearsal Meals Day 3
Ingress and Rehearsal Meals Day 4
Ingress and Rehearsal Meals Day 5
Total Budget = Php 252,000.00
This Request = Php 261,126.00
Balance = (Php 9,126.00) OVER BUDGET</t>
        </is>
      </c>
      <c r="AK1313"/>
    </row>
    <row r="1314" ht="25.5" customHeight="1">
      <c r="A1314" s="2" t="str">
        <f>=HYPERLINK("https://applink.larksuite.com/client/mini_program/open?appId=cli_9c7cc8a9a9edd105&amp;mode=appCenter&amp;path_pc=pc/pages/requested/index?instanceId=7568850310190337755&amp;source=bitable&amp;path=pages/detail/index?instanceId=7568850310190337755&amp;source=bitable", "202511040180")</f>
        <v>202511040180</v>
      </c>
      <c r="B1314" t="inlineStr">
        <is>
          <t>Approved</t>
        </is>
      </c>
      <c r="C1314" t="inlineStr">
        <is>
          <t>Procurement Order</t>
        </is>
      </c>
      <c r="D1314" s="3">
        <v>45965.86445601852</v>
      </c>
      <c r="E1314" s="3">
        <v>45972.734247685185</v>
      </c>
      <c r="F1314" t="inlineStr">
        <is>
          <t>Fatima Kathleen M. FLores</t>
        </is>
      </c>
      <c r="G1314" t="inlineStr">
        <is>
          <t>Procurement</t>
        </is>
      </c>
      <c r="H1314"/>
      <c r="I1314"/>
      <c r="J1314" t="inlineStr">
        <is>
          <t>Project</t>
        </is>
      </c>
      <c r="K1314" t="inlineStr">
        <is>
          <t>PDEI - Event Service</t>
        </is>
      </c>
      <c r="L1314" t="inlineStr">
        <is>
          <t>MPL PH S16 - Playoffs</t>
        </is>
      </c>
      <c r="M1314" t="inlineStr">
        <is>
          <t>2025TEG-P0215</t>
        </is>
      </c>
      <c r="N1314" t="inlineStr">
        <is>
          <t>Katherine Denise Lee Sy</t>
        </is>
      </c>
      <c r="O1314" t="inlineStr">
        <is>
          <t>202510070020-Katherine Denise Lee Sy-费用报销 - 副本 - 副本 - 副本-2025-10-07 04:37:01</t>
        </is>
      </c>
      <c r="P1314" t="inlineStr">
        <is>
          <t>NO</t>
        </is>
      </c>
      <c r="Q1314"/>
      <c r="R1314" t="inlineStr">
        <is>
          <t>YES</t>
        </is>
      </c>
      <c r="S1314" t="inlineStr">
        <is>
          <t>Delivery fees</t>
        </is>
      </c>
      <c r="T1314">
        <v>1</v>
      </c>
      <c r="U1314">
        <v>6631</v>
      </c>
      <c r="V1314" t="inlineStr">
        <is>
          <t>PHP</t>
        </is>
      </c>
      <c r="W1314">
        <v>6631</v>
      </c>
      <c r="X1314" s="2" t="str">
        <f>=HYPERLINK("https://www.larksuite.com/approval/admin/previewAttachment?key=PMgxCgIxEAXQK_2fmcnM9zI2hiAL2UZQLHJ2wWLb14voFbQuuNgE7oxeFTCCgllmxG6bmUIyjXuseZ_G43OetaR1jO9-Px9zvBjK1pDmbgWAt8st3V3qjr_zFwAA__8", "2 attachment(s)")</f>
        <v>2 attachment(s)</v>
      </c>
      <c r="Y1314"/>
      <c r="Z1314"/>
      <c r="AA1314"/>
      <c r="AB1314"/>
      <c r="AC1314"/>
      <c r="AD1314" s="4"/>
      <c r="AE1314"/>
      <c r="AF1314" s="2"/>
      <c r="AG1314" t="inlineStr">
        <is>
          <t>NzQyNTk5MTgyNzQ4MTg3MDM0MTozMTczRDhEQy0xMDI3LTQxRTctQUI2MC1BQThCNUY1OUVDRUUtMjpjNTRhZjg5YmE2N2U0MDBiY2I2ZThmYThhNzA5ZTc4Mzox</t>
        </is>
      </c>
      <c r="AH1314"/>
      <c r="AI1314"/>
      <c r="AJ1314" t="inlineStr">
        <is>
          <t>LIQUIDITY PLAN (PAR # 202509020094 / 2025TEG-P0215)
6.2 F&amp;B Arrangement &gt; PO Season Crew &gt;
Ingress and Rehearsal Meals Day 1
Ingress and Rehearsal Meals Day 2
Ingress and Rehearsal Meals Day 3
Ingress and Rehearsal Meals Day 4
Ingress and Rehearsal Meals Day 5
Total Budget = Php 252,000.00
This Request = Php 261,126.00
Balance = (Php 9,126.00) OVER BUDGET</t>
        </is>
      </c>
      <c r="AK1314"/>
    </row>
    <row r="1315" ht="25.5" customHeight="1">
      <c r="A1315" s="2" t="str">
        <f>=HYPERLINK("https://applink.larksuite.com/client/mini_program/open?appId=cli_9c7cc8a9a9edd105&amp;mode=appCenter&amp;path_pc=pc/pages/requested/index?instanceId=7570995695079952097&amp;source=bitable&amp;path=pages/detail/index?instanceId=7570995695079952097&amp;source=bitable", "202511100073")</f>
        <v>202511100073</v>
      </c>
      <c r="B1315" t="inlineStr">
        <is>
          <t>Approved</t>
        </is>
      </c>
      <c r="C1315" t="inlineStr">
        <is>
          <t>Procurement Order</t>
        </is>
      </c>
      <c r="D1315" s="3">
        <v>45971.645844907405</v>
      </c>
      <c r="E1315" s="3">
        <v>45973.41572916666</v>
      </c>
      <c r="F1315" t="inlineStr">
        <is>
          <t>Fatima Kathleen M. FLores</t>
        </is>
      </c>
      <c r="G1315" t="inlineStr">
        <is>
          <t>Procurement</t>
        </is>
      </c>
      <c r="H1315"/>
      <c r="I1315"/>
      <c r="J1315" t="inlineStr">
        <is>
          <t>CAPEX</t>
        </is>
      </c>
      <c r="K1315"/>
      <c r="L1315"/>
      <c r="M1315"/>
      <c r="N1315"/>
      <c r="O1315" t="inlineStr">
        <is>
          <t>202510290041-Andew James Sarmiento-费用报销 - 副本 - 副本 - 副本-2025-10-29 04:54:49</t>
        </is>
      </c>
      <c r="P1315"/>
      <c r="Q1315" t="inlineStr">
        <is>
          <t>Broadcast</t>
        </is>
      </c>
      <c r="R1315"/>
      <c r="S1315" t="inlineStr">
        <is>
          <t>Premium Line 19 " Fiber Optic Patch Panel, Main Body, Black (ODF)</t>
        </is>
      </c>
      <c r="T1315">
        <v>3</v>
      </c>
      <c r="U1315">
        <v>6748</v>
      </c>
      <c r="V1315" t="inlineStr">
        <is>
          <t>PHP</t>
        </is>
      </c>
      <c r="W1315">
        <v>20244</v>
      </c>
      <c r="X1315" s="2"/>
      <c r="Y1315" t="inlineStr">
        <is>
          <t>Bank Transfer</t>
        </is>
      </c>
      <c r="Z1315" t="inlineStr">
        <is>
          <t>C3E Information Technology Services</t>
        </is>
      </c>
      <c r="AA1315" t="inlineStr">
        <is>
          <t>9023283293</t>
        </is>
      </c>
      <c r="AB1315" t="inlineStr">
        <is>
          <t>RIZAL COMMERCIAL BANKING CORPORATION (RCBC)</t>
        </is>
      </c>
      <c r="AC1315" t="inlineStr">
        <is>
          <t>727 Calabash Road, Sampaloc, Manila</t>
        </is>
      </c>
      <c r="AD1315" s="4">
        <v>45971</v>
      </c>
      <c r="AE1315" t="inlineStr">
        <is>
          <t>50% Down Payment upon confirmation
50% Balance upon completion of delivery / services</t>
        </is>
      </c>
      <c r="AF1315" s="2"/>
      <c r="AG1315" t="inlineStr">
        <is>
          <t>NzQyNTk5MTgyNzQ4MTg3MDM0MTo2RDU5NDA3RC1EMThBLTQxOEMtQURGNC1CNjQ4QUFBRjEyNjItMTpiMzExNzcwMmJiM2ZjYzhlNTBmYmVkNzM5MGE3MjI3Zjox</t>
        </is>
      </c>
      <c r="AH1315" t="inlineStr">
        <is>
          <t>C3E Information Technology Services</t>
        </is>
      </c>
      <c r="AI1315"/>
      <c r="AJ1315"/>
      <c r="AK1315"/>
    </row>
    <row r="1316" ht="25.5" customHeight="1">
      <c r="A1316" s="2" t="str">
        <f>=HYPERLINK("https://applink.larksuite.com/client/mini_program/open?appId=cli_9c7cc8a9a9edd105&amp;mode=appCenter&amp;path_pc=pc/pages/requested/index?instanceId=7570995695079952097&amp;source=bitable&amp;path=pages/detail/index?instanceId=7570995695079952097&amp;source=bitable", "202511100073")</f>
        <v>202511100073</v>
      </c>
      <c r="B1316" t="inlineStr">
        <is>
          <t>Approved</t>
        </is>
      </c>
      <c r="C1316" t="inlineStr">
        <is>
          <t>Procurement Order</t>
        </is>
      </c>
      <c r="D1316" s="3">
        <v>45971.645844907405</v>
      </c>
      <c r="E1316" s="3">
        <v>45973.41572916666</v>
      </c>
      <c r="F1316" t="inlineStr">
        <is>
          <t>Fatima Kathleen M. FLores</t>
        </is>
      </c>
      <c r="G1316" t="inlineStr">
        <is>
          <t>Procurement</t>
        </is>
      </c>
      <c r="H1316"/>
      <c r="I1316"/>
      <c r="J1316" t="inlineStr">
        <is>
          <t>CAPEX</t>
        </is>
      </c>
      <c r="K1316"/>
      <c r="L1316"/>
      <c r="M1316"/>
      <c r="N1316"/>
      <c r="O1316" t="inlineStr">
        <is>
          <t>202510290041-Andew James Sarmiento-费用报销 - 副本 - 副本 - 副本-2025-10-29 04:54:49</t>
        </is>
      </c>
      <c r="P1316"/>
      <c r="Q1316" t="inlineStr">
        <is>
          <t>Broadcast</t>
        </is>
      </c>
      <c r="R1316"/>
      <c r="S1316" t="inlineStr">
        <is>
          <t>Premium Line 19 " Fiber Optic Patch Panel, Main Body, Black (Fiber Optic)</t>
        </is>
      </c>
      <c r="T1316">
        <v>2</v>
      </c>
      <c r="U1316">
        <v>6748</v>
      </c>
      <c r="V1316" t="inlineStr">
        <is>
          <t>PHP</t>
        </is>
      </c>
      <c r="W1316">
        <v>13496</v>
      </c>
      <c r="X1316" s="2"/>
      <c r="Y1316"/>
      <c r="Z1316"/>
      <c r="AA1316"/>
      <c r="AB1316"/>
      <c r="AC1316"/>
      <c r="AD1316" s="4"/>
      <c r="AE1316"/>
      <c r="AF1316" s="2"/>
      <c r="AG1316" t="inlineStr">
        <is>
          <t>NzQyNTk5MTgyNzQ4MTg3MDM0MTo2RDU5NDA3RC1EMThBLTQxOEMtQURGNC1CNjQ4QUFBRjEyNjItMjphN2FkZDE2Nzg0NzZmZGNjYWRmYjdiN2JhNzMwZWI1MTox</t>
        </is>
      </c>
      <c r="AH1316"/>
      <c r="AI1316"/>
      <c r="AJ1316"/>
      <c r="AK1316"/>
    </row>
    <row r="1317" ht="25.5" customHeight="1">
      <c r="A1317" s="2" t="str">
        <f>=HYPERLINK("https://applink.larksuite.com/client/mini_program/open?appId=cli_9c7cc8a9a9edd105&amp;mode=appCenter&amp;path_pc=pc/pages/requested/index?instanceId=7570995695079952097&amp;source=bitable&amp;path=pages/detail/index?instanceId=7570995695079952097&amp;source=bitable", "202511100073")</f>
        <v>202511100073</v>
      </c>
      <c r="B1317" t="inlineStr">
        <is>
          <t>Approved</t>
        </is>
      </c>
      <c r="C1317" t="inlineStr">
        <is>
          <t>Procurement Order</t>
        </is>
      </c>
      <c r="D1317" s="3">
        <v>45971.645844907405</v>
      </c>
      <c r="E1317" s="3">
        <v>45973.41572916666</v>
      </c>
      <c r="F1317" t="inlineStr">
        <is>
          <t>Fatima Kathleen M. FLores</t>
        </is>
      </c>
      <c r="G1317" t="inlineStr">
        <is>
          <t>Procurement</t>
        </is>
      </c>
      <c r="H1317"/>
      <c r="I1317"/>
      <c r="J1317" t="inlineStr">
        <is>
          <t>CAPEX</t>
        </is>
      </c>
      <c r="K1317"/>
      <c r="L1317"/>
      <c r="M1317"/>
      <c r="N1317"/>
      <c r="O1317" t="inlineStr">
        <is>
          <t>202510290041-Andew James Sarmiento-费用报销 - 副本 - 副本 - 副本-2025-10-29 04:54:49</t>
        </is>
      </c>
      <c r="P1317"/>
      <c r="Q1317" t="inlineStr">
        <is>
          <t>Broadcast</t>
        </is>
      </c>
      <c r="R1317"/>
      <c r="S1317" t="inlineStr">
        <is>
          <t>Premium Line 19 " Fiber Optic Patch Panel, Main Body, Black (Fiber Optic)</t>
        </is>
      </c>
      <c r="T1317">
        <v>3</v>
      </c>
      <c r="U1317">
        <v>2800</v>
      </c>
      <c r="V1317" t="inlineStr">
        <is>
          <t>PHP</t>
        </is>
      </c>
      <c r="W1317">
        <v>8400</v>
      </c>
      <c r="X1317" s="2"/>
      <c r="Y1317"/>
      <c r="Z1317"/>
      <c r="AA1317"/>
      <c r="AB1317"/>
      <c r="AC1317"/>
      <c r="AD1317" s="4"/>
      <c r="AE1317"/>
      <c r="AF1317" s="2"/>
      <c r="AG1317" t="inlineStr">
        <is>
          <t>NzQyNTk5MTgyNzQ4MTg3MDM0MTo2RDU5NDA3RC1EMThBLTQxOEMtQURGNC1CNjQ4QUFBRjEyNjItMzphNWIxZGEwZTA3NWJlOWE2ZDE3NWE2YzAxZmI5YmI2ODox</t>
        </is>
      </c>
      <c r="AH1317"/>
      <c r="AI1317"/>
      <c r="AJ1317"/>
      <c r="AK1317"/>
    </row>
    <row r="1318" ht="25.5" customHeight="1">
      <c r="A1318" s="2" t="str">
        <f>=HYPERLINK("https://applink.larksuite.com/client/mini_program/open?appId=cli_9c7cc8a9a9edd105&amp;mode=appCenter&amp;path_pc=pc/pages/requested/index?instanceId=7570995695079952097&amp;source=bitable&amp;path=pages/detail/index?instanceId=7570995695079952097&amp;source=bitable", "202511100073")</f>
        <v>202511100073</v>
      </c>
      <c r="B1318" t="inlineStr">
        <is>
          <t>Approved</t>
        </is>
      </c>
      <c r="C1318" t="inlineStr">
        <is>
          <t>Procurement Order</t>
        </is>
      </c>
      <c r="D1318" s="3">
        <v>45971.645844907405</v>
      </c>
      <c r="E1318" s="3">
        <v>45973.41572916666</v>
      </c>
      <c r="F1318" t="inlineStr">
        <is>
          <t>Fatima Kathleen M. FLores</t>
        </is>
      </c>
      <c r="G1318" t="inlineStr">
        <is>
          <t>Procurement</t>
        </is>
      </c>
      <c r="H1318"/>
      <c r="I1318"/>
      <c r="J1318" t="inlineStr">
        <is>
          <t>CAPEX</t>
        </is>
      </c>
      <c r="K1318"/>
      <c r="L1318"/>
      <c r="M1318"/>
      <c r="N1318"/>
      <c r="O1318" t="inlineStr">
        <is>
          <t>202510290041-Andew James Sarmiento-费用报销 - 副本 - 副本 - 副本-2025-10-29 04:54:49</t>
        </is>
      </c>
      <c r="P1318"/>
      <c r="Q1318" t="inlineStr">
        <is>
          <t>Broadcast</t>
        </is>
      </c>
      <c r="R1318"/>
      <c r="S1318" t="inlineStr">
        <is>
          <t>LC/UPC-LC/UPC Duplex Single Mode OM3 Patch Cord 3M</t>
        </is>
      </c>
      <c r="T1318">
        <v>70</v>
      </c>
      <c r="U1318">
        <v>380</v>
      </c>
      <c r="V1318" t="inlineStr">
        <is>
          <t>PHP</t>
        </is>
      </c>
      <c r="W1318">
        <v>26600</v>
      </c>
      <c r="X1318" s="2" t="str">
        <f>=HYPERLINK("https://www.larksuite.com/approval/admin/previewAttachment?key=PMgxDgIxDATAL61jO5vlMzREEc3RIHI0fjsSxbXTh6GPNO9CyJpgxSSk7EpQygaxWhkp0OhW81j3l33PnOODY-Pcq_bzsebbUmwN9AgfAOx2uTMipB74u_8CAAD__w", "2 attachment(s)")</f>
        <v>2 attachment(s)</v>
      </c>
      <c r="Y1318"/>
      <c r="Z1318"/>
      <c r="AA1318"/>
      <c r="AB1318"/>
      <c r="AC1318"/>
      <c r="AD1318" s="4"/>
      <c r="AE1318"/>
      <c r="AF1318" s="2"/>
      <c r="AG1318" t="inlineStr">
        <is>
          <t>NzQyNTk5MTgyNzQ4MTg3MDM0MTo2RDU5NDA3RC1EMThBLTQxOEMtQURGNC1CNjQ4QUFBRjEyNjItNDozOGRlNTdjYTE3MmQyNGY3ZmE3YmQ5M2EzNjIyZGZkODox</t>
        </is>
      </c>
      <c r="AH1318"/>
      <c r="AI1318"/>
      <c r="AJ1318"/>
      <c r="AK1318"/>
    </row>
    <row r="1319" ht="25.5" customHeight="1">
      <c r="A1319" s="2" t="str">
        <f>=HYPERLINK("https://applink.larksuite.com/client/mini_program/open?appId=cli_9c7cc8a9a9edd105&amp;mode=appCenter&amp;path_pc=pc/pages/requested/index?instanceId=7571001125751525089&amp;source=bitable&amp;path=pages/detail/index?instanceId=7571001125751525089&amp;source=bitable", "202511100075")</f>
        <v>202511100075</v>
      </c>
      <c r="B1319" t="inlineStr">
        <is>
          <t>Approved</t>
        </is>
      </c>
      <c r="C1319" t="inlineStr">
        <is>
          <t>Procurement Order</t>
        </is>
      </c>
      <c r="D1319" s="3">
        <v>45971.660474537035</v>
      </c>
      <c r="E1319" s="3">
        <v>45972.70142361111</v>
      </c>
      <c r="F1319" t="inlineStr">
        <is>
          <t>Fatima Kathleen M. FLores</t>
        </is>
      </c>
      <c r="G1319" t="inlineStr">
        <is>
          <t>Procurement</t>
        </is>
      </c>
      <c r="H1319"/>
      <c r="I1319"/>
      <c r="J1319" t="inlineStr">
        <is>
          <t>CAPEX</t>
        </is>
      </c>
      <c r="K1319"/>
      <c r="L1319"/>
      <c r="M1319"/>
      <c r="N1319"/>
      <c r="O1319" t="inlineStr">
        <is>
          <t>202511070020-Andew James Sarmiento-费用报销 - 副本 - 副本 - 副本-2025-11-07 02:57:13</t>
        </is>
      </c>
      <c r="P1319"/>
      <c r="Q1319" t="inlineStr">
        <is>
          <t>Broadcast</t>
        </is>
      </c>
      <c r="R1319"/>
      <c r="S1319" t="inlineStr">
        <is>
          <t>UniFi 24Port Gigabit Switch with PoE and SFP</t>
        </is>
      </c>
      <c r="T1319">
        <v>1</v>
      </c>
      <c r="U1319">
        <v>33612.5</v>
      </c>
      <c r="V1319" t="inlineStr">
        <is>
          <t>PHP</t>
        </is>
      </c>
      <c r="W1319">
        <v>33612.5</v>
      </c>
      <c r="X1319" s="2"/>
      <c r="Y1319" t="inlineStr">
        <is>
          <t>Bank Transfer</t>
        </is>
      </c>
      <c r="Z1319" t="inlineStr">
        <is>
          <t>C3E Information Technology Services</t>
        </is>
      </c>
      <c r="AA1319" t="inlineStr">
        <is>
          <t>9023283293</t>
        </is>
      </c>
      <c r="AB1319" t="inlineStr">
        <is>
          <t>RIZAL COMMERCIAL BANKING CORPORATION (RCBC)</t>
        </is>
      </c>
      <c r="AC1319" t="inlineStr">
        <is>
          <t>727 Calabash Road, Sampaloc, Manila</t>
        </is>
      </c>
      <c r="AD1319" s="4">
        <v>45971</v>
      </c>
      <c r="AE1319" t="inlineStr">
        <is>
          <t>50% Down Payment upon confirmation
50% Balance upon completion of delivery / services</t>
        </is>
      </c>
      <c r="AF1319" s="2"/>
      <c r="AG1319" t="inlineStr">
        <is>
          <t>NzQyNTk5MTgyNzQ4MTg3MDM0MTo2ODYxOEZFOS04NUY0LTQzODEtQUFFRC1BMEJFQ0VBMzkxMUQtMTphZmFlMDBhYjdkZTEwN2U1OGEzZTNhNWRiNjk4YjU4Yzox</t>
        </is>
      </c>
      <c r="AH1319" t="inlineStr">
        <is>
          <t>C3E Information Technology Services</t>
        </is>
      </c>
      <c r="AI1319"/>
      <c r="AJ1319"/>
      <c r="AK1319"/>
    </row>
    <row r="1320" ht="25.5" customHeight="1">
      <c r="A1320" s="2" t="str">
        <f>=HYPERLINK("https://applink.larksuite.com/client/mini_program/open?appId=cli_9c7cc8a9a9edd105&amp;mode=appCenter&amp;path_pc=pc/pages/requested/index?instanceId=7571001125751525089&amp;source=bitable&amp;path=pages/detail/index?instanceId=7571001125751525089&amp;source=bitable", "202511100075")</f>
        <v>202511100075</v>
      </c>
      <c r="B1320" t="inlineStr">
        <is>
          <t>Approved</t>
        </is>
      </c>
      <c r="C1320" t="inlineStr">
        <is>
          <t>Procurement Order</t>
        </is>
      </c>
      <c r="D1320" s="3">
        <v>45971.660474537035</v>
      </c>
      <c r="E1320" s="3">
        <v>45972.70142361111</v>
      </c>
      <c r="F1320" t="inlineStr">
        <is>
          <t>Fatima Kathleen M. FLores</t>
        </is>
      </c>
      <c r="G1320" t="inlineStr">
        <is>
          <t>Procurement</t>
        </is>
      </c>
      <c r="H1320"/>
      <c r="I1320"/>
      <c r="J1320" t="inlineStr">
        <is>
          <t>CAPEX</t>
        </is>
      </c>
      <c r="K1320"/>
      <c r="L1320"/>
      <c r="M1320"/>
      <c r="N1320"/>
      <c r="O1320" t="inlineStr">
        <is>
          <t>202511070020-Andew James Sarmiento-费用报销 - 副本 - 副本 - 副本-2025-11-07 02:57:13</t>
        </is>
      </c>
      <c r="P1320"/>
      <c r="Q1320" t="inlineStr">
        <is>
          <t>Broadcast</t>
        </is>
      </c>
      <c r="R1320"/>
      <c r="S1320" t="inlineStr">
        <is>
          <t>UniFi Low-cost Desktop 8Port Gigabit Switch with POE</t>
        </is>
      </c>
      <c r="T1320">
        <v>2</v>
      </c>
      <c r="U1320">
        <v>10706.8</v>
      </c>
      <c r="V1320" t="inlineStr">
        <is>
          <t>PHP</t>
        </is>
      </c>
      <c r="W1320">
        <v>21413.6</v>
      </c>
      <c r="X1320" s="2"/>
      <c r="Y1320"/>
      <c r="Z1320"/>
      <c r="AA1320"/>
      <c r="AB1320"/>
      <c r="AC1320"/>
      <c r="AD1320" s="4"/>
      <c r="AE1320"/>
      <c r="AF1320" s="2"/>
      <c r="AG1320" t="inlineStr">
        <is>
          <t>NzQyNTk5MTgyNzQ4MTg3MDM0MTo2ODYxOEZFOS04NUY0LTQzODEtQUFFRC1BMEJFQ0VBMzkxMUQtMjpmMmE2MmZiNmE5MGE0YWZkMzZhODc2YzZlOTdkOTE0OTox</t>
        </is>
      </c>
      <c r="AH1320"/>
      <c r="AI1320"/>
      <c r="AJ1320"/>
      <c r="AK1320"/>
    </row>
    <row r="1321" ht="25.5" customHeight="1">
      <c r="A1321" s="2" t="str">
        <f>=HYPERLINK("https://applink.larksuite.com/client/mini_program/open?appId=cli_9c7cc8a9a9edd105&amp;mode=appCenter&amp;path_pc=pc/pages/requested/index?instanceId=7571039373005721308&amp;source=bitable&amp;path=pages/detail/index?instanceId=7571039373005721308&amp;source=bitable", "202511100122")</f>
        <v>202511100122</v>
      </c>
      <c r="B1321" t="inlineStr">
        <is>
          <t>Approved</t>
        </is>
      </c>
      <c r="C1321" t="inlineStr">
        <is>
          <t>Procurement Order</t>
        </is>
      </c>
      <c r="D1321" s="3">
        <v>45971.76354166667</v>
      </c>
      <c r="E1321" s="3">
        <v>45972.66112268518</v>
      </c>
      <c r="F1321" t="inlineStr">
        <is>
          <t>Fatima Kathleen M. FLores</t>
        </is>
      </c>
      <c r="G1321" t="inlineStr">
        <is>
          <t>Procurement</t>
        </is>
      </c>
      <c r="H1321"/>
      <c r="I1321"/>
      <c r="J1321" t="inlineStr">
        <is>
          <t>Project</t>
        </is>
      </c>
      <c r="K1321" t="inlineStr">
        <is>
          <t>GG - Event Service</t>
        </is>
      </c>
      <c r="L1321" t="inlineStr">
        <is>
          <t>KIC 2025 - Carnival &amp; Mini Battle</t>
        </is>
      </c>
      <c r="M1321" t="inlineStr">
        <is>
          <t>2025TEG-P0301</t>
        </is>
      </c>
      <c r="N1321" t="inlineStr">
        <is>
          <t>Maura Aurel Atilano Yap</t>
        </is>
      </c>
      <c r="O1321" t="inlineStr">
        <is>
          <t>202511060150-Maura Aurel Atilano Yap-费用报销 - 副本 - 副本 - 副本-2025-11-06 13:19:20;202511070107-Maura Aurel Atilano Yap-费用报销 - 副本 - 副本 - 副本-2025-11-07 09:20:54</t>
        </is>
      </c>
      <c r="P1321" t="inlineStr">
        <is>
          <t>NO</t>
        </is>
      </c>
      <c r="Q1321"/>
      <c r="R1321" t="inlineStr">
        <is>
          <t>NO</t>
        </is>
      </c>
      <c r="S1321" t="inlineStr">
        <is>
          <t>5.83” X 8.27” STICKER RALLY (HALF CUT)</t>
        </is>
      </c>
      <c r="T1321">
        <v>1800</v>
      </c>
      <c r="U1321">
        <v>55</v>
      </c>
      <c r="V1321" t="inlineStr">
        <is>
          <t>PHP</t>
        </is>
      </c>
      <c r="W1321">
        <v>99000</v>
      </c>
      <c r="X1321" s="2"/>
      <c r="Y1321" t="inlineStr">
        <is>
          <t>Bank Transfer</t>
        </is>
      </c>
      <c r="Z1321" t="inlineStr">
        <is>
          <t>iLIGHT PRODUCTION</t>
        </is>
      </c>
      <c r="AA1321" t="inlineStr">
        <is>
          <t>007960010274</t>
        </is>
      </c>
      <c r="AB1321" t="inlineStr">
        <is>
          <t>BDO</t>
        </is>
      </c>
      <c r="AC1321" t="inlineStr">
        <is>
          <t>3791 Mascardo St. Brgy, Sta Cruz, Makati City</t>
        </is>
      </c>
      <c r="AD1321" s="4">
        <v>45974</v>
      </c>
      <c r="AE1321" t="inlineStr">
        <is>
          <t>50% Down payment upon confirmation
50% Balance upon complete delivery</t>
        </is>
      </c>
      <c r="AF1321" s="2"/>
      <c r="AG1321" t="inlineStr">
        <is>
          <t>NzQyNTk5MTgyNzQ4MTg3MDM0MTo5MTQ4MzNENS1CMDRELTQwRDgtQkQ0Ny1FREU2RURDMDg2Q0QtMTpkODZkOTRlZGY3YjUzYTBhNjc4ZWFmMzRmZDRjODI1Njox</t>
        </is>
      </c>
      <c r="AH1321" t="inlineStr">
        <is>
          <t>iLIGHT PRODUCTION</t>
        </is>
      </c>
      <c r="AI1321"/>
      <c r="AJ1321" t="inlineStr">
        <is>
          <t>LIQUIDITY PLAN (PAR # 202511060038 / 2025TEG-P0301)
1108 COST ESTIMATE TAB &gt; YELLOW STUDIO &gt; 
GENERAL ITEMS &gt; Merch Production &gt;
Sticker Rally Card
Sticker Pack
OUTDOORS &gt; Teardrop Banners (3.5m)
Total Budget = Php 474,000.00
Actual Cost = Php 244,680.00
Balance = Php 229,320.00</t>
        </is>
      </c>
      <c r="AK1321"/>
    </row>
    <row r="1322" ht="25.5" customHeight="1">
      <c r="A1322" s="2" t="str">
        <f>=HYPERLINK("https://applink.larksuite.com/client/mini_program/open?appId=cli_9c7cc8a9a9edd105&amp;mode=appCenter&amp;path_pc=pc/pages/requested/index?instanceId=7571039373005721308&amp;source=bitable&amp;path=pages/detail/index?instanceId=7571039373005721308&amp;source=bitable", "202511100122")</f>
        <v>202511100122</v>
      </c>
      <c r="B1322" t="inlineStr">
        <is>
          <t>Approved</t>
        </is>
      </c>
      <c r="C1322" t="inlineStr">
        <is>
          <t>Procurement Order</t>
        </is>
      </c>
      <c r="D1322" s="3">
        <v>45971.76354166667</v>
      </c>
      <c r="E1322" s="3">
        <v>45972.66112268518</v>
      </c>
      <c r="F1322" t="inlineStr">
        <is>
          <t>Fatima Kathleen M. FLores</t>
        </is>
      </c>
      <c r="G1322" t="inlineStr">
        <is>
          <t>Procurement</t>
        </is>
      </c>
      <c r="H1322"/>
      <c r="I1322"/>
      <c r="J1322" t="inlineStr">
        <is>
          <t>Project</t>
        </is>
      </c>
      <c r="K1322" t="inlineStr">
        <is>
          <t>GG - Event Service</t>
        </is>
      </c>
      <c r="L1322" t="inlineStr">
        <is>
          <t>KIC 2025 - Carnival &amp; Mini Battle</t>
        </is>
      </c>
      <c r="M1322" t="inlineStr">
        <is>
          <t>2025TEG-P0301</t>
        </is>
      </c>
      <c r="N1322" t="inlineStr">
        <is>
          <t>Maura Aurel Atilano Yap</t>
        </is>
      </c>
      <c r="O1322" t="inlineStr">
        <is>
          <t>202511060150-Maura Aurel Atilano Yap-费用报销 - 副本 - 副本 - 副本-2025-11-06 13:19:20;202511070107-Maura Aurel Atilano Yap-费用报销 - 副本 - 副本 - 副本-2025-11-07 09:20:54</t>
        </is>
      </c>
      <c r="P1322" t="inlineStr">
        <is>
          <t>NO</t>
        </is>
      </c>
      <c r="Q1322"/>
      <c r="R1322" t="inlineStr">
        <is>
          <t>NO</t>
        </is>
      </c>
      <c r="S1322" t="inlineStr">
        <is>
          <t>A5 STICKER PACK (HALF CUT)</t>
        </is>
      </c>
      <c r="T1322">
        <v>1800</v>
      </c>
      <c r="U1322">
        <v>55</v>
      </c>
      <c r="V1322" t="inlineStr">
        <is>
          <t>PHP</t>
        </is>
      </c>
      <c r="W1322">
        <v>99000</v>
      </c>
      <c r="X1322" s="2"/>
      <c r="Y1322"/>
      <c r="Z1322"/>
      <c r="AA1322"/>
      <c r="AB1322"/>
      <c r="AC1322"/>
      <c r="AD1322" s="4"/>
      <c r="AE1322"/>
      <c r="AF1322" s="2"/>
      <c r="AG1322" t="inlineStr">
        <is>
          <t>NzQyNTk5MTgyNzQ4MTg3MDM0MTo5MTQ4MzNENS1CMDRELTQwRDgtQkQ0Ny1FREU2RURDMDg2Q0QtMjpjNjgyMzJkYjQ0ZDFhN2M2MGIwMTJkYWIxNDRjZjA1Yzox</t>
        </is>
      </c>
      <c r="AH1322"/>
      <c r="AI1322"/>
      <c r="AJ1322" t="inlineStr">
        <is>
          <t>LIQUIDITY PLAN (PAR # 202511060038 / 2025TEG-P0301)
1108 COST ESTIMATE TAB &gt; YELLOW STUDIO &gt; 
GENERAL ITEMS &gt; Merch Production &gt;
Sticker Rally Card
Sticker Pack
OUTDOORS &gt; Teardrop Banners (3.5m)
Total Budget = Php 474,000.00
Actual Cost = Php 244,680.00
Balance = Php 229,320.00</t>
        </is>
      </c>
      <c r="AK1322"/>
    </row>
    <row r="1323" ht="25.5" customHeight="1">
      <c r="A1323" s="2" t="str">
        <f>=HYPERLINK("https://applink.larksuite.com/client/mini_program/open?appId=cli_9c7cc8a9a9edd105&amp;mode=appCenter&amp;path_pc=pc/pages/requested/index?instanceId=7571039373005721308&amp;source=bitable&amp;path=pages/detail/index?instanceId=7571039373005721308&amp;source=bitable", "202511100122")</f>
        <v>202511100122</v>
      </c>
      <c r="B1323" t="inlineStr">
        <is>
          <t>Approved</t>
        </is>
      </c>
      <c r="C1323" t="inlineStr">
        <is>
          <t>Procurement Order</t>
        </is>
      </c>
      <c r="D1323" s="3">
        <v>45971.76354166667</v>
      </c>
      <c r="E1323" s="3">
        <v>45972.66112268518</v>
      </c>
      <c r="F1323" t="inlineStr">
        <is>
          <t>Fatima Kathleen M. FLores</t>
        </is>
      </c>
      <c r="G1323" t="inlineStr">
        <is>
          <t>Procurement</t>
        </is>
      </c>
      <c r="H1323"/>
      <c r="I1323"/>
      <c r="J1323" t="inlineStr">
        <is>
          <t>Project</t>
        </is>
      </c>
      <c r="K1323" t="inlineStr">
        <is>
          <t>GG - Event Service</t>
        </is>
      </c>
      <c r="L1323" t="inlineStr">
        <is>
          <t>KIC 2025 - Carnival &amp; Mini Battle</t>
        </is>
      </c>
      <c r="M1323" t="inlineStr">
        <is>
          <t>2025TEG-P0301</t>
        </is>
      </c>
      <c r="N1323" t="inlineStr">
        <is>
          <t>Maura Aurel Atilano Yap</t>
        </is>
      </c>
      <c r="O1323" t="inlineStr">
        <is>
          <t>202511060150-Maura Aurel Atilano Yap-费用报销 - 副本 - 副本 - 副本-2025-11-06 13:19:20;202511070107-Maura Aurel Atilano Yap-费用报销 - 副本 - 副本 - 副本-2025-11-07 09:20:54</t>
        </is>
      </c>
      <c r="P1323" t="inlineStr">
        <is>
          <t>NO</t>
        </is>
      </c>
      <c r="Q1323"/>
      <c r="R1323" t="inlineStr">
        <is>
          <t>NO</t>
        </is>
      </c>
      <c r="S1323" t="inlineStr">
        <is>
          <t>A5 CUE CARD</t>
        </is>
      </c>
      <c r="T1323">
        <v>4</v>
      </c>
      <c r="U1323">
        <v>70</v>
      </c>
      <c r="V1323" t="inlineStr">
        <is>
          <t>PHP</t>
        </is>
      </c>
      <c r="W1323">
        <v>280</v>
      </c>
      <c r="X1323" s="2"/>
      <c r="Y1323"/>
      <c r="Z1323"/>
      <c r="AA1323"/>
      <c r="AB1323"/>
      <c r="AC1323"/>
      <c r="AD1323" s="4"/>
      <c r="AE1323"/>
      <c r="AF1323" s="2"/>
      <c r="AG1323" t="inlineStr">
        <is>
          <t>NzQyNTk5MTgyNzQ4MTg3MDM0MTo5MTQ4MzNENS1CMDRELTQwRDgtQkQ0Ny1FREU2RURDMDg2Q0QtMzoyMjIxMDU1ZTA4YjM1MzYwNWFhMWU3OWIzNGFiMzFjYTox</t>
        </is>
      </c>
      <c r="AH1323"/>
      <c r="AI1323"/>
      <c r="AJ1323" t="inlineStr">
        <is>
          <t>LIQUIDITY PLAN (PAR # 202511060038 / 2025TEG-P0301)
1108 COST ESTIMATE TAB &gt; YELLOW STUDIO &gt; 
GENERAL ITEMS &gt; Merch Production &gt;
Sticker Rally Card
Sticker Pack
OUTDOORS &gt; Teardrop Banners (3.5m)
Total Budget = Php 474,000.00
Actual Cost = Php 244,680.00
Balance = Php 229,320.00</t>
        </is>
      </c>
      <c r="AK1323"/>
    </row>
    <row r="1324" ht="25.5" customHeight="1">
      <c r="A1324" s="2" t="str">
        <f>=HYPERLINK("https://applink.larksuite.com/client/mini_program/open?appId=cli_9c7cc8a9a9edd105&amp;mode=appCenter&amp;path_pc=pc/pages/requested/index?instanceId=7571039373005721308&amp;source=bitable&amp;path=pages/detail/index?instanceId=7571039373005721308&amp;source=bitable", "202511100122")</f>
        <v>202511100122</v>
      </c>
      <c r="B1324" t="inlineStr">
        <is>
          <t>Approved</t>
        </is>
      </c>
      <c r="C1324" t="inlineStr">
        <is>
          <t>Procurement Order</t>
        </is>
      </c>
      <c r="D1324" s="3">
        <v>45971.76354166667</v>
      </c>
      <c r="E1324" s="3">
        <v>45972.66112268518</v>
      </c>
      <c r="F1324" t="inlineStr">
        <is>
          <t>Fatima Kathleen M. FLores</t>
        </is>
      </c>
      <c r="G1324" t="inlineStr">
        <is>
          <t>Procurement</t>
        </is>
      </c>
      <c r="H1324"/>
      <c r="I1324"/>
      <c r="J1324" t="inlineStr">
        <is>
          <t>Project</t>
        </is>
      </c>
      <c r="K1324" t="inlineStr">
        <is>
          <t>GG - Event Service</t>
        </is>
      </c>
      <c r="L1324" t="inlineStr">
        <is>
          <t>KIC 2025 - Carnival &amp; Mini Battle</t>
        </is>
      </c>
      <c r="M1324" t="inlineStr">
        <is>
          <t>2025TEG-P0301</t>
        </is>
      </c>
      <c r="N1324" t="inlineStr">
        <is>
          <t>Maura Aurel Atilano Yap</t>
        </is>
      </c>
      <c r="O1324" t="inlineStr">
        <is>
          <t>202511060150-Maura Aurel Atilano Yap-费用报销 - 副本 - 副本 - 副本-2025-11-06 13:19:20;202511070107-Maura Aurel Atilano Yap-费用报销 - 副本 - 副本 - 副本-2025-11-07 09:20:54</t>
        </is>
      </c>
      <c r="P1324" t="inlineStr">
        <is>
          <t>NO</t>
        </is>
      </c>
      <c r="Q1324"/>
      <c r="R1324" t="inlineStr">
        <is>
          <t>NO</t>
        </is>
      </c>
      <c r="S1324" t="inlineStr">
        <is>
          <t>2FT X 7FT FEATHER / TEAR-DROP BANNER WITH METAL STAND (1 SIDE)</t>
        </is>
      </c>
      <c r="T1324">
        <v>8</v>
      </c>
      <c r="U1324">
        <v>5800</v>
      </c>
      <c r="V1324" t="inlineStr">
        <is>
          <t>PHP</t>
        </is>
      </c>
      <c r="W1324">
        <v>46400</v>
      </c>
      <c r="X1324" s="2" t="str">
        <f>=HYPERLINK("https://www.larksuite.com/approval/admin/previewAttachment?key=PMgxqoIxEATgK83sbDLZd5nX_CHYKIJgqpxdsLD9-iD6aFQvZDEKPG4mVLKA5qAwThzaBdPimff1D-2Jfa2Mhf14nvftWvPFVo6AlakBgH8_lzOzqie-rk8AAAD__w", "1 attachment(s)")</f>
        <v>1 attachment(s)</v>
      </c>
      <c r="Y1324"/>
      <c r="Z1324"/>
      <c r="AA1324"/>
      <c r="AB1324"/>
      <c r="AC1324"/>
      <c r="AD1324" s="4"/>
      <c r="AE1324"/>
      <c r="AF1324" s="2"/>
      <c r="AG1324" t="inlineStr">
        <is>
          <t>NzQyNTk5MTgyNzQ4MTg3MDM0MTo5MTQ4MzNENS1CMDRELTQwRDgtQkQ0Ny1FREU2RURDMDg2Q0QtNDplYzViZDljNzM5OGE2ZWU4ZGFlNjY2ZTkzN2NlZjFmYzox</t>
        </is>
      </c>
      <c r="AH1324"/>
      <c r="AI1324"/>
      <c r="AJ1324" t="inlineStr">
        <is>
          <t>LIQUIDITY PLAN (PAR # 202511060038 / 2025TEG-P0301)
1108 COST ESTIMATE TAB &gt; YELLOW STUDIO &gt; 
GENERAL ITEMS &gt; Merch Production &gt;
Sticker Rally Card
Sticker Pack
OUTDOORS &gt; Teardrop Banners (3.5m)
Total Budget = Php 474,000.00
Actual Cost = Php 244,680.00
Balance = Php 229,320.00</t>
        </is>
      </c>
      <c r="AK1324"/>
    </row>
    <row r="1325" ht="25.5" customHeight="1">
      <c r="A1325" s="2" t="str">
        <f>=HYPERLINK("https://applink.larksuite.com/client/mini_program/open?appId=cli_9c7cc8a9a9edd105&amp;mode=appCenter&amp;path_pc=pc/pages/requested/index?instanceId=7571059032354475744&amp;source=bitable&amp;path=pages/detail/index?instanceId=7571059032354475744&amp;source=bitable", "202511100133")</f>
        <v>202511100133</v>
      </c>
      <c r="B1325" t="inlineStr">
        <is>
          <t>Approved</t>
        </is>
      </c>
      <c r="C1325" t="inlineStr">
        <is>
          <t>Procurement Order</t>
        </is>
      </c>
      <c r="D1325" s="3">
        <v>45971.816516203704</v>
      </c>
      <c r="E1325" s="3">
        <v>45972.65939814815</v>
      </c>
      <c r="F1325" t="inlineStr">
        <is>
          <t>Fatima Kathleen M. FLores</t>
        </is>
      </c>
      <c r="G1325" t="inlineStr">
        <is>
          <t>Procurement</t>
        </is>
      </c>
      <c r="H1325"/>
      <c r="I1325"/>
      <c r="J1325" t="inlineStr">
        <is>
          <t>Project</t>
        </is>
      </c>
      <c r="K1325" t="inlineStr">
        <is>
          <t>GG - Event Service</t>
        </is>
      </c>
      <c r="L1325" t="inlineStr">
        <is>
          <t>KIC 2025 - Carnival &amp; Mini Battle</t>
        </is>
      </c>
      <c r="M1325" t="inlineStr">
        <is>
          <t>2025TEG-P0301</t>
        </is>
      </c>
      <c r="N1325" t="inlineStr">
        <is>
          <t>Maura Aurel Atilano Yap</t>
        </is>
      </c>
      <c r="O1325" t="inlineStr">
        <is>
          <t>202511060150-Maura Aurel Atilano Yap-费用报销 - 副本 - 副本 - 副本-2025-11-06 13:19:20</t>
        </is>
      </c>
      <c r="P1325" t="inlineStr">
        <is>
          <t>NO</t>
        </is>
      </c>
      <c r="Q1325"/>
      <c r="R1325" t="inlineStr">
        <is>
          <t>NO</t>
        </is>
      </c>
      <c r="S1325" t="inlineStr">
        <is>
          <t>Customized Pouch Satin Color Gold: 2x2 inches with Print</t>
        </is>
      </c>
      <c r="T1325">
        <v>1000</v>
      </c>
      <c r="U1325">
        <v>35</v>
      </c>
      <c r="V1325" t="inlineStr">
        <is>
          <t>PHP</t>
        </is>
      </c>
      <c r="W1325">
        <v>35000</v>
      </c>
      <c r="X1325" s="2" t="str">
        <f>=HYPERLINK("https://www.larksuite.com/approval/admin/previewAttachment?key=PMhBCsIwFATQK83kz8_kexk3liCFiiDUVc4uuOj29UH0kYxeULEVuJwmshAtUnJaWm3RLpgOru2Yd_r7mnpLB899H-t8Pub2YZZbg0OKAYC3y8OSqrrwd_wCAAD__w", "2 attachment(s)")</f>
        <v>2 attachment(s)</v>
      </c>
      <c r="Y1325" t="inlineStr">
        <is>
          <t>Bank Transfer</t>
        </is>
      </c>
      <c r="Z1325" t="inlineStr">
        <is>
          <t>AMVIL AGUSTIN</t>
        </is>
      </c>
      <c r="AA1325" t="inlineStr">
        <is>
          <t>0000-0734-86898</t>
        </is>
      </c>
      <c r="AB1325" t="inlineStr">
        <is>
          <t>Security Bank</t>
        </is>
      </c>
      <c r="AC1325" t="inlineStr">
        <is>
          <t>93 Orchids St., Bernabe Phase 2, San Dionisio, Paranaque</t>
        </is>
      </c>
      <c r="AD1325" s="4">
        <v>45974</v>
      </c>
      <c r="AE1325" t="inlineStr">
        <is>
          <t>50% Down Payment upon confirmation
50% Final Payment upon complete delivery</t>
        </is>
      </c>
      <c r="AF1325" s="2" t="str">
        <f>=HYPERLINK("https://www.larksuite.com/approval/admin/previewAttachment?key=TMhBCsJADAXQK_0_-UkmXsaNZZBCRRDqKmcXXHX7YhIxnRYFFUeBnZ6EF2yYS-kp9WhmFpJp7O1Yd-b3tfSWDp77Pvt8Ptb2YUwLqFxiAeDt4iRqWtjf8QsAAP__", "3 attachment(s)")</f>
        <v>3 attachment(s)</v>
      </c>
      <c r="AG1325" t="inlineStr">
        <is>
          <t>NzQyNTk5MTgyNzQ4MTg3MDM0MToyMEU0QTQxRC1CQUQyLTQxMDUtODQ1MS1BRjk0QTkxMzc0QzktMToxOGUzMzQ2ZDNhODdmMjk3YzAyODIyMzg2YjEwMzI0Nzox</t>
        </is>
      </c>
      <c r="AH1325" t="inlineStr">
        <is>
          <t>Panda's Printing Station</t>
        </is>
      </c>
      <c r="AI1325"/>
      <c r="AJ1325" t="inlineStr">
        <is>
          <t>LIQUIDITY PLAN (PAR # 202511060038 / 2025TEG-P0301)
1108 COST ESTIMATE TAB &gt; YELLOW STUDIO &gt; 
GENERAL ITEMS &gt; Merch Production &gt;
Pouch (Blue)
Pouch (Gold)
Total Budget = Php 276,000.00
Actual Cost = Php 114,560.00
Balance = Php 162,240.00</t>
        </is>
      </c>
      <c r="AK1325"/>
    </row>
    <row r="1326" ht="25.5" customHeight="1">
      <c r="A1326" s="2" t="str">
        <f>=HYPERLINK("https://applink.larksuite.com/client/mini_program/open?appId=cli_9c7cc8a9a9edd105&amp;mode=appCenter&amp;path_pc=pc/pages/requested/index?instanceId=7571059032354475744&amp;source=bitable&amp;path=pages/detail/index?instanceId=7571059032354475744&amp;source=bitable", "202511100133")</f>
        <v>202511100133</v>
      </c>
      <c r="B1326" t="inlineStr">
        <is>
          <t>Approved</t>
        </is>
      </c>
      <c r="C1326" t="inlineStr">
        <is>
          <t>Procurement Order</t>
        </is>
      </c>
      <c r="D1326" s="3">
        <v>45971.816516203704</v>
      </c>
      <c r="E1326" s="3">
        <v>45972.65939814815</v>
      </c>
      <c r="F1326" t="inlineStr">
        <is>
          <t>Fatima Kathleen M. FLores</t>
        </is>
      </c>
      <c r="G1326" t="inlineStr">
        <is>
          <t>Procurement</t>
        </is>
      </c>
      <c r="H1326"/>
      <c r="I1326"/>
      <c r="J1326" t="inlineStr">
        <is>
          <t>Project</t>
        </is>
      </c>
      <c r="K1326" t="inlineStr">
        <is>
          <t>GG - Event Service</t>
        </is>
      </c>
      <c r="L1326" t="inlineStr">
        <is>
          <t>KIC 2025 - Carnival &amp; Mini Battle</t>
        </is>
      </c>
      <c r="M1326" t="inlineStr">
        <is>
          <t>2025TEG-P0301</t>
        </is>
      </c>
      <c r="N1326" t="inlineStr">
        <is>
          <t>Maura Aurel Atilano Yap</t>
        </is>
      </c>
      <c r="O1326" t="inlineStr">
        <is>
          <t>202511060150-Maura Aurel Atilano Yap-费用报销 - 副本 - 副本 - 副本-2025-11-06 13:19:20</t>
        </is>
      </c>
      <c r="P1326" t="inlineStr">
        <is>
          <t>NO</t>
        </is>
      </c>
      <c r="Q1326"/>
      <c r="R1326" t="inlineStr">
        <is>
          <t>NO</t>
        </is>
      </c>
      <c r="S1326" t="inlineStr">
        <is>
          <t>Customized Pouch Satin Color Blue: 4x4 inches with Print</t>
        </is>
      </c>
      <c r="T1326">
        <v>1768</v>
      </c>
      <c r="U1326">
        <v>45</v>
      </c>
      <c r="V1326" t="inlineStr">
        <is>
          <t>PHP</t>
        </is>
      </c>
      <c r="W1326">
        <v>79560</v>
      </c>
      <c r="X1326" s="2" t="str">
        <f>=HYPERLINK("https://www.larksuite.com/approval/admin/previewAttachment?key=PMhBCsIwFATQK83kz8_kexk3liCFiiDUVc4uuOj29UH0kYxeULEVuJwmshAtUnJaWm3RLpgOru2Yd_r7mnpLB899H-t8Pub2YZZbg0OKAYC3y8OSqrrwd_4CAAD__w", "1 attachment(s)")</f>
        <v>1 attachment(s)</v>
      </c>
      <c r="Y1326"/>
      <c r="Z1326"/>
      <c r="AA1326"/>
      <c r="AB1326"/>
      <c r="AC1326"/>
      <c r="AD1326" s="4"/>
      <c r="AE1326"/>
      <c r="AF1326" s="2"/>
      <c r="AG1326" t="inlineStr">
        <is>
          <t>NzQyNTk5MTgyNzQ4MTg3MDM0MToyMEU0QTQxRC1CQUQyLTQxMDUtODQ1MS1BRjk0QTkxMzc0QzktMjpkODcxYTJlYjQxZDlhYmI4ZGQ0OGNhMGU0Mzg1ZmU3Mzox</t>
        </is>
      </c>
      <c r="AH1326"/>
      <c r="AI1326"/>
      <c r="AJ1326" t="inlineStr">
        <is>
          <t>LIQUIDITY PLAN (PAR # 202511060038 / 2025TEG-P0301)
1108 COST ESTIMATE TAB &gt; YELLOW STUDIO &gt; 
GENERAL ITEMS &gt; Merch Production &gt;
Pouch (Blue)
Pouch (Gold)
Total Budget = Php 276,000.00
Actual Cost = Php 114,560.00
Balance = Php 162,240.00</t>
        </is>
      </c>
      <c r="AK1326"/>
    </row>
    <row r="1327" ht="25.5" customHeight="1">
      <c r="A1327" s="2" t="str">
        <f>=HYPERLINK("https://applink.larksuite.com/client/mini_program/open?appId=cli_9c7cc8a9a9edd105&amp;mode=appCenter&amp;path_pc=pc/pages/requested/index?instanceId=7571047119692238561&amp;source=bitable&amp;path=pages/detail/index?instanceId=7571047119692238561&amp;source=bitable", "202511100128")</f>
        <v>202511100128</v>
      </c>
      <c r="B1327" t="inlineStr">
        <is>
          <t>Approved</t>
        </is>
      </c>
      <c r="C1327" t="inlineStr">
        <is>
          <t>Procurement Order</t>
        </is>
      </c>
      <c r="D1327" s="3">
        <v>45971.784421296295</v>
      </c>
      <c r="E1327" s="3">
        <v>45972.61078703704</v>
      </c>
      <c r="F1327" t="inlineStr">
        <is>
          <t>Fatima Kathleen M. FLores</t>
        </is>
      </c>
      <c r="G1327" t="inlineStr">
        <is>
          <t>Procurement</t>
        </is>
      </c>
      <c r="H1327"/>
      <c r="I1327"/>
      <c r="J1327" t="inlineStr">
        <is>
          <t>Project</t>
        </is>
      </c>
      <c r="K1327" t="inlineStr">
        <is>
          <t>GG - Event Service</t>
        </is>
      </c>
      <c r="L1327" t="inlineStr">
        <is>
          <t>KIC 2025 - Group Stage &amp; Knockouts</t>
        </is>
      </c>
      <c r="M1327" t="inlineStr">
        <is>
          <t>2025TEG-P0286</t>
        </is>
      </c>
      <c r="N1327" t="inlineStr">
        <is>
          <t>Juvie Anne Asis Castres</t>
        </is>
      </c>
      <c r="O1327" t="inlineStr">
        <is>
          <t>202511080065-Juvie Anne Asis Castres-费用报销 - 副本 - 副本 - 副本-2025-11-08 11:29:46</t>
        </is>
      </c>
      <c r="P1327" t="inlineStr">
        <is>
          <t>NO</t>
        </is>
      </c>
      <c r="Q1327"/>
      <c r="R1327" t="inlineStr">
        <is>
          <t>NO</t>
        </is>
      </c>
      <c r="S1327" t="inlineStr">
        <is>
          <t>2.75” X 2.75” MIKE FLAG</t>
        </is>
      </c>
      <c r="T1327">
        <v>4</v>
      </c>
      <c r="U1327">
        <v>180</v>
      </c>
      <c r="V1327" t="inlineStr">
        <is>
          <t>PHP</t>
        </is>
      </c>
      <c r="W1327">
        <v>720</v>
      </c>
      <c r="X1327" s="2"/>
      <c r="Y1327" t="inlineStr">
        <is>
          <t>Bank Transfer</t>
        </is>
      </c>
      <c r="Z1327" t="inlineStr">
        <is>
          <t>iLIGHT PRODUCTION</t>
        </is>
      </c>
      <c r="AA1327" t="inlineStr">
        <is>
          <t>007960010274</t>
        </is>
      </c>
      <c r="AB1327" t="inlineStr">
        <is>
          <t>BDO</t>
        </is>
      </c>
      <c r="AC1327" t="inlineStr">
        <is>
          <t>3791 Mascardo St. Brgy, Sta Cruz, Makati City</t>
        </is>
      </c>
      <c r="AD1327" s="4">
        <v>45974</v>
      </c>
      <c r="AE1327" t="inlineStr">
        <is>
          <t>100% Full Payment upon complete delivery</t>
        </is>
      </c>
      <c r="AF1327" s="2"/>
      <c r="AG1327" t="inlineStr">
        <is>
          <t>NzQyNTk5MTgyNzQ4MTg3MDM0MTo1OENDNkJGQi0wQTM2LTQxNjUtQjY1MC0wMzg5Q0U3MkMyMEEtMTo1MmYzM2EzZDcxYTlkMjM1ZmNlNjhiMWNjY2FlZjc3MDox</t>
        </is>
      </c>
      <c r="AH1327" t="inlineStr">
        <is>
          <t>iLIGHT PRODUCTION</t>
        </is>
      </c>
      <c r="AI1327"/>
      <c r="AJ1327" t="inlineStr">
        <is>
          <t>LIQUIDITY PLAN (PAR # 202510290062 / 2025TEG-P0286) 
1108 CE KIC GS+KO TAB &gt; GROUPSTAGE - KNOCKOUTS (Main Event) &gt;
COLLATERAL &amp; VENUE SKINNING &gt; Print &amp; Collateral &gt;
Mic Flag
Cue Cards
Directional Signages
Total Budget = Php 17,900.00
Actual Cost = Php 4,898.00
Balance = Php 13,002.00</t>
        </is>
      </c>
      <c r="AK1327"/>
    </row>
    <row r="1328" ht="25.5" customHeight="1">
      <c r="A1328" s="2" t="str">
        <f>=HYPERLINK("https://applink.larksuite.com/client/mini_program/open?appId=cli_9c7cc8a9a9edd105&amp;mode=appCenter&amp;path_pc=pc/pages/requested/index?instanceId=7571047119692238561&amp;source=bitable&amp;path=pages/detail/index?instanceId=7571047119692238561&amp;source=bitable", "202511100128")</f>
        <v>202511100128</v>
      </c>
      <c r="B1328" t="inlineStr">
        <is>
          <t>Approved</t>
        </is>
      </c>
      <c r="C1328" t="inlineStr">
        <is>
          <t>Procurement Order</t>
        </is>
      </c>
      <c r="D1328" s="3">
        <v>45971.784421296295</v>
      </c>
      <c r="E1328" s="3">
        <v>45972.61078703704</v>
      </c>
      <c r="F1328" t="inlineStr">
        <is>
          <t>Fatima Kathleen M. FLores</t>
        </is>
      </c>
      <c r="G1328" t="inlineStr">
        <is>
          <t>Procurement</t>
        </is>
      </c>
      <c r="H1328"/>
      <c r="I1328"/>
      <c r="J1328" t="inlineStr">
        <is>
          <t>Project</t>
        </is>
      </c>
      <c r="K1328" t="inlineStr">
        <is>
          <t>GG - Event Service</t>
        </is>
      </c>
      <c r="L1328" t="inlineStr">
        <is>
          <t>KIC 2025 - Group Stage &amp; Knockouts</t>
        </is>
      </c>
      <c r="M1328" t="inlineStr">
        <is>
          <t>2025TEG-P0286</t>
        </is>
      </c>
      <c r="N1328" t="inlineStr">
        <is>
          <t>Juvie Anne Asis Castres</t>
        </is>
      </c>
      <c r="O1328" t="inlineStr">
        <is>
          <t>202511080065-Juvie Anne Asis Castres-费用报销 - 副本 - 副本 - 副本-2025-11-08 11:29:46</t>
        </is>
      </c>
      <c r="P1328" t="inlineStr">
        <is>
          <t>NO</t>
        </is>
      </c>
      <c r="Q1328"/>
      <c r="R1328" t="inlineStr">
        <is>
          <t>NO</t>
        </is>
      </c>
      <c r="S1328" t="inlineStr">
        <is>
          <t>A5 CUE CARD</t>
        </is>
      </c>
      <c r="T1328">
        <v>5</v>
      </c>
      <c r="U1328">
        <v>70</v>
      </c>
      <c r="V1328" t="inlineStr">
        <is>
          <t>PHP</t>
        </is>
      </c>
      <c r="W1328">
        <v>350</v>
      </c>
      <c r="X1328" s="2"/>
      <c r="Y1328"/>
      <c r="Z1328"/>
      <c r="AA1328"/>
      <c r="AB1328"/>
      <c r="AC1328"/>
      <c r="AD1328" s="4"/>
      <c r="AE1328"/>
      <c r="AF1328" s="2"/>
      <c r="AG1328" t="inlineStr">
        <is>
          <t>NzQyNTk5MTgyNzQ4MTg3MDM0MTo1OENDNkJGQi0wQTM2LTQxNjUtQjY1MC0wMzg5Q0U3MkMyMEEtMjphZWJlYjUyOTY5MmEwMDBmZTAxZmY0YzEzOGE4ZDY5Yjox</t>
        </is>
      </c>
      <c r="AH1328"/>
      <c r="AI1328"/>
      <c r="AJ1328" t="inlineStr">
        <is>
          <t>LIQUIDITY PLAN (PAR # 202510290062 / 2025TEG-P0286) 
1108 CE KIC GS+KO TAB &gt; GROUPSTAGE - KNOCKOUTS (Main Event) &gt;
COLLATERAL &amp; VENUE SKINNING &gt; Print &amp; Collateral &gt;
Mic Flag
Cue Cards
Directional Signages
Total Budget = Php 17,900.00
Actual Cost = Php 4,898.00
Balance = Php 13,002.00</t>
        </is>
      </c>
      <c r="AK1328"/>
    </row>
    <row r="1329" ht="25.5" customHeight="1">
      <c r="A1329" s="2" t="str">
        <f>=HYPERLINK("https://applink.larksuite.com/client/mini_program/open?appId=cli_9c7cc8a9a9edd105&amp;mode=appCenter&amp;path_pc=pc/pages/requested/index?instanceId=7571047119692238561&amp;source=bitable&amp;path=pages/detail/index?instanceId=7571047119692238561&amp;source=bitable", "202511100128")</f>
        <v>202511100128</v>
      </c>
      <c r="B1329" t="inlineStr">
        <is>
          <t>Approved</t>
        </is>
      </c>
      <c r="C1329" t="inlineStr">
        <is>
          <t>Procurement Order</t>
        </is>
      </c>
      <c r="D1329" s="3">
        <v>45971.784421296295</v>
      </c>
      <c r="E1329" s="3">
        <v>45972.61078703704</v>
      </c>
      <c r="F1329" t="inlineStr">
        <is>
          <t>Fatima Kathleen M. FLores</t>
        </is>
      </c>
      <c r="G1329" t="inlineStr">
        <is>
          <t>Procurement</t>
        </is>
      </c>
      <c r="H1329"/>
      <c r="I1329"/>
      <c r="J1329" t="inlineStr">
        <is>
          <t>Project</t>
        </is>
      </c>
      <c r="K1329" t="inlineStr">
        <is>
          <t>GG - Event Service</t>
        </is>
      </c>
      <c r="L1329" t="inlineStr">
        <is>
          <t>KIC 2025 - Group Stage &amp; Knockouts</t>
        </is>
      </c>
      <c r="M1329" t="inlineStr">
        <is>
          <t>2025TEG-P0286</t>
        </is>
      </c>
      <c r="N1329" t="inlineStr">
        <is>
          <t>Juvie Anne Asis Castres</t>
        </is>
      </c>
      <c r="O1329" t="inlineStr">
        <is>
          <t>202511080065-Juvie Anne Asis Castres-费用报销 - 副本 - 副本 - 副本-2025-11-08 11:29:46</t>
        </is>
      </c>
      <c r="P1329" t="inlineStr">
        <is>
          <t>NO</t>
        </is>
      </c>
      <c r="Q1329"/>
      <c r="R1329" t="inlineStr">
        <is>
          <t>NO</t>
        </is>
      </c>
      <c r="S1329" t="inlineStr">
        <is>
          <t>A4 DIRECTIONAL SIGNAGE STICKER ON SINTRA</t>
        </is>
      </c>
      <c r="T1329">
        <v>33</v>
      </c>
      <c r="U1329">
        <v>116</v>
      </c>
      <c r="V1329" t="inlineStr">
        <is>
          <t>PHP</t>
        </is>
      </c>
      <c r="W1329">
        <v>3828</v>
      </c>
      <c r="X1329" s="2" t="str">
        <f>=HYPERLINK("https://www.larksuite.com/approval/admin/previewAttachment?key=PMg9igIwFATgK828v8nby2yTEASxEtLl7IKF7VeDqJH0akTTGrxKESGyq818ZPHapdQQ5bzrtf-X58TWTjs9z_Oex9zrzWyZQR7hAwD_fu6KiO4KfN0-AQAA__8", "2 attachment(s)")</f>
        <v>2 attachment(s)</v>
      </c>
      <c r="Y1329"/>
      <c r="Z1329"/>
      <c r="AA1329"/>
      <c r="AB1329"/>
      <c r="AC1329"/>
      <c r="AD1329" s="4"/>
      <c r="AE1329"/>
      <c r="AF1329" s="2"/>
      <c r="AG1329" t="inlineStr">
        <is>
          <t>NzQyNTk5MTgyNzQ4MTg3MDM0MTo1OENDNkJGQi0wQTM2LTQxNjUtQjY1MC0wMzg5Q0U3MkMyMEEtMzo0MTUyMmE0ODNmMmRjNjZkZjJhOGVhMjkzNzVjYzQzMzox</t>
        </is>
      </c>
      <c r="AH1329"/>
      <c r="AI1329"/>
      <c r="AJ1329" t="inlineStr">
        <is>
          <t>LIQUIDITY PLAN (PAR # 202510290062 / 2025TEG-P0286) 
1108 CE KIC GS+KO TAB &gt; GROUPSTAGE - KNOCKOUTS (Main Event) &gt;
COLLATERAL &amp; VENUE SKINNING &gt; Print &amp; Collateral &gt;
Mic Flag
Cue Cards
Directional Signages
Total Budget = Php 17,900.00
Actual Cost = Php 4,898.00
Balance = Php 13,002.00</t>
        </is>
      </c>
      <c r="AK1329"/>
    </row>
    <row r="1330" ht="25.5" customHeight="1">
      <c r="A1330" s="2" t="str">
        <f>=HYPERLINK("https://applink.larksuite.com/client/mini_program/open?appId=cli_9c7cc8a9a9edd105&amp;mode=appCenter&amp;path_pc=pc/pages/requested/index?instanceId=7571073162561982175&amp;source=bitable&amp;path=pages/detail/index?instanceId=7571073162561982175&amp;source=bitable", "202511100137")</f>
        <v>202511100137</v>
      </c>
      <c r="B1330" t="inlineStr">
        <is>
          <t>Approved</t>
        </is>
      </c>
      <c r="C1330" t="inlineStr">
        <is>
          <t>Procurement Order</t>
        </is>
      </c>
      <c r="D1330" s="3">
        <v>45971.85459490741</v>
      </c>
      <c r="E1330" s="3">
        <v>45972.67321759259</v>
      </c>
      <c r="F1330" t="inlineStr">
        <is>
          <t>Fatima Kathleen M. FLores</t>
        </is>
      </c>
      <c r="G1330" t="inlineStr">
        <is>
          <t>Procurement</t>
        </is>
      </c>
      <c r="H1330"/>
      <c r="I1330"/>
      <c r="J1330" t="inlineStr">
        <is>
          <t>Project</t>
        </is>
      </c>
      <c r="K1330" t="inlineStr">
        <is>
          <t>GG - Event Service</t>
        </is>
      </c>
      <c r="L1330" t="inlineStr">
        <is>
          <t>KIC 2025 - Media Day</t>
        </is>
      </c>
      <c r="M1330" t="inlineStr">
        <is>
          <t>2025TEG-P0307</t>
        </is>
      </c>
      <c r="N1330" t="inlineStr">
        <is>
          <t>Randy Vince Fernandez Apura</t>
        </is>
      </c>
      <c r="O1330" t="inlineStr">
        <is>
          <t>202511070078-Randy Vince Fernandez Apura-费用报销 - 副本 - 副本 - 副本-2025-11-07 07:24:37</t>
        </is>
      </c>
      <c r="P1330" t="inlineStr">
        <is>
          <t>NO</t>
        </is>
      </c>
      <c r="Q1330"/>
      <c r="R1330" t="inlineStr">
        <is>
          <t>NO</t>
        </is>
      </c>
      <c r="S1330" t="inlineStr">
        <is>
          <t>Oven Studio Rental - Nov. 11 to 12, 2025</t>
        </is>
      </c>
      <c r="T1330">
        <v>2</v>
      </c>
      <c r="U1330">
        <v>67200</v>
      </c>
      <c r="V1330" t="inlineStr">
        <is>
          <t>PHP</t>
        </is>
      </c>
      <c r="W1330">
        <v>134400</v>
      </c>
      <c r="X1330" s="2"/>
      <c r="Y1330" t="inlineStr">
        <is>
          <t>Bank Transfer</t>
        </is>
      </c>
      <c r="Z1330" t="inlineStr">
        <is>
          <t>Baked Studio Inc.</t>
        </is>
      </c>
      <c r="AA1330" t="inlineStr">
        <is>
          <t>004 288 028 051</t>
        </is>
      </c>
      <c r="AB1330" t="inlineStr">
        <is>
          <t>BDO</t>
        </is>
      </c>
      <c r="AC1330" t="inlineStr">
        <is>
          <t>Warehouse B, 7452 Yakal Street Barangay San Antonio Village, Makati</t>
        </is>
      </c>
      <c r="AD1330" s="4">
        <v>45972</v>
      </c>
      <c r="AE1330" t="inlineStr">
        <is>
          <t>50% Down payment upon confirmation
50% balance upon shoot / event date</t>
        </is>
      </c>
      <c r="AF1330" s="2"/>
      <c r="AG1330" t="inlineStr">
        <is>
          <t>NzQyNTk5MTgyNzQ4MTg3MDM0MTo1NTJCNzNFNC1EQzc3LTRDOTMtQkU2Mi1COTQ4M0JDQjI1QzQtMTo4MTYxZmJlMWNiMmUwMTk3MzcwOTVlNzRkODY2YmUzODox</t>
        </is>
      </c>
      <c r="AH1330" t="inlineStr">
        <is>
          <t>Baked Studio Inc.</t>
        </is>
      </c>
      <c r="AI1330"/>
      <c r="AJ1330" t="inlineStr">
        <is>
          <t>LIQUIDITY PLAN (PAR # 202511070057 / 2025TEG-P0307)
1028 CE Media Day &gt; VENUE RENTAL &gt;
"Baked Studios
- Oven Studio + 2nd floor Lounge"
Total Budget = Php 180,000.00
Actual Cost = Php 179,200.00
Balance = Php 800.00</t>
        </is>
      </c>
      <c r="AK1330"/>
    </row>
    <row r="1331" ht="25.5" customHeight="1">
      <c r="A1331" s="2" t="str">
        <f>=HYPERLINK("https://applink.larksuite.com/client/mini_program/open?appId=cli_9c7cc8a9a9edd105&amp;mode=appCenter&amp;path_pc=pc/pages/requested/index?instanceId=7571073162561982175&amp;source=bitable&amp;path=pages/detail/index?instanceId=7571073162561982175&amp;source=bitable", "202511100137")</f>
        <v>202511100137</v>
      </c>
      <c r="B1331" t="inlineStr">
        <is>
          <t>Approved</t>
        </is>
      </c>
      <c r="C1331" t="inlineStr">
        <is>
          <t>Procurement Order</t>
        </is>
      </c>
      <c r="D1331" s="3">
        <v>45971.85459490741</v>
      </c>
      <c r="E1331" s="3">
        <v>45972.67321759259</v>
      </c>
      <c r="F1331" t="inlineStr">
        <is>
          <t>Fatima Kathleen M. FLores</t>
        </is>
      </c>
      <c r="G1331" t="inlineStr">
        <is>
          <t>Procurement</t>
        </is>
      </c>
      <c r="H1331"/>
      <c r="I1331"/>
      <c r="J1331" t="inlineStr">
        <is>
          <t>Project</t>
        </is>
      </c>
      <c r="K1331" t="inlineStr">
        <is>
          <t>GG - Event Service</t>
        </is>
      </c>
      <c r="L1331" t="inlineStr">
        <is>
          <t>KIC 2025 - Media Day</t>
        </is>
      </c>
      <c r="M1331" t="inlineStr">
        <is>
          <t>2025TEG-P0307</t>
        </is>
      </c>
      <c r="N1331" t="inlineStr">
        <is>
          <t>Randy Vince Fernandez Apura</t>
        </is>
      </c>
      <c r="O1331" t="inlineStr">
        <is>
          <t>202511070078-Randy Vince Fernandez Apura-费用报销 - 副本 - 副本 - 副本-2025-11-07 07:24:37</t>
        </is>
      </c>
      <c r="P1331" t="inlineStr">
        <is>
          <t>NO</t>
        </is>
      </c>
      <c r="Q1331"/>
      <c r="R1331" t="inlineStr">
        <is>
          <t>NO</t>
        </is>
      </c>
      <c r="S1331" t="inlineStr">
        <is>
          <t>2nd Floor Rental - Nov. 11 to 12, 2025)</t>
        </is>
      </c>
      <c r="T1331">
        <v>2</v>
      </c>
      <c r="U1331">
        <v>39200</v>
      </c>
      <c r="V1331" t="inlineStr">
        <is>
          <t>PHP</t>
        </is>
      </c>
      <c r="W1331">
        <v>78400</v>
      </c>
      <c r="X1331" s="2"/>
      <c r="Y1331"/>
      <c r="Z1331"/>
      <c r="AA1331"/>
      <c r="AB1331"/>
      <c r="AC1331"/>
      <c r="AD1331" s="4"/>
      <c r="AE1331"/>
      <c r="AF1331" s="2"/>
      <c r="AG1331" t="inlineStr">
        <is>
          <t>NzQyNTk5MTgyNzQ4MTg3MDM0MTo1NTJCNzNFNC1EQzc3LTRDOTMtQkU2Mi1COTQ4M0JDQjI1QzQtMjoxOTRiNjFlYmZhYjIyN2QxZDczMWE3NTI5NjE1NTNmYzox</t>
        </is>
      </c>
      <c r="AH1331"/>
      <c r="AI1331"/>
      <c r="AJ1331" t="inlineStr">
        <is>
          <t>LIQUIDITY PLAN (PAR # 202511070057 / 2025TEG-P0307)
1028 CE Media Day &gt; VENUE RENTAL &gt;
"Baked Studios
- Oven Studio + 2nd floor Lounge"
Total Budget = Php 180,000.00
Actual Cost = Php 179,200.00
Balance = Php 800.00</t>
        </is>
      </c>
      <c r="AK1331"/>
    </row>
    <row r="1332" ht="25.5" customHeight="1">
      <c r="A1332" s="2" t="str">
        <f>=HYPERLINK("https://applink.larksuite.com/client/mini_program/open?appId=cli_9c7cc8a9a9edd105&amp;mode=appCenter&amp;path_pc=pc/pages/requested/index?instanceId=7571073162561982175&amp;source=bitable&amp;path=pages/detail/index?instanceId=7571073162561982175&amp;source=bitable", "202511100137")</f>
        <v>202511100137</v>
      </c>
      <c r="B1332" t="inlineStr">
        <is>
          <t>Approved</t>
        </is>
      </c>
      <c r="C1332" t="inlineStr">
        <is>
          <t>Procurement Order</t>
        </is>
      </c>
      <c r="D1332" s="3">
        <v>45971.85459490741</v>
      </c>
      <c r="E1332" s="3">
        <v>45972.67321759259</v>
      </c>
      <c r="F1332" t="inlineStr">
        <is>
          <t>Fatima Kathleen M. FLores</t>
        </is>
      </c>
      <c r="G1332" t="inlineStr">
        <is>
          <t>Procurement</t>
        </is>
      </c>
      <c r="H1332"/>
      <c r="I1332"/>
      <c r="J1332" t="inlineStr">
        <is>
          <t>Project</t>
        </is>
      </c>
      <c r="K1332" t="inlineStr">
        <is>
          <t>GG - Event Service</t>
        </is>
      </c>
      <c r="L1332" t="inlineStr">
        <is>
          <t>KIC 2025 - Media Day</t>
        </is>
      </c>
      <c r="M1332" t="inlineStr">
        <is>
          <t>2025TEG-P0307</t>
        </is>
      </c>
      <c r="N1332" t="inlineStr">
        <is>
          <t>Randy Vince Fernandez Apura</t>
        </is>
      </c>
      <c r="O1332" t="inlineStr">
        <is>
          <t>202511070078-Randy Vince Fernandez Apura-费用报销 - 副本 - 副本 - 副本-2025-11-07 07:24:37</t>
        </is>
      </c>
      <c r="P1332" t="inlineStr">
        <is>
          <t>NO</t>
        </is>
      </c>
      <c r="Q1332"/>
      <c r="R1332" t="inlineStr">
        <is>
          <t>NO</t>
        </is>
      </c>
      <c r="S1332" t="inlineStr">
        <is>
          <t>Discount</t>
        </is>
      </c>
      <c r="T1332">
        <v>1</v>
      </c>
      <c r="U1332">
        <v>-33600</v>
      </c>
      <c r="V1332" t="inlineStr">
        <is>
          <t>PHP</t>
        </is>
      </c>
      <c r="W1332">
        <v>-33600</v>
      </c>
      <c r="X1332" s="2" t="str">
        <f>=HYPERLINK("https://www.larksuite.com/approval/admin/previewAttachment?key=PMg7CgJBEATQK1X1r6a9jInL4oKKIIwYzNkFA9NXg6iR9GpE0xpcShFylmWxh1G5bFFqiHKu7b6fbb4fn9uYhzOPeK55vezbi9kygzzCBwCe_u6KiO4K_Ny-AQAA__8", "2 attachment(s)")</f>
        <v>2 attachment(s)</v>
      </c>
      <c r="Y1332"/>
      <c r="Z1332"/>
      <c r="AA1332"/>
      <c r="AB1332"/>
      <c r="AC1332"/>
      <c r="AD1332" s="4"/>
      <c r="AE1332"/>
      <c r="AF1332" s="2"/>
      <c r="AG1332" t="inlineStr">
        <is>
          <t>NzQyNTk5MTgyNzQ4MTg3MDM0MTo1NTJCNzNFNC1EQzc3LTRDOTMtQkU2Mi1COTQ4M0JDQjI1QzQtMzo1Y2ViOGFmNzU3Y2I3MTJlYzEwMDFjYjA0MTkwYTZlNTox</t>
        </is>
      </c>
      <c r="AH1332"/>
      <c r="AI1332"/>
      <c r="AJ1332" t="inlineStr">
        <is>
          <t>LIQUIDITY PLAN (PAR # 202511070057 / 2025TEG-P0307)
1028 CE Media Day &gt; VENUE RENTAL &gt;
"Baked Studios
- Oven Studio + 2nd floor Lounge"
Total Budget = Php 180,000.00
Actual Cost = Php 179,200.00
Balance = Php 800.00</t>
        </is>
      </c>
      <c r="AK1332"/>
    </row>
    <row r="1333" ht="25.5" customHeight="1">
      <c r="A1333" s="2" t="str">
        <f>=HYPERLINK("https://applink.larksuite.com/client/mini_program/open?appId=cli_9c7cc8a9a9edd105&amp;mode=appCenter&amp;path_pc=pc/pages/requested/index?instanceId=7571049105556819676&amp;source=bitable&amp;path=pages/detail/index?instanceId=7571049105556819676&amp;source=bitable", "202511100130")</f>
        <v>202511100130</v>
      </c>
      <c r="B1333" t="inlineStr">
        <is>
          <t>Approved</t>
        </is>
      </c>
      <c r="C1333" t="inlineStr">
        <is>
          <t>Procurement Order</t>
        </is>
      </c>
      <c r="D1333" s="3">
        <v>45971.789768518516</v>
      </c>
      <c r="E1333" s="3">
        <v>45972.619733796295</v>
      </c>
      <c r="F1333" t="inlineStr">
        <is>
          <t>Fatima Kathleen M. FLores</t>
        </is>
      </c>
      <c r="G1333" t="inlineStr">
        <is>
          <t>Procurement</t>
        </is>
      </c>
      <c r="H1333"/>
      <c r="I1333"/>
      <c r="J1333" t="inlineStr">
        <is>
          <t>Project</t>
        </is>
      </c>
      <c r="K1333" t="inlineStr">
        <is>
          <t>GG - Event Service</t>
        </is>
      </c>
      <c r="L1333" t="inlineStr">
        <is>
          <t>KIC 2025 - Group Stage &amp; Knockouts</t>
        </is>
      </c>
      <c r="M1333" t="inlineStr">
        <is>
          <t>2025TEG-P0286</t>
        </is>
      </c>
      <c r="N1333" t="inlineStr">
        <is>
          <t>Frances Angelita Arreglado</t>
        </is>
      </c>
      <c r="O1333" t="inlineStr">
        <is>
          <t>202511080012-Frances Angelita Arreglado-费用报销 - 副本 - 副本 - 副本-2025-11-08 04:12:07</t>
        </is>
      </c>
      <c r="P1333" t="inlineStr">
        <is>
          <t>NO</t>
        </is>
      </c>
      <c r="Q1333"/>
      <c r="R1333" t="inlineStr">
        <is>
          <t>YES</t>
        </is>
      </c>
      <c r="S1333" t="inlineStr">
        <is>
          <t>Outsourced Camera Crew (with equipment)</t>
        </is>
      </c>
      <c r="T1333">
        <v>1</v>
      </c>
      <c r="U1333">
        <v>982240</v>
      </c>
      <c r="V1333" t="inlineStr">
        <is>
          <t>PHP</t>
        </is>
      </c>
      <c r="W1333">
        <v>982240</v>
      </c>
      <c r="X1333" s="2" t="str">
        <f>=HYPERLINK("https://www.larksuite.com/approval/admin/previewAttachment?key=PMhLCgIxEATQK1WlP5X2Mm4cgoNEBgRd5eyii1m-l53IHrQseLEVuBTiD4iI7KxUrrYoFUQZ1zbH1aaOsY_9eXwwH2O977exvRil1iBztw6Al_NN7l6Vjv_jGwAA__8", "2 attachment(s)")</f>
        <v>2 attachment(s)</v>
      </c>
      <c r="Y1333" t="inlineStr">
        <is>
          <t>Bank Transfer</t>
        </is>
      </c>
      <c r="Z1333" t="inlineStr">
        <is>
          <t>Ryan Matias</t>
        </is>
      </c>
      <c r="AA1333" t="inlineStr">
        <is>
          <t>1996 2285 79</t>
        </is>
      </c>
      <c r="AB1333" t="inlineStr">
        <is>
          <t>BPI</t>
        </is>
      </c>
      <c r="AC1333" t="inlineStr">
        <is>
          <t>Kingsville, Antipolo</t>
        </is>
      </c>
      <c r="AD1333" s="4">
        <v>45973</v>
      </c>
      <c r="AE1333" t="inlineStr">
        <is>
          <t>50% Down Payment upon confirmation
50% balance - 30 days upon completion of services</t>
        </is>
      </c>
      <c r="AF1333" s="2"/>
      <c r="AG1333" t="inlineStr">
        <is>
          <t>NzQyNTk5MTgyNzQ4MTg3MDM0MTpEMTc0NEIzRi1GMzgyLTRDMTEtQTNFOS1EMjU5QkYyQTc0RUQtMTo1YjMyZDFhZWE5MGE4YTI1ZGQ4YTEzNzU1OWUzODUzYzox</t>
        </is>
      </c>
      <c r="AH1333" t="inlineStr">
        <is>
          <t>RY MATIAS PHOTO &amp; VIDEO SERVICES</t>
        </is>
      </c>
      <c r="AI1333"/>
      <c r="AJ1333" t="inlineStr">
        <is>
          <t>LIQUIDITY PLAN (PAR # 202510290062 / 2025TEG-P0286) 
1108 CE KIC GS+KO TAB &gt; GROUPSTAGE - KNOCKOUTS (Main Event) &gt;
BROADCAST TEAM &gt; 
Cameraman Master
Cameraman Sub Master
"Cameraman Ronin (Gimbal)
- Operator + Equipment"
"Drone Operator
- Licensed"
Asisstant Cemaraman 1
Total Budget = Php 900,000.00
Actual Cost = Php 982,240.00
Balance = (Php 82,240.00) OVER BUDGET</t>
        </is>
      </c>
      <c r="AK1333"/>
    </row>
    <row r="1334" ht="25.5" customHeight="1">
      <c r="A1334" s="2" t="str">
        <f>=HYPERLINK("https://applink.larksuite.com/client/mini_program/open?appId=cli_9c7cc8a9a9edd105&amp;mode=appCenter&amp;path_pc=pc/pages/requested/index?instanceId=7571064228899983071&amp;source=bitable&amp;path=pages/detail/index?instanceId=7571064228899983071&amp;source=bitable", "202511100134")</f>
        <v>202511100134</v>
      </c>
      <c r="B1334" t="inlineStr">
        <is>
          <t>Approved</t>
        </is>
      </c>
      <c r="C1334" t="inlineStr">
        <is>
          <t>Procurement Order</t>
        </is>
      </c>
      <c r="D1334" s="3">
        <v>45971.83052083333</v>
      </c>
      <c r="E1334" s="3">
        <v>45972.62667824074</v>
      </c>
      <c r="F1334" t="inlineStr">
        <is>
          <t>Fatima Kathleen M. FLores</t>
        </is>
      </c>
      <c r="G1334" t="inlineStr">
        <is>
          <t>Procurement</t>
        </is>
      </c>
      <c r="H1334"/>
      <c r="I1334"/>
      <c r="J1334" t="inlineStr">
        <is>
          <t>Project</t>
        </is>
      </c>
      <c r="K1334" t="inlineStr">
        <is>
          <t>GG - Event Service</t>
        </is>
      </c>
      <c r="L1334" t="inlineStr">
        <is>
          <t>KIC 2025 - Group Stage &amp; Knockouts</t>
        </is>
      </c>
      <c r="M1334" t="inlineStr">
        <is>
          <t>2025TEG-P0286</t>
        </is>
      </c>
      <c r="N1334" t="inlineStr">
        <is>
          <t>Frances Angelita Arreglado</t>
        </is>
      </c>
      <c r="O1334" t="inlineStr">
        <is>
          <t>202511100098-Carla Andrea Calma Crespo-费用报销 - 副本 - 副本 - 副本-2025-11-10 09:02:01</t>
        </is>
      </c>
      <c r="P1334" t="inlineStr">
        <is>
          <t>YES</t>
        </is>
      </c>
      <c r="Q1334"/>
      <c r="R1334" t="inlineStr">
        <is>
          <t>YES</t>
        </is>
      </c>
      <c r="S1334" t="inlineStr">
        <is>
          <t>Outsourced Stylist (for Mara)</t>
        </is>
      </c>
      <c r="T1334">
        <v>1</v>
      </c>
      <c r="U1334">
        <v>93400</v>
      </c>
      <c r="V1334" t="inlineStr">
        <is>
          <t>PHP</t>
        </is>
      </c>
      <c r="W1334">
        <v>93400</v>
      </c>
      <c r="X1334" s="2" t="str">
        <f>=HYPERLINK("https://www.larksuite.com/approval/admin/previewAttachment?key=PMg9jkIxDATgK83YTsbey2zDU8SPoEGKXuOzI1HQfjOJmYM-C1G0AltDxAyzzKpKh9jWlAqinH081_95v8XJ_cjBtfXqfb2s481RMoM8whMA_37uioiqGfg6PgEAAP__", "2 attachment(s)")</f>
        <v>2 attachment(s)</v>
      </c>
      <c r="Y1334" t="inlineStr">
        <is>
          <t>Bank Transfer</t>
        </is>
      </c>
      <c r="Z1334" t="inlineStr">
        <is>
          <t>Harley A. Grajo</t>
        </is>
      </c>
      <c r="AA1334" t="inlineStr">
        <is>
          <t>001500696054</t>
        </is>
      </c>
      <c r="AB1334" t="inlineStr">
        <is>
          <t>BDO</t>
        </is>
      </c>
      <c r="AC1334" t="inlineStr">
        <is>
          <t>1 San Sotero st. Brgy. San Perfecto, San Juan City</t>
        </is>
      </c>
      <c r="AD1334" s="4">
        <v>45975</v>
      </c>
      <c r="AE1334" t="inlineStr">
        <is>
          <t>1st Payment (50%) - Nov. 11, 2025
2nd Payment (25%) - Nov. 21, 2025
Final Payment (25%) - Dec. 5, 2025</t>
        </is>
      </c>
      <c r="AF1334" s="2"/>
      <c r="AG1334" t="inlineStr">
        <is>
          <t>NzQyNTk5MTgyNzQ4MTg3MDM0MTo3MDA2N0U4NC01REE4LTQyRkUtQjIzMS02MzdBMDFGQUI1NzktMTpmMzUwOGVjMzZlNTI1NjU2YjE3MDJkYmUwYzg5ZGIyMjox</t>
        </is>
      </c>
      <c r="AH1334" t="inlineStr">
        <is>
          <t>Harley A. Grajo</t>
        </is>
      </c>
      <c r="AI1334"/>
      <c r="AJ1334" t="inlineStr">
        <is>
          <t>LIQUIDITY PLAN (PAR # 202510290062 / 2025TEG-P0286) 
1108 CE KIC GS+KO TAB &gt; GROUPSTAGE - KNOCKOUTS (Main Event) &gt;
OPERATIONS TEAM &gt; Talent Management &gt;
Stylist (for Mara)
Total Budget = Php 59,400.00
Actual Cost = Php 93,400.00
Balance = (Php 34,000.00) OVER BUDGET</t>
        </is>
      </c>
      <c r="AK1334"/>
    </row>
    <row r="1335" ht="25.5" customHeight="1">
      <c r="A1335" s="2" t="str">
        <f>=HYPERLINK("https://applink.larksuite.com/client/mini_program/open?appId=cli_9c7cc8a9a9edd105&amp;mode=appCenter&amp;path_pc=pc/pages/requested/index?instanceId=7571068848040906460&amp;source=bitable&amp;path=pages/detail/index?instanceId=7571068848040906460&amp;source=bitable", "202511100136")</f>
        <v>202511100136</v>
      </c>
      <c r="B1335" t="inlineStr">
        <is>
          <t>Approved</t>
        </is>
      </c>
      <c r="C1335" t="inlineStr">
        <is>
          <t>Procurement Order</t>
        </is>
      </c>
      <c r="D1335" s="3">
        <v>45971.84297453704</v>
      </c>
      <c r="E1335" s="3">
        <v>45972.62740740741</v>
      </c>
      <c r="F1335" t="inlineStr">
        <is>
          <t>Fatima Kathleen M. FLores</t>
        </is>
      </c>
      <c r="G1335" t="inlineStr">
        <is>
          <t>Procurement</t>
        </is>
      </c>
      <c r="H1335"/>
      <c r="I1335"/>
      <c r="J1335" t="inlineStr">
        <is>
          <t>Project</t>
        </is>
      </c>
      <c r="K1335" t="inlineStr">
        <is>
          <t>GG - Event Service</t>
        </is>
      </c>
      <c r="L1335" t="inlineStr">
        <is>
          <t>KIC 2025 - Group Stage &amp; Knockouts</t>
        </is>
      </c>
      <c r="M1335" t="inlineStr">
        <is>
          <t>2025TEG-P0286</t>
        </is>
      </c>
      <c r="N1335" t="inlineStr">
        <is>
          <t>Frances Angelita Arreglado</t>
        </is>
      </c>
      <c r="O1335" t="inlineStr">
        <is>
          <t>202511100098-Carla Andrea Calma Crespo-费用报销 - 副本 - 副本 - 副本-2025-11-10 09:02:01</t>
        </is>
      </c>
      <c r="P1335" t="inlineStr">
        <is>
          <t>YES</t>
        </is>
      </c>
      <c r="Q1335"/>
      <c r="R1335" t="inlineStr">
        <is>
          <t>YES</t>
        </is>
      </c>
      <c r="S1335" t="inlineStr">
        <is>
          <t>Outsourced HMUA (for Mara)</t>
        </is>
      </c>
      <c r="T1335">
        <v>1</v>
      </c>
      <c r="U1335">
        <v>93400</v>
      </c>
      <c r="V1335" t="inlineStr">
        <is>
          <t>PHP</t>
        </is>
      </c>
      <c r="W1335">
        <v>93400</v>
      </c>
      <c r="X1335" s="2" t="str">
        <f>=HYPERLINK("https://www.larksuite.com/approval/admin/previewAttachment?key=PMg7DsJADATQK43tWX-4DA2rFYpIhUIqnx1BkfZ5CjyHmBdYogXpGPHDZIIoOB2tLRGFkDDpua877Jx67NuR53ytrT_Px5pvGRWqCCMtAcjtcguSVU78Hd8AAAD__w", "2 attachment(s)")</f>
        <v>2 attachment(s)</v>
      </c>
      <c r="Y1335" t="inlineStr">
        <is>
          <t>Bank Transfer</t>
        </is>
      </c>
      <c r="Z1335" t="inlineStr">
        <is>
          <t>Hearty Christian Tandayag</t>
        </is>
      </c>
      <c r="AA1335" t="inlineStr">
        <is>
          <t>1689024811</t>
        </is>
      </c>
      <c r="AB1335" t="inlineStr">
        <is>
          <t>BPI</t>
        </is>
      </c>
      <c r="AC1335" t="inlineStr">
        <is>
          <t>7343 J Victor st. Pio del Pilar Makati City</t>
        </is>
      </c>
      <c r="AD1335" s="4">
        <v>45975</v>
      </c>
      <c r="AE1335" t="inlineStr">
        <is>
          <t>1st Payment - Nov. 14, 2025
2nd Payment  - Nov. 28, 2025
Final Payment  - Dec. 12, 2025</t>
        </is>
      </c>
      <c r="AF1335" s="2"/>
      <c r="AG1335" t="inlineStr">
        <is>
          <t>NzQyNTk5MTgyNzQ4MTg3MDM0MTozMDNCMDU2Ni02M0Q3LTRDMUQtOEMyNi04Mzg0NTVBRUZERjQtMTo3N2JjYzRhMmIyODQ4ZmQ3YTUwOGFkYjBlOTdmZWQ1Mjox</t>
        </is>
      </c>
      <c r="AH1335" t="inlineStr">
        <is>
          <t>Hearty Christian Tandayag</t>
        </is>
      </c>
      <c r="AI1335"/>
      <c r="AJ1335" t="inlineStr">
        <is>
          <t>LIQUIDITY PLAN (PAR # 202510290062 / 2025TEG-P0286) 
1108 CE KIC GS+KO TAB &gt; GROUPSTAGE - KNOCKOUTS (Main Event) &gt;
OPERATIONS TEAM &gt; Talent Management &gt;
HMUA (for Mara)
Total Budget = Php 69,300.00
Actual Cost = Php 93,400.00
Balance = (Php 24,100.00) OVER BUDGET</t>
        </is>
      </c>
      <c r="AK1335"/>
    </row>
    <row r="1336" ht="25.5" customHeight="1">
      <c r="A1336" s="2" t="str">
        <f>=HYPERLINK("https://applink.larksuite.com/client/mini_program/open?appId=cli_9c7cc8a9a9edd105&amp;mode=appCenter&amp;path_pc=pc/pages/requested/index?instanceId=7570969594286870242&amp;source=bitable&amp;path=pages/detail/index?instanceId=7570969594286870242&amp;source=bitable", "202511100053")</f>
        <v>202511100053</v>
      </c>
      <c r="B1336" t="inlineStr">
        <is>
          <t>Approved</t>
        </is>
      </c>
      <c r="C1336" t="inlineStr">
        <is>
          <t>Procurement Order</t>
        </is>
      </c>
      <c r="D1336" s="3">
        <v>45971.57549768518</v>
      </c>
      <c r="E1336" s="3">
        <v>45973.47803240741</v>
      </c>
      <c r="F1336" t="inlineStr">
        <is>
          <t>Fatima Kathleen M. FLores</t>
        </is>
      </c>
      <c r="G1336" t="inlineStr">
        <is>
          <t>Procurement</t>
        </is>
      </c>
      <c r="H1336"/>
      <c r="I1336"/>
      <c r="J1336" t="inlineStr">
        <is>
          <t>Project</t>
        </is>
      </c>
      <c r="K1336" t="inlineStr">
        <is>
          <t>GG - Event Service</t>
        </is>
      </c>
      <c r="L1336" t="inlineStr">
        <is>
          <t>KIC 2025 - Group Stage &amp; Knockouts</t>
        </is>
      </c>
      <c r="M1336" t="inlineStr">
        <is>
          <t>2025TEG-P0286</t>
        </is>
      </c>
      <c r="N1336" t="inlineStr">
        <is>
          <t>Frances Angelita Arreglado</t>
        </is>
      </c>
      <c r="O1336" t="inlineStr">
        <is>
          <t>202511080030-Frances Angelita Arreglado-费用报销 - 副本 - 副本 - 副本-2025-11-08 06:20:22</t>
        </is>
      </c>
      <c r="P1336" t="inlineStr">
        <is>
          <t>NO</t>
        </is>
      </c>
      <c r="Q1336"/>
      <c r="R1336" t="inlineStr">
        <is>
          <t>YES</t>
        </is>
      </c>
      <c r="S1336" t="inlineStr">
        <is>
          <t>Rental of 12' x 12' Airconditioned Tent with Light (Nov 8 to 23 / 16 days)</t>
        </is>
      </c>
      <c r="T1336">
        <v>1</v>
      </c>
      <c r="U1336">
        <v>208000</v>
      </c>
      <c r="V1336" t="inlineStr">
        <is>
          <t>PHP</t>
        </is>
      </c>
      <c r="W1336">
        <v>208000</v>
      </c>
      <c r="X1336" s="2"/>
      <c r="Y1336" t="inlineStr">
        <is>
          <t>Bank Transfer</t>
        </is>
      </c>
      <c r="Z1336" t="inlineStr">
        <is>
          <t>SPE Events Management And Services Party Needs Rental</t>
        </is>
      </c>
      <c r="AA1336" t="inlineStr">
        <is>
          <t>141102017588</t>
        </is>
      </c>
      <c r="AB1336" t="inlineStr">
        <is>
          <t>China Bank Corporation</t>
        </is>
      </c>
      <c r="AC1336" t="inlineStr">
        <is>
          <t>10A St. Benedict. Paradise Village, Sangandaan, QC</t>
        </is>
      </c>
      <c r="AD1336" s="4">
        <v>45969</v>
      </c>
      <c r="AE1336" t="inlineStr">
        <is>
          <t>50% Down payment upon confirmation
50% balance upon completion of services</t>
        </is>
      </c>
      <c r="AF1336" s="2"/>
      <c r="AG1336" t="inlineStr">
        <is>
          <t>NzQyNTk5MTgyNzQ4MTg3MDM0MTo1MjEzMkU2NC0zQ0EwLTQ4QkEtOUEyOC0xNzgwQzU0OUIxQkMtMTo1OWJmYTcxN2M0MWIzNmY2ZmMxNjEwZjFlZGZkYzhiMjox</t>
        </is>
      </c>
      <c r="AH1336" t="inlineStr">
        <is>
          <t>SPE Events Management And Services Party Needs Rental</t>
        </is>
      </c>
      <c r="AI1336"/>
      <c r="AJ1336" t="inlineStr">
        <is>
          <t>LIQUIDITY PLAN (PAR # 202510290062 / 2025TEG-P0286) 
1108 CE KIC GS+KO TAB &gt; GROUPSTAGE - KNOCKOUTS (Main Event) &gt;
MISCELLANEOUS &gt; For Rent &gt;
Aircon Tent (for IT)
Lifetime Tables (w/ cover)
Monobloc Chairs (w/ cover)
Audience Chairs (Steel Chair)
Stancions/ Barricades
Total Budget = Php 399,000.00
Actual Cost = Php 605,000.00
Balance = (Php 206,000.00) OVER BUDGET</t>
        </is>
      </c>
      <c r="AK1336"/>
    </row>
    <row r="1337" ht="25.5" customHeight="1">
      <c r="A1337" s="2" t="str">
        <f>=HYPERLINK("https://applink.larksuite.com/client/mini_program/open?appId=cli_9c7cc8a9a9edd105&amp;mode=appCenter&amp;path_pc=pc/pages/requested/index?instanceId=7570969594286870242&amp;source=bitable&amp;path=pages/detail/index?instanceId=7570969594286870242&amp;source=bitable", "202511100053")</f>
        <v>202511100053</v>
      </c>
      <c r="B1337" t="inlineStr">
        <is>
          <t>Approved</t>
        </is>
      </c>
      <c r="C1337" t="inlineStr">
        <is>
          <t>Procurement Order</t>
        </is>
      </c>
      <c r="D1337" s="3">
        <v>45971.57549768518</v>
      </c>
      <c r="E1337" s="3">
        <v>45973.47803240741</v>
      </c>
      <c r="F1337" t="inlineStr">
        <is>
          <t>Fatima Kathleen M. FLores</t>
        </is>
      </c>
      <c r="G1337" t="inlineStr">
        <is>
          <t>Procurement</t>
        </is>
      </c>
      <c r="H1337"/>
      <c r="I1337"/>
      <c r="J1337" t="inlineStr">
        <is>
          <t>Project</t>
        </is>
      </c>
      <c r="K1337" t="inlineStr">
        <is>
          <t>GG - Event Service</t>
        </is>
      </c>
      <c r="L1337" t="inlineStr">
        <is>
          <t>KIC 2025 - Group Stage &amp; Knockouts</t>
        </is>
      </c>
      <c r="M1337" t="inlineStr">
        <is>
          <t>2025TEG-P0286</t>
        </is>
      </c>
      <c r="N1337" t="inlineStr">
        <is>
          <t>Frances Angelita Arreglado</t>
        </is>
      </c>
      <c r="O1337" t="inlineStr">
        <is>
          <t>202511080030-Frances Angelita Arreglado-费用报销 - 副本 - 副本 - 副本-2025-11-08 06:20:22</t>
        </is>
      </c>
      <c r="P1337" t="inlineStr">
        <is>
          <t>NO</t>
        </is>
      </c>
      <c r="Q1337"/>
      <c r="R1337" t="inlineStr">
        <is>
          <t>YES</t>
        </is>
      </c>
      <c r="S1337" t="inlineStr">
        <is>
          <t>Rental of Lifetime Tables w/ Cover (Nov 8 to 23 / 16 days)</t>
        </is>
      </c>
      <c r="T1337">
        <v>20</v>
      </c>
      <c r="U1337">
        <v>3200</v>
      </c>
      <c r="V1337" t="inlineStr">
        <is>
          <t>PHP</t>
        </is>
      </c>
      <c r="W1337">
        <v>64000</v>
      </c>
      <c r="X1337" s="2" t="str">
        <f>=HYPERLINK("https://www.larksuite.com/approval/admin/previewAttachment?key=PMgxqgJBEATQK1X11HR1_8v8xGVRVFgQ1GTOLhiYviwia3JkQ81ocHkanT1bUVlGKFYs2g3Tg2u77_-Kl68Vuvl4Hxeu5_m0bw_OdgQ8pFEA-PfzYUndKXydnwAAAP__", "2 attachment(s)")</f>
        <v>2 attachment(s)</v>
      </c>
      <c r="Y1337"/>
      <c r="Z1337"/>
      <c r="AA1337"/>
      <c r="AB1337"/>
      <c r="AC1337"/>
      <c r="AD1337" s="4"/>
      <c r="AE1337"/>
      <c r="AF1337" s="2"/>
      <c r="AG1337" t="inlineStr">
        <is>
          <t>NzQyNTk5MTgyNzQ4MTg3MDM0MTo1MjEzMkU2NC0zQ0EwLTQ4QkEtOUEyOC0xNzgwQzU0OUIxQkMtMjoyODQ3NDQ1MjgyY2ExMDM0YmU1ZTRiY2UyOTBiZjIzNzox</t>
        </is>
      </c>
      <c r="AH1337"/>
      <c r="AI1337"/>
      <c r="AJ1337" t="inlineStr">
        <is>
          <t>LIQUIDITY PLAN (PAR # 202510290062 / 2025TEG-P0286) 
1108 CE KIC GS+KO TAB &gt; GROUPSTAGE - KNOCKOUTS (Main Event) &gt;
MISCELLANEOUS &gt; For Rent &gt;
Aircon Tent (for IT)
Lifetime Tables (w/ cover)
Monobloc Chairs (w/ cover)
Audience Chairs (Steel Chair)
Stancions/ Barricades
Total Budget = Php 399,000.00
Actual Cost = Php 605,000.00
Balance = (Php 206,000.00) OVER BUDGET</t>
        </is>
      </c>
      <c r="AK1337"/>
    </row>
    <row r="1338" ht="25.5" customHeight="1">
      <c r="A1338" s="2" t="str">
        <f>=HYPERLINK("https://applink.larksuite.com/client/mini_program/open?appId=cli_9c7cc8a9a9edd105&amp;mode=appCenter&amp;path_pc=pc/pages/requested/index?instanceId=7570969594286870242&amp;source=bitable&amp;path=pages/detail/index?instanceId=7570969594286870242&amp;source=bitable", "202511100053")</f>
        <v>202511100053</v>
      </c>
      <c r="B1338" t="inlineStr">
        <is>
          <t>Approved</t>
        </is>
      </c>
      <c r="C1338" t="inlineStr">
        <is>
          <t>Procurement Order</t>
        </is>
      </c>
      <c r="D1338" s="3">
        <v>45971.57549768518</v>
      </c>
      <c r="E1338" s="3">
        <v>45973.47803240741</v>
      </c>
      <c r="F1338" t="inlineStr">
        <is>
          <t>Fatima Kathleen M. FLores</t>
        </is>
      </c>
      <c r="G1338" t="inlineStr">
        <is>
          <t>Procurement</t>
        </is>
      </c>
      <c r="H1338"/>
      <c r="I1338"/>
      <c r="J1338" t="inlineStr">
        <is>
          <t>Project</t>
        </is>
      </c>
      <c r="K1338" t="inlineStr">
        <is>
          <t>GG - Event Service</t>
        </is>
      </c>
      <c r="L1338" t="inlineStr">
        <is>
          <t>KIC 2025 - Group Stage &amp; Knockouts</t>
        </is>
      </c>
      <c r="M1338" t="inlineStr">
        <is>
          <t>2025TEG-P0286</t>
        </is>
      </c>
      <c r="N1338" t="inlineStr">
        <is>
          <t>Frances Angelita Arreglado</t>
        </is>
      </c>
      <c r="O1338" t="inlineStr">
        <is>
          <t>202511080030-Frances Angelita Arreglado-费用报销 - 副本 - 副本 - 副本-2025-11-08 06:20:22</t>
        </is>
      </c>
      <c r="P1338" t="inlineStr">
        <is>
          <t>NO</t>
        </is>
      </c>
      <c r="Q1338"/>
      <c r="R1338" t="inlineStr">
        <is>
          <t>YES</t>
        </is>
      </c>
      <c r="S1338" t="inlineStr">
        <is>
          <t>Rental of Monoblock Chairs w/ covers (Nov. 12 to 23 / 12 days)</t>
        </is>
      </c>
      <c r="T1338">
        <v>20</v>
      </c>
      <c r="U1338">
        <v>300</v>
      </c>
      <c r="V1338" t="inlineStr">
        <is>
          <t>PHP</t>
        </is>
      </c>
      <c r="W1338">
        <v>6000</v>
      </c>
      <c r="X1338" s="2"/>
      <c r="Y1338"/>
      <c r="Z1338"/>
      <c r="AA1338"/>
      <c r="AB1338"/>
      <c r="AC1338"/>
      <c r="AD1338" s="4"/>
      <c r="AE1338"/>
      <c r="AF1338" s="2"/>
      <c r="AG1338" t="inlineStr">
        <is>
          <t>NzQyNTk5MTgyNzQ4MTg3MDM0MTo1MjEzMkU2NC0zQ0EwLTQ4QkEtOUEyOC0xNzgwQzU0OUIxQkMtMzoyMGE3NmU5ZDg2YTUwZTNmM2I3ZjgxNTEyNTljNjc0MDox</t>
        </is>
      </c>
      <c r="AH1338"/>
      <c r="AI1338"/>
      <c r="AJ1338" t="inlineStr">
        <is>
          <t>LIQUIDITY PLAN (PAR # 202510290062 / 2025TEG-P0286) 
1108 CE KIC GS+KO TAB &gt; GROUPSTAGE - KNOCKOUTS (Main Event) &gt;
MISCELLANEOUS &gt; For Rent &gt;
Aircon Tent (for IT)
Lifetime Tables (w/ cover)
Monobloc Chairs (w/ cover)
Audience Chairs (Steel Chair)
Stancions/ Barricades
Total Budget = Php 399,000.00
Actual Cost = Php 605,000.00
Balance = (Php 206,000.00) OVER BUDGET</t>
        </is>
      </c>
      <c r="AK1338"/>
    </row>
    <row r="1339" ht="25.5" customHeight="1">
      <c r="A1339" s="2" t="str">
        <f>=HYPERLINK("https://applink.larksuite.com/client/mini_program/open?appId=cli_9c7cc8a9a9edd105&amp;mode=appCenter&amp;path_pc=pc/pages/requested/index?instanceId=7570969594286870242&amp;source=bitable&amp;path=pages/detail/index?instanceId=7570969594286870242&amp;source=bitable", "202511100053")</f>
        <v>202511100053</v>
      </c>
      <c r="B1339" t="inlineStr">
        <is>
          <t>Approved</t>
        </is>
      </c>
      <c r="C1339" t="inlineStr">
        <is>
          <t>Procurement Order</t>
        </is>
      </c>
      <c r="D1339" s="3">
        <v>45971.57549768518</v>
      </c>
      <c r="E1339" s="3">
        <v>45973.47803240741</v>
      </c>
      <c r="F1339" t="inlineStr">
        <is>
          <t>Fatima Kathleen M. FLores</t>
        </is>
      </c>
      <c r="G1339" t="inlineStr">
        <is>
          <t>Procurement</t>
        </is>
      </c>
      <c r="H1339"/>
      <c r="I1339"/>
      <c r="J1339" t="inlineStr">
        <is>
          <t>Project</t>
        </is>
      </c>
      <c r="K1339" t="inlineStr">
        <is>
          <t>GG - Event Service</t>
        </is>
      </c>
      <c r="L1339" t="inlineStr">
        <is>
          <t>KIC 2025 - Group Stage &amp; Knockouts</t>
        </is>
      </c>
      <c r="M1339" t="inlineStr">
        <is>
          <t>2025TEG-P0286</t>
        </is>
      </c>
      <c r="N1339" t="inlineStr">
        <is>
          <t>Frances Angelita Arreglado</t>
        </is>
      </c>
      <c r="O1339" t="inlineStr">
        <is>
          <t>202511080030-Frances Angelita Arreglado-费用报销 - 副本 - 副本 - 副本-2025-11-08 06:20:22</t>
        </is>
      </c>
      <c r="P1339" t="inlineStr">
        <is>
          <t>NO</t>
        </is>
      </c>
      <c r="Q1339"/>
      <c r="R1339" t="inlineStr">
        <is>
          <t>YES</t>
        </is>
      </c>
      <c r="S1339" t="inlineStr">
        <is>
          <t>Rental of Folding Chairs (Nov. 12 to 23 / 12 days)</t>
        </is>
      </c>
      <c r="T1339">
        <v>200</v>
      </c>
      <c r="U1339">
        <v>960</v>
      </c>
      <c r="V1339" t="inlineStr">
        <is>
          <t>PHP</t>
        </is>
      </c>
      <c r="W1339">
        <v>192000</v>
      </c>
      <c r="X1339" s="2"/>
      <c r="Y1339"/>
      <c r="Z1339"/>
      <c r="AA1339"/>
      <c r="AB1339"/>
      <c r="AC1339"/>
      <c r="AD1339" s="4"/>
      <c r="AE1339"/>
      <c r="AF1339" s="2"/>
      <c r="AG1339" t="inlineStr">
        <is>
          <t>NzQyNTk5MTgyNzQ4MTg3MDM0MTo1MjEzMkU2NC0zQ0EwLTQ4QkEtOUEyOC0xNzgwQzU0OUIxQkMtNDo1ZmUwNGVlMTY4ZTBhODQ3YzI3NzQ3ZTFkYTc4MjNiMzox</t>
        </is>
      </c>
      <c r="AH1339"/>
      <c r="AI1339"/>
      <c r="AJ1339" t="inlineStr">
        <is>
          <t>LIQUIDITY PLAN (PAR # 202510290062 / 2025TEG-P0286) 
1108 CE KIC GS+KO TAB &gt; GROUPSTAGE - KNOCKOUTS (Main Event) &gt;
MISCELLANEOUS &gt; For Rent &gt;
Aircon Tent (for IT)
Lifetime Tables (w/ cover)
Monobloc Chairs (w/ cover)
Audience Chairs (Steel Chair)
Stancions/ Barricades
Total Budget = Php 399,000.00
Actual Cost = Php 605,000.00
Balance = (Php 206,000.00) OVER BUDGET</t>
        </is>
      </c>
      <c r="AK1339"/>
    </row>
    <row r="1340" ht="25.5" customHeight="1">
      <c r="A1340" s="2" t="str">
        <f>=HYPERLINK("https://applink.larksuite.com/client/mini_program/open?appId=cli_9c7cc8a9a9edd105&amp;mode=appCenter&amp;path_pc=pc/pages/requested/index?instanceId=7570969594286870242&amp;source=bitable&amp;path=pages/detail/index?instanceId=7570969594286870242&amp;source=bitable", "202511100053")</f>
        <v>202511100053</v>
      </c>
      <c r="B1340" t="inlineStr">
        <is>
          <t>Approved</t>
        </is>
      </c>
      <c r="C1340" t="inlineStr">
        <is>
          <t>Procurement Order</t>
        </is>
      </c>
      <c r="D1340" s="3">
        <v>45971.57549768518</v>
      </c>
      <c r="E1340" s="3">
        <v>45973.47803240741</v>
      </c>
      <c r="F1340" t="inlineStr">
        <is>
          <t>Fatima Kathleen M. FLores</t>
        </is>
      </c>
      <c r="G1340" t="inlineStr">
        <is>
          <t>Procurement</t>
        </is>
      </c>
      <c r="H1340"/>
      <c r="I1340"/>
      <c r="J1340" t="inlineStr">
        <is>
          <t>Project</t>
        </is>
      </c>
      <c r="K1340" t="inlineStr">
        <is>
          <t>GG - Event Service</t>
        </is>
      </c>
      <c r="L1340" t="inlineStr">
        <is>
          <t>KIC 2025 - Group Stage &amp; Knockouts</t>
        </is>
      </c>
      <c r="M1340" t="inlineStr">
        <is>
          <t>2025TEG-P0286</t>
        </is>
      </c>
      <c r="N1340" t="inlineStr">
        <is>
          <t>Frances Angelita Arreglado</t>
        </is>
      </c>
      <c r="O1340" t="inlineStr">
        <is>
          <t>202511080030-Frances Angelita Arreglado-费用报销 - 副本 - 副本 - 副本-2025-11-08 06:20:22</t>
        </is>
      </c>
      <c r="P1340" t="inlineStr">
        <is>
          <t>NO</t>
        </is>
      </c>
      <c r="Q1340"/>
      <c r="R1340" t="inlineStr">
        <is>
          <t>YES</t>
        </is>
      </c>
      <c r="S1340" t="inlineStr">
        <is>
          <t>Rental of Stanchions (Nov. 12 to 23 / 12 days)</t>
        </is>
      </c>
      <c r="T1340">
        <v>30</v>
      </c>
      <c r="U1340">
        <v>4500</v>
      </c>
      <c r="V1340" t="inlineStr">
        <is>
          <t>PHP</t>
        </is>
      </c>
      <c r="W1340">
        <v>135000</v>
      </c>
      <c r="X1340" s="2" t="str">
        <f>=HYPERLINK("https://www.larksuite.com/approval/admin/previewAttachment?key=PMgxqgJBEATQK1X31HR1_cv8xGVRVFgQ1GTOLhiYvupA9YxRBh1pxNIUXJ5mdrWQzJUrJEOhEWu77__Ml66dvOl4H5dYz_Np3x4xrUxokKMBxN_Ph0jaRXydnwAAAP__", "1 attachment(s)")</f>
        <v>1 attachment(s)</v>
      </c>
      <c r="Y1340"/>
      <c r="Z1340"/>
      <c r="AA1340"/>
      <c r="AB1340"/>
      <c r="AC1340"/>
      <c r="AD1340" s="4"/>
      <c r="AE1340"/>
      <c r="AF1340" s="2"/>
      <c r="AG1340" t="inlineStr">
        <is>
          <t>NzQyNTk5MTgyNzQ4MTg3MDM0MTo1MjEzMkU2NC0zQ0EwLTQ4QkEtOUEyOC0xNzgwQzU0OUIxQkMtNTplZTFmMTY3MTdhMDkxZDVkMGU5ZmY1MmNlYjY3M2NkZDox</t>
        </is>
      </c>
      <c r="AH1340"/>
      <c r="AI1340"/>
      <c r="AJ1340" t="inlineStr">
        <is>
          <t>LIQUIDITY PLAN (PAR # 202510290062 / 2025TEG-P0286) 
1108 CE KIC GS+KO TAB &gt; GROUPSTAGE - KNOCKOUTS (Main Event) &gt;
MISCELLANEOUS &gt; For Rent &gt;
Aircon Tent (for IT)
Lifetime Tables (w/ cover)
Monobloc Chairs (w/ cover)
Audience Chairs (Steel Chair)
Stancions/ Barricades
Total Budget = Php 399,000.00
Actual Cost = Php 605,000.00
Balance = (Php 206,000.00) OVER BUDGET</t>
        </is>
      </c>
      <c r="AK1340"/>
    </row>
    <row r="1341" ht="25.5" customHeight="1">
      <c r="A1341" s="2" t="str">
        <f>=HYPERLINK("https://applink.larksuite.com/client/mini_program/open?appId=cli_9c7cc8a9a9edd105&amp;mode=appCenter&amp;path_pc=pc/pages/requested/index?instanceId=7571357151042522844&amp;source=bitable&amp;path=pages/detail/index?instanceId=7571357151042522844&amp;source=bitable", "202511110065")</f>
        <v>202511110065</v>
      </c>
      <c r="B1341" t="inlineStr">
        <is>
          <t>Approved</t>
        </is>
      </c>
      <c r="C1341" t="inlineStr">
        <is>
          <t>Procurement Order</t>
        </is>
      </c>
      <c r="D1341" s="3">
        <v>45972.61988425926</v>
      </c>
      <c r="E1341" s="3">
        <v>45972.66181712963</v>
      </c>
      <c r="F1341" t="inlineStr">
        <is>
          <t>Fatima Kathleen M. FLores</t>
        </is>
      </c>
      <c r="G1341" t="inlineStr">
        <is>
          <t>Procurement</t>
        </is>
      </c>
      <c r="H1341"/>
      <c r="I1341"/>
      <c r="J1341" t="inlineStr">
        <is>
          <t>Project</t>
        </is>
      </c>
      <c r="K1341" t="inlineStr">
        <is>
          <t>GG - Event Service</t>
        </is>
      </c>
      <c r="L1341" t="inlineStr">
        <is>
          <t>KIC 2025 - Carnival &amp; Mini Battle</t>
        </is>
      </c>
      <c r="M1341" t="inlineStr">
        <is>
          <t>2025TEG-P0301</t>
        </is>
      </c>
      <c r="N1341" t="inlineStr">
        <is>
          <t>Maura Aurel Atilano Yap</t>
        </is>
      </c>
      <c r="O1341" t="inlineStr">
        <is>
          <t>202511070110-Maura Aurel Atilano Yap-费用报销 - 副本 - 副本 - 副本-2025-11-07 09:30:00</t>
        </is>
      </c>
      <c r="P1341" t="inlineStr">
        <is>
          <t>NO</t>
        </is>
      </c>
      <c r="Q1341"/>
      <c r="R1341" t="inlineStr">
        <is>
          <t>NO</t>
        </is>
      </c>
      <c r="S1341" t="inlineStr">
        <is>
          <t>Ice Cream (200 Pax Cart Package)</t>
        </is>
      </c>
      <c r="T1341">
        <v>9</v>
      </c>
      <c r="U1341">
        <v>4000</v>
      </c>
      <c r="V1341" t="inlineStr">
        <is>
          <t>PHP</t>
        </is>
      </c>
      <c r="W1341">
        <v>36000</v>
      </c>
      <c r="X1341" s="2"/>
      <c r="Y1341" t="inlineStr">
        <is>
          <t>Bank Transfer</t>
        </is>
      </c>
      <c r="Z1341" t="inlineStr">
        <is>
          <t>Archie Espiritu</t>
        </is>
      </c>
      <c r="AA1341" t="inlineStr">
        <is>
          <t>140702030524</t>
        </is>
      </c>
      <c r="AB1341" t="inlineStr">
        <is>
          <t>Chinabank</t>
        </is>
      </c>
      <c r="AC1341" t="inlineStr">
        <is>
          <t>Fireweed &amp; Evergreen Ave, Evergreen Executive Village, Bagumbong, North Caloocan</t>
        </is>
      </c>
      <c r="AD1341" s="4">
        <v>45975</v>
      </c>
      <c r="AE1341" t="inlineStr">
        <is>
          <t>20% Down payment upon confirmation
80% Final Payment upon completion of services</t>
        </is>
      </c>
      <c r="AF1341" s="2"/>
      <c r="AG1341" t="inlineStr">
        <is>
          <t>NzQyNTk5MTgyNzQ4MTg3MDM0MTo1MTIxODM0MC0xQTY3LTQ3NTMtODg2RC04OTZGQjVFNzJFODYtMTo0YzlkZWRkMGIzNzRmMGI2YmY3ZTcyMGNmMGIzYzU5ZTox</t>
        </is>
      </c>
      <c r="AH1341" t="inlineStr">
        <is>
          <t>Inspire &amp; Top Rank Food Delivery Services</t>
        </is>
      </c>
      <c r="AI1341"/>
      <c r="AJ1341" t="inlineStr">
        <is>
          <t>LIQUIDITY PLAN (PAR # 202511060038 / 2025TEG-P0301)
1108 COST ESTIMATE TAB &gt; YELLOW STUDIO &gt; 
CARNIVAL - SHOOTING GALLERY &gt; OUTDOORS &gt;
Princess Frost Treats &gt;
Sorbetes Rental w/ Sorbetero
Sorbetes Skinning
Total Budget = Php 100,000.00
Actual Cost = Php 47,500.00
Balance = Php 52,500.00</t>
        </is>
      </c>
      <c r="AK1341"/>
    </row>
    <row r="1342" ht="25.5" customHeight="1">
      <c r="A1342" s="2" t="str">
        <f>=HYPERLINK("https://applink.larksuite.com/client/mini_program/open?appId=cli_9c7cc8a9a9edd105&amp;mode=appCenter&amp;path_pc=pc/pages/requested/index?instanceId=7571357151042522844&amp;source=bitable&amp;path=pages/detail/index?instanceId=7571357151042522844&amp;source=bitable", "202511110065")</f>
        <v>202511110065</v>
      </c>
      <c r="B1342" t="inlineStr">
        <is>
          <t>Approved</t>
        </is>
      </c>
      <c r="C1342" t="inlineStr">
        <is>
          <t>Procurement Order</t>
        </is>
      </c>
      <c r="D1342" s="3">
        <v>45972.61988425926</v>
      </c>
      <c r="E1342" s="3">
        <v>45972.66181712963</v>
      </c>
      <c r="F1342" t="inlineStr">
        <is>
          <t>Fatima Kathleen M. FLores</t>
        </is>
      </c>
      <c r="G1342" t="inlineStr">
        <is>
          <t>Procurement</t>
        </is>
      </c>
      <c r="H1342"/>
      <c r="I1342"/>
      <c r="J1342" t="inlineStr">
        <is>
          <t>Project</t>
        </is>
      </c>
      <c r="K1342" t="inlineStr">
        <is>
          <t>GG - Event Service</t>
        </is>
      </c>
      <c r="L1342" t="inlineStr">
        <is>
          <t>KIC 2025 - Carnival &amp; Mini Battle</t>
        </is>
      </c>
      <c r="M1342" t="inlineStr">
        <is>
          <t>2025TEG-P0301</t>
        </is>
      </c>
      <c r="N1342" t="inlineStr">
        <is>
          <t>Maura Aurel Atilano Yap</t>
        </is>
      </c>
      <c r="O1342" t="inlineStr">
        <is>
          <t>202511070110-Maura Aurel Atilano Yap-费用报销 - 副本 - 副本 - 副本-2025-11-07 09:30:00</t>
        </is>
      </c>
      <c r="P1342" t="inlineStr">
        <is>
          <t>NO</t>
        </is>
      </c>
      <c r="Q1342"/>
      <c r="R1342" t="inlineStr">
        <is>
          <t>NO</t>
        </is>
      </c>
      <c r="S1342" t="inlineStr">
        <is>
          <t>Tarpaulin Print (Cart Customization)</t>
        </is>
      </c>
      <c r="T1342">
        <v>1</v>
      </c>
      <c r="U1342">
        <v>500</v>
      </c>
      <c r="V1342" t="inlineStr">
        <is>
          <t>PHP</t>
        </is>
      </c>
      <c r="W1342">
        <v>500</v>
      </c>
      <c r="X1342" s="2"/>
      <c r="Y1342"/>
      <c r="Z1342"/>
      <c r="AA1342"/>
      <c r="AB1342"/>
      <c r="AC1342"/>
      <c r="AD1342" s="4"/>
      <c r="AE1342"/>
      <c r="AF1342" s="2"/>
      <c r="AG1342" t="inlineStr">
        <is>
          <t>NzQyNTk5MTgyNzQ4MTg3MDM0MTo1MTIxODM0MC0xQTY3LTQ3NTMtODg2RC04OTZGQjVFNzJFODYtMjpjM2NhMjU3MjEzOWQ3NDk1NWJhMjcwNzlmZTdkMjVhZTox</t>
        </is>
      </c>
      <c r="AH1342"/>
      <c r="AI1342"/>
      <c r="AJ1342" t="inlineStr">
        <is>
          <t>LIQUIDITY PLAN (PAR # 202511060038 / 2025TEG-P0301)
1108 COST ESTIMATE TAB &gt; YELLOW STUDIO &gt; 
CARNIVAL - SHOOTING GALLERY &gt; OUTDOORS &gt;
Princess Frost Treats &gt;
Sorbetes Rental w/ Sorbetero
Sorbetes Skinning
Total Budget = Php 100,000.00
Actual Cost = Php 47,500.00
Balance = Php 52,500.00</t>
        </is>
      </c>
      <c r="AK1342"/>
    </row>
    <row r="1343" ht="25.5" customHeight="1">
      <c r="A1343" s="2" t="str">
        <f>=HYPERLINK("https://applink.larksuite.com/client/mini_program/open?appId=cli_9c7cc8a9a9edd105&amp;mode=appCenter&amp;path_pc=pc/pages/requested/index?instanceId=7571357151042522844&amp;source=bitable&amp;path=pages/detail/index?instanceId=7571357151042522844&amp;source=bitable", "202511110065")</f>
        <v>202511110065</v>
      </c>
      <c r="B1343" t="inlineStr">
        <is>
          <t>Approved</t>
        </is>
      </c>
      <c r="C1343" t="inlineStr">
        <is>
          <t>Procurement Order</t>
        </is>
      </c>
      <c r="D1343" s="3">
        <v>45972.61988425926</v>
      </c>
      <c r="E1343" s="3">
        <v>45972.66181712963</v>
      </c>
      <c r="F1343" t="inlineStr">
        <is>
          <t>Fatima Kathleen M. FLores</t>
        </is>
      </c>
      <c r="G1343" t="inlineStr">
        <is>
          <t>Procurement</t>
        </is>
      </c>
      <c r="H1343"/>
      <c r="I1343"/>
      <c r="J1343" t="inlineStr">
        <is>
          <t>Project</t>
        </is>
      </c>
      <c r="K1343" t="inlineStr">
        <is>
          <t>GG - Event Service</t>
        </is>
      </c>
      <c r="L1343" t="inlineStr">
        <is>
          <t>KIC 2025 - Carnival &amp; Mini Battle</t>
        </is>
      </c>
      <c r="M1343" t="inlineStr">
        <is>
          <t>2025TEG-P0301</t>
        </is>
      </c>
      <c r="N1343" t="inlineStr">
        <is>
          <t>Maura Aurel Atilano Yap</t>
        </is>
      </c>
      <c r="O1343" t="inlineStr">
        <is>
          <t>202511070110-Maura Aurel Atilano Yap-费用报销 - 副本 - 副本 - 副本-2025-11-07 09:30:00</t>
        </is>
      </c>
      <c r="P1343" t="inlineStr">
        <is>
          <t>NO</t>
        </is>
      </c>
      <c r="Q1343"/>
      <c r="R1343" t="inlineStr">
        <is>
          <t>NO</t>
        </is>
      </c>
      <c r="S1343" t="inlineStr">
        <is>
          <t>Transportation Fee (per day)</t>
        </is>
      </c>
      <c r="T1343">
        <v>9</v>
      </c>
      <c r="U1343">
        <v>1500</v>
      </c>
      <c r="V1343" t="inlineStr">
        <is>
          <t>PHP</t>
        </is>
      </c>
      <c r="W1343">
        <v>13500</v>
      </c>
      <c r="X1343" s="2"/>
      <c r="Y1343"/>
      <c r="Z1343"/>
      <c r="AA1343"/>
      <c r="AB1343"/>
      <c r="AC1343"/>
      <c r="AD1343" s="4"/>
      <c r="AE1343"/>
      <c r="AF1343" s="2"/>
      <c r="AG1343" t="inlineStr">
        <is>
          <t>NzQyNTk5MTgyNzQ4MTg3MDM0MTo1MTIxODM0MC0xQTY3LTQ3NTMtODg2RC04OTZGQjVFNzJFODYtMzpiZTJmM2EyZDhhODU1MmY4NjQ0N2FmNjdmNzZiMGRlOTox</t>
        </is>
      </c>
      <c r="AH1343"/>
      <c r="AI1343"/>
      <c r="AJ1343" t="inlineStr">
        <is>
          <t>LIQUIDITY PLAN (PAR # 202511060038 / 2025TEG-P0301)
1108 COST ESTIMATE TAB &gt; YELLOW STUDIO &gt; 
CARNIVAL - SHOOTING GALLERY &gt; OUTDOORS &gt;
Princess Frost Treats &gt;
Sorbetes Rental w/ Sorbetero
Sorbetes Skinning
Total Budget = Php 100,000.00
Actual Cost = Php 47,500.00
Balance = Php 52,500.00</t>
        </is>
      </c>
      <c r="AK1343"/>
    </row>
    <row r="1344" ht="25.5" customHeight="1">
      <c r="A1344" s="2" t="str">
        <f>=HYPERLINK("https://applink.larksuite.com/client/mini_program/open?appId=cli_9c7cc8a9a9edd105&amp;mode=appCenter&amp;path_pc=pc/pages/requested/index?instanceId=7571357151042522844&amp;source=bitable&amp;path=pages/detail/index?instanceId=7571357151042522844&amp;source=bitable", "202511110065")</f>
        <v>202511110065</v>
      </c>
      <c r="B1344" t="inlineStr">
        <is>
          <t>Approved</t>
        </is>
      </c>
      <c r="C1344" t="inlineStr">
        <is>
          <t>Procurement Order</t>
        </is>
      </c>
      <c r="D1344" s="3">
        <v>45972.61988425926</v>
      </c>
      <c r="E1344" s="3">
        <v>45972.66181712963</v>
      </c>
      <c r="F1344" t="inlineStr">
        <is>
          <t>Fatima Kathleen M. FLores</t>
        </is>
      </c>
      <c r="G1344" t="inlineStr">
        <is>
          <t>Procurement</t>
        </is>
      </c>
      <c r="H1344"/>
      <c r="I1344"/>
      <c r="J1344" t="inlineStr">
        <is>
          <t>Project</t>
        </is>
      </c>
      <c r="K1344" t="inlineStr">
        <is>
          <t>GG - Event Service</t>
        </is>
      </c>
      <c r="L1344" t="inlineStr">
        <is>
          <t>KIC 2025 - Carnival &amp; Mini Battle</t>
        </is>
      </c>
      <c r="M1344" t="inlineStr">
        <is>
          <t>2025TEG-P0301</t>
        </is>
      </c>
      <c r="N1344" t="inlineStr">
        <is>
          <t>Maura Aurel Atilano Yap</t>
        </is>
      </c>
      <c r="O1344" t="inlineStr">
        <is>
          <t>202511070110-Maura Aurel Atilano Yap-费用报销 - 副本 - 副本 - 副本-2025-11-07 09:30:00</t>
        </is>
      </c>
      <c r="P1344" t="inlineStr">
        <is>
          <t>NO</t>
        </is>
      </c>
      <c r="Q1344"/>
      <c r="R1344" t="inlineStr">
        <is>
          <t>NO</t>
        </is>
      </c>
      <c r="S1344" t="inlineStr">
        <is>
          <t>Discount</t>
        </is>
      </c>
      <c r="T1344">
        <v>1</v>
      </c>
      <c r="U1344">
        <v>-2500</v>
      </c>
      <c r="V1344" t="inlineStr">
        <is>
          <t>PHP</t>
        </is>
      </c>
      <c r="W1344">
        <v>-2500</v>
      </c>
      <c r="X1344" s="2" t="str">
        <f>=HYPERLINK("https://www.larksuite.com/approval/admin/previewAttachment?key=PMgxqgJBEATQK1V1V09N_8v8ZJdBhDURBIM5u2Bg-sYkxizmaKgZDW6XmWUWoaiIKe3YtBumk_u81v_1RqJXHrEemvf9uh3rfLLaEXBKOQHw7-dpSd1D-Hp-AgAA__8", "2 attachment(s)")</f>
        <v>2 attachment(s)</v>
      </c>
      <c r="Y1344"/>
      <c r="Z1344"/>
      <c r="AA1344"/>
      <c r="AB1344"/>
      <c r="AC1344"/>
      <c r="AD1344" s="4"/>
      <c r="AE1344"/>
      <c r="AF1344" s="2"/>
      <c r="AG1344" t="inlineStr">
        <is>
          <t>NzQyNTk5MTgyNzQ4MTg3MDM0MTo1MTIxODM0MC0xQTY3LTQ3NTMtODg2RC04OTZGQjVFNzJFODYtNDo1N2YzOGUzNTc3YzE0NWQ3YTRmYzg5MjYzY2MxNGY2Mzox</t>
        </is>
      </c>
      <c r="AH1344"/>
      <c r="AI1344"/>
      <c r="AJ1344" t="inlineStr">
        <is>
          <t>LIQUIDITY PLAN (PAR # 202511060038 / 2025TEG-P0301)
1108 COST ESTIMATE TAB &gt; YELLOW STUDIO &gt; 
CARNIVAL - SHOOTING GALLERY &gt; OUTDOORS &gt;
Princess Frost Treats &gt;
Sorbetes Rental w/ Sorbetero
Sorbetes Skinning
Total Budget = Php 100,000.00
Actual Cost = Php 47,500.00
Balance = Php 52,500.00</t>
        </is>
      </c>
      <c r="AK1344"/>
    </row>
    <row r="1345" ht="25.5" customHeight="1">
      <c r="A1345" s="2" t="str">
        <f>=HYPERLINK("https://applink.larksuite.com/client/mini_program/open?appId=cli_9c7cc8a9a9edd105&amp;mode=appCenter&amp;path_pc=pc/pages/requested/index?instanceId=7571369091684945630&amp;source=bitable&amp;path=pages/detail/index?instanceId=7571369091684945630&amp;source=bitable", "202511110074")</f>
        <v>202511110074</v>
      </c>
      <c r="B1345" t="inlineStr">
        <is>
          <t>Approved</t>
        </is>
      </c>
      <c r="C1345" t="inlineStr">
        <is>
          <t>Procurement Order</t>
        </is>
      </c>
      <c r="D1345" s="3">
        <v>45972.65207175926</v>
      </c>
      <c r="E1345" s="3">
        <v>45972.67396990741</v>
      </c>
      <c r="F1345" t="inlineStr">
        <is>
          <t>Fatima Kathleen M. FLores</t>
        </is>
      </c>
      <c r="G1345" t="inlineStr">
        <is>
          <t>Procurement</t>
        </is>
      </c>
      <c r="H1345"/>
      <c r="I1345"/>
      <c r="J1345" t="inlineStr">
        <is>
          <t>Project</t>
        </is>
      </c>
      <c r="K1345" t="inlineStr">
        <is>
          <t>GG - Event Service</t>
        </is>
      </c>
      <c r="L1345" t="inlineStr">
        <is>
          <t>KIC 2025 - Media Day</t>
        </is>
      </c>
      <c r="M1345" t="inlineStr">
        <is>
          <t>2025TEG-P0307</t>
        </is>
      </c>
      <c r="N1345" t="inlineStr">
        <is>
          <t>Maura Aurel Atilano Yap</t>
        </is>
      </c>
      <c r="O1345" t="inlineStr">
        <is>
          <t>202511070101-Randy Vince Fernandez Apura-费用报销 - 副本 - 副本 - 副本-2025-11-07 08:59:11</t>
        </is>
      </c>
      <c r="P1345" t="inlineStr">
        <is>
          <t>NO</t>
        </is>
      </c>
      <c r="Q1345"/>
      <c r="R1345" t="inlineStr">
        <is>
          <t>NO</t>
        </is>
      </c>
      <c r="S1345" t="inlineStr">
        <is>
          <t>Outsourced Photography &amp; Videography Team</t>
        </is>
      </c>
      <c r="T1345">
        <v>1</v>
      </c>
      <c r="U1345">
        <v>540000</v>
      </c>
      <c r="V1345" t="inlineStr">
        <is>
          <t>PHP</t>
        </is>
      </c>
      <c r="W1345">
        <v>540000</v>
      </c>
      <c r="X1345" s="2" t="str">
        <f>=HYPERLINK("https://www.larksuite.com/approval/admin/previewAttachment?key=PMgxCgMxDATAL-1astbKZ9LEmBzBVeAghd4euOLKmRhEjE6LhCdbgqWuy8kYnt7DUK0oJUQZa-71PHn8DvtM7KW1dp3v15pf9lRrkLnbAMDH_SZ3zwzH9fgHAAD__w", "2 attachment(s)")</f>
        <v>2 attachment(s)</v>
      </c>
      <c r="Y1345" t="inlineStr">
        <is>
          <t>Bank Transfer</t>
        </is>
      </c>
      <c r="Z1345" t="inlineStr">
        <is>
          <t>Leo Angelo Zeta Capeding</t>
        </is>
      </c>
      <c r="AA1345" t="inlineStr">
        <is>
          <t>0000023005038</t>
        </is>
      </c>
      <c r="AB1345" t="inlineStr">
        <is>
          <t>Security Bank</t>
        </is>
      </c>
      <c r="AC1345" t="inlineStr">
        <is>
          <t>Unit 5 Purok 6 Paco Manila</t>
        </is>
      </c>
      <c r="AD1345" s="4">
        <v>45932</v>
      </c>
      <c r="AE1345" t="inlineStr">
        <is>
          <t>70% Down Payment upon confirmation
30% Final payment upon completion of services</t>
        </is>
      </c>
      <c r="AF1345" s="2" t="str">
        <f>=HYPERLINK("https://www.larksuite.com/approval/admin/previewAttachment?key=TMg7CsNADATQK81YWn1ymTRZREzYKmBIobMHtnL5ngVhMSiW0OSRYPvw7aSFpg4T9NF0Tzhd2HPV8-L5O-UzscqrVl_vV80vLcSgOVSZAPi4PYkMMdmPfwAAAP__", "2 attachment(s)")</f>
        <v>2 attachment(s)</v>
      </c>
      <c r="AG1345" t="inlineStr">
        <is>
          <t>NzQyNTk5MTgyNzQ4MTg3MDM0MTpBMkE3MjUxNi0zNTAxLTQ5OUEtQjAzNy00Mzc1NjIzODJBNjctMTo5YjViYTViZjFjMWU5NTAwNmUxZTA2Njc3NGJiZjNiYzox</t>
        </is>
      </c>
      <c r="AH1345" t="inlineStr">
        <is>
          <t>TIRADORES MEDIA PRODUCTIONS</t>
        </is>
      </c>
      <c r="AI1345"/>
      <c r="AJ1345" t="inlineStr">
        <is>
          <t>LIQUIDITY PLAN (PAR # 202511070057 / 2025TEG-P0307)
1028 CE Media Day &gt; CONTINGENCY MANPOWER &gt;
Carnival Photo &amp; Video Team
Mini Battle Photo &amp; Video Team
Total Budget = Php 540,000.00
Actual Cost = Php 540,000.00</t>
        </is>
      </c>
      <c r="AK1345"/>
    </row>
    <row r="1346" ht="25.5" customHeight="1">
      <c r="A1346" s="2" t="str">
        <f>=HYPERLINK("https://applink.larksuite.com/client/mini_program/open?appId=cli_9c7cc8a9a9edd105&amp;mode=appCenter&amp;path_pc=pc/pages/requested/index?instanceId=7571429307734593245&amp;source=bitable&amp;path=pages/detail/index?instanceId=7571429307734593245&amp;source=bitable", "202511110151")</f>
        <v>202511110151</v>
      </c>
      <c r="B1346" t="inlineStr">
        <is>
          <t>Approved</t>
        </is>
      </c>
      <c r="C1346" t="inlineStr">
        <is>
          <t>Procurement Order</t>
        </is>
      </c>
      <c r="D1346" s="3">
        <v>45972.81434027778</v>
      </c>
      <c r="E1346" s="3">
        <v>45973.41473379629</v>
      </c>
      <c r="F1346" t="inlineStr">
        <is>
          <t>Fatima Kathleen M. FLores</t>
        </is>
      </c>
      <c r="G1346" t="inlineStr">
        <is>
          <t>Procurement</t>
        </is>
      </c>
      <c r="H1346"/>
      <c r="I1346"/>
      <c r="J1346" t="inlineStr">
        <is>
          <t>Project</t>
        </is>
      </c>
      <c r="K1346" t="inlineStr">
        <is>
          <t>GG - Event Service</t>
        </is>
      </c>
      <c r="L1346" t="inlineStr">
        <is>
          <t>KIC 2025 - Carnival &amp; Mini Battle</t>
        </is>
      </c>
      <c r="M1346" t="inlineStr">
        <is>
          <t>2025TEG-P0301</t>
        </is>
      </c>
      <c r="N1346" t="inlineStr">
        <is>
          <t>Maura Aurel Atilano Yap</t>
        </is>
      </c>
      <c r="O1346" t="inlineStr">
        <is>
          <t>202511070107-Maura Aurel Atilano Yap-费用报销 - 副本 - 副本 - 副本-2025-11-07 09:20:54</t>
        </is>
      </c>
      <c r="P1346" t="inlineStr">
        <is>
          <t>NO</t>
        </is>
      </c>
      <c r="Q1346"/>
      <c r="R1346" t="inlineStr">
        <is>
          <t>NO</t>
        </is>
      </c>
      <c r="S1346" t="inlineStr">
        <is>
          <t>Teardrop Banner with Stand, Size 3.5 meters (w/ Aluminum Stand, Pole, and Banner)</t>
        </is>
      </c>
      <c r="T1346">
        <v>8</v>
      </c>
      <c r="U1346">
        <v>6025</v>
      </c>
      <c r="V1346" t="inlineStr">
        <is>
          <t>PHP</t>
        </is>
      </c>
      <c r="W1346">
        <v>48200</v>
      </c>
      <c r="X1346" s="2" t="str">
        <f>=HYPERLINK("https://www.larksuite.com/approval/admin/previewAttachment?key=PMg9CsJAFATgK83729nxMjYJQQMLgihYvLMLFrbfmIYxy2IIKXPBmkVLV4CMLIVntbeRAo1hva_jqvPDep14bPe5VvX7th3700p0ByMzJgC7_D2YmdJI_BzfAAAA__8", "2 attachment(s)")</f>
        <v>2 attachment(s)</v>
      </c>
      <c r="Y1346" t="inlineStr">
        <is>
          <t>Bank Transfer</t>
        </is>
      </c>
      <c r="Z1346" t="inlineStr">
        <is>
          <t>Elias Perez Lucena Jr.</t>
        </is>
      </c>
      <c r="AA1346" t="inlineStr">
        <is>
          <t>8196063045</t>
        </is>
      </c>
      <c r="AB1346" t="inlineStr">
        <is>
          <t>BPI</t>
        </is>
      </c>
      <c r="AC1346" t="inlineStr">
        <is>
          <t>552-I Aurora Arnaiz Street, Pasay City</t>
        </is>
      </c>
      <c r="AD1346" s="4">
        <v>45974</v>
      </c>
      <c r="AE1346" t="inlineStr">
        <is>
          <t>50% Down Payment upon confirmation
50% Balance upon complete delivery</t>
        </is>
      </c>
      <c r="AF1346" s="2"/>
      <c r="AG1346" t="inlineStr">
        <is>
          <t>NzQyNTk5MTgyNzQ4MTg3MDM0MTo3Q0RFMTYwOC1ENzU2LTRCQUItODZFNi04Rjg1NjNBQkE2RTctMTo3YTEyMWEyNTU4OWY4MzQzOGI0OGU1ZTE5YzdkZmQ2OTox</t>
        </is>
      </c>
      <c r="AH1346" t="inlineStr">
        <is>
          <t>A-E PRINTING SHOP</t>
        </is>
      </c>
      <c r="AI1346"/>
      <c r="AJ1346" t="inlineStr">
        <is>
          <t>LIQUIDITY PLAN (PAR # 202511060038 / 2025TEG-P0301)
1108 COST ESTIMATE TAB &gt; YELLOW STUDIO &gt; 
CARNIVAL - SHOOTING GALLERY &gt; OUTDOORS &gt;
Teardrop Banners (3.5m)
Total Budget = Php 60,000.00
Actual Cost = Php 48,200
Balance = Php 11,800.00</t>
        </is>
      </c>
      <c r="AK1346"/>
    </row>
    <row r="1347" ht="25.5" customHeight="1">
      <c r="A1347" s="2" t="str">
        <f>=HYPERLINK("https://applink.larksuite.com/client/mini_program/open?appId=cli_9c7cc8a9a9edd105&amp;mode=appCenter&amp;path_pc=pc/pages/requested/index?instanceId=7571440091537608411&amp;source=bitable&amp;path=pages/detail/index?instanceId=7571440091537608411&amp;source=bitable", "202511110158")</f>
        <v>202511110158</v>
      </c>
      <c r="B1347" t="inlineStr">
        <is>
          <t>Approved</t>
        </is>
      </c>
      <c r="C1347" t="inlineStr">
        <is>
          <t>Procurement Order</t>
        </is>
      </c>
      <c r="D1347" s="3">
        <v>45972.84340277778</v>
      </c>
      <c r="E1347" s="3">
        <v>45973.41556712963</v>
      </c>
      <c r="F1347" t="inlineStr">
        <is>
          <t>Fatima Kathleen M. FLores</t>
        </is>
      </c>
      <c r="G1347" t="inlineStr">
        <is>
          <t>Procurement</t>
        </is>
      </c>
      <c r="H1347"/>
      <c r="I1347"/>
      <c r="J1347" t="inlineStr">
        <is>
          <t>Project</t>
        </is>
      </c>
      <c r="K1347" t="inlineStr">
        <is>
          <t>GG - Event Service</t>
        </is>
      </c>
      <c r="L1347" t="inlineStr">
        <is>
          <t>KIC 2025 - Carnival &amp; Mini Battle</t>
        </is>
      </c>
      <c r="M1347" t="inlineStr">
        <is>
          <t>2025TEG-P0301</t>
        </is>
      </c>
      <c r="N1347" t="inlineStr">
        <is>
          <t>Maura Aurel Atilano Yap</t>
        </is>
      </c>
      <c r="O1347" t="inlineStr">
        <is>
          <t>202511070112-Maura Aurel Atilano Yap-费用报销 - 副本 - 副本 - 副本-2025-11-07 09:31:10</t>
        </is>
      </c>
      <c r="P1347" t="inlineStr">
        <is>
          <t>NO</t>
        </is>
      </c>
      <c r="Q1347"/>
      <c r="R1347" t="inlineStr">
        <is>
          <t>NO</t>
        </is>
      </c>
      <c r="S1347" t="inlineStr">
        <is>
          <t>Rental of Ottoman chairs (38 pcs x 9 days)</t>
        </is>
      </c>
      <c r="T1347">
        <v>1</v>
      </c>
      <c r="U1347">
        <v>103420.8</v>
      </c>
      <c r="V1347" t="inlineStr">
        <is>
          <t>PHP</t>
        </is>
      </c>
      <c r="W1347">
        <v>103420.8</v>
      </c>
      <c r="X1347" s="2" t="str">
        <f>=HYPERLINK("https://www.larksuite.com/approval/admin/previewAttachment?key=PMgxDsIwFAPQK9n5TpzPZVhaRTDQBbVM_-xIDKxvTGLMzhgJJVuC5W5KQLKHB6bIakU7YTpY-2vd2_U5kOt5nNvq51nXY1v7mz3dGhxSTAC8_T0sKXMIP8c3AAD__w", "2 attachment(s)")</f>
        <v>2 attachment(s)</v>
      </c>
      <c r="Y1347" t="inlineStr">
        <is>
          <t>Bank Transfer</t>
        </is>
      </c>
      <c r="Z1347" t="inlineStr">
        <is>
          <t>Marivic Reotan</t>
        </is>
      </c>
      <c r="AA1347" t="inlineStr">
        <is>
          <t>0429800633</t>
        </is>
      </c>
      <c r="AB1347" t="inlineStr">
        <is>
          <t>BPI</t>
        </is>
      </c>
      <c r="AC1347" t="inlineStr">
        <is>
          <t>72 Tumana Dulo, Bagong Silangan, District 2, QC</t>
        </is>
      </c>
      <c r="AD1347" s="4">
        <v>45975</v>
      </c>
      <c r="AE1347" t="inlineStr">
        <is>
          <t>60% Down Payment upon confirmation
40% Balance - Nov. 28, 2025
NOTE: VENDOR IS STILL IN THE PROCESSING THEIR BIR 2303. AS PER AGREEMENT, THEY'LL ISSUE OFFICIAL INVOICE  ON THE FINAL PAYMENT.</t>
        </is>
      </c>
      <c r="AF1347" s="2" t="str">
        <f>=HYPERLINK("https://www.larksuite.com/approval/admin/previewAttachment?key=TMi7DQIxEATQlma8f5ohuZMFAZcgm2hrRyIifZ6Ep1G8oMVRYIcFVYGiSThSyR7NiEIwhH2-5n3sz4Waz2sd09bq_Tjm-aanOLRMlQWAtz8nUSkuP8c3AAD__w", "5 attachment(s)")</f>
        <v>5 attachment(s)</v>
      </c>
      <c r="AG1347" t="inlineStr">
        <is>
          <t>NzQyNTk5MTgyNzQ4MTg3MDM0MTpFOEYxM0U3My1GNzhDLTQxRjItQjdCMy00RUVFQjdENDk4MzMtMTphZjMyNGViNWM4Y2Y2NDBmM2E5NGNkZmE2YTc2Yjc1Yzox</t>
        </is>
      </c>
      <c r="AH1347" t="inlineStr">
        <is>
          <t>M.F.R. Designs</t>
        </is>
      </c>
      <c r="AI1347"/>
      <c r="AJ1347" t="inlineStr">
        <is>
          <t>LIQUIDITY PLAN (PAR # 202511060038 / 2025TEG-P0301) VER 6
1108 COST ESTIMATE TAB &gt; CARNIVAL - SHOOTING GALLERY &gt; 
MINI-BATTLE BOOTH &gt; Audience Seating
Total Budget = Php 126,000.00
Actual Cost = Php 103,420.80
Balance = Php 22,579.20</t>
        </is>
      </c>
      <c r="AK1347"/>
    </row>
    <row r="1348" ht="25.5" customHeight="1">
      <c r="A1348" s="2" t="str">
        <f>=HYPERLINK("https://applink.larksuite.com/client/mini_program/open?appId=cli_9c7cc8a9a9edd105&amp;mode=appCenter&amp;path_pc=pc/pages/requested/index?instanceId=7571708702248406747&amp;source=bitable&amp;path=pages/detail/index?instanceId=7571708702248406747&amp;source=bitable", "202511120053")</f>
        <v>202511120053</v>
      </c>
      <c r="B1348" t="inlineStr">
        <is>
          <t>Approved</t>
        </is>
      </c>
      <c r="C1348" t="inlineStr">
        <is>
          <t>Procurement Order</t>
        </is>
      </c>
      <c r="D1348" s="3">
        <v>45973.567245370374</v>
      </c>
      <c r="E1348" s="3">
        <v>45974.551157407404</v>
      </c>
      <c r="F1348" t="inlineStr">
        <is>
          <t>Fatima Kathleen M. FLores</t>
        </is>
      </c>
      <c r="G1348" t="inlineStr">
        <is>
          <t>Procurement</t>
        </is>
      </c>
      <c r="H1348"/>
      <c r="I1348"/>
      <c r="J1348" t="inlineStr">
        <is>
          <t>GAE</t>
        </is>
      </c>
      <c r="K1348"/>
      <c r="L1348"/>
      <c r="M1348"/>
      <c r="N1348"/>
      <c r="O1348" t="inlineStr">
        <is>
          <t>202511070015-Madelyn Espanto-费用报销 - 副本 - 副本 - 副本-2025-11-07 02:21:40</t>
        </is>
      </c>
      <c r="P1348"/>
      <c r="Q1348" t="inlineStr">
        <is>
          <t>Mineski PH</t>
        </is>
      </c>
      <c r="R1348"/>
      <c r="S1348" t="inlineStr">
        <is>
          <t>Venue Rental (4 Hours)</t>
        </is>
      </c>
      <c r="T1348">
        <v>1</v>
      </c>
      <c r="U1348">
        <v>16800</v>
      </c>
      <c r="V1348" t="inlineStr">
        <is>
          <t>PHP</t>
        </is>
      </c>
      <c r="W1348">
        <v>16800</v>
      </c>
      <c r="X1348" s="2"/>
      <c r="Y1348" t="inlineStr">
        <is>
          <t>Bank Transfer</t>
        </is>
      </c>
      <c r="Z1348" t="inlineStr">
        <is>
          <t>Kevin James Olayvar</t>
        </is>
      </c>
      <c r="AA1348" t="inlineStr">
        <is>
          <t>010980077249</t>
        </is>
      </c>
      <c r="AB1348" t="inlineStr">
        <is>
          <t>BDO</t>
        </is>
      </c>
      <c r="AC1348" t="inlineStr">
        <is>
          <t>SM Center Shaw, 514 Shaw Blvd., Pleasant Hills, Mandaluyong City</t>
        </is>
      </c>
      <c r="AD1348" s="4">
        <v>46009</v>
      </c>
      <c r="AE1348" t="inlineStr">
        <is>
          <t>*NOTE: 10% SERVICE CHARGE FOR FOOD, 12% TAX FOR NON-FOOD SERVICES. CONSUMABLE RATES ARE ALREADY INCLUSIVE OF 12% VAT.
50% Down payment upon confirmation
50% Final Payment  - 7 days before event date</t>
        </is>
      </c>
      <c r="AF1348" s="2"/>
      <c r="AG1348" t="inlineStr">
        <is>
          <t>NzQyNTk5MTgyNzQ4MTg3MDM0MTowMEVDM0UyMC01MEFCLTRBOEQtQjI3RS1EOEJFQUY5QjVFMEQtMTo0MGI4YmQ5MDc3ZmI5ZWU3NGQ2YmNmYWE0ZTFlMTYyZjox</t>
        </is>
      </c>
      <c r="AH1348" t="inlineStr">
        <is>
          <t>Matchpoint Sports Bar + Events</t>
        </is>
      </c>
      <c r="AI1348"/>
      <c r="AJ1348"/>
      <c r="AK1348"/>
    </row>
    <row r="1349" ht="25.5" customHeight="1">
      <c r="A1349" s="2" t="str">
        <f>=HYPERLINK("https://applink.larksuite.com/client/mini_program/open?appId=cli_9c7cc8a9a9edd105&amp;mode=appCenter&amp;path_pc=pc/pages/requested/index?instanceId=7571708702248406747&amp;source=bitable&amp;path=pages/detail/index?instanceId=7571708702248406747&amp;source=bitable", "202511120053")</f>
        <v>202511120053</v>
      </c>
      <c r="B1349" t="inlineStr">
        <is>
          <t>Approved</t>
        </is>
      </c>
      <c r="C1349" t="inlineStr">
        <is>
          <t>Procurement Order</t>
        </is>
      </c>
      <c r="D1349" s="3">
        <v>45973.567245370374</v>
      </c>
      <c r="E1349" s="3">
        <v>45974.551157407404</v>
      </c>
      <c r="F1349" t="inlineStr">
        <is>
          <t>Fatima Kathleen M. FLores</t>
        </is>
      </c>
      <c r="G1349" t="inlineStr">
        <is>
          <t>Procurement</t>
        </is>
      </c>
      <c r="H1349"/>
      <c r="I1349"/>
      <c r="J1349" t="inlineStr">
        <is>
          <t>GAE</t>
        </is>
      </c>
      <c r="K1349"/>
      <c r="L1349"/>
      <c r="M1349"/>
      <c r="N1349"/>
      <c r="O1349" t="inlineStr">
        <is>
          <t>202511070015-Madelyn Espanto-费用报销 - 副本 - 副本 - 副本-2025-11-07 02:21:40</t>
        </is>
      </c>
      <c r="P1349"/>
      <c r="Q1349" t="inlineStr">
        <is>
          <t>Mineski PH</t>
        </is>
      </c>
      <c r="R1349"/>
      <c r="S1349" t="inlineStr">
        <is>
          <t>Consumable Food and Drinks</t>
        </is>
      </c>
      <c r="T1349">
        <v>1</v>
      </c>
      <c r="U1349">
        <v>148500</v>
      </c>
      <c r="V1349" t="inlineStr">
        <is>
          <t>PHP</t>
        </is>
      </c>
      <c r="W1349">
        <v>148500</v>
      </c>
      <c r="X1349" s="2"/>
      <c r="Y1349"/>
      <c r="Z1349"/>
      <c r="AA1349"/>
      <c r="AB1349"/>
      <c r="AC1349"/>
      <c r="AD1349" s="4"/>
      <c r="AE1349"/>
      <c r="AF1349" s="2"/>
      <c r="AG1349" t="inlineStr">
        <is>
          <t>NzQyNTk5MTgyNzQ4MTg3MDM0MTowMEVDM0UyMC01MEFCLTRBOEQtQjI3RS1EOEJFQUY5QjVFMEQtMjowMzU4MDkwZDRhZDRiMmRhZTY0ZTdhODUzNDMzMGQ3ZTox</t>
        </is>
      </c>
      <c r="AH1349"/>
      <c r="AI1349"/>
      <c r="AJ1349"/>
      <c r="AK1349"/>
    </row>
    <row r="1350" ht="25.5" customHeight="1">
      <c r="A1350" s="2" t="str">
        <f>=HYPERLINK("https://applink.larksuite.com/client/mini_program/open?appId=cli_9c7cc8a9a9edd105&amp;mode=appCenter&amp;path_pc=pc/pages/requested/index?instanceId=7571708702248406747&amp;source=bitable&amp;path=pages/detail/index?instanceId=7571708702248406747&amp;source=bitable", "202511120053")</f>
        <v>202511120053</v>
      </c>
      <c r="B1350" t="inlineStr">
        <is>
          <t>Approved</t>
        </is>
      </c>
      <c r="C1350" t="inlineStr">
        <is>
          <t>Procurement Order</t>
        </is>
      </c>
      <c r="D1350" s="3">
        <v>45973.567245370374</v>
      </c>
      <c r="E1350" s="3">
        <v>45974.551157407404</v>
      </c>
      <c r="F1350" t="inlineStr">
        <is>
          <t>Fatima Kathleen M. FLores</t>
        </is>
      </c>
      <c r="G1350" t="inlineStr">
        <is>
          <t>Procurement</t>
        </is>
      </c>
      <c r="H1350"/>
      <c r="I1350"/>
      <c r="J1350" t="inlineStr">
        <is>
          <t>GAE</t>
        </is>
      </c>
      <c r="K1350"/>
      <c r="L1350"/>
      <c r="M1350"/>
      <c r="N1350"/>
      <c r="O1350" t="inlineStr">
        <is>
          <t>202511070015-Madelyn Espanto-费用报销 - 副本 - 副本 - 副本-2025-11-07 02:21:40</t>
        </is>
      </c>
      <c r="P1350"/>
      <c r="Q1350" t="inlineStr">
        <is>
          <t>Mineski PH</t>
        </is>
      </c>
      <c r="R1350"/>
      <c r="S1350" t="inlineStr">
        <is>
          <t>Rental of LED Screen (3 Hours)</t>
        </is>
      </c>
      <c r="T1350">
        <v>1</v>
      </c>
      <c r="U1350">
        <v>11200</v>
      </c>
      <c r="V1350" t="inlineStr">
        <is>
          <t>PHP</t>
        </is>
      </c>
      <c r="W1350">
        <v>11200</v>
      </c>
      <c r="X1350" s="2" t="str">
        <f>=HYPERLINK("https://www.larksuite.com/approval/admin/previewAttachment?key=PMhBCgIxDAXQK_0kv_2Nl3FjGQStCMKMm5xdcDHb14ehj2bRE0zzhJWaTBiCOwfRRZWXSQmZwmqu7er78VoefK55PN7f2u-3bX6spdyhIGMAsMvpIZKZnfi7_wIAAP__", "2 attachment(s)")</f>
        <v>2 attachment(s)</v>
      </c>
      <c r="Y1350"/>
      <c r="Z1350"/>
      <c r="AA1350"/>
      <c r="AB1350"/>
      <c r="AC1350"/>
      <c r="AD1350" s="4"/>
      <c r="AE1350"/>
      <c r="AF1350" s="2"/>
      <c r="AG1350" t="inlineStr">
        <is>
          <t>NzQyNTk5MTgyNzQ4MTg3MDM0MTowMEVDM0UyMC01MEFCLTRBOEQtQjI3RS1EOEJFQUY5QjVFMEQtMzo1MzhmOThmZGRhZTA4MzU1NDllNzY4OTg1ZjljM2E1NTox</t>
        </is>
      </c>
      <c r="AH1350"/>
      <c r="AI1350"/>
      <c r="AJ1350"/>
      <c r="AK1350"/>
    </row>
    <row r="1351" ht="25.5" customHeight="1">
      <c r="A1351" s="2" t="str">
        <f>=HYPERLINK("https://applink.larksuite.com/client/mini_program/open?appId=cli_9c7cc8a9a9edd105&amp;mode=appCenter&amp;path_pc=pc/pages/requested/index?instanceId=7571702576689778397&amp;source=bitable&amp;path=pages/detail/index?instanceId=7571702576689778397&amp;source=bitable", "202511120044")</f>
        <v>202511120044</v>
      </c>
      <c r="B1351" t="inlineStr">
        <is>
          <t>Approved</t>
        </is>
      </c>
      <c r="C1351" t="inlineStr">
        <is>
          <t>Procurement Order</t>
        </is>
      </c>
      <c r="D1351" s="3">
        <v>45973.55074074074</v>
      </c>
      <c r="E1351" s="3">
        <v>45995.64503472222</v>
      </c>
      <c r="F1351" t="inlineStr">
        <is>
          <t>Fatima Kathleen M. FLores</t>
        </is>
      </c>
      <c r="G1351" t="inlineStr">
        <is>
          <t>Procurement</t>
        </is>
      </c>
      <c r="H1351"/>
      <c r="I1351"/>
      <c r="J1351" t="inlineStr">
        <is>
          <t>Project</t>
        </is>
      </c>
      <c r="K1351" t="inlineStr">
        <is>
          <t>GG - Event Service</t>
        </is>
      </c>
      <c r="L1351" t="inlineStr">
        <is>
          <t>KIC 2025 - Media Day</t>
        </is>
      </c>
      <c r="M1351" t="inlineStr">
        <is>
          <t>2025TEG-P0307</t>
        </is>
      </c>
      <c r="N1351" t="inlineStr">
        <is>
          <t>Randy Vince Fernandez Apura</t>
        </is>
      </c>
      <c r="O1351" t="inlineStr">
        <is>
          <t>202511100039-Randy Vince Fernandez Apura-费用报销 - 副本 - 副本 - 副本-2025-11-10 04:38:44</t>
        </is>
      </c>
      <c r="P1351" t="inlineStr">
        <is>
          <t>NO</t>
        </is>
      </c>
      <c r="Q1351"/>
      <c r="R1351" t="inlineStr">
        <is>
          <t>NO</t>
        </is>
      </c>
      <c r="S1351" t="inlineStr">
        <is>
          <t>Rental of Camera Equipment (Nov. 10 to 30, 2025)</t>
        </is>
      </c>
      <c r="T1351">
        <v>1</v>
      </c>
      <c r="U1351">
        <v>1550797</v>
      </c>
      <c r="V1351" t="inlineStr">
        <is>
          <t>PHP</t>
        </is>
      </c>
      <c r="W1351">
        <v>1550797</v>
      </c>
      <c r="X1351" s="2" t="str">
        <f>=HYPERLINK("https://www.larksuite.com/approval/admin/previewAttachment?key=PMgxDsIwDAXQK33Hjr8_l2FpFFFEuyAhlpwdiaHryzJkdfMUQtYEW-w0onVmlshycbVlpECj2xrHvD-Pc9urvzS_-xjn-jy2Od7WxdZAj_ACYLfLnREhZeDv-AUAAP__", "2 attachment(s)")</f>
        <v>2 attachment(s)</v>
      </c>
      <c r="Y1351" t="inlineStr">
        <is>
          <t>Bank Transfer</t>
        </is>
      </c>
      <c r="Z1351" t="inlineStr">
        <is>
          <t>Hilary A. Buenaflor</t>
        </is>
      </c>
      <c r="AA1351" t="inlineStr">
        <is>
          <t>9549 0350 32</t>
        </is>
      </c>
      <c r="AB1351" t="inlineStr">
        <is>
          <t>BPI</t>
        </is>
      </c>
      <c r="AC1351" t="inlineStr">
        <is>
          <t>Lot4 Blk 2 Greenvale Homes 2, Marcelo Green Village 1700 City of Parañaque</t>
        </is>
      </c>
      <c r="AD1351" s="4">
        <v>45971</v>
      </c>
      <c r="AE1351" t="inlineStr">
        <is>
          <t>50% Down Payment upon confirmation
50% Final Payment - 2 weeks upon completion of services</t>
        </is>
      </c>
      <c r="AF1351" s="2"/>
      <c r="AG1351" t="inlineStr">
        <is>
          <t>NzQyNTk5MTgyNzQ4MTg3MDM0MTo4OUEwNTBGMS1CNTY4LTQ5MTUtQThCRi1FMjdENDFDMkZGNjYtMTpjNDRjMGNjNWY0NTI1YTg5NTJkYzYyNDNhYmJhZDNjMzox</t>
        </is>
      </c>
      <c r="AH1351" t="inlineStr">
        <is>
          <t>Hilary A. Buenaflor</t>
        </is>
      </c>
      <c r="AI1351"/>
      <c r="AJ1351" t="inlineStr">
        <is>
          <t>LIQUIDITY PLAN (PAR # 202511070057 / 2025TEG-P0307)
1028 CE Media Day &gt; MEDIA DAY - STUDIO SHOOT &gt;
EQUIPMENT RENTAL &gt; Photo &amp; Video Shoot Equipment Rental
Total Budget = Php 1,680,000.00
Actual Cost = Php 1,550,797.00
Balance = Php 129,203.00</t>
        </is>
      </c>
      <c r="AK1351"/>
    </row>
    <row r="1352" ht="25.5" customHeight="1">
      <c r="A1352" s="2" t="str">
        <f>=HYPERLINK("https://applink.larksuite.com/client/mini_program/open?appId=cli_9c7cc8a9a9edd105&amp;mode=appCenter&amp;path_pc=pc/pages/requested/index?instanceId=7571758552864313056&amp;source=bitable&amp;path=pages/detail/index?instanceId=7571758552864313056&amp;source=bitable", "202511120092")</f>
        <v>202511120092</v>
      </c>
      <c r="B1352" t="inlineStr">
        <is>
          <t>Approved</t>
        </is>
      </c>
      <c r="C1352" t="inlineStr">
        <is>
          <t>Procurement Order</t>
        </is>
      </c>
      <c r="D1352" s="3">
        <v>45973.701585648145</v>
      </c>
      <c r="E1352" s="3">
        <v>45973.81471064815</v>
      </c>
      <c r="F1352" t="inlineStr">
        <is>
          <t>Fatima Kathleen M. FLores</t>
        </is>
      </c>
      <c r="G1352" t="inlineStr">
        <is>
          <t>Procurement</t>
        </is>
      </c>
      <c r="H1352"/>
      <c r="I1352"/>
      <c r="J1352" t="inlineStr">
        <is>
          <t>CAPEX</t>
        </is>
      </c>
      <c r="K1352"/>
      <c r="L1352"/>
      <c r="M1352"/>
      <c r="N1352"/>
      <c r="O1352" t="inlineStr">
        <is>
          <t>202511120085-Carla Andrea Calma Crespo-费用报销 - 副本 - 副本 - 副本-2025-11-12 08:39:59</t>
        </is>
      </c>
      <c r="P1352"/>
      <c r="Q1352" t="inlineStr">
        <is>
          <t>Broadcast</t>
        </is>
      </c>
      <c r="R1352"/>
      <c r="S1352" t="inlineStr">
        <is>
          <t>Skyworth 65” Android Smart LED TV</t>
        </is>
      </c>
      <c r="T1352">
        <v>3</v>
      </c>
      <c r="U1352">
        <v>28500</v>
      </c>
      <c r="V1352" t="inlineStr">
        <is>
          <t>PHP</t>
        </is>
      </c>
      <c r="W1352">
        <v>85500</v>
      </c>
      <c r="X1352" s="2" t="str">
        <f>=HYPERLINK("https://www.larksuite.com/approval/admin/previewAttachment?key=PMg9CgIxFATgK83k_Uyel7HZsChEWBDT5eyChe2XncgetCx4sRW4FaKiR7SebjRE7rYpFUQZ93id92FxPK9rFj9zzbXX4zjHm1FqDTJ36wB4-7vJ3avS8XN8AwAA__8", "2 attachment(s)")</f>
        <v>2 attachment(s)</v>
      </c>
      <c r="Y1352" t="inlineStr">
        <is>
          <t>Bank Transfer</t>
        </is>
      </c>
      <c r="Z1352" t="inlineStr">
        <is>
          <t>Welcome Home Appliances Binondo Corp.</t>
        </is>
      </c>
      <c r="AA1352" t="inlineStr">
        <is>
          <t>0026 3808 4635</t>
        </is>
      </c>
      <c r="AB1352" t="inlineStr">
        <is>
          <t>BDO</t>
        </is>
      </c>
      <c r="AC1352" t="inlineStr">
        <is>
          <t>229 Wilson St., Greenhills, San Juan City</t>
        </is>
      </c>
      <c r="AD1352" s="4">
        <v>45974</v>
      </c>
      <c r="AE1352" t="inlineStr">
        <is>
          <t>100% Full Payment before delivery</t>
        </is>
      </c>
      <c r="AF1352" s="2" t="str">
        <f>=HYPERLINK("https://www.larksuite.com/approval/admin/previewAttachment?key=TMg9CgIxEAXgK72X-fcyNhsWhQgLYro5u2Bl-3kSnkbxghZHgR0WDEuzka5CgXmPZkQhGMKer_M-xY7nda3iZ-21ez-Oc77pKQ4tU2UB4O3PSVSKy8_xDQAA__8", "2 attachment(s)")</f>
        <v>2 attachment(s)</v>
      </c>
      <c r="AG1352" t="inlineStr">
        <is>
          <t>NzQyNTk5MTgyNzQ4MTg3MDM0MToxMDdGMjlBMS00Q0YzLTQxM0EtOUZGOC0yNkFGNUEyQTczOTYtMTo5YTI4OGQ0NmRiZGY1YmY2Yzc4Yzk2YTdmN2JjMDZhYTox</t>
        </is>
      </c>
      <c r="AH1352" t="inlineStr">
        <is>
          <t>Welcome Home Appliances Binondo Corporation</t>
        </is>
      </c>
      <c r="AI1352"/>
      <c r="AJ1352"/>
      <c r="AK1352"/>
    </row>
    <row r="1353" ht="25.5" customHeight="1">
      <c r="A1353" s="2" t="str">
        <f>=HYPERLINK("https://applink.larksuite.com/client/mini_program/open?appId=cli_9c7cc8a9a9edd105&amp;mode=appCenter&amp;path_pc=pc/pages/requested/index?instanceId=7571767458994900703&amp;source=bitable&amp;path=pages/detail/index?instanceId=7571767458994900703&amp;source=bitable", "202511120104")</f>
        <v>202511120104</v>
      </c>
      <c r="B1353" t="inlineStr">
        <is>
          <t>Approved</t>
        </is>
      </c>
      <c r="C1353" t="inlineStr">
        <is>
          <t>Procurement Order</t>
        </is>
      </c>
      <c r="D1353" s="3">
        <v>45973.725590277776</v>
      </c>
      <c r="E1353" s="3">
        <v>45974.57543981481</v>
      </c>
      <c r="F1353" t="inlineStr">
        <is>
          <t>Fatima Kathleen M. FLores</t>
        </is>
      </c>
      <c r="G1353" t="inlineStr">
        <is>
          <t>Procurement</t>
        </is>
      </c>
      <c r="H1353"/>
      <c r="I1353"/>
      <c r="J1353" t="inlineStr">
        <is>
          <t>Project</t>
        </is>
      </c>
      <c r="K1353" t="inlineStr">
        <is>
          <t>PDEI - Game Marketing</t>
        </is>
      </c>
      <c r="L1353" t="inlineStr">
        <is>
          <t>Mineski Socials Night</t>
        </is>
      </c>
      <c r="M1353" t="inlineStr">
        <is>
          <t>2025TEG-P0293</t>
        </is>
      </c>
      <c r="N1353" t="inlineStr">
        <is>
          <t>Ronelle Kylene Chaneco Lim</t>
        </is>
      </c>
      <c r="O1353" t="inlineStr">
        <is>
          <t>202511040009-Ronelle Kylene Chaneco Lim-费用报销 - 副本 - 副本 - 副本-2025-11-04 03:19:57</t>
        </is>
      </c>
      <c r="P1353" t="inlineStr">
        <is>
          <t>YES</t>
        </is>
      </c>
      <c r="Q1353"/>
      <c r="R1353" t="inlineStr">
        <is>
          <t>NO</t>
        </is>
      </c>
      <c r="S1353" t="inlineStr">
        <is>
          <t>Outsourced Event Documentation Team</t>
        </is>
      </c>
      <c r="T1353">
        <v>1</v>
      </c>
      <c r="U1353">
        <v>10000</v>
      </c>
      <c r="V1353" t="inlineStr">
        <is>
          <t>PHP</t>
        </is>
      </c>
      <c r="W1353">
        <v>10000</v>
      </c>
      <c r="X1353" s="2" t="str">
        <f>=HYPERLINK("https://www.larksuite.com/approval/admin/previewAttachment?key=PMgxCgIxFATQK83k_2QyXsZml6Cu2ggBi5xdsNj2tU60XhnNSLMYXKqimrJ2Ow0IscqiZIgKrv01rt959_sxdTyHYzvWvG1j_7BapUCRGR0AL6eHMtNuib_jFwAA__8", "2 attachment(s)")</f>
        <v>2 attachment(s)</v>
      </c>
      <c r="Y1353" t="inlineStr">
        <is>
          <t>Bank Transfer</t>
        </is>
      </c>
      <c r="Z1353" t="inlineStr">
        <is>
          <t>Carlos Francisco L. Astom</t>
        </is>
      </c>
      <c r="AA1353" t="inlineStr">
        <is>
          <t>09695369972</t>
        </is>
      </c>
      <c r="AB1353" t="inlineStr">
        <is>
          <t>GCash</t>
        </is>
      </c>
      <c r="AC1353" t="inlineStr">
        <is>
          <t>Unit 10 Villa Felicidad 117, 14th Avenue Barangay Socorro, Cubao, Quezon City</t>
        </is>
      </c>
      <c r="AD1353" s="4">
        <v>45968</v>
      </c>
      <c r="AE1353" t="inlineStr">
        <is>
          <t>100% Full Payment - Nov. 21, 2025</t>
        </is>
      </c>
      <c r="AF1353" s="2"/>
      <c r="AG1353" t="inlineStr">
        <is>
          <t>NzQyNTk5MTgyNzQ4MTg3MDM0MTpEMzZEQzkzMy0wMDY2LTRCMzktODFDNi0zNTQzMEJEODc5Q0QtMTo3MmRhYzY4NDcxYWNlODBkMTMwNzc4ZDhkOTgyNWEwYzox</t>
        </is>
      </c>
      <c r="AH1353" t="inlineStr">
        <is>
          <t>Carlos Francisco L. Astom</t>
        </is>
      </c>
      <c r="AI1353"/>
      <c r="AJ1353" t="inlineStr">
        <is>
          <t>LIQUIDITY PLAN (PAR # 202510310043 / 2025TEG-P0293)
Manpower &gt; Event Documentation
Total Budget = Php 10,000.00
Actual Cost = Php 10,000.00</t>
        </is>
      </c>
      <c r="AK1353"/>
    </row>
    <row r="1354" ht="25.5" customHeight="1">
      <c r="A1354" s="2" t="str">
        <f>=HYPERLINK("https://applink.larksuite.com/client/mini_program/open?appId=cli_9c7cc8a9a9edd105&amp;mode=appCenter&amp;path_pc=pc/pages/requested/index?instanceId=7571771855950860000&amp;source=bitable&amp;path=pages/detail/index?instanceId=7571771855950860000&amp;source=bitable", "202511120107")</f>
        <v>202511120107</v>
      </c>
      <c r="B1354" t="inlineStr">
        <is>
          <t>Approved</t>
        </is>
      </c>
      <c r="C1354" t="inlineStr">
        <is>
          <t>Procurement Order</t>
        </is>
      </c>
      <c r="D1354" s="3">
        <v>45973.73743055556</v>
      </c>
      <c r="E1354" s="3">
        <v>45974.55966435185</v>
      </c>
      <c r="F1354" t="inlineStr">
        <is>
          <t>Fatima Kathleen M. FLores</t>
        </is>
      </c>
      <c r="G1354" t="inlineStr">
        <is>
          <t>Procurement</t>
        </is>
      </c>
      <c r="H1354"/>
      <c r="I1354"/>
      <c r="J1354" t="inlineStr">
        <is>
          <t>Project</t>
        </is>
      </c>
      <c r="K1354" t="inlineStr">
        <is>
          <t>GG - Event Service</t>
        </is>
      </c>
      <c r="L1354" t="inlineStr">
        <is>
          <t>KIC 2025 - Group Stage &amp; Knockouts</t>
        </is>
      </c>
      <c r="M1354" t="inlineStr">
        <is>
          <t>2025TEG-P0286</t>
        </is>
      </c>
      <c r="N1354" t="inlineStr">
        <is>
          <t>Frances Angelita Arreglado</t>
        </is>
      </c>
      <c r="O1354" t="inlineStr">
        <is>
          <t>202511040190-Frances Angelita Arreglado-费用报销 - 副本 - 副本 - 副本-2025-11-04 13:10:45</t>
        </is>
      </c>
      <c r="P1354" t="inlineStr">
        <is>
          <t>YES</t>
        </is>
      </c>
      <c r="Q1354"/>
      <c r="R1354" t="inlineStr">
        <is>
          <t>NO</t>
        </is>
      </c>
      <c r="S1354" t="inlineStr">
        <is>
          <t>Outsourced Asst. Project Manager</t>
        </is>
      </c>
      <c r="T1354">
        <v>1</v>
      </c>
      <c r="U1354">
        <v>50000</v>
      </c>
      <c r="V1354" t="inlineStr">
        <is>
          <t>PHP</t>
        </is>
      </c>
      <c r="W1354">
        <v>50000</v>
      </c>
      <c r="X1354" s="2" t="str">
        <f>=HYPERLINK("https://www.larksuite.com/approval/admin/previewAttachment?key=PMg7DsJADATQK83s2h6by9AQRSh8GhSkFD47EkXaF0lEOmcUrDgKbLkoMd3LkQEAPZpSQdRkL6_1Wtuh5-M9_Ng37Ojv_bYuH3ppDGiazQTAy-lTZlYVhr_jFwAA__8", "2 attachment(s)")</f>
        <v>2 attachment(s)</v>
      </c>
      <c r="Y1354" t="inlineStr">
        <is>
          <t>Bank Transfer</t>
        </is>
      </c>
      <c r="Z1354" t="inlineStr">
        <is>
          <t>Tiny F. Tuzon</t>
        </is>
      </c>
      <c r="AA1354" t="inlineStr">
        <is>
          <t>4026595655</t>
        </is>
      </c>
      <c r="AB1354" t="inlineStr">
        <is>
          <t>BPI</t>
        </is>
      </c>
      <c r="AC1354" t="inlineStr">
        <is>
          <t>1 Lourdes St. Saint Mary Subdivision Nangka Marikina City</t>
        </is>
      </c>
      <c r="AD1354" s="4">
        <v>45962</v>
      </c>
      <c r="AE1354" t="inlineStr">
        <is>
          <t>1st Payment - Nov. 14, 2025
2nd Payment - Nov. 28, 2025
3rd Payment - Dec. 12, 2025
Final Payment - Dec. 26, 2025</t>
        </is>
      </c>
      <c r="AF1354" s="2"/>
      <c r="AG1354" t="inlineStr">
        <is>
          <t>NzQyNTk5MTgyNzQ4MTg3MDM0MTo5RUU4NjAyRi1GQzE4LTQwRjItODkxMy0xNEYzQTExQUQ5RjMtMToyODFmZGNjM2YyN2E5MGQzMWE3ODliYjcwMTc5NGMwZjox</t>
        </is>
      </c>
      <c r="AH1354" t="inlineStr">
        <is>
          <t>Tiny F. Tuzon</t>
        </is>
      </c>
      <c r="AI1354"/>
      <c r="AJ1354" t="inlineStr">
        <is>
          <t>LIQUIDITY PLAN (PAR # 202510290062 / 2025TEG-P0286) 
1108 CE KIC GS+KO TAB &gt; OPERATIONS TEAM &gt;
Project Management &gt; Assistant Project Manager
Total Budget = Php 52,500.00
Actual Cost = Php 50,000.00
Balance = Php 2,500.00</t>
        </is>
      </c>
      <c r="AK1354"/>
    </row>
    <row r="1355" ht="25.5" customHeight="1">
      <c r="A1355" s="2" t="str">
        <f>=HYPERLINK("https://applink.larksuite.com/client/mini_program/open?appId=cli_9c7cc8a9a9edd105&amp;mode=appCenter&amp;path_pc=pc/pages/requested/index?instanceId=7571779122012212956&amp;source=bitable&amp;path=pages/detail/index?instanceId=7571779122012212956&amp;source=bitable", "202511120114")</f>
        <v>202511120114</v>
      </c>
      <c r="B1355" t="inlineStr">
        <is>
          <t>Approved</t>
        </is>
      </c>
      <c r="C1355" t="inlineStr">
        <is>
          <t>Procurement Order</t>
        </is>
      </c>
      <c r="D1355" s="3">
        <v>45973.75701388889</v>
      </c>
      <c r="E1355" s="3">
        <v>45974.558541666665</v>
      </c>
      <c r="F1355" t="inlineStr">
        <is>
          <t>Fatima Kathleen M. FLores</t>
        </is>
      </c>
      <c r="G1355" t="inlineStr">
        <is>
          <t>Procurement</t>
        </is>
      </c>
      <c r="H1355"/>
      <c r="I1355"/>
      <c r="J1355" t="inlineStr">
        <is>
          <t>Project</t>
        </is>
      </c>
      <c r="K1355" t="inlineStr">
        <is>
          <t>GG - Event Service</t>
        </is>
      </c>
      <c r="L1355" t="inlineStr">
        <is>
          <t>KIC 2025 - Group Stage &amp; Knockouts</t>
        </is>
      </c>
      <c r="M1355" t="inlineStr">
        <is>
          <t>2025TEG-P0286</t>
        </is>
      </c>
      <c r="N1355" t="inlineStr">
        <is>
          <t>Frances Angelita Arreglado</t>
        </is>
      </c>
      <c r="O1355" t="inlineStr">
        <is>
          <t>202511040191-Frances Angelita Arreglado-费用报销 - 副本 - 副本 - 副本-2025-11-04 13:15:27</t>
        </is>
      </c>
      <c r="P1355" t="inlineStr">
        <is>
          <t>YES</t>
        </is>
      </c>
      <c r="Q1355"/>
      <c r="R1355" t="inlineStr">
        <is>
          <t>NO</t>
        </is>
      </c>
      <c r="S1355" t="inlineStr">
        <is>
          <t>Outsourced Logistics Manager</t>
        </is>
      </c>
      <c r="T1355">
        <v>1</v>
      </c>
      <c r="U1355">
        <v>40000</v>
      </c>
      <c r="V1355" t="inlineStr">
        <is>
          <t>PHP</t>
        </is>
      </c>
      <c r="W1355">
        <v>40000</v>
      </c>
      <c r="X1355" s="2" t="str">
        <f>=HYPERLINK("https://www.larksuite.com/approval/admin/previewAttachment?key=PMgxjsIwFATQK818f3s8e5ltiCwQShokEwqfHUFB-1onWq8szUgzDC5VUTIjwAiGa1uxPgRRhWvbx_9r3nz4PI_5HLvua14vY3uwWhFQySwdAP9-XpSZdkt8He8AAAD__w", "2 attachment(s)")</f>
        <v>2 attachment(s)</v>
      </c>
      <c r="Y1355" t="inlineStr">
        <is>
          <t>Bank Transfer</t>
        </is>
      </c>
      <c r="Z1355" t="inlineStr">
        <is>
          <t>Jose Miguel Gatchalian</t>
        </is>
      </c>
      <c r="AA1355" t="inlineStr">
        <is>
          <t>0586865032</t>
        </is>
      </c>
      <c r="AB1355" t="inlineStr">
        <is>
          <t>BPI</t>
        </is>
      </c>
      <c r="AC1355" t="inlineStr">
        <is>
          <t>#4 Edinburg Street, Greenland Phase 1, Nangka, Marikina City</t>
        </is>
      </c>
      <c r="AD1355" s="4">
        <v>45962</v>
      </c>
      <c r="AE1355" t="inlineStr">
        <is>
          <t>1st Payment - Nov. 14, 2025
2nd Payment - Nov. 28, 2025
3rd Payment - Dec. 12, 2025
Final Payment - Dec. 26, 2025</t>
        </is>
      </c>
      <c r="AF1355" s="2"/>
      <c r="AG1355" t="inlineStr">
        <is>
          <t>NzQyNTk5MTgyNzQ4MTg3MDM0MTpFOUYyRUI5RC0xQTg0LTQ0NkEtODhDNC1CODdCMDRDQUQ5RjYtMTo2ZWM0YTJlZWNiYTQwNWRmODFkNThmZjFiNTlkZDY3Nzox</t>
        </is>
      </c>
      <c r="AH1355" t="inlineStr">
        <is>
          <t>Jose Miguel Gatchalian</t>
        </is>
      </c>
      <c r="AI1355"/>
      <c r="AJ1355" t="inlineStr">
        <is>
          <t>LIQUIDITY PLAN (PAR # 202510290062 / 2025TEG-P0286) 
1108 CE KIC GS+KO TAB &gt; OPERATIONS TEAM &gt;
Logistics &gt; Logistics Manager
Total Budget = Php 45,000.00
Actual Cost = Php 40,000.00
Balance = Php 5,000.00</t>
        </is>
      </c>
      <c r="AK1355"/>
    </row>
    <row r="1356" ht="25.5" customHeight="1">
      <c r="A1356" s="2" t="str">
        <f>=HYPERLINK("https://applink.larksuite.com/client/mini_program/open?appId=cli_9c7cc8a9a9edd105&amp;mode=appCenter&amp;path_pc=pc/pages/requested/index?instanceId=7571781019628506845&amp;source=bitable&amp;path=pages/detail/index?instanceId=7571781019628506845&amp;source=bitable", "202511120116")</f>
        <v>202511120116</v>
      </c>
      <c r="B1356" t="inlineStr">
        <is>
          <t>Approved</t>
        </is>
      </c>
      <c r="C1356" t="inlineStr">
        <is>
          <t>Procurement Order</t>
        </is>
      </c>
      <c r="D1356" s="3">
        <v>45973.76212962963</v>
      </c>
      <c r="E1356" s="3">
        <v>45974.55738425926</v>
      </c>
      <c r="F1356" t="inlineStr">
        <is>
          <t>Fatima Kathleen M. FLores</t>
        </is>
      </c>
      <c r="G1356" t="inlineStr">
        <is>
          <t>Procurement</t>
        </is>
      </c>
      <c r="H1356"/>
      <c r="I1356"/>
      <c r="J1356" t="inlineStr">
        <is>
          <t>Project</t>
        </is>
      </c>
      <c r="K1356" t="inlineStr">
        <is>
          <t>GG - Event Service</t>
        </is>
      </c>
      <c r="L1356" t="inlineStr">
        <is>
          <t>KIC 2025 - Group Stage &amp; Knockouts</t>
        </is>
      </c>
      <c r="M1356" t="inlineStr">
        <is>
          <t>2025TEG-P0286</t>
        </is>
      </c>
      <c r="N1356" t="inlineStr">
        <is>
          <t>Frances Angelita Arreglado</t>
        </is>
      </c>
      <c r="O1356" t="inlineStr">
        <is>
          <t>202511040192-Frances Angelita Arreglado-费用报销 - 副本 - 副本 - 副本-2025-11-04 13:18:37</t>
        </is>
      </c>
      <c r="P1356" t="inlineStr">
        <is>
          <t>YES</t>
        </is>
      </c>
      <c r="Q1356"/>
      <c r="R1356" t="inlineStr">
        <is>
          <t>NO</t>
        </is>
      </c>
      <c r="S1356" t="inlineStr">
        <is>
          <t>Outsourced Hospitality Lead</t>
        </is>
      </c>
      <c r="T1356">
        <v>1</v>
      </c>
      <c r="U1356">
        <v>40500</v>
      </c>
      <c r="V1356" t="inlineStr">
        <is>
          <t>PHP</t>
        </is>
      </c>
      <c r="W1356">
        <v>40500</v>
      </c>
      <c r="X1356" s="2" t="str">
        <f>=HYPERLINK("https://www.larksuite.com/approval/admin/previewAttachment?key=PMg7DsJADATQK814vR6by9AQrfgoaZCg8tmRKNK-SCJyckTBi1Zga4pKghWWE5E-25pSQdRgb_u6fv3Bpx8v249ay_pzv63tzVkyg4b7SAC8nD7k7lXh-Dt-AQAA__8", "2 attachment(s)")</f>
        <v>2 attachment(s)</v>
      </c>
      <c r="Y1356" t="inlineStr">
        <is>
          <t>Bank Transfer</t>
        </is>
      </c>
      <c r="Z1356" t="inlineStr">
        <is>
          <t>Cloe Giether F Salitrero</t>
        </is>
      </c>
      <c r="AA1356" t="inlineStr">
        <is>
          <t>0636459617</t>
        </is>
      </c>
      <c r="AB1356" t="inlineStr">
        <is>
          <t>BPI</t>
        </is>
      </c>
      <c r="AC1356" t="inlineStr">
        <is>
          <t>51-C Justice Lourdes Paredes San Diego Avenue Brgy Socorro QC</t>
        </is>
      </c>
      <c r="AD1356" s="4">
        <v>45962</v>
      </c>
      <c r="AE1356" t="inlineStr">
        <is>
          <t>1st Payment - Nov. 14, 2025
2nd Payment - Nov. 28, 2025
3rd Payment - Dec. 12, 2025
Final Payment - Dec. 26, 2025</t>
        </is>
      </c>
      <c r="AF1356" s="2"/>
      <c r="AG1356" t="inlineStr">
        <is>
          <t>NzQyNTk5MTgyNzQ4MTg3MDM0MTpEMDE0RUUyRi01MUZFLTRBRUMtOUM0RC1GQzlCMzVDOEFFNjQtMTo0YmY4YzZiZjI3MGVlYzgyZDc0ZjViYmY1NzA1NWVjYzox</t>
        </is>
      </c>
      <c r="AH1356" t="inlineStr">
        <is>
          <t>Cloe Giether F Salitrero</t>
        </is>
      </c>
      <c r="AI1356"/>
      <c r="AJ1356" t="inlineStr">
        <is>
          <t>LIQUIDITY PLAN (PAR # 202510290062 / 2025TEG-P0286) 
1108 CE KIC GS+KO TAB &gt; OPERATIONS TEAM &gt;
Hospitality &gt; Liaison Manager
Total Budget = Php 40,500.00
Actual Cost = Php 40,500.00</t>
        </is>
      </c>
      <c r="AK1356"/>
    </row>
    <row r="1357" ht="25.5" customHeight="1">
      <c r="A1357" s="2" t="str">
        <f>=HYPERLINK("https://applink.larksuite.com/client/mini_program/open?appId=cli_9c7cc8a9a9edd105&amp;mode=appCenter&amp;path_pc=pc/pages/requested/index?instanceId=7572069805038014171&amp;source=bitable&amp;path=pages/detail/index?instanceId=7572069805038014171&amp;source=bitable", "202511130040")</f>
        <v>202511130040</v>
      </c>
      <c r="B1357" t="inlineStr">
        <is>
          <t>Approved</t>
        </is>
      </c>
      <c r="C1357" t="inlineStr">
        <is>
          <t>Procurement Order</t>
        </is>
      </c>
      <c r="D1357" s="3">
        <v>45974.540347222224</v>
      </c>
      <c r="E1357" s="3">
        <v>45974.635729166665</v>
      </c>
      <c r="F1357" t="inlineStr">
        <is>
          <t>Fatima Kathleen M. FLores</t>
        </is>
      </c>
      <c r="G1357" t="inlineStr">
        <is>
          <t>Procurement</t>
        </is>
      </c>
      <c r="H1357"/>
      <c r="I1357"/>
      <c r="J1357" t="inlineStr">
        <is>
          <t>Project</t>
        </is>
      </c>
      <c r="K1357" t="inlineStr">
        <is>
          <t>GG - Event Service</t>
        </is>
      </c>
      <c r="L1357" t="inlineStr">
        <is>
          <t>KIC 2025 - Group Stage &amp; Knockouts</t>
        </is>
      </c>
      <c r="M1357" t="inlineStr">
        <is>
          <t>2025TEG-P0286</t>
        </is>
      </c>
      <c r="N1357" t="inlineStr">
        <is>
          <t>Carla Andrea Calma Crespo</t>
        </is>
      </c>
      <c r="O1357" t="inlineStr">
        <is>
          <t>202511130023-Carla Andrea Calma Crespo-费用报销 - 副本 - 副本 - 副本-2025-11-13 04:02:56</t>
        </is>
      </c>
      <c r="P1357" t="inlineStr">
        <is>
          <t>NO</t>
        </is>
      </c>
      <c r="Q1357"/>
      <c r="R1357" t="inlineStr">
        <is>
          <t>YES</t>
        </is>
      </c>
      <c r="S1357" t="inlineStr">
        <is>
          <t>Seasonic Focus GX-1000 ATX 3.0 - 1000W 80 Plus Gold Fully Modular PSU</t>
        </is>
      </c>
      <c r="T1357">
        <v>1</v>
      </c>
      <c r="U1357">
        <v>9964</v>
      </c>
      <c r="V1357" t="inlineStr">
        <is>
          <t>PHP</t>
        </is>
      </c>
      <c r="W1357">
        <v>9964</v>
      </c>
      <c r="X1357" s="2" t="str">
        <f>=HYPERLINK("https://www.larksuite.com/approval/admin/previewAttachment?key=PMgxqgJADATQK80k2Z3kX-Y3LosWC4IoWOTsgoXtm0nMHPRZiKIV2BoyzEoMeIJBsa0pFUQ5e53970cHdsv7wnPXu1_Xy14PjpIZ5BGeAPj3c1dEVM3A1_EJAAD__w", "2 attachment(s)")</f>
        <v>2 attachment(s)</v>
      </c>
      <c r="Y1357" t="inlineStr">
        <is>
          <t>Bank Transfer</t>
        </is>
      </c>
      <c r="Z1357" t="inlineStr">
        <is>
          <t>JT PHOTOWORLD INC.</t>
        </is>
      </c>
      <c r="AA1357" t="inlineStr">
        <is>
          <t>0016 5021 0483</t>
        </is>
      </c>
      <c r="AB1357" t="inlineStr">
        <is>
          <t>BDO</t>
        </is>
      </c>
      <c r="AC1357" t="inlineStr">
        <is>
          <t>1434 General Luna St., Brgy. 673 Zone 73, Dist V, Paco Manila</t>
        </is>
      </c>
      <c r="AD1357" s="4">
        <v>45974</v>
      </c>
      <c r="AE1357" t="inlineStr">
        <is>
          <t>100% Full Payment before delivery</t>
        </is>
      </c>
      <c r="AF1357" s="2"/>
      <c r="AG1357" t="inlineStr">
        <is>
          <t>NzQyNTk5MTgyNzQ4MTg3MDM0MTo0NEQ1NTNDNy1EMzkzLTQ1QTMtQjY4OC02ODYzN0Y3QTlFQkMtMTo0YTg0NjE2ODQ5OWJmZWFmOTNjOWE2YTU5MTYyZDM5NTox</t>
        </is>
      </c>
      <c r="AH1357" t="inlineStr">
        <is>
          <t>JT PHOTOWORLD INC.</t>
        </is>
      </c>
      <c r="AI1357"/>
      <c r="AJ1357" t="inlineStr">
        <is>
          <t>No budget in internal CE. 
Reason (from Broadcast team): This is a request from the ID team. They brought their own PC (motherboard, cpu, ssd, ram, GPU) from Indonesia, but will need 1 PC case and 1,000 watt power supply. The office doesn't have a PC that meets the requirements, that's why we requested to buy a new PSU for the unit.</t>
        </is>
      </c>
      <c r="AK1357"/>
    </row>
    <row r="1358" ht="25.5" customHeight="1">
      <c r="A1358" s="2" t="str">
        <f>=HYPERLINK("https://applink.larksuite.com/client/mini_program/open?appId=cli_9c7cc8a9a9edd105&amp;mode=appCenter&amp;path_pc=pc/pages/requested/index?instanceId=7572190331978911451&amp;source=bitable&amp;path=pages/detail/index?instanceId=7572190331978911451&amp;source=bitable", "202511130119")</f>
        <v>202511130119</v>
      </c>
      <c r="B1358" t="inlineStr">
        <is>
          <t>Approved</t>
        </is>
      </c>
      <c r="C1358" t="inlineStr">
        <is>
          <t>Procurement Order</t>
        </is>
      </c>
      <c r="D1358" s="3">
        <v>45974.86513888889</v>
      </c>
      <c r="E1358" s="3">
        <v>45974.95446759259</v>
      </c>
      <c r="F1358" t="inlineStr">
        <is>
          <t>Fatima Kathleen M. FLores</t>
        </is>
      </c>
      <c r="G1358" t="inlineStr">
        <is>
          <t>Procurement</t>
        </is>
      </c>
      <c r="H1358"/>
      <c r="I1358"/>
      <c r="J1358" t="inlineStr">
        <is>
          <t>Project</t>
        </is>
      </c>
      <c r="K1358" t="inlineStr">
        <is>
          <t>GG - Event Service</t>
        </is>
      </c>
      <c r="L1358" t="inlineStr">
        <is>
          <t>KIC 2025 - Media Day</t>
        </is>
      </c>
      <c r="M1358" t="inlineStr">
        <is>
          <t>2025TEG-P0307</t>
        </is>
      </c>
      <c r="N1358" t="inlineStr">
        <is>
          <t>Maura Aurel Atilano Yap</t>
        </is>
      </c>
      <c r="O1358" t="inlineStr">
        <is>
          <t>202511070101-Randy Vince Fernandez Apura-费用报销 - 副本 - 副本 - 副本-2025-11-07 08:59:11</t>
        </is>
      </c>
      <c r="P1358" t="inlineStr">
        <is>
          <t>NO</t>
        </is>
      </c>
      <c r="Q1358"/>
      <c r="R1358" t="inlineStr">
        <is>
          <t>NO</t>
        </is>
      </c>
      <c r="S1358" t="inlineStr">
        <is>
          <t>Outsourced Photography &amp; Videography Team</t>
        </is>
      </c>
      <c r="T1358">
        <v>1</v>
      </c>
      <c r="U1358">
        <v>360000</v>
      </c>
      <c r="V1358" t="inlineStr">
        <is>
          <t>PHP</t>
        </is>
      </c>
      <c r="W1358">
        <v>360000</v>
      </c>
      <c r="X1358" s="2" t="str">
        <f>=HYPERLINK("https://www.larksuite.com/approval/admin/previewAttachment?key=PMg7CgJBEATQK1X1Z3rKy5jssoi6kTiY9NkFA9M3JjFm0ocQognsyjIK7lRNkZFsa1YJxXL2fh7XZ74TPD6P-9pOW71u27G_mCozlEf4BMDL370iQhqBn-MbAAD__w", "2 attachment(s)")</f>
        <v>2 attachment(s)</v>
      </c>
      <c r="Y1358" t="inlineStr">
        <is>
          <t>Bank Transfer</t>
        </is>
      </c>
      <c r="Z1358" t="inlineStr">
        <is>
          <t>Leo Angelo Zeta Capeding</t>
        </is>
      </c>
      <c r="AA1358" t="inlineStr">
        <is>
          <t>0000023005038</t>
        </is>
      </c>
      <c r="AB1358" t="inlineStr">
        <is>
          <t>Security Bank</t>
        </is>
      </c>
      <c r="AC1358" t="inlineStr">
        <is>
          <t>Unit 5 Purok 6 Paco Manila</t>
        </is>
      </c>
      <c r="AD1358" s="4">
        <v>45932</v>
      </c>
      <c r="AE1358" t="inlineStr">
        <is>
          <t>70% Down Payment upon confirmation
30% Final payment upon completion of services</t>
        </is>
      </c>
      <c r="AF1358" s="2" t="str">
        <f>=HYPERLINK("https://www.larksuite.com/approval/admin/previewAttachment?key=TMg7CgJBEATQK1VNT3_Ky5jssoi6kTiY9NkFI9MXRUQ5LYQpDoGdnoOCGZUlcjp7NDOFZBp7P4_r098OHp_HfW3nWL1u27G_GGWBKZ-TAsDLn5NQWdjP8Q0AAP__", "2 attachment(s)")</f>
        <v>2 attachment(s)</v>
      </c>
      <c r="AG1358" t="inlineStr">
        <is>
          <t>NzQyNTk5MTgyNzQ4MTg3MDM0MTo0NTFEQkI0MC0wMTgzLTRBNzItOTBCNC0xNjREQkZEQTY4NkQtMTo2Y2JkMzA0MzM3MDJjNGM4OTJkYWNmNmU1YTI2MWNmNTox</t>
        </is>
      </c>
      <c r="AH1358" t="inlineStr">
        <is>
          <t>TIRADORES MEDIA PRODUCTIONS</t>
        </is>
      </c>
      <c r="AI1358"/>
      <c r="AJ1358" t="inlineStr">
        <is>
          <t>LIQUIDITY PLAN (PAR # 202511070057 / 2025TEG-P0307)
1112 CE Media Day &gt; ON-GROUND DOCUMENTATION &gt;
Tournament Days - Photo &amp; Video Team
Carnival &amp; Mini Battle - Photo &amp; Video Team
Total Budget = Php 540,000.00
Actual Cost = Php 360,000.00
Balance = Php 180,000.00</t>
        </is>
      </c>
      <c r="AK1358"/>
    </row>
    <row r="1359" ht="25.5" customHeight="1">
      <c r="A1359" s="2" t="str">
        <f>=HYPERLINK("https://applink.larksuite.com/client/mini_program/open?appId=cli_9c7cc8a9a9edd105&amp;mode=appCenter&amp;path_pc=pc/pages/requested/index?instanceId=7572185740533075675&amp;source=bitable&amp;path=pages/detail/index?instanceId=7572185740533075675&amp;source=bitable", "202511130112")</f>
        <v>202511130112</v>
      </c>
      <c r="B1359" t="inlineStr">
        <is>
          <t>Approved</t>
        </is>
      </c>
      <c r="C1359" t="inlineStr">
        <is>
          <t>Procurement Order</t>
        </is>
      </c>
      <c r="D1359" s="3">
        <v>45974.8527662037</v>
      </c>
      <c r="E1359" s="3">
        <v>45974.95547453704</v>
      </c>
      <c r="F1359" t="inlineStr">
        <is>
          <t>Fatima Kathleen M. FLores</t>
        </is>
      </c>
      <c r="G1359" t="inlineStr">
        <is>
          <t>Procurement</t>
        </is>
      </c>
      <c r="H1359"/>
      <c r="I1359"/>
      <c r="J1359" t="inlineStr">
        <is>
          <t>Project</t>
        </is>
      </c>
      <c r="K1359" t="inlineStr">
        <is>
          <t>GG - Event Service</t>
        </is>
      </c>
      <c r="L1359" t="inlineStr">
        <is>
          <t>KIC 2025 - Media Day</t>
        </is>
      </c>
      <c r="M1359" t="inlineStr">
        <is>
          <t>2025TEG-P0307</t>
        </is>
      </c>
      <c r="N1359" t="inlineStr">
        <is>
          <t>Randy Vince Fernandez Apura</t>
        </is>
      </c>
      <c r="O1359" t="inlineStr">
        <is>
          <t>202511100039-Randy Vince Fernandez Apura-费用报销 - 副本 - 副本 - 副本-2025-11-10 04:38:44</t>
        </is>
      </c>
      <c r="P1359" t="inlineStr">
        <is>
          <t>NO</t>
        </is>
      </c>
      <c r="Q1359"/>
      <c r="R1359" t="inlineStr">
        <is>
          <t>NO</t>
        </is>
      </c>
      <c r="S1359" t="inlineStr">
        <is>
          <t>Outsourced PS5 Owner</t>
        </is>
      </c>
      <c r="T1359">
        <v>1</v>
      </c>
      <c r="U1359">
        <v>5600</v>
      </c>
      <c r="V1359" t="inlineStr">
        <is>
          <t>PHP</t>
        </is>
      </c>
      <c r="W1359">
        <v>5600</v>
      </c>
      <c r="X1359" s="2" t="str">
        <f>=HYPERLINK("https://www.larksuite.com/approval/admin/previewAttachment?key=PMi5DcJQEATQlmb-HvOXZkhsWVwmQYAItnYkAtKXk8gZtCx4cRTYCg3OkCPMoEhFj6ZUEGXsdd-Ol_2-Xz8Me77Pdlv6dVq29cEojQGZu00APPzd5O5V6fg5vgEAAP__", "2 attachment(s)")</f>
        <v>2 attachment(s)</v>
      </c>
      <c r="Y1359" t="inlineStr">
        <is>
          <t>Bank Transfer</t>
        </is>
      </c>
      <c r="Z1359" t="inlineStr">
        <is>
          <t>Marc Kevin Serrano</t>
        </is>
      </c>
      <c r="AA1359" t="inlineStr">
        <is>
          <t>1519218972</t>
        </is>
      </c>
      <c r="AB1359" t="inlineStr">
        <is>
          <t>BPI</t>
        </is>
      </c>
      <c r="AC1359" t="inlineStr">
        <is>
          <t>3 Don Guillermo Street, Barangay Holy Spirit, Commonwealth, Quezon City</t>
        </is>
      </c>
      <c r="AD1359" s="4">
        <v>45972</v>
      </c>
      <c r="AE1359" t="inlineStr">
        <is>
          <t>100% Full Payment - Nov. 15, 2025</t>
        </is>
      </c>
      <c r="AF1359" s="2"/>
      <c r="AG1359" t="inlineStr">
        <is>
          <t>NzQyNTk5MTgyNzQ4MTg3MDM0MTo1QjI1MEVDMC04NEQyLTQwQjItQTNBQi03MUYwQTQzREYyOTItMTo2ZmQ3OGJhZmUxOTYxYjJhMmNlYjJjYjNjMjYwN2EwZDox</t>
        </is>
      </c>
      <c r="AH1359" t="inlineStr">
        <is>
          <t>Marc Kevin Serrano</t>
        </is>
      </c>
      <c r="AI1359"/>
      <c r="AJ1359" t="inlineStr">
        <is>
          <t>LIQUIDITY PLAN (PAR # 202511070057 / 2025TEG-P0307)
1028 CE Media Day &gt; MEDIA DAY - STUDIO SHOOT &gt;
EQUIPMENT RENTAL &gt; Creative Props
Total Budget = Php 30,000.00
Actual Cost = Php 5,600.00
Balance = Php 24,400.00</t>
        </is>
      </c>
      <c r="AK1359"/>
    </row>
    <row r="1360" ht="25.5" customHeight="1">
      <c r="A1360" s="2" t="str">
        <f>=HYPERLINK("https://applink.larksuite.com/client/mini_program/open?appId=cli_9c7cc8a9a9edd105&amp;mode=appCenter&amp;path_pc=pc/pages/requested/index?instanceId=7572167861670563553&amp;source=bitable&amp;path=pages/detail/index?instanceId=7572167861670563553&amp;source=bitable", "202511130104")</f>
        <v>202511130104</v>
      </c>
      <c r="B1360" t="inlineStr">
        <is>
          <t>Approved</t>
        </is>
      </c>
      <c r="C1360" t="inlineStr">
        <is>
          <t>Procurement Order</t>
        </is>
      </c>
      <c r="D1360" s="3">
        <v>45974.80459490741</v>
      </c>
      <c r="E1360" s="3">
        <v>45974.95003472222</v>
      </c>
      <c r="F1360" t="inlineStr">
        <is>
          <t>Fatima Kathleen M. FLores</t>
        </is>
      </c>
      <c r="G1360" t="inlineStr">
        <is>
          <t>Procurement</t>
        </is>
      </c>
      <c r="H1360"/>
      <c r="I1360"/>
      <c r="J1360" t="inlineStr">
        <is>
          <t>Project</t>
        </is>
      </c>
      <c r="K1360" t="inlineStr">
        <is>
          <t>GG - Event Service</t>
        </is>
      </c>
      <c r="L1360" t="inlineStr">
        <is>
          <t>KIC 2025 - Group Stage &amp; Knockouts</t>
        </is>
      </c>
      <c r="M1360" t="inlineStr">
        <is>
          <t>2025TEG-P0286</t>
        </is>
      </c>
      <c r="N1360" t="inlineStr">
        <is>
          <t>Frances Angelita Arreglado</t>
        </is>
      </c>
      <c r="O1360" t="inlineStr">
        <is>
          <t>202510300073-Frances Angelita Arreglado-费用报销 - 副本 - 副本 - 副本-2025-10-30 10:53:42</t>
        </is>
      </c>
      <c r="P1360" t="inlineStr">
        <is>
          <t>YES</t>
        </is>
      </c>
      <c r="Q1360"/>
      <c r="R1360" t="inlineStr">
        <is>
          <t>NO</t>
        </is>
      </c>
      <c r="S1360" t="inlineStr">
        <is>
          <t>Outsourced League Ops Assistant &amp; Head Referee</t>
        </is>
      </c>
      <c r="T1360">
        <v>1</v>
      </c>
      <c r="U1360">
        <v>60000</v>
      </c>
      <c r="V1360" t="inlineStr">
        <is>
          <t>PHP</t>
        </is>
      </c>
      <c r="W1360">
        <v>60000</v>
      </c>
      <c r="X1360" s="2" t="str">
        <f>=HYPERLINK("https://www.larksuite.com/approval/admin/previewAttachment?key=PMi7DcJAEATQlmZuP3NLMyQ-WXzkCAlHWzsSgdOXk8gZtCx4cRTYCg2mZjKFSIuwHk2pIMrY69jvpz8dx8vPhdjw7u9j29eHURoDMnebAHi73OTuVen4O34BAAD__w", "2 attachment(s)")</f>
        <v>2 attachment(s)</v>
      </c>
      <c r="Y1360" t="inlineStr">
        <is>
          <t>Bank Transfer</t>
        </is>
      </c>
      <c r="Z1360" t="inlineStr">
        <is>
          <t>Allan Rigates</t>
        </is>
      </c>
      <c r="AA1360" t="inlineStr">
        <is>
          <t>0135-7000-7795</t>
        </is>
      </c>
      <c r="AB1360" t="inlineStr">
        <is>
          <t>BDO</t>
        </is>
      </c>
      <c r="AC1360" t="inlineStr">
        <is>
          <t>2340 Lamesa St. Ugong Valenzuela City</t>
        </is>
      </c>
      <c r="AD1360" s="4">
        <v>45957</v>
      </c>
      <c r="AE1360" t="inlineStr">
        <is>
          <t>1st Payment - Nov. 14, 2025
2nd Payment - Nov. 28, 2025
Final Payment - Dec. 12, 2025</t>
        </is>
      </c>
      <c r="AF1360" s="2"/>
      <c r="AG1360" t="inlineStr">
        <is>
          <t>NzQyNTk5MTgyNzQ4MTg3MDM0MTozNjg5NThFNC0wQzU4LTRBQTQtQTQ0RC1FODA0QUQwOENDOEEtMTpmYjY5ZWM4ZmZkY2Q0ZGI3NjY4NWU0OTAwYTM3YzlhNTox</t>
        </is>
      </c>
      <c r="AH1360" t="inlineStr">
        <is>
          <t>Allan Rigates</t>
        </is>
      </c>
      <c r="AI1360"/>
      <c r="AJ1360" t="inlineStr">
        <is>
          <t>LIQUIDITY PLAN (PAR # 202510290062 / 2025TEG-P0286) 
1108 CE KIC GS+KO TAB &gt; BROADCAST TEAM &gt;
League Operations &gt; League Ops Assistant/ Head Referee
Total Budget = Php 60,000.00
Actual Cost = Php 60,000.00</t>
        </is>
      </c>
      <c r="AK1360"/>
    </row>
    <row r="1361" ht="25.5" customHeight="1">
      <c r="A1361" s="2" t="str">
        <f>=HYPERLINK("https://applink.larksuite.com/client/mini_program/open?appId=cli_9c7cc8a9a9edd105&amp;mode=appCenter&amp;path_pc=pc/pages/requested/index?instanceId=7572166551621603038&amp;source=bitable&amp;path=pages/detail/index?instanceId=7572166551621603038&amp;source=bitable", "202511130099")</f>
        <v>202511130099</v>
      </c>
      <c r="B1361" t="inlineStr">
        <is>
          <t>Approved</t>
        </is>
      </c>
      <c r="C1361" t="inlineStr">
        <is>
          <t>Procurement Order</t>
        </is>
      </c>
      <c r="D1361" s="3">
        <v>45974.80106481481</v>
      </c>
      <c r="E1361" s="3">
        <v>45974.950590277775</v>
      </c>
      <c r="F1361" t="inlineStr">
        <is>
          <t>Fatima Kathleen M. FLores</t>
        </is>
      </c>
      <c r="G1361" t="inlineStr">
        <is>
          <t>Procurement</t>
        </is>
      </c>
      <c r="H1361"/>
      <c r="I1361"/>
      <c r="J1361" t="inlineStr">
        <is>
          <t>Project</t>
        </is>
      </c>
      <c r="K1361" t="inlineStr">
        <is>
          <t>GG - Event Service</t>
        </is>
      </c>
      <c r="L1361" t="inlineStr">
        <is>
          <t>KIC 2025 - Group Stage &amp; Knockouts</t>
        </is>
      </c>
      <c r="M1361" t="inlineStr">
        <is>
          <t>2025TEG-P0286</t>
        </is>
      </c>
      <c r="N1361" t="inlineStr">
        <is>
          <t>Frances Angelita Arreglado</t>
        </is>
      </c>
      <c r="O1361" t="inlineStr">
        <is>
          <t>202510300072-Frances Angelita Arreglado-费用报销 - 副本 - 副本 - 副本-2025-10-30 10:50:02</t>
        </is>
      </c>
      <c r="P1361" t="inlineStr">
        <is>
          <t>YES</t>
        </is>
      </c>
      <c r="Q1361"/>
      <c r="R1361" t="inlineStr">
        <is>
          <t>NO</t>
        </is>
      </c>
      <c r="S1361" t="inlineStr">
        <is>
          <t>Outsourced Secondary Scriptwriter</t>
        </is>
      </c>
      <c r="T1361">
        <v>1</v>
      </c>
      <c r="U1361">
        <v>71000</v>
      </c>
      <c r="V1361" t="inlineStr">
        <is>
          <t>PHP</t>
        </is>
      </c>
      <c r="W1361">
        <v>71000</v>
      </c>
      <c r="X1361" s="2" t="str">
        <f>=HYPERLINK("https://www.larksuite.com/approval/admin/previewAttachment?key=PMg9CsJAEAXgK703vztexiZhkYA2wrLNnF2wSPvFIGI4NQpWlAI7PYUR7gxhQKGjpZlZSKayz_d8ui_nnNfe62PH1et1zPNLrxRBqpkOAHzcrmlmVWH4O34BAAD__w", "2 attachment(s)")</f>
        <v>2 attachment(s)</v>
      </c>
      <c r="Y1361" t="inlineStr">
        <is>
          <t>Bank Transfer</t>
        </is>
      </c>
      <c r="Z1361" t="inlineStr">
        <is>
          <t>Jessamine Elise C. Sagcal</t>
        </is>
      </c>
      <c r="AA1361" t="inlineStr">
        <is>
          <t>2679-1185-63</t>
        </is>
      </c>
      <c r="AB1361" t="inlineStr">
        <is>
          <t>BPI</t>
        </is>
      </c>
      <c r="AC1361" t="inlineStr">
        <is>
          <t>30 TLR Town Homes, Fast Track St., Moonwalk, Paranaque</t>
        </is>
      </c>
      <c r="AD1361" s="4">
        <v>45945</v>
      </c>
      <c r="AE1361" t="inlineStr">
        <is>
          <t>1st Payment - Nov. 14, 2025
2nd Payment - Nov. 28, 2025
Final Payment - Dec. 12, 2025</t>
        </is>
      </c>
      <c r="AF1361" s="2"/>
      <c r="AG1361" t="inlineStr">
        <is>
          <t>NzQyNTk5MTgyNzQ4MTg3MDM0MToxODJFMEI4NS03QUNBLTQwRkItQkExOS05NTE2NjcwNEQ3NDUtMTo1NGFmMGIzMTIxMzI3MWMzY2UzZTVlYjVjZjVhNjlkNjox</t>
        </is>
      </c>
      <c r="AH1361" t="inlineStr">
        <is>
          <t>Jessamine Elise C. Sagcal</t>
        </is>
      </c>
      <c r="AI1361"/>
      <c r="AJ1361" t="inlineStr">
        <is>
          <t>LIQUIDITY PLAN (PAR # 202510290062 / 2025TEG-P0286) 
1108 CE KIC GS+KO TAB &gt; BROADCAST TEAM &gt;
Secondary Scriptwriter
Total Budget = Php 75,000.00
Actual Cost = Php 71,000.00
Balance = Php 4,000.00</t>
        </is>
      </c>
      <c r="AK1361"/>
    </row>
    <row r="1362" ht="25.5" customHeight="1">
      <c r="A1362" s="2" t="str">
        <f>=HYPERLINK("https://applink.larksuite.com/client/mini_program/open?appId=cli_9c7cc8a9a9edd105&amp;mode=appCenter&amp;path_pc=pc/pages/requested/index?instanceId=7572165296815869665&amp;source=bitable&amp;path=pages/detail/index?instanceId=7572165296815869665&amp;source=bitable", "202511130094")</f>
        <v>202511130094</v>
      </c>
      <c r="B1362" t="inlineStr">
        <is>
          <t>Approved</t>
        </is>
      </c>
      <c r="C1362" t="inlineStr">
        <is>
          <t>Procurement Order</t>
        </is>
      </c>
      <c r="D1362" s="3">
        <v>45974.797685185185</v>
      </c>
      <c r="E1362" s="3">
        <v>45974.951365740744</v>
      </c>
      <c r="F1362" t="inlineStr">
        <is>
          <t>Fatima Kathleen M. FLores</t>
        </is>
      </c>
      <c r="G1362" t="inlineStr">
        <is>
          <t>Procurement</t>
        </is>
      </c>
      <c r="H1362"/>
      <c r="I1362"/>
      <c r="J1362" t="inlineStr">
        <is>
          <t>Project</t>
        </is>
      </c>
      <c r="K1362" t="inlineStr">
        <is>
          <t>GG - Event Service</t>
        </is>
      </c>
      <c r="L1362" t="inlineStr">
        <is>
          <t>KIC 2025 - Group Stage &amp; Knockouts</t>
        </is>
      </c>
      <c r="M1362" t="inlineStr">
        <is>
          <t>2025TEG-P0286</t>
        </is>
      </c>
      <c r="N1362" t="inlineStr">
        <is>
          <t>Frances Angelita Arreglado</t>
        </is>
      </c>
      <c r="O1362" t="inlineStr">
        <is>
          <t>202510300067-Frances Angelita Arreglado-费用报销 - 副本 - 副本 - 副本-2025-10-30 10:31:41</t>
        </is>
      </c>
      <c r="P1362" t="inlineStr">
        <is>
          <t>YES</t>
        </is>
      </c>
      <c r="Q1362"/>
      <c r="R1362" t="inlineStr">
        <is>
          <t>NO</t>
        </is>
      </c>
      <c r="S1362" t="inlineStr">
        <is>
          <t>Outsourced API Developer</t>
        </is>
      </c>
      <c r="T1362">
        <v>1</v>
      </c>
      <c r="U1362">
        <v>75000</v>
      </c>
      <c r="V1362" t="inlineStr">
        <is>
          <t>PHP</t>
        </is>
      </c>
      <c r="W1362">
        <v>75000</v>
      </c>
      <c r="X1362" s="2" t="str">
        <f>=HYPERLINK("https://www.larksuite.com/approval/admin/previewAttachment?key=PMi5jQJREATQlKr67k1mHUZfCBgLcYzRsSNh4L4oIsqp0bCmNDjpKQyXjqJXdISPDDMbyVTOtq___cBxk_e6PF5Xcs3zfFrbnd4pglQzLQD8-7mmmXWH4ev4BAAA__8", "2 attachment(s)")</f>
        <v>2 attachment(s)</v>
      </c>
      <c r="Y1362" t="inlineStr">
        <is>
          <t>Bank Transfer</t>
        </is>
      </c>
      <c r="Z1362" t="inlineStr">
        <is>
          <t>Jay Lawrence Rivera</t>
        </is>
      </c>
      <c r="AA1362" t="inlineStr">
        <is>
          <t>0000049934381</t>
        </is>
      </c>
      <c r="AB1362" t="inlineStr">
        <is>
          <t>Security Bank</t>
        </is>
      </c>
      <c r="AC1362" t="inlineStr">
        <is>
          <t>023 Kasunduan St. Brgy. Commonwealth Quezon City</t>
        </is>
      </c>
      <c r="AD1362" s="4">
        <v>45945</v>
      </c>
      <c r="AE1362" t="inlineStr">
        <is>
          <t>1st Payment - Nov. 14, 2025
2nd Payment - Nov. 28, 2025
Final Payment - Dec. 12, 2025</t>
        </is>
      </c>
      <c r="AF1362" s="2"/>
      <c r="AG1362" t="inlineStr">
        <is>
          <t>NzQyNTk5MTgyNzQ4MTg3MDM0MTozMzdBNUU5Ri00RTM2LTQzNzctOEU3NS1GRjk3NTNBNEIxMEQtMTphZjkxN2RmYzQ3NjVjZDI5ZGFhMTI3NTM1YTk2MTQ0MTox</t>
        </is>
      </c>
      <c r="AH1362" t="inlineStr">
        <is>
          <t>Jay Lawrence Rivera</t>
        </is>
      </c>
      <c r="AI1362"/>
      <c r="AJ1362" t="inlineStr">
        <is>
          <t>LIQUIDITY PLAN (PAR # 202510290062 / 2025TEG-P0286) 
1108 CE KIC GS+KO TAB &gt; BROADCAST TEAM &gt;
API Developer
Total Budget = Php 90,000.00
Actual Cost = Php 75,000.00
Balance = Php 15,000.00</t>
        </is>
      </c>
      <c r="AK1362"/>
    </row>
    <row r="1363" ht="25.5" customHeight="1">
      <c r="A1363" s="2" t="str">
        <f>=HYPERLINK("https://applink.larksuite.com/client/mini_program/open?appId=cli_9c7cc8a9a9edd105&amp;mode=appCenter&amp;path_pc=pc/pages/requested/index?instanceId=7572154468175711966&amp;source=bitable&amp;path=pages/detail/index?instanceId=7572154468175711966&amp;source=bitable", "202511130087")</f>
        <v>202511130087</v>
      </c>
      <c r="B1363" t="inlineStr">
        <is>
          <t>Approved</t>
        </is>
      </c>
      <c r="C1363" t="inlineStr">
        <is>
          <t>Procurement Order</t>
        </is>
      </c>
      <c r="D1363" s="3">
        <v>45974.76849537037</v>
      </c>
      <c r="E1363" s="3">
        <v>45975.45804398148</v>
      </c>
      <c r="F1363" t="inlineStr">
        <is>
          <t>Fatima Kathleen M. FLores</t>
        </is>
      </c>
      <c r="G1363" t="inlineStr">
        <is>
          <t>Procurement</t>
        </is>
      </c>
      <c r="H1363"/>
      <c r="I1363"/>
      <c r="J1363" t="inlineStr">
        <is>
          <t>Project</t>
        </is>
      </c>
      <c r="K1363" t="inlineStr">
        <is>
          <t>PDEI - Event Service</t>
        </is>
      </c>
      <c r="L1363" t="inlineStr">
        <is>
          <t>Bingo Plus Panalo Caravan</t>
        </is>
      </c>
      <c r="M1363" t="inlineStr">
        <is>
          <t>2025TEG-P0216</t>
        </is>
      </c>
      <c r="N1363" t="inlineStr">
        <is>
          <t>Ronelle Kylene Chaneco Lim</t>
        </is>
      </c>
      <c r="O1363" t="inlineStr">
        <is>
          <t>202511040085-Ronelle Kylene Chaneco Lim-费用报销 - 副本 - 副本 - 副本-2025-11-04 08:33:39</t>
        </is>
      </c>
      <c r="P1363" t="inlineStr">
        <is>
          <t>YES</t>
        </is>
      </c>
      <c r="Q1363"/>
      <c r="R1363" t="inlineStr">
        <is>
          <t>YES</t>
        </is>
      </c>
      <c r="S1363" t="inlineStr">
        <is>
          <t>Outsourced Scriptwriter and Producer</t>
        </is>
      </c>
      <c r="T1363">
        <v>1</v>
      </c>
      <c r="U1363">
        <v>25000</v>
      </c>
      <c r="V1363" t="inlineStr">
        <is>
          <t>PHP</t>
        </is>
      </c>
      <c r="W1363">
        <v>25000</v>
      </c>
      <c r="X1363" s="2" t="str">
        <f>=HYPERLINK("https://www.larksuite.com/approval/admin/previewAttachment?key=PMgxDkIxDAPQK9mpEzdchuVXXwwwIX2mnh2JgfXVJGomRzXUjAa308GUatJpsqt2bNoN04N7vc77VAp9xJXyZz339TjO9Wa2I-AhjQmAt78PS-ou4ef4BgAA__8", "2 attachment(s)")</f>
        <v>2 attachment(s)</v>
      </c>
      <c r="Y1363" t="inlineStr">
        <is>
          <t>Bank Transfer</t>
        </is>
      </c>
      <c r="Z1363" t="inlineStr">
        <is>
          <t>Mohammad Arshad A. Marohombsar II</t>
        </is>
      </c>
      <c r="AA1363" t="inlineStr">
        <is>
          <t>010640092403</t>
        </is>
      </c>
      <c r="AB1363" t="inlineStr">
        <is>
          <t>BDO</t>
        </is>
      </c>
      <c r="AC1363" t="inlineStr">
        <is>
          <t>Unit 8-O, Tower 2, Avida Towers New Manila, 41. Col. Boni Serrano Ave. San Juan</t>
        </is>
      </c>
      <c r="AD1363" s="4">
        <v>45922</v>
      </c>
      <c r="AE1363" t="inlineStr">
        <is>
          <t>100% Full Payment - Nov. 14, 2025</t>
        </is>
      </c>
      <c r="AF1363" s="2"/>
      <c r="AG1363" t="inlineStr">
        <is>
          <t>NzQyNTk5MTgyNzQ4MTg3MDM0MTpCRjUwMUY3Ny1DQjUwLTQ2NzItOUJGMC1ENDU5QTA4RDg3NTAtMTo2NjcwY2EyNzUxZWM4OGYzMDEyNmNjZTA5ZDA1MjRlODox</t>
        </is>
      </c>
      <c r="AH1363" t="inlineStr">
        <is>
          <t>Mohammad Arshad A. Marohombsar II</t>
        </is>
      </c>
      <c r="AI1363"/>
      <c r="AJ1363" t="inlineStr">
        <is>
          <t>This is under RR PROJECT EXECUTION LINE ITEMS:
Producer and Scriptwriter = Php 20,000.00</t>
        </is>
      </c>
      <c r="AK1363"/>
    </row>
    <row r="1364" ht="25.5" customHeight="1">
      <c r="A1364" s="2" t="str">
        <f>=HYPERLINK("https://applink.larksuite.com/client/mini_program/open?appId=cli_9c7cc8a9a9edd105&amp;mode=appCenter&amp;path_pc=pc/pages/requested/index?instanceId=7572163843854454495&amp;source=bitable&amp;path=pages/detail/index?instanceId=7572163843854454495&amp;source=bitable", "202511130093")</f>
        <v>202511130093</v>
      </c>
      <c r="B1364" t="inlineStr">
        <is>
          <t>Approved</t>
        </is>
      </c>
      <c r="C1364" t="inlineStr">
        <is>
          <t>Procurement Order</t>
        </is>
      </c>
      <c r="D1364" s="3">
        <v>45974.793761574074</v>
      </c>
      <c r="E1364" s="3">
        <v>45974.952152777776</v>
      </c>
      <c r="F1364" t="inlineStr">
        <is>
          <t>Fatima Kathleen M. FLores</t>
        </is>
      </c>
      <c r="G1364" t="inlineStr">
        <is>
          <t>Procurement</t>
        </is>
      </c>
      <c r="H1364"/>
      <c r="I1364"/>
      <c r="J1364" t="inlineStr">
        <is>
          <t>Project</t>
        </is>
      </c>
      <c r="K1364" t="inlineStr">
        <is>
          <t>GG - Event Service</t>
        </is>
      </c>
      <c r="L1364" t="inlineStr">
        <is>
          <t>KIC 2025 - Group Stage &amp; Knockouts</t>
        </is>
      </c>
      <c r="M1364" t="inlineStr">
        <is>
          <t>2025TEG-P0286</t>
        </is>
      </c>
      <c r="N1364" t="inlineStr">
        <is>
          <t>Frances Angelita Arreglado</t>
        </is>
      </c>
      <c r="O1364" t="inlineStr">
        <is>
          <t>202510300066-Frances Angelita Arreglado-费用报销 - 副本 - 副本 - 副本-2025-10-30 10:27:57</t>
        </is>
      </c>
      <c r="P1364" t="inlineStr">
        <is>
          <t>YES</t>
        </is>
      </c>
      <c r="Q1364"/>
      <c r="R1364" t="inlineStr">
        <is>
          <t>NO</t>
        </is>
      </c>
      <c r="S1364" t="inlineStr">
        <is>
          <t>Outsourced Assistant Broadcast Manager</t>
        </is>
      </c>
      <c r="T1364">
        <v>1</v>
      </c>
      <c r="U1364">
        <v>175000</v>
      </c>
      <c r="V1364" t="inlineStr">
        <is>
          <t>PHP</t>
        </is>
      </c>
      <c r="W1364">
        <v>175000</v>
      </c>
      <c r="X1364" s="2" t="str">
        <f>=HYPERLINK("https://www.larksuite.com/approval/admin/previewAttachment?key=PMgxDsIwDAXQK_nb3_kxl2GhiqBSJ6RAh5wdiaHrax3WeiJaGQtehqWUo0Vn9CSTrFy-IJUJCqztGPfv_trneX7k02scaz4fY3sjS-6mIKObGW6Xh0hWNdrf7RcAAP__", "2 attachment(s)")</f>
        <v>2 attachment(s)</v>
      </c>
      <c r="Y1364" t="inlineStr">
        <is>
          <t>Bank Transfer</t>
        </is>
      </c>
      <c r="Z1364" t="inlineStr">
        <is>
          <t>James Aldrin Concepcion</t>
        </is>
      </c>
      <c r="AA1364" t="inlineStr">
        <is>
          <t>0000049934438</t>
        </is>
      </c>
      <c r="AB1364" t="inlineStr">
        <is>
          <t>Security Bank</t>
        </is>
      </c>
      <c r="AC1364" t="inlineStr">
        <is>
          <t>1 Bayanihan st. West Triangle, Quezon City</t>
        </is>
      </c>
      <c r="AD1364" s="4">
        <v>45945</v>
      </c>
      <c r="AE1364" t="inlineStr">
        <is>
          <t>1st Payment - Nov. 14, 2025
2nd Payment - Nov. 28, 2025
3rd Payment - Dec. 12, 2025
Final Payment - Dec. 26, 2025</t>
        </is>
      </c>
      <c r="AF1364" s="2"/>
      <c r="AG1364" t="inlineStr">
        <is>
          <t>NzQyNTk5MTgyNzQ4MTg3MDM0MTpERUY0NDI0NS1DMjJELTREMkUtOTRBNC02QzY5Rjc3N0UwNjEtMTpjNDcyOTBlYWVhZTBmZTdiZTllZjI1YzliZDE4YWFhNDox</t>
        </is>
      </c>
      <c r="AH1364" t="inlineStr">
        <is>
          <t>James Aldrin Concepcion</t>
        </is>
      </c>
      <c r="AI1364"/>
      <c r="AJ1364" t="inlineStr">
        <is>
          <t>LIQUIDITY PLAN (PAR # 202510290062 / 2025TEG-P0286) 
1108 CE KIC GS+KO TAB &gt; BROADCAST TEAM &gt;
Assistant Broadcast Manager
Total Budget = Php 180,000.00
Actual Cost = Php 175,000.00
Balance = Php 5,000.00</t>
        </is>
      </c>
      <c r="AK1364"/>
    </row>
    <row r="1365" ht="25.5" customHeight="1">
      <c r="A1365" s="2" t="str">
        <f>=HYPERLINK("https://applink.larksuite.com/client/mini_program/open?appId=cli_9c7cc8a9a9edd105&amp;mode=appCenter&amp;path_pc=pc/pages/requested/index?instanceId=7572150443032202977&amp;source=bitable&amp;path=pages/detail/index?instanceId=7572150443032202977&amp;source=bitable", "202511130083")</f>
        <v>202511130083</v>
      </c>
      <c r="B1365" t="inlineStr">
        <is>
          <t>Approved</t>
        </is>
      </c>
      <c r="C1365" t="inlineStr">
        <is>
          <t>Procurement Order</t>
        </is>
      </c>
      <c r="D1365" s="3">
        <v>45974.75765046296</v>
      </c>
      <c r="E1365" s="3">
        <v>45974.95685185185</v>
      </c>
      <c r="F1365" t="inlineStr">
        <is>
          <t>Fatima Kathleen M. FLores</t>
        </is>
      </c>
      <c r="G1365" t="inlineStr">
        <is>
          <t>Procurement</t>
        </is>
      </c>
      <c r="H1365"/>
      <c r="I1365"/>
      <c r="J1365" t="inlineStr">
        <is>
          <t>Project</t>
        </is>
      </c>
      <c r="K1365" t="inlineStr">
        <is>
          <t>PDEI - Game Marketing</t>
        </is>
      </c>
      <c r="L1365" t="inlineStr">
        <is>
          <t>WCG 2025 Creator Rumble</t>
        </is>
      </c>
      <c r="M1365" t="inlineStr">
        <is>
          <t>2025TEG-P0041</t>
        </is>
      </c>
      <c r="N1365" t="inlineStr">
        <is>
          <t>Maura Aurel Atilano Yap</t>
        </is>
      </c>
      <c r="O1365" t="inlineStr">
        <is>
          <t>202511040007-Maura Aurel Atilano Yap-费用报销 - 副本 - 副本 - 副本-2025-11-04 03:10:45</t>
        </is>
      </c>
      <c r="P1365" t="inlineStr">
        <is>
          <t>YES</t>
        </is>
      </c>
      <c r="Q1365"/>
      <c r="R1365" t="inlineStr">
        <is>
          <t>NO</t>
        </is>
      </c>
      <c r="S1365" t="inlineStr">
        <is>
          <t>Outsourced Community Partner Coordinator (Beyblade)</t>
        </is>
      </c>
      <c r="T1365">
        <v>1</v>
      </c>
      <c r="U1365">
        <v>5000</v>
      </c>
      <c r="V1365" t="inlineStr">
        <is>
          <t>PHP</t>
        </is>
      </c>
      <c r="W1365">
        <v>5000</v>
      </c>
      <c r="X1365" s="2" t="str">
        <f>=HYPERLINK("https://www.larksuite.com/approval/admin/previewAttachment?key=PMhBCsIwEAXQK_2Z-cnPeBk3liIpKYLU3ZxdcOH29WHoo1n0BNM8YaUmtwYyEO7wlMrLpIRMYbWt_T7XuY5jXa95nZOzPs_Hvr2tpdyhIGMAsNvfQyQzO_FzfAMAAP__", "2 attachment(s)")</f>
        <v>2 attachment(s)</v>
      </c>
      <c r="Y1365" t="inlineStr">
        <is>
          <t>Bank Transfer</t>
        </is>
      </c>
      <c r="Z1365" t="inlineStr">
        <is>
          <t>Fhery Mae Santos</t>
        </is>
      </c>
      <c r="AA1365" t="inlineStr">
        <is>
          <t>2609297091</t>
        </is>
      </c>
      <c r="AB1365" t="inlineStr">
        <is>
          <t>BPI</t>
        </is>
      </c>
      <c r="AC1365" t="inlineStr">
        <is>
          <t>Unit 33G Tower 3 Pioneer Woodlands, Pioneer cor. EDSA, Bgry. Barangka Ilaya, Mandaluyong City</t>
        </is>
      </c>
      <c r="AD1365" s="4">
        <v>45955</v>
      </c>
      <c r="AE1365" t="inlineStr">
        <is>
          <t>100% Full Payment - Nov. 14, 2025</t>
        </is>
      </c>
      <c r="AF1365" s="2"/>
      <c r="AG1365" t="inlineStr">
        <is>
          <t>NzQyNTk5MTgyNzQ4MTg3MDM0MTo4NjZGNjIzQi1EOTg1LTQ3MzUtODMyMi1DNzNGMDE1QkRDMjQtMTpjNjFjNjg4ZDNiZWRjNzRiNGUwZWMxY2Q0YjI5MTc0OTox</t>
        </is>
      </c>
      <c r="AH1365" t="inlineStr">
        <is>
          <t>Fhery Mae Santos</t>
        </is>
      </c>
      <c r="AI1365"/>
      <c r="AJ1365" t="inlineStr">
        <is>
          <t>LIQUIDITY PLAN (PAR # 202505160019 / 2025TEG-P0041)
MARKETING &gt; Community - Beyblade, TCG
Total Remaining Budget = Php 30,000.00
Actual Cost = Php 5,000.00
Balance = Php 25,000.00</t>
        </is>
      </c>
      <c r="AK1365"/>
    </row>
    <row r="1366" ht="25.5" customHeight="1">
      <c r="A1366" s="2" t="str">
        <f>=HYPERLINK("https://applink.larksuite.com/client/mini_program/open?appId=cli_9c7cc8a9a9edd105&amp;mode=appCenter&amp;path_pc=pc/pages/requested/index?instanceId=7572144246778531547&amp;source=bitable&amp;path=pages/detail/index?instanceId=7572144246778531547&amp;source=bitable", "202511130078")</f>
        <v>202511130078</v>
      </c>
      <c r="B1366" t="inlineStr">
        <is>
          <t>Approved</t>
        </is>
      </c>
      <c r="C1366" t="inlineStr">
        <is>
          <t>Procurement Order</t>
        </is>
      </c>
      <c r="D1366" s="3">
        <v>45974.740949074076</v>
      </c>
      <c r="E1366" s="3">
        <v>45975.45699074074</v>
      </c>
      <c r="F1366" t="inlineStr">
        <is>
          <t>Fatima Kathleen M. FLores</t>
        </is>
      </c>
      <c r="G1366" t="inlineStr">
        <is>
          <t>Procurement</t>
        </is>
      </c>
      <c r="H1366"/>
      <c r="I1366"/>
      <c r="J1366" t="inlineStr">
        <is>
          <t>Project</t>
        </is>
      </c>
      <c r="K1366" t="inlineStr">
        <is>
          <t>PDEI - Event Service</t>
        </is>
      </c>
      <c r="L1366" t="inlineStr">
        <is>
          <t>MPL PH S16 Addendum 2</t>
        </is>
      </c>
      <c r="M1366" t="inlineStr">
        <is>
          <t>2025TEG-P0299</t>
        </is>
      </c>
      <c r="N1366" t="inlineStr">
        <is>
          <t>Katherine Denise Lee Sy</t>
        </is>
      </c>
      <c r="O1366" t="inlineStr">
        <is>
          <t>202511050143-Katherine Denise Lee Sy-费用报销 - 副本 - 副本 - 副本-2025-11-05 11:49:03</t>
        </is>
      </c>
      <c r="P1366" t="inlineStr">
        <is>
          <t>YES</t>
        </is>
      </c>
      <c r="Q1366"/>
      <c r="R1366" t="inlineStr">
        <is>
          <t>NO</t>
        </is>
      </c>
      <c r="S1366" t="inlineStr">
        <is>
          <t>Outsourced Parking Personnel</t>
        </is>
      </c>
      <c r="T1366">
        <v>1</v>
      </c>
      <c r="U1366">
        <v>30000</v>
      </c>
      <c r="V1366" t="inlineStr">
        <is>
          <t>PHP</t>
        </is>
      </c>
      <c r="W1366">
        <v>30000</v>
      </c>
      <c r="X1366" s="2" t="str">
        <f>=HYPERLINK("https://www.larksuite.com/approval/admin/previewAttachment?key=PMgxqoIxEATgK83sTjLZd5nX_CEIogiiaJGzCxa2Xx9EH43ZCypGgdvNQSnU7dGSTd6xaRdMJ_e8rP8rXzzWlN-6nR-1n6djzTtbOQJOKQcA_v08LamqC1_HJwAA__8", "2 attachment(s)")</f>
        <v>2 attachment(s)</v>
      </c>
      <c r="Y1366" t="inlineStr">
        <is>
          <t>Bank Transfer</t>
        </is>
      </c>
      <c r="Z1366" t="inlineStr">
        <is>
          <t>Josephine A. Abaring</t>
        </is>
      </c>
      <c r="AA1366" t="inlineStr">
        <is>
          <t>109856902494</t>
        </is>
      </c>
      <c r="AB1366" t="inlineStr">
        <is>
          <t>Unionbank</t>
        </is>
      </c>
      <c r="AC1366" t="inlineStr">
        <is>
          <t>74 Barina Compound Access Road Pasay City</t>
        </is>
      </c>
      <c r="AD1366" s="4">
        <v>45952</v>
      </c>
      <c r="AE1366" t="inlineStr">
        <is>
          <t>100% Full Payment - Nov. 14, 2025</t>
        </is>
      </c>
      <c r="AF1366" s="2"/>
      <c r="AG1366" t="inlineStr">
        <is>
          <t>NzQyNTk5MTgyNzQ4MTg3MDM0MTo3QzM3MUIyMy02REIzLTQ4NUMtODNGQS05Nzg5MjRDNkQ4QTEtMTo1YmNjODY5ODg3MjgwMjdhM2FiMmY4NjFlNDQyZWY5ZDox</t>
        </is>
      </c>
      <c r="AH1366" t="inlineStr">
        <is>
          <t>Josephine A. Abaring</t>
        </is>
      </c>
      <c r="AI1366"/>
      <c r="AJ1366" t="inlineStr">
        <is>
          <t>LIQUIDITY PLAN (PAR # 202511030050 / 2025TEG-P0299)
ADDENDUM 2 CE &gt; Parking Personel Payment
Total Budget = Php 30,000.00
Actual Cost = Php 30,000.00</t>
        </is>
      </c>
      <c r="AK1366"/>
    </row>
    <row r="1367" ht="25.5" customHeight="1">
      <c r="A1367" s="2" t="str">
        <f>=HYPERLINK("https://applink.larksuite.com/client/mini_program/open?appId=cli_9c7cc8a9a9edd105&amp;mode=appCenter&amp;path_pc=pc/pages/requested/index?instanceId=7572440013045026527&amp;source=bitable&amp;path=pages/detail/index?instanceId=7572440013045026527&amp;source=bitable", "202511140035")</f>
        <v>202511140035</v>
      </c>
      <c r="B1367" t="inlineStr">
        <is>
          <t>Approved</t>
        </is>
      </c>
      <c r="C1367" t="inlineStr">
        <is>
          <t>Procurement Order</t>
        </is>
      </c>
      <c r="D1367" s="3">
        <v>45975.537986111114</v>
      </c>
      <c r="E1367" s="3">
        <v>45975.67670138889</v>
      </c>
      <c r="F1367" t="inlineStr">
        <is>
          <t>Fatima Kathleen M. FLores</t>
        </is>
      </c>
      <c r="G1367" t="inlineStr">
        <is>
          <t>Procurement</t>
        </is>
      </c>
      <c r="H1367"/>
      <c r="I1367"/>
      <c r="J1367" t="inlineStr">
        <is>
          <t>Project</t>
        </is>
      </c>
      <c r="K1367" t="inlineStr">
        <is>
          <t>GG - Event Service</t>
        </is>
      </c>
      <c r="L1367" t="inlineStr">
        <is>
          <t>KIC 2025 - Group Stage &amp; Knockouts</t>
        </is>
      </c>
      <c r="M1367" t="inlineStr">
        <is>
          <t>2025TEG-P0286</t>
        </is>
      </c>
      <c r="N1367" t="inlineStr">
        <is>
          <t>Carla Andrea Calma Crespo</t>
        </is>
      </c>
      <c r="O1367" t="inlineStr">
        <is>
          <t>202511140019-Carla Andrea Calma Crespo-费用报销 - 副本 - 副本 - 副本-2025-11-14 03:32:25</t>
        </is>
      </c>
      <c r="P1367" t="inlineStr">
        <is>
          <t>NO</t>
        </is>
      </c>
      <c r="Q1367"/>
      <c r="R1367" t="inlineStr">
        <is>
          <t>YES</t>
        </is>
      </c>
      <c r="S1367" t="inlineStr">
        <is>
          <t>LC-LC Patch Cord, Single Mode Simplex (2METERS)</t>
        </is>
      </c>
      <c r="T1367">
        <v>40</v>
      </c>
      <c r="U1367">
        <v>400</v>
      </c>
      <c r="V1367" t="inlineStr">
        <is>
          <t>PHP</t>
        </is>
      </c>
      <c r="W1367">
        <v>16000</v>
      </c>
      <c r="X1367" s="2" t="str">
        <f>=HYPERLINK("https://www.larksuite.com/approval/admin/previewAttachment?key=PMhBqgIxEATQK1V1V1Lpf5m_mTA4giCIIy5ydsGF29cH0Udj9oKKUeByc0gAE2qI3sIrFu2C6eSat_3_pUM6r1uM5_G-z3Vetn0-2MoRcEo5APDv52lJVV34Oj4BAAD__w", "2 attachment(s)")</f>
        <v>2 attachment(s)</v>
      </c>
      <c r="Y1367" t="inlineStr">
        <is>
          <t>Bank Transfer</t>
        </is>
      </c>
      <c r="Z1367" t="inlineStr">
        <is>
          <t>C3E Information Technology Services</t>
        </is>
      </c>
      <c r="AA1367" t="inlineStr">
        <is>
          <t>9023283293</t>
        </is>
      </c>
      <c r="AB1367" t="inlineStr">
        <is>
          <t>RIZAL COMMERCIAL BANKING CORPORATION (RCBC)</t>
        </is>
      </c>
      <c r="AC1367" t="inlineStr">
        <is>
          <t>727 Calabash Road, Sampaloc, Manila</t>
        </is>
      </c>
      <c r="AD1367" s="4">
        <v>45975</v>
      </c>
      <c r="AE1367" t="inlineStr">
        <is>
          <t>50% Down Payment upon confirmation
50% Balance upon completion of delivery / services</t>
        </is>
      </c>
      <c r="AF1367" s="2"/>
      <c r="AG1367" t="inlineStr">
        <is>
          <t>NzQyNTk5MTgyNzQ4MTg3MDM0MTpFQTUyMDUzNi0yOEQ4LTRGNUYtQkE1Ny1CNTA5QTQ0OEVENjctMTowN2YwZmQ5MjAzNTk3NzZlMmIzZWZiYzE1OTAyY2QxNDox</t>
        </is>
      </c>
      <c r="AH1367" t="inlineStr">
        <is>
          <t>C3E Information Technology Services</t>
        </is>
      </c>
      <c r="AI1367"/>
      <c r="AJ1367" t="inlineStr">
        <is>
          <t>No line item in internal CE, but to be charged to the Playoffs CE. These are requested by the ID team.</t>
        </is>
      </c>
      <c r="AK1367"/>
    </row>
    <row r="1368" ht="25.5" customHeight="1">
      <c r="A1368" s="2" t="str">
        <f>=HYPERLINK("https://applink.larksuite.com/client/mini_program/open?appId=cli_9c7cc8a9a9edd105&amp;mode=appCenter&amp;path_pc=pc/pages/requested/index?instanceId=7572964598106607325&amp;source=bitable&amp;path=pages/detail/index?instanceId=7572964598106607325&amp;source=bitable", "202511150025")</f>
        <v>202511150025</v>
      </c>
      <c r="B1368" t="inlineStr">
        <is>
          <t>Approved</t>
        </is>
      </c>
      <c r="C1368" t="inlineStr">
        <is>
          <t>Procurement Order</t>
        </is>
      </c>
      <c r="D1368" s="3">
        <v>45976.951631944445</v>
      </c>
      <c r="E1368" s="3">
        <v>45978.63108796296</v>
      </c>
      <c r="F1368" t="inlineStr">
        <is>
          <t>Fatima Kathleen M. FLores</t>
        </is>
      </c>
      <c r="G1368" t="inlineStr">
        <is>
          <t>Procurement</t>
        </is>
      </c>
      <c r="H1368"/>
      <c r="I1368"/>
      <c r="J1368" t="inlineStr">
        <is>
          <t>Project</t>
        </is>
      </c>
      <c r="K1368" t="inlineStr">
        <is>
          <t>GG - Event Service</t>
        </is>
      </c>
      <c r="L1368" t="inlineStr">
        <is>
          <t>KIC 2025 - Media Day</t>
        </is>
      </c>
      <c r="M1368" t="inlineStr">
        <is>
          <t>2025TEG-P0307</t>
        </is>
      </c>
      <c r="N1368" t="inlineStr">
        <is>
          <t>Maura Aurel Atilano Yap</t>
        </is>
      </c>
      <c r="O1368" t="inlineStr">
        <is>
          <t>202511070101-Randy Vince Fernandez Apura-费用报销 - 副本 - 副本 - 副本-2025-11-07 08:59:11</t>
        </is>
      </c>
      <c r="P1368" t="inlineStr">
        <is>
          <t>NO</t>
        </is>
      </c>
      <c r="Q1368"/>
      <c r="R1368" t="inlineStr">
        <is>
          <t>NO</t>
        </is>
      </c>
      <c r="S1368" t="inlineStr">
        <is>
          <t>Outsourced Photography &amp; Videography Team</t>
        </is>
      </c>
      <c r="T1368">
        <v>1</v>
      </c>
      <c r="U1368">
        <v>420000</v>
      </c>
      <c r="V1368" t="inlineStr">
        <is>
          <t>PHP</t>
        </is>
      </c>
      <c r="W1368">
        <v>420000</v>
      </c>
      <c r="X1368" s="2" t="str">
        <f>=HYPERLINK("https://www.larksuite.com/approval/admin/previewAttachment?key=PMm7jQJBEATQlKq_NX3JnLOjFSAGB7ECo2NHYOC-l0OQI8Sy4CVakGZQKz3qcwmaRmsLWaDQpOfa_y_rtl729O2YZ7s--jht-7xLFFVBc7cBQP5-bnT3qnR8He8AAAD__w", "2 attachment(s)")</f>
        <v>2 attachment(s)</v>
      </c>
      <c r="Y1368" t="inlineStr">
        <is>
          <t>Bank Transfer</t>
        </is>
      </c>
      <c r="Z1368" t="inlineStr">
        <is>
          <t>Leo Angelo Zeta Capeding</t>
        </is>
      </c>
      <c r="AA1368" t="inlineStr">
        <is>
          <t>0000023005038</t>
        </is>
      </c>
      <c r="AB1368" t="inlineStr">
        <is>
          <t>Security Bank</t>
        </is>
      </c>
      <c r="AC1368" t="inlineStr">
        <is>
          <t>Unit 5 Purok 6 Paco Manila</t>
        </is>
      </c>
      <c r="AD1368" s="4">
        <v>45932</v>
      </c>
      <c r="AE1368" t="inlineStr">
        <is>
          <t>70% Down Payment upon confirmation
30% Final payment upon completion of services</t>
        </is>
      </c>
      <c r="AF1368" s="2" t="str">
        <f>=HYPERLINK("https://www.larksuite.com/approval/admin/previewAttachment?key=TMm7DQIxEATQlma8Py_NkJx1AoRJEBYEWzuC6NL3vBPejeIJTbYEKyxaulr-zhHSrFoxIhEMYY25n2_zMT_y1m2Nq9xftS7bPp70Lg5NU2UC4OngJLKLy9_xDQAA__8", "2 attachment(s)")</f>
        <v>2 attachment(s)</v>
      </c>
      <c r="AG1368" t="inlineStr">
        <is>
          <t>NzQyNTk5MTgyNzQ4MTg3MDM0MTpCRUZFMTVGNS1FRjE3LTQzMUItODk0MS05NENGNkU4M0M1ODktMTo3NTBiMjNhNGJlN2Q3NmFhMTZmNjQzNjJjYjdmMDkwMTox</t>
        </is>
      </c>
      <c r="AH1368" t="inlineStr">
        <is>
          <t>TIRADORES MEDIA PRODUCTIONS</t>
        </is>
      </c>
      <c r="AI1368"/>
      <c r="AJ1368" t="inlineStr">
        <is>
          <t>LIQUIDITY PLAN (PAR # 202511070057 / 2025TEG-P0307)
1112 CE Media Day &gt; ON-GROUND DOCUMENTATION &gt;
Tournament Days - Photo &amp; Video Team
Carnival &amp; Mini Battle - Photo &amp; Video Team
Total Budget = Php 540,000.00
Actual Cost = Php 420,000.00
Balance = Php 120,000.00</t>
        </is>
      </c>
      <c r="AK1368"/>
    </row>
    <row r="1369" ht="25.5" customHeight="1">
      <c r="A1369" s="2" t="str">
        <f>=HYPERLINK("https://applink.larksuite.com/client/mini_program/open?appId=cli_9c7cc8a9a9edd105&amp;mode=appCenter&amp;path_pc=pc/pages/requested/index?instanceId=7473033758813831174&amp;source=bitable&amp;path=pages/detail/index?instanceId=7473033758813831174&amp;source=bitable", "202502190051")</f>
        <v>202502190051</v>
      </c>
      <c r="B1369" t="inlineStr">
        <is>
          <t>Approved</t>
        </is>
      </c>
      <c r="C1369" t="inlineStr">
        <is>
          <t>Procurement Order</t>
        </is>
      </c>
      <c r="D1369" s="3">
        <v>45707.658101851855</v>
      </c>
      <c r="E1369" s="3">
        <v>45708.388020833336</v>
      </c>
      <c r="F1369" t="inlineStr">
        <is>
          <t>Fatima Kathleen M. FLores</t>
        </is>
      </c>
      <c r="G1369" t="inlineStr">
        <is>
          <t>Procurement</t>
        </is>
      </c>
      <c r="H1369"/>
      <c r="I1369"/>
      <c r="J1369" t="inlineStr">
        <is>
          <t>Project</t>
        </is>
      </c>
      <c r="K1369" t="inlineStr">
        <is>
          <t>PDEI - Event Service</t>
        </is>
      </c>
      <c r="L1369" t="inlineStr">
        <is>
          <t>MPL PH S15</t>
        </is>
      </c>
      <c r="M1369" t="inlineStr">
        <is>
          <t>2024TEG-P0430</t>
        </is>
      </c>
      <c r="N1369" t="inlineStr">
        <is>
          <t>Tiny</t>
        </is>
      </c>
      <c r="O1369" t="inlineStr">
        <is>
          <t>202502170119-Tiny-费用报销 - 副本 - 副本 - 副本-2025-02-17 18:16:15</t>
        </is>
      </c>
      <c r="P1369" t="inlineStr">
        <is>
          <t>NO</t>
        </is>
      </c>
      <c r="Q1369"/>
      <c r="R1369" t="inlineStr">
        <is>
          <t>YES</t>
        </is>
      </c>
      <c r="S1369" t="inlineStr">
        <is>
          <t>Premium Line Fiber optic outdoor cable, steel armored with central steel wire strength member (200M)</t>
        </is>
      </c>
      <c r="T1369">
        <v>1</v>
      </c>
      <c r="U1369">
        <v>31027.3</v>
      </c>
      <c r="V1369" t="inlineStr">
        <is>
          <t>PHP</t>
        </is>
      </c>
      <c r="W1369">
        <v>31027.3</v>
      </c>
      <c r="X1369" s="2" t="str">
        <f>=HYPERLINK("https://www.larksuite.com/approval/admin/previewAttachment?key=PMhNCkIxDATgK800aSfxMm76ePiPIBZc5OyCC7ffCGJEp42EJ1uCJZfBTD2CFkbKqxWlhDgiarvvx8-a5-vtqUdfl_eatU5z317sqdYgc7cAwMPfTe6eORw_xzcAAP__", "2 attachment(s)")</f>
        <v>2 attachment(s)</v>
      </c>
      <c r="Y1369" t="inlineStr">
        <is>
          <t>Bank Transfer</t>
        </is>
      </c>
      <c r="Z1369" t="inlineStr">
        <is>
          <t>C3E Information Technology Services</t>
        </is>
      </c>
      <c r="AA1369" t="inlineStr">
        <is>
          <t>9023283293</t>
        </is>
      </c>
      <c r="AB1369" t="inlineStr">
        <is>
          <t>RIZAL COMMERCIAL BANKING CORPORATION (RCBC)</t>
        </is>
      </c>
      <c r="AC1369" t="inlineStr">
        <is>
          <t>727 Calabash Road, Sampaloc, Manila</t>
        </is>
      </c>
      <c r="AD1369" s="4">
        <v>45709</v>
      </c>
      <c r="AE1369" t="inlineStr">
        <is>
          <t>100% Full payment upon complete delivery</t>
        </is>
      </c>
      <c r="AF1369" s="2"/>
      <c r="AG1369" t="inlineStr">
        <is>
          <t>NzQyNTk5MTgyNzQ4MTg3MDM0MTpEMjM0REVFQi0zMDlCLTRFMjUtQTg5Ny0wRENENUUwNkNFMEItMToxZWEwMTkxYWY4YzYyZjQwMGY4OWIxMzZmMzRkODI2Nzox</t>
        </is>
      </c>
      <c r="AH1369"/>
      <c r="AI1369"/>
      <c r="AJ1369"/>
      <c r="AK1369"/>
    </row>
    <row r="1370" ht="25.5" customHeight="1">
      <c r="A1370" s="2" t="str">
        <f>=HYPERLINK("https://applink.larksuite.com/client/mini_program/open?appId=cli_9c7cc8a9a9edd105&amp;mode=appCenter&amp;path_pc=pc/pages/requested/index?instanceId=7473461667469213708&amp;source=bitable&amp;path=pages/detail/index?instanceId=7473461667469213708&amp;source=bitable", "202502200074")</f>
        <v>202502200074</v>
      </c>
      <c r="B1370" t="inlineStr">
        <is>
          <t>Approved</t>
        </is>
      </c>
      <c r="C1370" t="inlineStr">
        <is>
          <t>Procurement Order</t>
        </is>
      </c>
      <c r="D1370" s="3">
        <v>45708.81122685185</v>
      </c>
      <c r="E1370" s="3">
        <v>45709.4699537037</v>
      </c>
      <c r="F1370" t="inlineStr">
        <is>
          <t>Fatima Kathleen M. FLores</t>
        </is>
      </c>
      <c r="G1370" t="inlineStr">
        <is>
          <t>Procurement</t>
        </is>
      </c>
      <c r="H1370"/>
      <c r="I1370"/>
      <c r="J1370" t="inlineStr">
        <is>
          <t>Project</t>
        </is>
      </c>
      <c r="K1370" t="inlineStr">
        <is>
          <t>PDEI - Event Service</t>
        </is>
      </c>
      <c r="L1370" t="inlineStr">
        <is>
          <t>HOK Invitational S3</t>
        </is>
      </c>
      <c r="M1370" t="inlineStr">
        <is>
          <t>2025TEG-P0027</t>
        </is>
      </c>
      <c r="N1370" t="inlineStr">
        <is>
          <t>Duane Aaron Baret Cadangan</t>
        </is>
      </c>
      <c r="O1370" t="inlineStr">
        <is>
          <t>202502070055-Duane Aaron Baret Cadangan-费用报销 - 副本 - 副本 - 副本-2025-02-07 10:30:30</t>
        </is>
      </c>
      <c r="P1370" t="inlineStr">
        <is>
          <t>YES</t>
        </is>
      </c>
      <c r="Q1370"/>
      <c r="R1370" t="inlineStr">
        <is>
          <t>YES</t>
        </is>
      </c>
      <c r="S1370" t="inlineStr">
        <is>
          <t>Outsourced Video Editor</t>
        </is>
      </c>
      <c r="T1370">
        <v>1</v>
      </c>
      <c r="U1370">
        <v>77777.78</v>
      </c>
      <c r="V1370" t="inlineStr">
        <is>
          <t>PHP</t>
        </is>
      </c>
      <c r="W1370">
        <v>77777.78</v>
      </c>
      <c r="X1370" s="2" t="str">
        <f>=HYPERLINK("https://www.larksuite.com/approval/admin/previewAttachment?key=PMgxqgJhDATgK80k-TPJu8xrXBaLVQRZscnZBQvbL4vIWvRsRNMaHIU8kpmKbKMLNTaUGmJWzXbb_4_1Pu8n7VFLx7J5XS_79uRqmUEe4QWAfz93RUR3Br6OTwAAAP__", "2 attachment(s)")</f>
        <v>2 attachment(s)</v>
      </c>
      <c r="Y1370" t="inlineStr">
        <is>
          <t>Bank Transfer</t>
        </is>
      </c>
      <c r="Z1370" t="inlineStr">
        <is>
          <t>Jeric Angelo C. Asinas</t>
        </is>
      </c>
      <c r="AA1370" t="inlineStr">
        <is>
          <t>4519301747</t>
        </is>
      </c>
      <c r="AB1370" t="inlineStr">
        <is>
          <t>BPI</t>
        </is>
      </c>
      <c r="AC1370" t="inlineStr">
        <is>
          <t>1723 Lirio St. Camarin, Brgy 174 Caloocan City</t>
        </is>
      </c>
      <c r="AD1370" s="4">
        <v>45670</v>
      </c>
      <c r="AE1370" t="inlineStr">
        <is>
          <t>1st Payment - Feb. 21, 2025
Final Payment - March 14, 2025</t>
        </is>
      </c>
      <c r="AF1370" s="2"/>
      <c r="AG1370" t="inlineStr">
        <is>
          <t>NzQyNTk5MTgyNzQ4MTg3MDM0MTo4QzM2NTEyQi04OTA4LTRDNTctQUQwMy0zOEEzN0IzNkNGNTgtMTpkYTZmYmZmNGFiMDdhOTUyM2E4OTY2ZGIwOGY5NTk5OTox</t>
        </is>
      </c>
      <c r="AH1370"/>
      <c r="AI1370"/>
      <c r="AJ1370"/>
      <c r="AK1370"/>
    </row>
    <row r="1371" ht="25.5" customHeight="1">
      <c r="A1371" s="2" t="str">
        <f>=HYPERLINK("https://applink.larksuite.com/client/mini_program/open?appId=cli_9c7cc8a9a9edd105&amp;mode=appCenter&amp;path_pc=pc/pages/requested/index?instanceId=7473463473175805964&amp;source=bitable&amp;path=pages/detail/index?instanceId=7473463473175805964&amp;source=bitable", "202502200078")</f>
        <v>202502200078</v>
      </c>
      <c r="B1371" t="inlineStr">
        <is>
          <t>Approved</t>
        </is>
      </c>
      <c r="C1371" t="inlineStr">
        <is>
          <t>Procurement Order</t>
        </is>
      </c>
      <c r="D1371" s="3">
        <v>45708.816087962965</v>
      </c>
      <c r="E1371" s="3">
        <v>45709.47655092592</v>
      </c>
      <c r="F1371" t="inlineStr">
        <is>
          <t>Fatima Kathleen M. FLores</t>
        </is>
      </c>
      <c r="G1371" t="inlineStr">
        <is>
          <t>Procurement</t>
        </is>
      </c>
      <c r="H1371"/>
      <c r="I1371"/>
      <c r="J1371" t="inlineStr">
        <is>
          <t>Project</t>
        </is>
      </c>
      <c r="K1371" t="inlineStr">
        <is>
          <t>PDEI - Event Service</t>
        </is>
      </c>
      <c r="L1371" t="inlineStr">
        <is>
          <t>HOK Invitational S3</t>
        </is>
      </c>
      <c r="M1371" t="inlineStr">
        <is>
          <t>2025TEG-P0027</t>
        </is>
      </c>
      <c r="N1371" t="inlineStr">
        <is>
          <t>Duane Aaron Baret Cadangan</t>
        </is>
      </c>
      <c r="O1371" t="inlineStr">
        <is>
          <t>202502070056-Duane Aaron Baret Cadangan-费用报销 - 副本 - 副本 - 副本-2025-02-07 10:34:03</t>
        </is>
      </c>
      <c r="P1371" t="inlineStr">
        <is>
          <t>YES</t>
        </is>
      </c>
      <c r="Q1371"/>
      <c r="R1371" t="inlineStr">
        <is>
          <t>YES</t>
        </is>
      </c>
      <c r="S1371" t="inlineStr">
        <is>
          <t>Outsourced Assistant Project Manager</t>
        </is>
      </c>
      <c r="T1371">
        <v>1</v>
      </c>
      <c r="U1371">
        <v>37000</v>
      </c>
      <c r="V1371" t="inlineStr">
        <is>
          <t>PHP</t>
        </is>
      </c>
      <c r="W1371">
        <v>37000</v>
      </c>
      <c r="X1371" s="2" t="str">
        <f>=HYPERLINK("https://www.larksuite.com/approval/admin/previewAttachment?key=PMhBCgIxDAXQK_00v_mJl3FjKYIMDAhDNz274GK2L9IQ2c2jwLJWsC3KGU65qSd6BXfbJhVkkbnHMZ9-XDqXLc3z42vs6_2a42u91BrkpCcAe9zuIlkVxN_xCwAA__8", "2 attachment(s)")</f>
        <v>2 attachment(s)</v>
      </c>
      <c r="Y1371" t="inlineStr">
        <is>
          <t>Bank Transfer</t>
        </is>
      </c>
      <c r="Z1371" t="inlineStr">
        <is>
          <t>Sophia Ivy Cinco</t>
        </is>
      </c>
      <c r="AA1371" t="inlineStr">
        <is>
          <t>010640080588</t>
        </is>
      </c>
      <c r="AB1371" t="inlineStr">
        <is>
          <t>BDO</t>
        </is>
      </c>
      <c r="AC1371" t="inlineStr">
        <is>
          <t>1329 Castaños St., Sampaloc Manila</t>
        </is>
      </c>
      <c r="AD1371" s="4">
        <v>45705</v>
      </c>
      <c r="AE1371" t="inlineStr">
        <is>
          <t>1st Payment - Feb. 21, 2025
Final Payment - March 21, 2025</t>
        </is>
      </c>
      <c r="AF1371" s="2"/>
      <c r="AG1371" t="inlineStr">
        <is>
          <t>NzQyNTk5MTgyNzQ4MTg3MDM0MTo3OTVFRDM1Qi0yMzA4LTQ1MDEtODlCNy1FQjJFQ0JGOTJFRkUtMTo0YTYxZDIyNDQyNzE4YjIzNzBhODI1MTY1OGY4MjQxMDox</t>
        </is>
      </c>
      <c r="AH1371"/>
      <c r="AI1371"/>
      <c r="AJ1371"/>
      <c r="AK1371"/>
    </row>
    <row r="1372" ht="25.5" customHeight="1">
      <c r="A1372" s="2" t="str">
        <f>=HYPERLINK("https://applink.larksuite.com/client/mini_program/open?appId=cli_9c7cc8a9a9edd105&amp;mode=appCenter&amp;path_pc=pc/pages/requested/index?instanceId=7474087519404097548&amp;source=bitable&amp;path=pages/detail/index?instanceId=7474087519404097548&amp;source=bitable", "202502220009")</f>
        <v>202502220009</v>
      </c>
      <c r="B1372" t="inlineStr">
        <is>
          <t>Approved</t>
        </is>
      </c>
      <c r="C1372" t="inlineStr">
        <is>
          <t>Procurement Order</t>
        </is>
      </c>
      <c r="D1372" s="3">
        <v>45710.497777777775</v>
      </c>
      <c r="E1372" s="3">
        <v>45712.61854166666</v>
      </c>
      <c r="F1372" t="inlineStr">
        <is>
          <t>Arlyn Castillo</t>
        </is>
      </c>
      <c r="G1372" t="inlineStr">
        <is>
          <t>Procurement</t>
        </is>
      </c>
      <c r="H1372"/>
      <c r="I1372"/>
      <c r="J1372" t="inlineStr">
        <is>
          <t>Project</t>
        </is>
      </c>
      <c r="K1372" t="inlineStr">
        <is>
          <t>PDEI - Event Service</t>
        </is>
      </c>
      <c r="L1372" t="inlineStr">
        <is>
          <t>MPL PH S15</t>
        </is>
      </c>
      <c r="M1372" t="inlineStr">
        <is>
          <t>2024TEG-P0430</t>
        </is>
      </c>
      <c r="N1372" t="inlineStr">
        <is>
          <t>Tiny</t>
        </is>
      </c>
      <c r="O1372" t="inlineStr">
        <is>
          <t>202502170115-Tiny-费用报销 - 副本 - 副本 - 副本-2025-02-17 18:01:17</t>
        </is>
      </c>
      <c r="P1372" t="inlineStr">
        <is>
          <t>NO</t>
        </is>
      </c>
      <c r="Q1372"/>
      <c r="R1372" t="inlineStr">
        <is>
          <t>YES</t>
        </is>
      </c>
      <c r="S1372" t="inlineStr">
        <is>
          <t>Customized Feather Banner (MPL Logo) - No Mechanism (2x7ft)</t>
        </is>
      </c>
      <c r="T1372">
        <v>8</v>
      </c>
      <c r="U1372">
        <v>2800</v>
      </c>
      <c r="V1372" t="inlineStr">
        <is>
          <t>PHP</t>
        </is>
      </c>
      <c r="W1372">
        <v>22400</v>
      </c>
      <c r="X1372" s="2" t="str">
        <f>=HYPERLINK("https://www.larksuite.com/approval/admin/previewAttachment?key=PMgxCgIxFATQK81PJpk_XsYmYRHBSlht_tkFi23fzMDMEX0adDQjShSRGmGCsAazWoVkKGZm7ddxb-f67AU_t2J_R52Pdex3DKs1qJM9AcTt8i6S9iT-jl8AAAD__w", "2 attachment(s)")</f>
        <v>2 attachment(s)</v>
      </c>
      <c r="Y1372" t="inlineStr">
        <is>
          <t>Bank Transfer</t>
        </is>
      </c>
      <c r="Z1372" t="inlineStr">
        <is>
          <t>MARB PRINTING SERVICES</t>
        </is>
      </c>
      <c r="AA1372" t="inlineStr">
        <is>
          <t>000288066181</t>
        </is>
      </c>
      <c r="AB1372" t="inlineStr">
        <is>
          <t>BDO</t>
        </is>
      </c>
      <c r="AC1372" t="inlineStr">
        <is>
          <t>31st Ave., 2F Le Nuovo Bldg., Cor. JP Rizal St., East Rembo, Makati City</t>
        </is>
      </c>
      <c r="AD1372" s="4">
        <v>45712</v>
      </c>
      <c r="AE1372" t="inlineStr">
        <is>
          <t>75% Down payment - Feb. 24
25% Full payment before delivery/pick-up - Feb. 15</t>
        </is>
      </c>
      <c r="AF1372" s="2"/>
      <c r="AG1372" t="inlineStr">
        <is>
          <t>NzQyNTk5MTgyNzQ4MTg3MDM0MTpGNjk3OEYwRC1FMkZCLTQ1NjgtOTY5OS04Rjk4MEMwNDE2MTgtMTpjY2VhNTY2ZmRmZjQ5ZDE3ZmUzNWZjZmQxMGNkMTMyMzox</t>
        </is>
      </c>
      <c r="AH1372"/>
      <c r="AI1372"/>
      <c r="AJ1372"/>
      <c r="AK1372"/>
    </row>
    <row r="1373" ht="25.5" customHeight="1">
      <c r="A1373" s="2" t="str">
        <f>=HYPERLINK("https://applink.larksuite.com/client/mini_program/open?appId=cli_9c7cc8a9a9edd105&amp;mode=appCenter&amp;path_pc=pc/pages/requested/index?instanceId=7474087519404097548&amp;source=bitable&amp;path=pages/detail/index?instanceId=7474087519404097548&amp;source=bitable", "202502220009")</f>
        <v>202502220009</v>
      </c>
      <c r="B1373" t="inlineStr">
        <is>
          <t>Approved</t>
        </is>
      </c>
      <c r="C1373" t="inlineStr">
        <is>
          <t>Procurement Order</t>
        </is>
      </c>
      <c r="D1373" s="3">
        <v>45710.497777777775</v>
      </c>
      <c r="E1373" s="3">
        <v>45712.61854166666</v>
      </c>
      <c r="F1373" t="inlineStr">
        <is>
          <t>Arlyn Castillo</t>
        </is>
      </c>
      <c r="G1373" t="inlineStr">
        <is>
          <t>Procurement</t>
        </is>
      </c>
      <c r="H1373"/>
      <c r="I1373"/>
      <c r="J1373" t="inlineStr">
        <is>
          <t>Project</t>
        </is>
      </c>
      <c r="K1373" t="inlineStr">
        <is>
          <t>PDEI - Event Service</t>
        </is>
      </c>
      <c r="L1373" t="inlineStr">
        <is>
          <t>MPL PH S15</t>
        </is>
      </c>
      <c r="M1373" t="inlineStr">
        <is>
          <t>2024TEG-P0430</t>
        </is>
      </c>
      <c r="N1373" t="inlineStr">
        <is>
          <t>Tiny</t>
        </is>
      </c>
      <c r="O1373" t="inlineStr">
        <is>
          <t>202502170115-Tiny-费用报销 - 副本 - 副本 - 副本-2025-02-17 18:01:17</t>
        </is>
      </c>
      <c r="P1373" t="inlineStr">
        <is>
          <t>NO</t>
        </is>
      </c>
      <c r="Q1373"/>
      <c r="R1373" t="inlineStr">
        <is>
          <t>YES</t>
        </is>
      </c>
      <c r="S1373" t="inlineStr">
        <is>
          <t>Customized Feather Banner (Team Logo) - No Mechanism (2x7ft)</t>
        </is>
      </c>
      <c r="T1373">
        <v>8</v>
      </c>
      <c r="U1373">
        <v>2800</v>
      </c>
      <c r="V1373" t="inlineStr">
        <is>
          <t>PHP</t>
        </is>
      </c>
      <c r="W1373">
        <v>22400</v>
      </c>
      <c r="X1373" s="2" t="str">
        <f>=HYPERLINK("https://www.larksuite.com/approval/admin/previewAttachment?key=PMgxCgIxFATQK80kk8z_XsYmYRHBSlht_tkFi23fDGLGYJ8JJVuCZVkID6YgpIeiWtFOmDOi9uu4t3N99kI-t7m_o87HOvabI90a3KUeAHi7vFtS5hT-zl8AAAD__w", "2 attachment(s)")</f>
        <v>2 attachment(s)</v>
      </c>
      <c r="Y1373"/>
      <c r="Z1373"/>
      <c r="AA1373"/>
      <c r="AB1373"/>
      <c r="AC1373"/>
      <c r="AD1373" s="4"/>
      <c r="AE1373"/>
      <c r="AF1373" s="2"/>
      <c r="AG1373" t="inlineStr">
        <is>
          <t>NzQyNTk5MTgyNzQ4MTg3MDM0MTpGNjk3OEYwRC1FMkZCLTQ1NjgtOTY5OS04Rjk4MEMwNDE2MTgtMjplMTBiN2Y4YWU5MzIyNmIzYTU0ZTAzMTcyMWJmNjYxMDox</t>
        </is>
      </c>
      <c r="AH1373"/>
      <c r="AI1373"/>
      <c r="AJ1373"/>
      <c r="AK1373"/>
    </row>
    <row r="1374" ht="25.5" customHeight="1">
      <c r="A1374" s="2" t="str">
        <f>=HYPERLINK("https://applink.larksuite.com/client/mini_program/open?appId=cli_9c7cc8a9a9edd105&amp;mode=appCenter&amp;path_pc=pc/pages/requested/index?instanceId=7474087519404097548&amp;source=bitable&amp;path=pages/detail/index?instanceId=7474087519404097548&amp;source=bitable", "202502220009")</f>
        <v>202502220009</v>
      </c>
      <c r="B1374" t="inlineStr">
        <is>
          <t>Approved</t>
        </is>
      </c>
      <c r="C1374" t="inlineStr">
        <is>
          <t>Procurement Order</t>
        </is>
      </c>
      <c r="D1374" s="3">
        <v>45710.497777777775</v>
      </c>
      <c r="E1374" s="3">
        <v>45712.61854166666</v>
      </c>
      <c r="F1374" t="inlineStr">
        <is>
          <t>Arlyn Castillo</t>
        </is>
      </c>
      <c r="G1374" t="inlineStr">
        <is>
          <t>Procurement</t>
        </is>
      </c>
      <c r="H1374"/>
      <c r="I1374"/>
      <c r="J1374" t="inlineStr">
        <is>
          <t>Project</t>
        </is>
      </c>
      <c r="K1374" t="inlineStr">
        <is>
          <t>PDEI - Event Service</t>
        </is>
      </c>
      <c r="L1374" t="inlineStr">
        <is>
          <t>MPL PH S15</t>
        </is>
      </c>
      <c r="M1374" t="inlineStr">
        <is>
          <t>2024TEG-P0430</t>
        </is>
      </c>
      <c r="N1374" t="inlineStr">
        <is>
          <t>Tiny</t>
        </is>
      </c>
      <c r="O1374" t="inlineStr">
        <is>
          <t>202502170115-Tiny-费用报销 - 副本 - 副本 - 副本-2025-02-17 18:01:17</t>
        </is>
      </c>
      <c r="P1374" t="inlineStr">
        <is>
          <t>NO</t>
        </is>
      </c>
      <c r="Q1374"/>
      <c r="R1374" t="inlineStr">
        <is>
          <t>YES</t>
        </is>
      </c>
      <c r="S1374" t="inlineStr">
        <is>
          <t>Rush Fee</t>
        </is>
      </c>
      <c r="T1374">
        <v>1</v>
      </c>
      <c r="U1374">
        <v>3000</v>
      </c>
      <c r="V1374" t="inlineStr">
        <is>
          <t>PHP</t>
        </is>
      </c>
      <c r="W1374">
        <v>3000</v>
      </c>
      <c r="X1374" s="2" t="str">
        <f>=HYPERLINK("https://www.larksuite.com/approval/admin/previewAttachment?key=PMgxCgIxFATQK83_mWT-eBmbhEUEK2G1ydkFi23fqMCoHm0YdKQRWxRR6mGCsDpr5w7JUIyqvV7HPc_5WRN-LsX69n0-5rHe0a1MqJGtAMTt8iaS9iD-nr8AAAD__w", "2 attachment(s)")</f>
        <v>2 attachment(s)</v>
      </c>
      <c r="Y1374"/>
      <c r="Z1374"/>
      <c r="AA1374"/>
      <c r="AB1374"/>
      <c r="AC1374"/>
      <c r="AD1374" s="4"/>
      <c r="AE1374"/>
      <c r="AF1374" s="2"/>
      <c r="AG1374" t="inlineStr">
        <is>
          <t>NzQyNTk5MTgyNzQ4MTg3MDM0MTpGNjk3OEYwRC1FMkZCLTQ1NjgtOTY5OS04Rjk4MEMwNDE2MTgtMzowN2RkYmEwNTJhNjA3M2RhZGVhOGEyZjJkYmU0MzM3MDox</t>
        </is>
      </c>
      <c r="AH1374"/>
      <c r="AI1374"/>
      <c r="AJ1374"/>
      <c r="AK1374"/>
    </row>
    <row r="1375" ht="25.5" customHeight="1">
      <c r="A1375" s="2" t="str">
        <f>=HYPERLINK("https://applink.larksuite.com/client/mini_program/open?appId=cli_9c7cc8a9a9edd105&amp;mode=appCenter&amp;path_pc=pc/pages/requested/index?instanceId=7474082296769806348&amp;source=bitable&amp;path=pages/detail/index?instanceId=7474082296769806348&amp;source=bitable", "202502220005")</f>
        <v>202502220005</v>
      </c>
      <c r="B1375" t="inlineStr">
        <is>
          <t>Approved</t>
        </is>
      </c>
      <c r="C1375" t="inlineStr">
        <is>
          <t>Procurement Order</t>
        </is>
      </c>
      <c r="D1375" s="3">
        <v>45710.48370370371</v>
      </c>
      <c r="E1375" s="3">
        <v>45715.92061342593</v>
      </c>
      <c r="F1375" t="inlineStr">
        <is>
          <t>Arlyn Castillo</t>
        </is>
      </c>
      <c r="G1375" t="inlineStr">
        <is>
          <t>Procurement</t>
        </is>
      </c>
      <c r="H1375"/>
      <c r="I1375"/>
      <c r="J1375" t="inlineStr">
        <is>
          <t>Project</t>
        </is>
      </c>
      <c r="K1375" t="inlineStr">
        <is>
          <t>PDEI - Event Service</t>
        </is>
      </c>
      <c r="L1375" t="inlineStr">
        <is>
          <t>HOK Invitational S3</t>
        </is>
      </c>
      <c r="M1375" t="inlineStr">
        <is>
          <t>2025TEG-P0027</t>
        </is>
      </c>
      <c r="N1375" t="inlineStr">
        <is>
          <t>Duane Aaron Baret Cadangan</t>
        </is>
      </c>
      <c r="O1375" t="inlineStr">
        <is>
          <t>202502220002-Duane Aaron Baret Cadangan-费用报销 - 副本 - 副本 - 副本-2025-02-22 02:47:39</t>
        </is>
      </c>
      <c r="P1375" t="inlineStr">
        <is>
          <t>NO</t>
        </is>
      </c>
      <c r="Q1375"/>
      <c r="R1375" t="inlineStr">
        <is>
          <t>YES</t>
        </is>
      </c>
      <c r="S1375" t="inlineStr">
        <is>
          <t>Customized Country Flags</t>
        </is>
      </c>
      <c r="T1375">
        <v>5</v>
      </c>
      <c r="U1375">
        <v>3900</v>
      </c>
      <c r="V1375" t="inlineStr">
        <is>
          <t>PHP</t>
        </is>
      </c>
      <c r="W1375">
        <v>19500</v>
      </c>
      <c r="X1375" s="2" t="str">
        <f>=HYPERLINK("https://www.larksuite.com/approval/admin/previewAttachment?key=PMixDUIxDATQlc72fdvHMjSJIhoqRKgyOxIF7cs2ZF8WKVDmgp1iEe2urFQjg338WJVQlt1nPtfd9_jMNcf2YdHvsx9jzZddKndUkNEA7Pb3KJJSEj_HNwAA__8", "6 attachment(s)")</f>
        <v>6 attachment(s)</v>
      </c>
      <c r="Y1375" t="inlineStr">
        <is>
          <t>Bank Transfer</t>
        </is>
      </c>
      <c r="Z1375" t="inlineStr">
        <is>
          <t>VVC-Y CUSTOMSPORTS APPARALIZE PRINTING SERVICES</t>
        </is>
      </c>
      <c r="AA1375" t="inlineStr">
        <is>
          <t>8260-0084-72</t>
        </is>
      </c>
      <c r="AB1375" t="inlineStr">
        <is>
          <t>BPI</t>
        </is>
      </c>
      <c r="AC1375" t="inlineStr">
        <is>
          <t>Unit5 Palanyag Road Corner Eriberta Lane, San Dionisio, ParañaqueCity</t>
        </is>
      </c>
      <c r="AD1375" s="4">
        <v>45710</v>
      </c>
      <c r="AE1375" t="inlineStr">
        <is>
          <t>UNBUDGETED/NO LINE ITEM</t>
        </is>
      </c>
      <c r="AF1375" s="2"/>
      <c r="AG1375" t="inlineStr">
        <is>
          <t>NzQyNTk5MTgyNzQ4MTg3MDM0MTpFMEJERDBFMi1DN0M5LTQ4RTMtQTJGOC1CNDkzRjQ5M0EyMDQtMTpjOTVmOTg2MDBkNmRkNjQ0ZWY5ODgyYTY1MzUwODg5Mjox</t>
        </is>
      </c>
      <c r="AH1375"/>
      <c r="AI1375"/>
      <c r="AJ1375"/>
      <c r="AK1375"/>
    </row>
    <row r="1376" ht="25.5" customHeight="1">
      <c r="A1376" s="2" t="str">
        <f>=HYPERLINK("https://applink.larksuite.com/client/mini_program/open?appId=cli_9c7cc8a9a9edd105&amp;mode=appCenter&amp;path_pc=pc/pages/requested/index?instanceId=7474082296769806348&amp;source=bitable&amp;path=pages/detail/index?instanceId=7474082296769806348&amp;source=bitable", "202502220005")</f>
        <v>202502220005</v>
      </c>
      <c r="B1376" t="inlineStr">
        <is>
          <t>Approved</t>
        </is>
      </c>
      <c r="C1376" t="inlineStr">
        <is>
          <t>Procurement Order</t>
        </is>
      </c>
      <c r="D1376" s="3">
        <v>45710.48370370371</v>
      </c>
      <c r="E1376" s="3">
        <v>45715.92061342593</v>
      </c>
      <c r="F1376" t="inlineStr">
        <is>
          <t>Arlyn Castillo</t>
        </is>
      </c>
      <c r="G1376" t="inlineStr">
        <is>
          <t>Procurement</t>
        </is>
      </c>
      <c r="H1376"/>
      <c r="I1376"/>
      <c r="J1376" t="inlineStr">
        <is>
          <t>Project</t>
        </is>
      </c>
      <c r="K1376" t="inlineStr">
        <is>
          <t>PDEI - Event Service</t>
        </is>
      </c>
      <c r="L1376" t="inlineStr">
        <is>
          <t>HOK Invitational S3</t>
        </is>
      </c>
      <c r="M1376" t="inlineStr">
        <is>
          <t>2025TEG-P0027</t>
        </is>
      </c>
      <c r="N1376" t="inlineStr">
        <is>
          <t>Duane Aaron Baret Cadangan</t>
        </is>
      </c>
      <c r="O1376" t="inlineStr">
        <is>
          <t>202502220002-Duane Aaron Baret Cadangan-费用报销 - 副本 - 副本 - 副本-2025-02-22 02:47:39</t>
        </is>
      </c>
      <c r="P1376" t="inlineStr">
        <is>
          <t>NO</t>
        </is>
      </c>
      <c r="Q1376"/>
      <c r="R1376" t="inlineStr">
        <is>
          <t>YES</t>
        </is>
      </c>
      <c r="S1376" t="inlineStr">
        <is>
          <t>Rush Fee</t>
        </is>
      </c>
      <c r="T1376">
        <v>5</v>
      </c>
      <c r="U1376">
        <v>200</v>
      </c>
      <c r="V1376" t="inlineStr">
        <is>
          <t>PHP</t>
        </is>
      </c>
      <c r="W1376">
        <v>1000</v>
      </c>
      <c r="X1376" s="2"/>
      <c r="Y1376"/>
      <c r="Z1376"/>
      <c r="AA1376"/>
      <c r="AB1376"/>
      <c r="AC1376"/>
      <c r="AD1376" s="4"/>
      <c r="AE1376"/>
      <c r="AF1376" s="2"/>
      <c r="AG1376" t="inlineStr">
        <is>
          <t>NzQyNTk5MTgyNzQ4MTg3MDM0MTpFMEJERDBFMi1DN0M5LTQ4RTMtQTJGOC1CNDkzRjQ5M0EyMDQtMjo5ZmFhMWQ4YTZlMDA3ZDExNzRlYmM0MDNjMjBlNWFjNzox</t>
        </is>
      </c>
      <c r="AH1376"/>
      <c r="AI1376"/>
      <c r="AJ1376"/>
      <c r="AK1376"/>
    </row>
    <row r="1377" ht="25.5" customHeight="1">
      <c r="A1377" s="2" t="str">
        <f>=HYPERLINK("https://applink.larksuite.com/client/mini_program/open?appId=cli_9c7cc8a9a9edd105&amp;mode=appCenter&amp;path_pc=pc/pages/requested/index?instanceId=7474822983329103884&amp;source=bitable&amp;path=pages/detail/index?instanceId=7474822983329103884&amp;source=bitable", "202502240011")</f>
        <v>202502240011</v>
      </c>
      <c r="B1377" t="inlineStr">
        <is>
          <t>Approved</t>
        </is>
      </c>
      <c r="C1377" t="inlineStr">
        <is>
          <t>Procurement Order</t>
        </is>
      </c>
      <c r="D1377" s="3">
        <v>45712.47969907407</v>
      </c>
      <c r="E1377" s="3">
        <v>45712.61635416667</v>
      </c>
      <c r="F1377" t="inlineStr">
        <is>
          <t>Fatima Kathleen M. FLores</t>
        </is>
      </c>
      <c r="G1377" t="inlineStr">
        <is>
          <t>Procurement</t>
        </is>
      </c>
      <c r="H1377"/>
      <c r="I1377"/>
      <c r="J1377" t="inlineStr">
        <is>
          <t>Project</t>
        </is>
      </c>
      <c r="K1377" t="inlineStr">
        <is>
          <t>PDEI - Event Service</t>
        </is>
      </c>
      <c r="L1377" t="inlineStr">
        <is>
          <t>MPL PH S15</t>
        </is>
      </c>
      <c r="M1377" t="inlineStr">
        <is>
          <t>2024TEG-P0430</t>
        </is>
      </c>
      <c r="N1377" t="inlineStr">
        <is>
          <t>Tiny</t>
        </is>
      </c>
      <c r="O1377" t="inlineStr">
        <is>
          <t>202502180010-Tiny-费用报销 - 副本 - 副本 - 副本-2025-02-18 02:25:49</t>
        </is>
      </c>
      <c r="P1377" t="inlineStr">
        <is>
          <t>NO</t>
        </is>
      </c>
      <c r="Q1377"/>
      <c r="R1377" t="inlineStr">
        <is>
          <t>YES</t>
        </is>
      </c>
      <c r="S1377" t="inlineStr">
        <is>
          <t xml:space="preserve">Waterproof Wristband with security cut </t>
        </is>
      </c>
      <c r="T1377">
        <v>18240</v>
      </c>
      <c r="U1377">
        <v>3.696</v>
      </c>
      <c r="V1377" t="inlineStr">
        <is>
          <t>PHP</t>
        </is>
      </c>
      <c r="W1377">
        <v>67415.04</v>
      </c>
      <c r="X1377" s="2" t="str">
        <f>=HYPERLINK("https://www.larksuite.com/approval/admin/previewAttachment?key=PMhNqsIADATgK02SaTJ5l3kbSxGhRRD_Fjm74MLtlzKkFotssM0bNsWi3FsR3oaQOD5W1ShLadZ9-3_ycF3fe8Xlfrwwj_NpW2-2dLmjggwBsL-fR5HsTuLr-AQAAP__", "2 attachment(s)")</f>
        <v>2 attachment(s)</v>
      </c>
      <c r="Y1377" t="inlineStr">
        <is>
          <t>Bank Transfer</t>
        </is>
      </c>
      <c r="Z1377" t="inlineStr">
        <is>
          <t>CLVISION ENTERPRISE</t>
        </is>
      </c>
      <c r="AA1377" t="inlineStr">
        <is>
          <t>4470  0762  92</t>
        </is>
      </c>
      <c r="AB1377" t="inlineStr">
        <is>
          <t>BPI</t>
        </is>
      </c>
      <c r="AC1377" t="inlineStr">
        <is>
          <t>6B Kalapati St., Villilia Village, Brgy. Talipapa, Novaliches, QC</t>
        </is>
      </c>
      <c r="AD1377" s="4">
        <v>45714</v>
      </c>
      <c r="AE1377" t="inlineStr">
        <is>
          <t>50% Down Payment upon confirmation
50% Final payment before delivery</t>
        </is>
      </c>
      <c r="AF1377" s="2"/>
      <c r="AG1377" t="inlineStr">
        <is>
          <t>NzQyNTk5MTgyNzQ4MTg3MDM0MTpFMDU2MTUyMC00NDQwLTRBRjQtQUI3RC1FQzNEOTg0QzU4NzgtMTo5ZjFmYzhmMWNiZDI5ZTA0NTgzMzA5NjI4OTcxNDU3OTox</t>
        </is>
      </c>
      <c r="AH1377"/>
      <c r="AI1377"/>
      <c r="AJ1377"/>
      <c r="AK1377"/>
    </row>
    <row r="1378" ht="25.5" customHeight="1">
      <c r="A1378" s="2" t="str">
        <f>=HYPERLINK("https://applink.larksuite.com/client/mini_program/open?appId=cli_9c7cc8a9a9edd105&amp;mode=appCenter&amp;path_pc=pc/pages/requested/index?instanceId=7475253619063881740&amp;source=bitable&amp;path=pages/detail/index?instanceId=7475253619063881740&amp;source=bitable", "202502250038")</f>
        <v>202502250038</v>
      </c>
      <c r="B1378" t="inlineStr">
        <is>
          <t>Approved</t>
        </is>
      </c>
      <c r="C1378" t="inlineStr">
        <is>
          <t>Procurement Order</t>
        </is>
      </c>
      <c r="D1378" s="3">
        <v>45713.640173611115</v>
      </c>
      <c r="E1378" s="3">
        <v>45714.41630787037</v>
      </c>
      <c r="F1378" t="inlineStr">
        <is>
          <t>Fatima Kathleen M. FLores</t>
        </is>
      </c>
      <c r="G1378" t="inlineStr">
        <is>
          <t>Procurement</t>
        </is>
      </c>
      <c r="H1378"/>
      <c r="I1378"/>
      <c r="J1378" t="inlineStr">
        <is>
          <t>Project</t>
        </is>
      </c>
      <c r="K1378" t="inlineStr">
        <is>
          <t>PDEI - Event Service</t>
        </is>
      </c>
      <c r="L1378" t="inlineStr">
        <is>
          <t>MPL PH S15</t>
        </is>
      </c>
      <c r="M1378" t="inlineStr">
        <is>
          <t>2024TEG-P0430</t>
        </is>
      </c>
      <c r="N1378" t="inlineStr">
        <is>
          <t>Tiny</t>
        </is>
      </c>
      <c r="O1378" t="inlineStr">
        <is>
          <t>202502170125-Tiny-费用报销 - 副本 - 副本 - 副本-2025-02-17 18:42:24</t>
        </is>
      </c>
      <c r="P1378" t="inlineStr">
        <is>
          <t>NO</t>
        </is>
      </c>
      <c r="Q1378"/>
      <c r="R1378" t="inlineStr">
        <is>
          <t>YES</t>
        </is>
      </c>
      <c r="S1378" t="inlineStr">
        <is>
          <t>Bomber Jacket with Lining</t>
        </is>
      </c>
      <c r="T1378">
        <v>8</v>
      </c>
      <c r="U1378">
        <v>1344</v>
      </c>
      <c r="V1378" t="inlineStr">
        <is>
          <t>PHP</t>
        </is>
      </c>
      <c r="W1378">
        <v>10752</v>
      </c>
      <c r="X1378" s="2"/>
      <c r="Y1378" t="inlineStr">
        <is>
          <t>Bank Transfer</t>
        </is>
      </c>
      <c r="Z1378" t="inlineStr">
        <is>
          <t>Get-Wrecked Prod Co</t>
        </is>
      </c>
      <c r="AA1378" t="inlineStr">
        <is>
          <t>0000063119337</t>
        </is>
      </c>
      <c r="AB1378" t="inlineStr">
        <is>
          <t>SECURITY BANK</t>
        </is>
      </c>
      <c r="AC1378" t="inlineStr">
        <is>
          <t>17 North Polytech Potrero Malabon</t>
        </is>
      </c>
      <c r="AD1378" s="4">
        <v>45715</v>
      </c>
      <c r="AE1378" t="inlineStr">
        <is>
          <t>50% Down Payment upon confirmation
50% Final payment - 7 days upon completion</t>
        </is>
      </c>
      <c r="AF1378" s="2"/>
      <c r="AG1378" t="inlineStr">
        <is>
          <t>NzQyNTk5MTgyNzQ4MTg3MDM0MTpCRUZFOUM3NC01QzZDLTQ1OUItODc3NC03NTk3QjIyMTA4MzktMTo3NjgxODEwNjhkYzM3MGEzYjUwY2YzYTg5NzM4OTVjZjox</t>
        </is>
      </c>
      <c r="AH1378"/>
      <c r="AI1378"/>
      <c r="AJ1378"/>
      <c r="AK1378"/>
    </row>
    <row r="1379" ht="25.5" customHeight="1">
      <c r="A1379" s="2" t="str">
        <f>=HYPERLINK("https://applink.larksuite.com/client/mini_program/open?appId=cli_9c7cc8a9a9edd105&amp;mode=appCenter&amp;path_pc=pc/pages/requested/index?instanceId=7475253619063881740&amp;source=bitable&amp;path=pages/detail/index?instanceId=7475253619063881740&amp;source=bitable", "202502250038")</f>
        <v>202502250038</v>
      </c>
      <c r="B1379" t="inlineStr">
        <is>
          <t>Approved</t>
        </is>
      </c>
      <c r="C1379" t="inlineStr">
        <is>
          <t>Procurement Order</t>
        </is>
      </c>
      <c r="D1379" s="3">
        <v>45713.640173611115</v>
      </c>
      <c r="E1379" s="3">
        <v>45714.41630787037</v>
      </c>
      <c r="F1379" t="inlineStr">
        <is>
          <t>Fatima Kathleen M. FLores</t>
        </is>
      </c>
      <c r="G1379" t="inlineStr">
        <is>
          <t>Procurement</t>
        </is>
      </c>
      <c r="H1379"/>
      <c r="I1379"/>
      <c r="J1379" t="inlineStr">
        <is>
          <t>Project</t>
        </is>
      </c>
      <c r="K1379" t="inlineStr">
        <is>
          <t>PDEI - Event Service</t>
        </is>
      </c>
      <c r="L1379" t="inlineStr">
        <is>
          <t>MPL PH S15</t>
        </is>
      </c>
      <c r="M1379" t="inlineStr">
        <is>
          <t>2024TEG-P0430</t>
        </is>
      </c>
      <c r="N1379" t="inlineStr">
        <is>
          <t>Tiny</t>
        </is>
      </c>
      <c r="O1379" t="inlineStr">
        <is>
          <t>202502170125-Tiny-费用报销 - 副本 - 副本 - 副本-2025-02-17 18:42:24</t>
        </is>
      </c>
      <c r="P1379" t="inlineStr">
        <is>
          <t>NO</t>
        </is>
      </c>
      <c r="Q1379"/>
      <c r="R1379" t="inlineStr">
        <is>
          <t>YES</t>
        </is>
      </c>
      <c r="S1379" t="inlineStr">
        <is>
          <t>Big sizing additional fee</t>
        </is>
      </c>
      <c r="T1379">
        <v>1</v>
      </c>
      <c r="U1379">
        <v>112</v>
      </c>
      <c r="V1379" t="inlineStr">
        <is>
          <t>PHP</t>
        </is>
      </c>
      <c r="W1379">
        <v>112</v>
      </c>
      <c r="X1379" s="2"/>
      <c r="Y1379"/>
      <c r="Z1379"/>
      <c r="AA1379"/>
      <c r="AB1379"/>
      <c r="AC1379"/>
      <c r="AD1379" s="4"/>
      <c r="AE1379"/>
      <c r="AF1379" s="2"/>
      <c r="AG1379" t="inlineStr">
        <is>
          <t>NzQyNTk5MTgyNzQ4MTg3MDM0MTpCRUZFOUM3NC01QzZDLTQ1OUItODc3NC03NTk3QjIyMTA4MzktMjpjYjNiZjAyZmIxNmRmY2IxNDMyOWZjMzk2YWNkYjFiYTox</t>
        </is>
      </c>
      <c r="AH1379"/>
      <c r="AI1379"/>
      <c r="AJ1379"/>
      <c r="AK1379"/>
    </row>
    <row r="1380" ht="25.5" customHeight="1">
      <c r="A1380" s="2" t="str">
        <f>=HYPERLINK("https://applink.larksuite.com/client/mini_program/open?appId=cli_9c7cc8a9a9edd105&amp;mode=appCenter&amp;path_pc=pc/pages/requested/index?instanceId=7475253619063881740&amp;source=bitable&amp;path=pages/detail/index?instanceId=7475253619063881740&amp;source=bitable", "202502250038")</f>
        <v>202502250038</v>
      </c>
      <c r="B1380" t="inlineStr">
        <is>
          <t>Approved</t>
        </is>
      </c>
      <c r="C1380" t="inlineStr">
        <is>
          <t>Procurement Order</t>
        </is>
      </c>
      <c r="D1380" s="3">
        <v>45713.640173611115</v>
      </c>
      <c r="E1380" s="3">
        <v>45714.41630787037</v>
      </c>
      <c r="F1380" t="inlineStr">
        <is>
          <t>Fatima Kathleen M. FLores</t>
        </is>
      </c>
      <c r="G1380" t="inlineStr">
        <is>
          <t>Procurement</t>
        </is>
      </c>
      <c r="H1380"/>
      <c r="I1380"/>
      <c r="J1380" t="inlineStr">
        <is>
          <t>Project</t>
        </is>
      </c>
      <c r="K1380" t="inlineStr">
        <is>
          <t>PDEI - Event Service</t>
        </is>
      </c>
      <c r="L1380" t="inlineStr">
        <is>
          <t>MPL PH S15</t>
        </is>
      </c>
      <c r="M1380" t="inlineStr">
        <is>
          <t>2024TEG-P0430</t>
        </is>
      </c>
      <c r="N1380" t="inlineStr">
        <is>
          <t>Tiny</t>
        </is>
      </c>
      <c r="O1380" t="inlineStr">
        <is>
          <t>202502170125-Tiny-费用报销 - 副本 - 副本 - 副本-2025-02-17 18:42:24</t>
        </is>
      </c>
      <c r="P1380" t="inlineStr">
        <is>
          <t>NO</t>
        </is>
      </c>
      <c r="Q1380"/>
      <c r="R1380" t="inlineStr">
        <is>
          <t>YES</t>
        </is>
      </c>
      <c r="S1380" t="inlineStr">
        <is>
          <t>Rush Fee</t>
        </is>
      </c>
      <c r="T1380">
        <v>1</v>
      </c>
      <c r="U1380">
        <v>2172.8</v>
      </c>
      <c r="V1380" t="inlineStr">
        <is>
          <t>PHP</t>
        </is>
      </c>
      <c r="W1380">
        <v>2172.8</v>
      </c>
      <c r="X1380" s="2" t="str">
        <f>=HYPERLINK("https://www.larksuite.com/approval/admin/previewAttachment?key=PMg9CsJwDAXwK70kL19exqWliNguwh-XnF1wcP1FCaJcLBps0YZMMl3dQhphVZLE6EhmIyWqZj-Pez_p6_U5_boW1jbrsR37W7xTFWmkFQC5_d2SZHcQP9dvAAAA__8", "2 attachment(s)")</f>
        <v>2 attachment(s)</v>
      </c>
      <c r="Y1380"/>
      <c r="Z1380"/>
      <c r="AA1380"/>
      <c r="AB1380"/>
      <c r="AC1380"/>
      <c r="AD1380" s="4"/>
      <c r="AE1380"/>
      <c r="AF1380" s="2"/>
      <c r="AG1380" t="inlineStr">
        <is>
          <t>NzQyNTk5MTgyNzQ4MTg3MDM0MTpCRUZFOUM3NC01QzZDLTQ1OUItODc3NC03NTk3QjIyMTA4MzktMzo5NjdhNjAyMjNlZTNmNTE2OTVkNTVhMTE0OGMyN2Y5ZTox</t>
        </is>
      </c>
      <c r="AH1380"/>
      <c r="AI1380"/>
      <c r="AJ1380"/>
      <c r="AK1380"/>
    </row>
    <row r="1381" ht="25.5" customHeight="1">
      <c r="A1381" s="2" t="str">
        <f>=HYPERLINK("https://applink.larksuite.com/client/mini_program/open?appId=cli_9c7cc8a9a9edd105&amp;mode=appCenter&amp;path_pc=pc/pages/requested/index?instanceId=7475240882652856326&amp;source=bitable&amp;path=pages/detail/index?instanceId=7475240882652856326&amp;source=bitable", "202502250031")</f>
        <v>202502250031</v>
      </c>
      <c r="B1381" t="inlineStr">
        <is>
          <t>Approved</t>
        </is>
      </c>
      <c r="C1381" t="inlineStr">
        <is>
          <t>Procurement Order</t>
        </is>
      </c>
      <c r="D1381" s="3">
        <v>45713.60585648148</v>
      </c>
      <c r="E1381" s="3">
        <v>45714.40225694444</v>
      </c>
      <c r="F1381" t="inlineStr">
        <is>
          <t>Fatima Kathleen M. FLores</t>
        </is>
      </c>
      <c r="G1381" t="inlineStr">
        <is>
          <t>Procurement</t>
        </is>
      </c>
      <c r="H1381"/>
      <c r="I1381"/>
      <c r="J1381" t="inlineStr">
        <is>
          <t>CAPEX</t>
        </is>
      </c>
      <c r="K1381"/>
      <c r="L1381"/>
      <c r="M1381"/>
      <c r="N1381"/>
      <c r="O1381" t="inlineStr">
        <is>
          <t>202502240034-Tiny-费用报销 - 副本 - 副本 - 副本-2025-02-24 05:32:36</t>
        </is>
      </c>
      <c r="P1381"/>
      <c r="Q1381" t="inlineStr">
        <is>
          <t>Broadcast</t>
        </is>
      </c>
      <c r="R1381"/>
      <c r="S1381" t="inlineStr">
        <is>
          <t>True Vision Mobile TV Stand/Cart for 37-70" TV1030T</t>
        </is>
      </c>
      <c r="T1381">
        <v>12</v>
      </c>
      <c r="U1381">
        <v>5516.5</v>
      </c>
      <c r="V1381" t="inlineStr">
        <is>
          <t>PHP</t>
        </is>
      </c>
      <c r="W1381">
        <v>66198</v>
      </c>
      <c r="X1381" s="2" t="str">
        <f>=HYPERLINK("https://www.larksuite.com/approval/admin/previewAttachment?key=PMg7DsJADATQK43t8Y_L0BBFNKkQq218diSKtC9KEOVi0WCLNmSS6UpUabiWh2mMjmQ2UqJqjut8Ui_j2r72xtf2rPfrPD7inapII60AyON2S5LdQfwdvwAAAP__", "2 attachment(s)")</f>
        <v>2 attachment(s)</v>
      </c>
      <c r="Y1381" t="inlineStr">
        <is>
          <t>Bank Transfer</t>
        </is>
      </c>
      <c r="Z1381" t="inlineStr">
        <is>
          <t>MMG True Enterprises Incorporated</t>
        </is>
      </c>
      <c r="AA1381" t="inlineStr">
        <is>
          <t>000328025012</t>
        </is>
      </c>
      <c r="AB1381" t="inlineStr">
        <is>
          <t>BDO</t>
        </is>
      </c>
      <c r="AC1381" t="inlineStr">
        <is>
          <t>kM. 18, Polylite Houser Building., Alabang-Zapote Road, Talon Dos, Las Pinas City</t>
        </is>
      </c>
      <c r="AD1381" s="4">
        <v>45714</v>
      </c>
      <c r="AE1381" t="inlineStr">
        <is>
          <t>100% Full Payment before delivery</t>
        </is>
      </c>
      <c r="AF1381" s="2"/>
      <c r="AG1381" t="inlineStr">
        <is>
          <t>NzQyNTk5MTgyNzQ4MTg3MDM0MTo4RUYyODVERi04RTUzLTQ2MzAtODlFMi0yNjEyOTRFRjQ2NDktMTo4NTEzYjM5NzA5ODFiOWM0MGM1OGI4MzRmZWYwZDU5ZTox</t>
        </is>
      </c>
      <c r="AH1381"/>
      <c r="AI1381"/>
      <c r="AJ1381"/>
      <c r="AK1381"/>
    </row>
    <row r="1382" ht="25.5" customHeight="1">
      <c r="A1382" s="2" t="str">
        <f>=HYPERLINK("https://applink.larksuite.com/client/mini_program/open?appId=cli_9c7cc8a9a9edd105&amp;mode=appCenter&amp;path_pc=pc/pages/requested/index?instanceId=7475306201048154118&amp;source=bitable&amp;path=pages/detail/index?instanceId=7475306201048154118&amp;source=bitable", "202502250074")</f>
        <v>202502250074</v>
      </c>
      <c r="B1382" t="inlineStr">
        <is>
          <t>Approved</t>
        </is>
      </c>
      <c r="C1382" t="inlineStr">
        <is>
          <t>Procurement Order</t>
        </is>
      </c>
      <c r="D1382" s="3">
        <v>45713.781875</v>
      </c>
      <c r="E1382" s="3">
        <v>45713.81775462963</v>
      </c>
      <c r="F1382" t="inlineStr">
        <is>
          <t>Fatima Kathleen M. FLores</t>
        </is>
      </c>
      <c r="G1382" t="inlineStr">
        <is>
          <t>Procurement</t>
        </is>
      </c>
      <c r="H1382"/>
      <c r="I1382"/>
      <c r="J1382" t="inlineStr">
        <is>
          <t>Project</t>
        </is>
      </c>
      <c r="K1382" t="inlineStr">
        <is>
          <t>PDEI - Event Service</t>
        </is>
      </c>
      <c r="L1382" t="inlineStr">
        <is>
          <t>HOK Invitational S3</t>
        </is>
      </c>
      <c r="M1382" t="inlineStr">
        <is>
          <t>2025TEG-P0027</t>
        </is>
      </c>
      <c r="N1382" t="inlineStr">
        <is>
          <t>Duane Aaron Baret Cadangan</t>
        </is>
      </c>
      <c r="O1382" t="inlineStr">
        <is>
          <t>202502240025-Duane Aaron Baret Cadangan-费用报销 - 副本 - 副本 - 副本-2025-02-24 04:32:13</t>
        </is>
      </c>
      <c r="P1382" t="inlineStr">
        <is>
          <t>YES</t>
        </is>
      </c>
      <c r="Q1382"/>
      <c r="R1382" t="inlineStr">
        <is>
          <t>YES</t>
        </is>
      </c>
      <c r="S1382" t="inlineStr">
        <is>
          <t>Outsourced Host</t>
        </is>
      </c>
      <c r="T1382">
        <v>1</v>
      </c>
      <c r="U1382">
        <v>420000</v>
      </c>
      <c r="V1382" t="inlineStr">
        <is>
          <t>PHP</t>
        </is>
      </c>
      <c r="W1382">
        <v>420000</v>
      </c>
      <c r="X1382" s="2" t="str">
        <f>=HYPERLINK("https://www.larksuite.com/approval/admin/previewAttachment?key=PMg9CgIxFATgK828TN6Pl7ExLBauLEhWLHJ2wcL28yQ8O5sXVLQCVyh6gxsIJbvIXLYYUQh65hr7dj059_nA5zhsvsdznffbNl7sFWaIJrUEwMvfW0iqcuHn-AYAAP__", "2 attachment(s)")</f>
        <v>2 attachment(s)</v>
      </c>
      <c r="Y1382" t="inlineStr">
        <is>
          <t>Bank Transfer</t>
        </is>
      </c>
      <c r="Z1382" t="inlineStr">
        <is>
          <t>ERIC CHRISTIAN TAI</t>
        </is>
      </c>
      <c r="AA1382" t="inlineStr">
        <is>
          <t>004850251261</t>
        </is>
      </c>
      <c r="AB1382" t="inlineStr">
        <is>
          <t>BDO</t>
        </is>
      </c>
      <c r="AC1382" t="inlineStr">
        <is>
          <t>Blk 7 Lot 4 Italia Loop, Trevi Executive Village, Brgy. Concepcion Uno, Marikina City</t>
        </is>
      </c>
      <c r="AD1382" s="4">
        <v>45705</v>
      </c>
      <c r="AE1382" t="inlineStr">
        <is>
          <t>1st Payment - Feb. 25, 2025
Final Payment - Mar. 7, 2025</t>
        </is>
      </c>
      <c r="AF1382" s="2"/>
      <c r="AG1382" t="inlineStr">
        <is>
          <t>NzQyNTk5MTgyNzQ4MTg3MDM0MTpCMDVBOUM5Qi0xRUVGLTQ1QzMtOUEyMC1CNkZFOEZCNjc4QkYtMToyMzJlMWRiY2ZjZWU3NDlhYmIyNTE2YmJmMWE2YTM0Nzox</t>
        </is>
      </c>
      <c r="AH1382"/>
      <c r="AI1382"/>
      <c r="AJ1382"/>
      <c r="AK1382"/>
    </row>
    <row r="1383" ht="25.5" customHeight="1">
      <c r="A1383" s="2" t="str">
        <f>=HYPERLINK("https://applink.larksuite.com/client/mini_program/open?appId=cli_9c7cc8a9a9edd105&amp;mode=appCenter&amp;path_pc=pc/pages/requested/index?instanceId=7475303453460348934&amp;source=bitable&amp;path=pages/detail/index?instanceId=7475303453460348934&amp;source=bitable", "202502250071")</f>
        <v>202502250071</v>
      </c>
      <c r="B1383" t="inlineStr">
        <is>
          <t>Approved</t>
        </is>
      </c>
      <c r="C1383" t="inlineStr">
        <is>
          <t>Procurement Order</t>
        </is>
      </c>
      <c r="D1383" s="3">
        <v>45713.77446759259</v>
      </c>
      <c r="E1383" s="3">
        <v>45727.66333333333</v>
      </c>
      <c r="F1383" t="inlineStr">
        <is>
          <t>Fatima Kathleen M. FLores</t>
        </is>
      </c>
      <c r="G1383" t="inlineStr">
        <is>
          <t>Procurement</t>
        </is>
      </c>
      <c r="H1383"/>
      <c r="I1383"/>
      <c r="J1383" t="inlineStr">
        <is>
          <t>Project</t>
        </is>
      </c>
      <c r="K1383" t="inlineStr">
        <is>
          <t>PDEI - Event Service</t>
        </is>
      </c>
      <c r="L1383" t="inlineStr">
        <is>
          <t>HOK Invitational S3</t>
        </is>
      </c>
      <c r="M1383" t="inlineStr">
        <is>
          <t>2025TEG-P0027</t>
        </is>
      </c>
      <c r="N1383" t="inlineStr">
        <is>
          <t>Duane Aaron Baret Cadangan</t>
        </is>
      </c>
      <c r="O1383" t="inlineStr">
        <is>
          <t>202502240025-Duane Aaron Baret Cadangan-费用报销 - 副本 - 副本 - 副本-2025-02-24 04:32:13</t>
        </is>
      </c>
      <c r="P1383" t="inlineStr">
        <is>
          <t>YES</t>
        </is>
      </c>
      <c r="Q1383"/>
      <c r="R1383" t="inlineStr">
        <is>
          <t>YES</t>
        </is>
      </c>
      <c r="S1383" t="inlineStr">
        <is>
          <t>Outsourced Host</t>
        </is>
      </c>
      <c r="T1383">
        <v>1</v>
      </c>
      <c r="U1383">
        <v>45000</v>
      </c>
      <c r="V1383" t="inlineStr">
        <is>
          <t>PHP</t>
        </is>
      </c>
      <c r="W1383">
        <v>45000</v>
      </c>
      <c r="X1383" s="2" t="str">
        <f>=HYPERLINK("https://www.larksuite.com/approval/admin/previewAttachment?key=PMgrDgJADATQK03b6Y_LYNhsELCGBFTPToLAvihBlItFgy3akEmmG4xuDBirjaMjmY2UqJr13NcPjx59EE7dteZ9v-31Eu9URRppBUAuf7ck2R3Ez_ENAAD__w", "2 attachment(s)")</f>
        <v>2 attachment(s)</v>
      </c>
      <c r="Y1383" t="inlineStr">
        <is>
          <t>Bank Transfer</t>
        </is>
      </c>
      <c r="Z1383" t="inlineStr">
        <is>
          <t>Bruce B. Alcomendras</t>
        </is>
      </c>
      <c r="AA1383" t="inlineStr">
        <is>
          <t>2819 1360 06</t>
        </is>
      </c>
      <c r="AB1383" t="inlineStr">
        <is>
          <t>BPI</t>
        </is>
      </c>
      <c r="AC1383" t="inlineStr">
        <is>
          <t>205 Dama De Noche St. Ayala Homes Mandaluyong City</t>
        </is>
      </c>
      <c r="AD1383" s="4">
        <v>45705</v>
      </c>
      <c r="AE1383" t="inlineStr">
        <is>
          <t>1st Payment - Mar. 14, 2025
Final Payment - Mar. 28, 2025</t>
        </is>
      </c>
      <c r="AF1383" s="2"/>
      <c r="AG1383" t="inlineStr">
        <is>
          <t>NzQyNTk5MTgyNzQ4MTg3MDM0MTo4RTE4QTU3My04NzI4LTRCQTEtQjQzNy04N0E5NUU1OUEzMkQtMTozYjc5NWFjNmRiYjA3ZmVmZDNjZmZlMTAzNjE5ODdjYzox</t>
        </is>
      </c>
      <c r="AH1383"/>
      <c r="AI1383"/>
      <c r="AJ1383"/>
      <c r="AK1383"/>
    </row>
    <row r="1384" ht="25.5" customHeight="1">
      <c r="A1384" s="2" t="str">
        <f>=HYPERLINK("https://applink.larksuite.com/client/mini_program/open?appId=cli_9c7cc8a9a9edd105&amp;mode=appCenter&amp;path_pc=pc/pages/requested/index?instanceId=7475290094727856140&amp;source=bitable&amp;path=pages/detail/index?instanceId=7475290094727856140&amp;source=bitable", "202502250056")</f>
        <v>202502250056</v>
      </c>
      <c r="B1384" t="inlineStr">
        <is>
          <t>Approved</t>
        </is>
      </c>
      <c r="C1384" t="inlineStr">
        <is>
          <t>Procurement Order</t>
        </is>
      </c>
      <c r="D1384" s="3">
        <v>45713.73847222222</v>
      </c>
      <c r="E1384" s="3">
        <v>45714.71195601852</v>
      </c>
      <c r="F1384" t="inlineStr">
        <is>
          <t>Fatima Kathleen M. FLores</t>
        </is>
      </c>
      <c r="G1384" t="inlineStr">
        <is>
          <t>Procurement</t>
        </is>
      </c>
      <c r="H1384"/>
      <c r="I1384"/>
      <c r="J1384" t="inlineStr">
        <is>
          <t>Project</t>
        </is>
      </c>
      <c r="K1384" t="inlineStr">
        <is>
          <t>PDEI - Event Service</t>
        </is>
      </c>
      <c r="L1384" t="inlineStr">
        <is>
          <t>HOK Invitational S3</t>
        </is>
      </c>
      <c r="M1384" t="inlineStr">
        <is>
          <t>2025TEG-P0027</t>
        </is>
      </c>
      <c r="N1384" t="inlineStr">
        <is>
          <t>Duane Aaron Baret Cadangan</t>
        </is>
      </c>
      <c r="O1384" t="inlineStr">
        <is>
          <t>202502070071-Duane Aaron Baret Cadangan-费用报销 - 副本 - 副本 - 副本-2025-02-07 12:25:50</t>
        </is>
      </c>
      <c r="P1384" t="inlineStr">
        <is>
          <t>YES</t>
        </is>
      </c>
      <c r="Q1384"/>
      <c r="R1384" t="inlineStr">
        <is>
          <t>YES</t>
        </is>
      </c>
      <c r="S1384" t="inlineStr">
        <is>
          <t>Outsourced Phone Tester (2 days)</t>
        </is>
      </c>
      <c r="T1384">
        <v>1</v>
      </c>
      <c r="U1384">
        <v>2600</v>
      </c>
      <c r="V1384" t="inlineStr">
        <is>
          <t>PHP</t>
        </is>
      </c>
      <c r="W1384">
        <v>2600</v>
      </c>
      <c r="X1384" s="2" t="str">
        <f>=HYPERLINK("https://www.larksuite.com/approval/admin/previewAttachment?key=PMhBCsJQDATQK03y52cSL-OmpUilIEiLm5xdcOH2RRoip40osMwL1qKmF1CUK2cY0d4mFWSR2eux3V-7L_45cjuf-zmvvh7Ltr5tltyhQY4EYLe_D5GsCuLn-AYAAP__", "2 attachment(s)")</f>
        <v>2 attachment(s)</v>
      </c>
      <c r="Y1384" t="inlineStr">
        <is>
          <t>Bank Transfer</t>
        </is>
      </c>
      <c r="Z1384" t="inlineStr">
        <is>
          <t>Reign Fortea</t>
        </is>
      </c>
      <c r="AA1384" t="inlineStr">
        <is>
          <t>09452748691</t>
        </is>
      </c>
      <c r="AB1384" t="inlineStr">
        <is>
          <t>GCash</t>
        </is>
      </c>
      <c r="AC1384" t="inlineStr">
        <is>
          <t>134 L.Nadurata Street Brgy. 27 Maypajo Caloocan City</t>
        </is>
      </c>
      <c r="AD1384" s="4">
        <v>45698</v>
      </c>
      <c r="AE1384" t="inlineStr">
        <is>
          <t>100% Full Payment - Feb. 28, 2025</t>
        </is>
      </c>
      <c r="AF1384" s="2"/>
      <c r="AG1384" t="inlineStr">
        <is>
          <t>NzQyNTk5MTgyNzQ4MTg3MDM0MToyQjQyNUFGOS1GRjQwLTQwM0QtQURGRC0yRkQ2RDE0M0MyMkYtMTo4ZmVlNWQyZWE5MTZhOWE3MmE2N2UyN2RkMTIyZjQ1Mzox</t>
        </is>
      </c>
      <c r="AH1384"/>
      <c r="AI1384"/>
      <c r="AJ1384"/>
      <c r="AK1384"/>
    </row>
    <row r="1385" ht="25.5" customHeight="1">
      <c r="A1385" s="2" t="str">
        <f>=HYPERLINK("https://applink.larksuite.com/client/mini_program/open?appId=cli_9c7cc8a9a9edd105&amp;mode=appCenter&amp;path_pc=pc/pages/requested/index?instanceId=7475288414120689670&amp;source=bitable&amp;path=pages/detail/index?instanceId=7475288414120689670&amp;source=bitable", "202502250054")</f>
        <v>202502250054</v>
      </c>
      <c r="B1385" t="inlineStr">
        <is>
          <t>Approved</t>
        </is>
      </c>
      <c r="C1385" t="inlineStr">
        <is>
          <t>Procurement Order</t>
        </is>
      </c>
      <c r="D1385" s="3">
        <v>45713.73394675926</v>
      </c>
      <c r="E1385" s="3">
        <v>45716.393113425926</v>
      </c>
      <c r="F1385" t="inlineStr">
        <is>
          <t>Fatima Kathleen M. FLores</t>
        </is>
      </c>
      <c r="G1385" t="inlineStr">
        <is>
          <t>Procurement</t>
        </is>
      </c>
      <c r="H1385"/>
      <c r="I1385"/>
      <c r="J1385" t="inlineStr">
        <is>
          <t>Project</t>
        </is>
      </c>
      <c r="K1385" t="inlineStr">
        <is>
          <t>PDEI - Event Service</t>
        </is>
      </c>
      <c r="L1385" t="inlineStr">
        <is>
          <t>HOK Invitational S3</t>
        </is>
      </c>
      <c r="M1385" t="inlineStr">
        <is>
          <t>2025TEG-P0027</t>
        </is>
      </c>
      <c r="N1385" t="inlineStr">
        <is>
          <t>Duane Aaron Baret Cadangan</t>
        </is>
      </c>
      <c r="O1385" t="inlineStr">
        <is>
          <t>202502070071-Duane Aaron Baret Cadangan-费用报销 - 副本 - 副本 - 副本-2025-02-07 12:25:50</t>
        </is>
      </c>
      <c r="P1385" t="inlineStr">
        <is>
          <t>YES</t>
        </is>
      </c>
      <c r="Q1385"/>
      <c r="R1385" t="inlineStr">
        <is>
          <t>YES</t>
        </is>
      </c>
      <c r="S1385" t="inlineStr">
        <is>
          <t>Outsourced Phone Tester (3 days)</t>
        </is>
      </c>
      <c r="T1385">
        <v>1</v>
      </c>
      <c r="U1385">
        <v>3900</v>
      </c>
      <c r="V1385" t="inlineStr">
        <is>
          <t>PHP</t>
        </is>
      </c>
      <c r="W1385">
        <v>3900</v>
      </c>
      <c r="X1385" s="2" t="str">
        <f>=HYPERLINK("https://www.larksuite.com/approval/admin/previewAttachment?key=PMg9CgIxFATgK828zL4fL2NjCCLERsza5OyChe3nSXgebF5Q0QrcoTgsUxQNnuWBbZsRhaBn7j7Htc31Wezn-3GOac-97rfRXzwqzBBNagmAl7-3kFTlws_xDQAA__8", "2 attachment(s)")</f>
        <v>2 attachment(s)</v>
      </c>
      <c r="Y1385" t="inlineStr">
        <is>
          <t>Bank Transfer</t>
        </is>
      </c>
      <c r="Z1385" t="inlineStr">
        <is>
          <t>Jimmy Montero Zapata Jr.</t>
        </is>
      </c>
      <c r="AA1385" t="inlineStr">
        <is>
          <t>8419297101</t>
        </is>
      </c>
      <c r="AB1385" t="inlineStr">
        <is>
          <t>BPI</t>
        </is>
      </c>
      <c r="AC1385" t="inlineStr">
        <is>
          <t>278E Sta,Teresita St, Sampaloc Manila</t>
        </is>
      </c>
      <c r="AD1385" s="4">
        <v>45698</v>
      </c>
      <c r="AE1385" t="inlineStr">
        <is>
          <t>100% Full Payment - Feb. 28, 2025</t>
        </is>
      </c>
      <c r="AF1385" s="2"/>
      <c r="AG1385" t="inlineStr">
        <is>
          <t>NzQyNTk5MTgyNzQ4MTg3MDM0MTpBMEI4RUU1RC01MUI4LTQxMEEtQkU4Qi05MUJCMTZEQTUwMEMtMTozOWEwNmVjOTBiZDk2MzMyNjFiNDRiZDk5NTc0N2I2OTox</t>
        </is>
      </c>
      <c r="AH1385"/>
      <c r="AI1385"/>
      <c r="AJ1385"/>
      <c r="AK1385"/>
    </row>
    <row r="1386" ht="25.5" customHeight="1">
      <c r="A1386" s="2" t="str">
        <f>=HYPERLINK("https://applink.larksuite.com/client/mini_program/open?appId=cli_9c7cc8a9a9edd105&amp;mode=appCenter&amp;path_pc=pc/pages/requested/index?instanceId=7475599073945452556&amp;source=bitable&amp;path=pages/detail/index?instanceId=7475599073945452556&amp;source=bitable", "202502260020")</f>
        <v>202502260020</v>
      </c>
      <c r="B1386" t="inlineStr">
        <is>
          <t>Approved</t>
        </is>
      </c>
      <c r="C1386" t="inlineStr">
        <is>
          <t>Procurement Order</t>
        </is>
      </c>
      <c r="D1386" s="3">
        <v>45714.57111111111</v>
      </c>
      <c r="E1386" s="3">
        <v>45716.39425925926</v>
      </c>
      <c r="F1386" t="inlineStr">
        <is>
          <t>Fatima Kathleen M. FLores</t>
        </is>
      </c>
      <c r="G1386" t="inlineStr">
        <is>
          <t>Procurement</t>
        </is>
      </c>
      <c r="H1386"/>
      <c r="I1386"/>
      <c r="J1386" t="inlineStr">
        <is>
          <t>Project</t>
        </is>
      </c>
      <c r="K1386" t="inlineStr">
        <is>
          <t>PDEI - Event Service</t>
        </is>
      </c>
      <c r="L1386" t="inlineStr">
        <is>
          <t>HOK Invitational S3</t>
        </is>
      </c>
      <c r="M1386" t="inlineStr">
        <is>
          <t>2025TEG-P0027</t>
        </is>
      </c>
      <c r="N1386" t="inlineStr">
        <is>
          <t>Duane Aaron Baret Cadangan</t>
        </is>
      </c>
      <c r="O1386" t="inlineStr">
        <is>
          <t>202502260008-Duane Aaron Baret Cadangan-费用报销 - 副本 - 副本 - 副本-2025-02-26 02:56:21</t>
        </is>
      </c>
      <c r="P1386" t="inlineStr">
        <is>
          <t>NO</t>
        </is>
      </c>
      <c r="Q1386"/>
      <c r="R1386" t="inlineStr">
        <is>
          <t>YES</t>
        </is>
      </c>
      <c r="S1386" t="inlineStr">
        <is>
          <t>Confetti Blizzard</t>
        </is>
      </c>
      <c r="T1386">
        <v>2</v>
      </c>
      <c r="U1386">
        <v>8000</v>
      </c>
      <c r="V1386" t="inlineStr">
        <is>
          <t>PHP</t>
        </is>
      </c>
      <c r="W1386">
        <v>16000</v>
      </c>
      <c r="X1386" s="2"/>
      <c r="Y1386" t="inlineStr">
        <is>
          <t>Bank Transfer</t>
        </is>
      </c>
      <c r="Z1386" t="inlineStr">
        <is>
          <t>Confetti Effects, Inc.</t>
        </is>
      </c>
      <c r="AA1386" t="inlineStr">
        <is>
          <t>3221-0180-78</t>
        </is>
      </c>
      <c r="AB1386" t="inlineStr">
        <is>
          <t>BPI</t>
        </is>
      </c>
      <c r="AC1386" t="inlineStr">
        <is>
          <t>2550 New Panaderos St., Brgy. 885 Zone 097, Sta. Ana, Manila</t>
        </is>
      </c>
      <c r="AD1386" s="4">
        <v>45717</v>
      </c>
      <c r="AE1386" t="inlineStr">
        <is>
          <t>50% Down Payment upon confirmation
50% Final payment upon completion of services</t>
        </is>
      </c>
      <c r="AF1386" s="2"/>
      <c r="AG1386" t="inlineStr">
        <is>
          <t>NzQyNTk5MTgyNzQ4MTg3MDM0MTozRjRCMDJBQi05NjM1LTQ3N0EtQkYzRi02MkMxQkQ2NThCNjQtMTo4MDlkZWZiOTdjMjJkMmY1MDcwNzYxNGU5Y2M2ODlkYjox</t>
        </is>
      </c>
      <c r="AH1386"/>
      <c r="AI1386"/>
      <c r="AJ1386"/>
      <c r="AK1386"/>
    </row>
    <row r="1387" ht="25.5" customHeight="1">
      <c r="A1387" s="2" t="str">
        <f>=HYPERLINK("https://applink.larksuite.com/client/mini_program/open?appId=cli_9c7cc8a9a9edd105&amp;mode=appCenter&amp;path_pc=pc/pages/requested/index?instanceId=7475599073945452556&amp;source=bitable&amp;path=pages/detail/index?instanceId=7475599073945452556&amp;source=bitable", "202502260020")</f>
        <v>202502260020</v>
      </c>
      <c r="B1387" t="inlineStr">
        <is>
          <t>Approved</t>
        </is>
      </c>
      <c r="C1387" t="inlineStr">
        <is>
          <t>Procurement Order</t>
        </is>
      </c>
      <c r="D1387" s="3">
        <v>45714.57111111111</v>
      </c>
      <c r="E1387" s="3">
        <v>45716.39425925926</v>
      </c>
      <c r="F1387" t="inlineStr">
        <is>
          <t>Fatima Kathleen M. FLores</t>
        </is>
      </c>
      <c r="G1387" t="inlineStr">
        <is>
          <t>Procurement</t>
        </is>
      </c>
      <c r="H1387"/>
      <c r="I1387"/>
      <c r="J1387" t="inlineStr">
        <is>
          <t>Project</t>
        </is>
      </c>
      <c r="K1387" t="inlineStr">
        <is>
          <t>PDEI - Event Service</t>
        </is>
      </c>
      <c r="L1387" t="inlineStr">
        <is>
          <t>HOK Invitational S3</t>
        </is>
      </c>
      <c r="M1387" t="inlineStr">
        <is>
          <t>2025TEG-P0027</t>
        </is>
      </c>
      <c r="N1387" t="inlineStr">
        <is>
          <t>Duane Aaron Baret Cadangan</t>
        </is>
      </c>
      <c r="O1387" t="inlineStr">
        <is>
          <t>202502260008-Duane Aaron Baret Cadangan-费用报销 - 副本 - 副本 - 副本-2025-02-26 02:56:21</t>
        </is>
      </c>
      <c r="P1387" t="inlineStr">
        <is>
          <t>NO</t>
        </is>
      </c>
      <c r="Q1387"/>
      <c r="R1387" t="inlineStr">
        <is>
          <t>YES</t>
        </is>
      </c>
      <c r="S1387" t="inlineStr">
        <is>
          <t>Cryo Jets Floor Mount</t>
        </is>
      </c>
      <c r="T1387">
        <v>6</v>
      </c>
      <c r="U1387">
        <v>4800</v>
      </c>
      <c r="V1387" t="inlineStr">
        <is>
          <t>PHP</t>
        </is>
      </c>
      <c r="W1387">
        <v>28800</v>
      </c>
      <c r="X1387" s="2"/>
      <c r="Y1387"/>
      <c r="Z1387"/>
      <c r="AA1387"/>
      <c r="AB1387"/>
      <c r="AC1387"/>
      <c r="AD1387" s="4"/>
      <c r="AE1387"/>
      <c r="AF1387" s="2"/>
      <c r="AG1387" t="inlineStr">
        <is>
          <t>NzQyNTk5MTgyNzQ4MTg3MDM0MTozRjRCMDJBQi05NjM1LTQ3N0EtQkYzRi02MkMxQkQ2NThCNjQtMjowODY5OThiMzgyZGM2NWRiZGE1MjViNGMxYjU1MjNjNzox</t>
        </is>
      </c>
      <c r="AH1387"/>
      <c r="AI1387"/>
      <c r="AJ1387"/>
      <c r="AK1387"/>
    </row>
    <row r="1388" ht="25.5" customHeight="1">
      <c r="A1388" s="2" t="str">
        <f>=HYPERLINK("https://applink.larksuite.com/client/mini_program/open?appId=cli_9c7cc8a9a9edd105&amp;mode=appCenter&amp;path_pc=pc/pages/requested/index?instanceId=7475599073945452556&amp;source=bitable&amp;path=pages/detail/index?instanceId=7475599073945452556&amp;source=bitable", "202502260020")</f>
        <v>202502260020</v>
      </c>
      <c r="B1388" t="inlineStr">
        <is>
          <t>Approved</t>
        </is>
      </c>
      <c r="C1388" t="inlineStr">
        <is>
          <t>Procurement Order</t>
        </is>
      </c>
      <c r="D1388" s="3">
        <v>45714.57111111111</v>
      </c>
      <c r="E1388" s="3">
        <v>45716.39425925926</v>
      </c>
      <c r="F1388" t="inlineStr">
        <is>
          <t>Fatima Kathleen M. FLores</t>
        </is>
      </c>
      <c r="G1388" t="inlineStr">
        <is>
          <t>Procurement</t>
        </is>
      </c>
      <c r="H1388"/>
      <c r="I1388"/>
      <c r="J1388" t="inlineStr">
        <is>
          <t>Project</t>
        </is>
      </c>
      <c r="K1388" t="inlineStr">
        <is>
          <t>PDEI - Event Service</t>
        </is>
      </c>
      <c r="L1388" t="inlineStr">
        <is>
          <t>HOK Invitational S3</t>
        </is>
      </c>
      <c r="M1388" t="inlineStr">
        <is>
          <t>2025TEG-P0027</t>
        </is>
      </c>
      <c r="N1388" t="inlineStr">
        <is>
          <t>Duane Aaron Baret Cadangan</t>
        </is>
      </c>
      <c r="O1388" t="inlineStr">
        <is>
          <t>202502260008-Duane Aaron Baret Cadangan-费用报销 - 副本 - 副本 - 副本-2025-02-26 02:56:21</t>
        </is>
      </c>
      <c r="P1388" t="inlineStr">
        <is>
          <t>NO</t>
        </is>
      </c>
      <c r="Q1388"/>
      <c r="R1388" t="inlineStr">
        <is>
          <t>YES</t>
        </is>
      </c>
      <c r="S1388" t="inlineStr">
        <is>
          <t>Cryo Jets Floor Mount (discounted)</t>
        </is>
      </c>
      <c r="T1388">
        <v>1</v>
      </c>
      <c r="U1388">
        <v>20</v>
      </c>
      <c r="V1388" t="inlineStr">
        <is>
          <t>PHP</t>
        </is>
      </c>
      <c r="W1388">
        <v>20</v>
      </c>
      <c r="X1388" s="2" t="str">
        <f>=HYPERLINK("https://www.larksuite.com/approval/admin/previewAttachment?key=PMgxCgJBDAXQK_1kfpL5XsZmh0UEQZCdLmcXLGxfTkPOsJECZS5YFytCQg0xGB6R7W1VQlnO2et13n0fWNtUfD8vv3o_jnN9LFTuqEGOCcBufx9FUkri5_4NAAD__w", "2 attachment(s)")</f>
        <v>2 attachment(s)</v>
      </c>
      <c r="Y1388"/>
      <c r="Z1388"/>
      <c r="AA1388"/>
      <c r="AB1388"/>
      <c r="AC1388"/>
      <c r="AD1388" s="4"/>
      <c r="AE1388"/>
      <c r="AF1388" s="2"/>
      <c r="AG1388" t="inlineStr">
        <is>
          <t>NzQyNTk5MTgyNzQ4MTg3MDM0MTozRjRCMDJBQi05NjM1LTQ3N0EtQkYzRi02MkMxQkQ2NThCNjQtMzpmZjFmNGY5MTViYzhhMmM2NmQ3MWMxODgxMjljNjE5Njox</t>
        </is>
      </c>
      <c r="AH1388"/>
      <c r="AI1388"/>
      <c r="AJ1388"/>
      <c r="AK1388"/>
    </row>
    <row r="1389" ht="25.5" customHeight="1">
      <c r="A1389" s="2" t="str">
        <f>=HYPERLINK("https://applink.larksuite.com/client/mini_program/open?appId=cli_9c7cc8a9a9edd105&amp;mode=appCenter&amp;path_pc=pc/pages/requested/index?instanceId=7475637362169495564&amp;source=bitable&amp;path=pages/detail/index?instanceId=7475637362169495564&amp;source=bitable", "202502260043")</f>
        <v>202502260043</v>
      </c>
      <c r="B1389" t="inlineStr">
        <is>
          <t>Approved</t>
        </is>
      </c>
      <c r="C1389" t="inlineStr">
        <is>
          <t>Procurement Order</t>
        </is>
      </c>
      <c r="D1389" s="3">
        <v>45714.67428240741</v>
      </c>
      <c r="E1389" s="3">
        <v>45716.47773148148</v>
      </c>
      <c r="F1389" t="inlineStr">
        <is>
          <t>Fatima Kathleen M. FLores</t>
        </is>
      </c>
      <c r="G1389" t="inlineStr">
        <is>
          <t>Procurement</t>
        </is>
      </c>
      <c r="H1389"/>
      <c r="I1389"/>
      <c r="J1389" t="inlineStr">
        <is>
          <t>Project</t>
        </is>
      </c>
      <c r="K1389" t="inlineStr">
        <is>
          <t>PDEI - Event Service</t>
        </is>
      </c>
      <c r="L1389" t="inlineStr">
        <is>
          <t>MPL PH S15</t>
        </is>
      </c>
      <c r="M1389" t="inlineStr">
        <is>
          <t>2024TEG-P0430</t>
        </is>
      </c>
      <c r="N1389" t="inlineStr">
        <is>
          <t>Tiny</t>
        </is>
      </c>
      <c r="O1389" t="inlineStr">
        <is>
          <t>202502170119-Tiny-费用报销 - 副本 - 副本 - 副本-2025-02-17 18:16:15</t>
        </is>
      </c>
      <c r="P1389" t="inlineStr">
        <is>
          <t>YES</t>
        </is>
      </c>
      <c r="Q1389"/>
      <c r="R1389" t="inlineStr">
        <is>
          <t>YES</t>
        </is>
      </c>
      <c r="S1389" t="inlineStr">
        <is>
          <t>Belden Cat 6 Patch Cord (5 meters)</t>
        </is>
      </c>
      <c r="T1389">
        <v>20</v>
      </c>
      <c r="U1389">
        <v>800</v>
      </c>
      <c r="V1389" t="inlineStr">
        <is>
          <t>PHP</t>
        </is>
      </c>
      <c r="W1389">
        <v>16000</v>
      </c>
      <c r="X1389" s="2" t="str">
        <f>=HYPERLINK("https://www.larksuite.com/approval/admin/previewAttachment?key=PMgxDgIxDATAL63tje3lMzQXnaCgQkS6Im9HoqCdbEP2sEiBMhdsF2tkVKRbihojuX1blVCW3Xu-zruvA1PrGXbx6s9ej-Ocbxsqd1SQ0QDs9vcoklISP8c3AAD__w", "2 attachment(s)")</f>
        <v>2 attachment(s)</v>
      </c>
      <c r="Y1389" t="inlineStr">
        <is>
          <t>Bank Transfer</t>
        </is>
      </c>
      <c r="Z1389" t="inlineStr">
        <is>
          <t>Channel International Enterprises</t>
        </is>
      </c>
      <c r="AA1389" t="inlineStr">
        <is>
          <t>2560103733</t>
        </is>
      </c>
      <c r="AB1389" t="inlineStr">
        <is>
          <t>BDO</t>
        </is>
      </c>
      <c r="AC1389" t="inlineStr">
        <is>
          <t>#43 Don A. Roces Ave.Quezon City</t>
        </is>
      </c>
      <c r="AD1389" s="4">
        <v>45715</v>
      </c>
      <c r="AE1389" t="inlineStr">
        <is>
          <t>100% Full Payment</t>
        </is>
      </c>
      <c r="AF1389" s="2"/>
      <c r="AG1389" t="inlineStr">
        <is>
          <t>NzQyNTk5MTgyNzQ4MTg3MDM0MToxMjNGMDYxRS02NkEzLTQ5QkEtOThFRS04N0U5RDU4Qjg5MzEtMTo0MDU0ODlmODc1NjViNjQ3NGVhYThlZThjYzIxZmM2Mjox</t>
        </is>
      </c>
      <c r="AH1389"/>
      <c r="AI1389"/>
      <c r="AJ1389"/>
      <c r="AK1389"/>
    </row>
    <row r="1390" ht="25.5" customHeight="1">
      <c r="A1390" s="2" t="str">
        <f>=HYPERLINK("https://applink.larksuite.com/client/mini_program/open?appId=cli_9c7cc8a9a9edd105&amp;mode=appCenter&amp;path_pc=pc/pages/requested/index?instanceId=7477511066767851532&amp;source=bitable&amp;path=pages/detail/index?instanceId=7477511066767851532&amp;source=bitable", "202503030119")</f>
        <v>202503030119</v>
      </c>
      <c r="B1390" t="inlineStr">
        <is>
          <t>Approved</t>
        </is>
      </c>
      <c r="C1390" t="inlineStr">
        <is>
          <t>Procurement Order</t>
        </is>
      </c>
      <c r="D1390" s="3">
        <v>45719.723541666666</v>
      </c>
      <c r="E1390" s="3">
        <v>45726.684525462966</v>
      </c>
      <c r="F1390" t="inlineStr">
        <is>
          <t>Fatima Kathleen M. FLores</t>
        </is>
      </c>
      <c r="G1390" t="inlineStr">
        <is>
          <t>Procurement</t>
        </is>
      </c>
      <c r="H1390"/>
      <c r="I1390"/>
      <c r="J1390" t="inlineStr">
        <is>
          <t>Project</t>
        </is>
      </c>
      <c r="K1390" t="inlineStr">
        <is>
          <t>PDEI - Event Service</t>
        </is>
      </c>
      <c r="L1390" t="inlineStr">
        <is>
          <t>MPL PH S15</t>
        </is>
      </c>
      <c r="M1390" t="inlineStr">
        <is>
          <t>2024TEG-P0430</t>
        </is>
      </c>
      <c r="N1390" t="inlineStr">
        <is>
          <t>Tiny</t>
        </is>
      </c>
      <c r="O1390" t="inlineStr">
        <is>
          <t>202502170129-Tiny-费用报销 - 副本 - 副本 - 副本-2025-02-17 18:52:07</t>
        </is>
      </c>
      <c r="P1390" t="inlineStr">
        <is>
          <t>YES</t>
        </is>
      </c>
      <c r="Q1390"/>
      <c r="R1390" t="inlineStr">
        <is>
          <t>YES</t>
        </is>
      </c>
      <c r="S1390" t="inlineStr">
        <is>
          <t>Outsourced Assistant GFX Designer</t>
        </is>
      </c>
      <c r="T1390">
        <v>1</v>
      </c>
      <c r="U1390">
        <v>60000</v>
      </c>
      <c r="V1390" t="inlineStr">
        <is>
          <t>PHP</t>
        </is>
      </c>
      <c r="W1390">
        <v>60000</v>
      </c>
      <c r="X1390" s="2" t="str">
        <f>=HYPERLINK("https://www.larksuite.com/approval/admin/previewAttachment?key=PMhBCsJADAXQK_2fZPITL-OmZRClIAiFLubsggu3L4vIGvRsRNMaXAppkMhUqgaH27JFqSFm1dqPeb_OzXyb70v96uexzsc29w9HywzyCC8AvP3dFRHdGfg5vgEAAP__", "2 attachment(s)")</f>
        <v>2 attachment(s)</v>
      </c>
      <c r="Y1390" t="inlineStr">
        <is>
          <t>Bank Transfer</t>
        </is>
      </c>
      <c r="Z1390" t="inlineStr">
        <is>
          <t>Chiarra S Mogol</t>
        </is>
      </c>
      <c r="AA1390" t="inlineStr">
        <is>
          <t>8489220114</t>
        </is>
      </c>
      <c r="AB1390" t="inlineStr">
        <is>
          <t>BPI</t>
        </is>
      </c>
      <c r="AC1390" t="inlineStr">
        <is>
          <t>B7 L43 Camella Homes Woodhills, Brgy San Antonio, Waxwing St, San Pedro Laguna</t>
        </is>
      </c>
      <c r="AD1390" s="4">
        <v>45714</v>
      </c>
      <c r="AE1390" t="inlineStr">
        <is>
          <t>1st Payment - Mar. 21, 2025
2nd Payment - Apr. 18, 2025
3rd Payment - May 2, 2025
4th Payment - May 23, 2025
Final Payment - Jun 27, 2025</t>
        </is>
      </c>
      <c r="AF1390" s="2"/>
      <c r="AG1390" t="inlineStr">
        <is>
          <t>NzQyNTk5MTgyNzQ4MTg3MDM0MTpERDRDREY4OS0xMDFFLTREM0MtOTU0MS04OEZDNDRFQjI1NjYtMTowZGUxYTM5ODFhMmFhMjhhZmExYjBmNWEyMWQ3MzE3Nzox</t>
        </is>
      </c>
      <c r="AH1390"/>
      <c r="AI1390"/>
      <c r="AJ1390"/>
      <c r="AK1390"/>
    </row>
    <row r="1391" ht="25.5" customHeight="1">
      <c r="A1391" s="2" t="str">
        <f>=HYPERLINK("https://applink.larksuite.com/client/mini_program/open?appId=cli_9c7cc8a9a9edd105&amp;mode=appCenter&amp;path_pc=pc/pages/requested/index?instanceId=7477487536143728646&amp;source=bitable&amp;path=pages/detail/index?instanceId=7477487536143728646&amp;source=bitable", "202503030094")</f>
        <v>202503030094</v>
      </c>
      <c r="B1391" t="inlineStr">
        <is>
          <t>Approved</t>
        </is>
      </c>
      <c r="C1391" t="inlineStr">
        <is>
          <t>Procurement Order</t>
        </is>
      </c>
      <c r="D1391" s="3">
        <v>45719.66013888889</v>
      </c>
      <c r="E1391" s="3">
        <v>45729.67863425926</v>
      </c>
      <c r="F1391" t="inlineStr">
        <is>
          <t>Fatima Kathleen M. FLores</t>
        </is>
      </c>
      <c r="G1391" t="inlineStr">
        <is>
          <t>Procurement</t>
        </is>
      </c>
      <c r="H1391"/>
      <c r="I1391"/>
      <c r="J1391" t="inlineStr">
        <is>
          <t>Project</t>
        </is>
      </c>
      <c r="K1391" t="inlineStr">
        <is>
          <t>PDEI - Event Service</t>
        </is>
      </c>
      <c r="L1391" t="inlineStr">
        <is>
          <t>MPL PH S15</t>
        </is>
      </c>
      <c r="M1391" t="inlineStr">
        <is>
          <t>2024TEG-P0430</t>
        </is>
      </c>
      <c r="N1391" t="inlineStr">
        <is>
          <t>Tiny</t>
        </is>
      </c>
      <c r="O1391" t="inlineStr">
        <is>
          <t>202502170129-Tiny-费用报销 - 副本 - 副本 - 副本-2025-02-17 18:52:07</t>
        </is>
      </c>
      <c r="P1391" t="inlineStr">
        <is>
          <t>YES</t>
        </is>
      </c>
      <c r="Q1391"/>
      <c r="R1391" t="inlineStr">
        <is>
          <t>NO</t>
        </is>
      </c>
      <c r="S1391" t="inlineStr">
        <is>
          <t>Outsourced LED CG Operator</t>
        </is>
      </c>
      <c r="T1391">
        <v>1</v>
      </c>
      <c r="U1391">
        <v>82500</v>
      </c>
      <c r="V1391" t="inlineStr">
        <is>
          <t>PHP</t>
        </is>
      </c>
      <c r="W1391">
        <v>82500</v>
      </c>
      <c r="X1391" s="2" t="str">
        <f>=HYPERLINK("https://www.larksuite.com/approval/admin/previewAttachment?key=PMgxCgJRDATQK2WS-ZnEy9i4LIoogqA2ObtgYfuyYFkLkW1seBtGlFhakWDIK5njA6lNyKrZbvvx6h_c33hEsPyy5nU-7dsTq-VuCjLKzHD4e4hkd9J-bt8AAAD__w", "2 attachment(s)")</f>
        <v>2 attachment(s)</v>
      </c>
      <c r="Y1391" t="inlineStr">
        <is>
          <t>Bank Transfer</t>
        </is>
      </c>
      <c r="Z1391" t="inlineStr">
        <is>
          <t>Remar John Bayona</t>
        </is>
      </c>
      <c r="AA1391" t="inlineStr">
        <is>
          <t>09458591894</t>
        </is>
      </c>
      <c r="AB1391" t="inlineStr">
        <is>
          <t>GCash</t>
        </is>
      </c>
      <c r="AC1391" t="inlineStr">
        <is>
          <t>Puntales Road,Concepcion,Iloilo</t>
        </is>
      </c>
      <c r="AD1391" s="4">
        <v>45711</v>
      </c>
      <c r="AE1391" t="inlineStr">
        <is>
          <t>1st Payment - Mar. 21, 2025
2nd Payment - Apr. 18, 2025
3rd Payment - May 2, 2025
4th Payment - May 23, 2025
Final Payment - Jun 27, 2025</t>
        </is>
      </c>
      <c r="AF1391" s="2"/>
      <c r="AG1391" t="inlineStr">
        <is>
          <t>NzQyNTk5MTgyNzQ4MTg3MDM0MTo4MkM1MjgxMi04MzUyLTQ0RDktOTMzMC04ODhGN0MwQjc1MDMtMTo1OGY4NGZkZmEwOTJjY2IyYWM0NjYwNTJmYWExYTJlZTox</t>
        </is>
      </c>
      <c r="AH1391"/>
      <c r="AI1391"/>
      <c r="AJ1391"/>
      <c r="AK1391"/>
    </row>
    <row r="1392" ht="25.5" customHeight="1">
      <c r="A1392" s="2" t="str">
        <f>=HYPERLINK("https://applink.larksuite.com/client/mini_program/open?appId=cli_9c7cc8a9a9edd105&amp;mode=appCenter&amp;path_pc=pc/pages/requested/index?instanceId=7477500121748570124&amp;source=bitable&amp;path=pages/detail/index?instanceId=7477500121748570124&amp;source=bitable", "202503030109")</f>
        <v>202503030109</v>
      </c>
      <c r="B1392" t="inlineStr">
        <is>
          <t>Approved</t>
        </is>
      </c>
      <c r="C1392" t="inlineStr">
        <is>
          <t>Procurement Order</t>
        </is>
      </c>
      <c r="D1392" s="3">
        <v>45719.69405092593</v>
      </c>
      <c r="E1392" s="3">
        <v>45727.74996527778</v>
      </c>
      <c r="F1392" t="inlineStr">
        <is>
          <t>Fatima Kathleen M. FLores</t>
        </is>
      </c>
      <c r="G1392" t="inlineStr">
        <is>
          <t>Procurement</t>
        </is>
      </c>
      <c r="H1392"/>
      <c r="I1392"/>
      <c r="J1392" t="inlineStr">
        <is>
          <t>Project</t>
        </is>
      </c>
      <c r="K1392" t="inlineStr">
        <is>
          <t>PDEI - Event Service</t>
        </is>
      </c>
      <c r="L1392" t="inlineStr">
        <is>
          <t>MPL PH S15</t>
        </is>
      </c>
      <c r="M1392" t="inlineStr">
        <is>
          <t>2024TEG-P0430</t>
        </is>
      </c>
      <c r="N1392" t="inlineStr">
        <is>
          <t>Tiny</t>
        </is>
      </c>
      <c r="O1392" t="inlineStr">
        <is>
          <t>202502170129-Tiny-费用报销 - 副本 - 副本 - 副本-2025-02-17 18:52:07</t>
        </is>
      </c>
      <c r="P1392" t="inlineStr">
        <is>
          <t>YES</t>
        </is>
      </c>
      <c r="Q1392"/>
      <c r="R1392" t="inlineStr">
        <is>
          <t>YES</t>
        </is>
      </c>
      <c r="S1392" t="inlineStr">
        <is>
          <t>Outsourced Broadcast Audio Engineer</t>
        </is>
      </c>
      <c r="T1392">
        <v>1</v>
      </c>
      <c r="U1392">
        <v>91666.74</v>
      </c>
      <c r="V1392" t="inlineStr">
        <is>
          <t>PHP</t>
        </is>
      </c>
      <c r="W1392">
        <v>91666.74</v>
      </c>
      <c r="X1392" s="2" t="str">
        <f>=HYPERLINK("https://www.larksuite.com/approval/admin/previewAttachment?key=PMgxDsIwFAPQK9k_Tvw_l2GhqpBKJqTSJWdHYmB9I4mRnW0UVIwCl2V3gEEru8HQikW7YI7Mtc393ub5eU0ex5XGta3z-di3N3s5Am5SSwC8_b1ZUtUQfo5vAAAA__8", "2 attachment(s)")</f>
        <v>2 attachment(s)</v>
      </c>
      <c r="Y1392" t="inlineStr">
        <is>
          <t>Bank Transfer</t>
        </is>
      </c>
      <c r="Z1392" t="inlineStr">
        <is>
          <t>Kenneth Singian</t>
        </is>
      </c>
      <c r="AA1392" t="inlineStr">
        <is>
          <t>09176559151</t>
        </is>
      </c>
      <c r="AB1392" t="inlineStr">
        <is>
          <t>GCash</t>
        </is>
      </c>
      <c r="AC1392" t="inlineStr">
        <is>
          <t>84 Montreal St. Cubao Quezon City</t>
        </is>
      </c>
      <c r="AD1392" s="4">
        <v>45714</v>
      </c>
      <c r="AE1392" t="inlineStr">
        <is>
          <t>1st Payment - Mar. 21, 2025
2nd Payment - Apr. 18, 2025
3rd Payment - May 2, 2025
4th Payment - May 23, 2025
Final Payment - Jun 27, 2025</t>
        </is>
      </c>
      <c r="AF1392" s="2"/>
      <c r="AG1392" t="inlineStr">
        <is>
          <t>NzQyNTk5MTgyNzQ4MTg3MDM0MTo3MTZCNUM3NS02ODZELTRENjctQjM2My05QzNBMEY1NkRERjUtMTo0NmE4MjJhZTNlYzRkMDBlN2IwYzZmZTIzZjdiOTlkMzox</t>
        </is>
      </c>
      <c r="AH1392"/>
      <c r="AI1392"/>
      <c r="AJ1392"/>
      <c r="AK1392"/>
    </row>
    <row r="1393" ht="25.5" customHeight="1">
      <c r="A1393" s="2" t="str">
        <f>=HYPERLINK("https://applink.larksuite.com/client/mini_program/open?appId=cli_9c7cc8a9a9edd105&amp;mode=appCenter&amp;path_pc=pc/pages/requested/index?instanceId=7477423985903337478&amp;source=bitable&amp;path=pages/detail/index?instanceId=7477423985903337478&amp;source=bitable", "202503030028")</f>
        <v>202503030028</v>
      </c>
      <c r="B1393" t="inlineStr">
        <is>
          <t>Approved</t>
        </is>
      </c>
      <c r="C1393" t="inlineStr">
        <is>
          <t>Procurement Order</t>
        </is>
      </c>
      <c r="D1393" s="3">
        <v>45719.48887731481</v>
      </c>
      <c r="E1393" s="3">
        <v>45721.79344907407</v>
      </c>
      <c r="F1393" t="inlineStr">
        <is>
          <t>Fatima Kathleen M. FLores</t>
        </is>
      </c>
      <c r="G1393" t="inlineStr">
        <is>
          <t>Procurement</t>
        </is>
      </c>
      <c r="H1393"/>
      <c r="I1393"/>
      <c r="J1393" t="inlineStr">
        <is>
          <t>Project</t>
        </is>
      </c>
      <c r="K1393" t="inlineStr">
        <is>
          <t>PDEI - Event Service</t>
        </is>
      </c>
      <c r="L1393" t="inlineStr">
        <is>
          <t>HOK Invitational S3</t>
        </is>
      </c>
      <c r="M1393" t="inlineStr">
        <is>
          <t>2025TEG-P0027</t>
        </is>
      </c>
      <c r="N1393" t="inlineStr">
        <is>
          <t>Duane Aaron Baret Cadangan</t>
        </is>
      </c>
      <c r="O1393" t="inlineStr">
        <is>
          <t>202502070077-Duane Aaron Baret Cadangan-费用报销 - 副本 - 副本 - 副本-2025-02-07 13:00:24</t>
        </is>
      </c>
      <c r="P1393" t="inlineStr">
        <is>
          <t>YES</t>
        </is>
      </c>
      <c r="Q1393"/>
      <c r="R1393" t="inlineStr">
        <is>
          <t>YES</t>
        </is>
      </c>
      <c r="S1393" t="inlineStr">
        <is>
          <t>Outsourced Production Team (Floor Manager / Stage Managers)</t>
        </is>
      </c>
      <c r="T1393">
        <v>1</v>
      </c>
      <c r="U1393">
        <v>88000</v>
      </c>
      <c r="V1393" t="inlineStr">
        <is>
          <t>PHP</t>
        </is>
      </c>
      <c r="W1393">
        <v>88000</v>
      </c>
      <c r="X1393" s="2" t="str">
        <f>=HYPERLINK("https://www.larksuite.com/approval/admin/previewAttachment?key=PMgxDsIwDAXQK33bP_k2l2FJVQERLEgVDDk7EkPX19PQs1n0Asu8YEuU6FHZChEhKpcvkwqynrm25379HsNfj7vjM-ecYx23sW9vayV3KMhIAHY5PUSyqhN_xy8AAP__", "2 attachment(s)")</f>
        <v>2 attachment(s)</v>
      </c>
      <c r="Y1393" t="inlineStr">
        <is>
          <t>Bank Transfer</t>
        </is>
      </c>
      <c r="Z1393" t="inlineStr">
        <is>
          <t>Jose Quiqui Jr</t>
        </is>
      </c>
      <c r="AA1393" t="inlineStr">
        <is>
          <t>000550330364</t>
        </is>
      </c>
      <c r="AB1393" t="inlineStr">
        <is>
          <t>BDO</t>
        </is>
      </c>
      <c r="AC1393" t="inlineStr">
        <is>
          <t>Unit 2, C&amp;G Compound, Sto. Rosario st., Plainview Mandaluyong City</t>
        </is>
      </c>
      <c r="AD1393" s="4">
        <v>45707</v>
      </c>
      <c r="AE1393" t="inlineStr">
        <is>
          <t>1st Payment - March 7, 2025
Final Payment - March 21, 2025</t>
        </is>
      </c>
      <c r="AF1393" s="2"/>
      <c r="AG1393" t="inlineStr">
        <is>
          <t>NzQyNTk5MTgyNzQ4MTg3MDM0MTpBMEQzMEZCNi0zMDlBLTRDOUUtOUM5My02RjIxQjBERjRERUItMTowOGUzOTE1MDhkYWFkMTg4YmFiMWZjNzA2MGQ0YzU4YTox</t>
        </is>
      </c>
      <c r="AH1393"/>
      <c r="AI1393"/>
      <c r="AJ1393"/>
      <c r="AK1393"/>
    </row>
    <row r="1394" ht="25.5" customHeight="1">
      <c r="A1394" s="2" t="str">
        <f>=HYPERLINK("https://applink.larksuite.com/client/mini_program/open?appId=cli_9c7cc8a9a9edd105&amp;mode=appCenter&amp;path_pc=pc/pages/requested/index?instanceId=7477449189937381388&amp;source=bitable&amp;path=pages/detail/index?instanceId=7477449189937381388&amp;source=bitable", "202503030062")</f>
        <v>202503030062</v>
      </c>
      <c r="B1394" t="inlineStr">
        <is>
          <t>Rejected</t>
        </is>
      </c>
      <c r="C1394" t="inlineStr">
        <is>
          <t>Procurement Order</t>
        </is>
      </c>
      <c r="D1394" s="3">
        <v>45719.55679398148</v>
      </c>
      <c r="E1394" s="3">
        <v>45722.55568287037</v>
      </c>
      <c r="F1394" t="inlineStr">
        <is>
          <t>Fatima Kathleen M. FLores</t>
        </is>
      </c>
      <c r="G1394" t="inlineStr">
        <is>
          <t>Procurement</t>
        </is>
      </c>
      <c r="H1394"/>
      <c r="I1394"/>
      <c r="J1394" t="inlineStr">
        <is>
          <t>Project</t>
        </is>
      </c>
      <c r="K1394" t="inlineStr">
        <is>
          <t>PDEI - Event Service</t>
        </is>
      </c>
      <c r="L1394" t="inlineStr">
        <is>
          <t>MPL PH S15</t>
        </is>
      </c>
      <c r="M1394" t="inlineStr">
        <is>
          <t>2024TEG-P0430</t>
        </is>
      </c>
      <c r="N1394" t="inlineStr">
        <is>
          <t>Tiny</t>
        </is>
      </c>
      <c r="O1394" t="inlineStr">
        <is>
          <t>202502170121-Tiny-费用报销 - 副本 - 副本 - 副本-2025-02-17 18:26:09</t>
        </is>
      </c>
      <c r="P1394" t="inlineStr">
        <is>
          <t>NO</t>
        </is>
      </c>
      <c r="Q1394"/>
      <c r="R1394" t="inlineStr">
        <is>
          <t>YES</t>
        </is>
      </c>
      <c r="S1394" t="inlineStr">
        <is>
          <t>Outsourced Technical Services (LED, Lights and Sounds)</t>
        </is>
      </c>
      <c r="T1394">
        <v>1</v>
      </c>
      <c r="U1394">
        <v>13000000</v>
      </c>
      <c r="V1394" t="inlineStr">
        <is>
          <t>PHP</t>
        </is>
      </c>
      <c r="W1394">
        <v>13000000</v>
      </c>
      <c r="X1394" s="2" t="str">
        <f>=HYPERLINK("https://www.larksuite.com/approval/admin/previewAttachment?key=PMhBCgIxDAXQK_00v02-l3HjUHSsIIjiJmcXXMz2jTSM7OZDoKwJVsEIUpaSh6d5ZrWyCCFsZNb2mOfVv3wu7Gve3ve91ed6mdvLuqI1hJOeAOx0uAdJaRB_xy8AAP__", "2 attachment(s)")</f>
        <v>2 attachment(s)</v>
      </c>
      <c r="Y1394" t="inlineStr">
        <is>
          <t>Bank Transfer</t>
        </is>
      </c>
      <c r="Z1394" t="inlineStr">
        <is>
          <t>XSTATIC EVENT SYSTEM INC.</t>
        </is>
      </c>
      <c r="AA1394" t="inlineStr">
        <is>
          <t>011728001773</t>
        </is>
      </c>
      <c r="AB1394" t="inlineStr">
        <is>
          <t>BDO</t>
        </is>
      </c>
      <c r="AC1394" t="inlineStr">
        <is>
          <t>Blk. 15 Lot 26 BF Martinville Las Piñas City</t>
        </is>
      </c>
      <c r="AD1394" s="4">
        <v>45716</v>
      </c>
      <c r="AE1394" t="inlineStr">
        <is>
          <t>70% Down Payment upon confirmation
30% Final payment - 30 days</t>
        </is>
      </c>
      <c r="AF1394" s="2"/>
      <c r="AG1394" t="inlineStr">
        <is>
          <t>NzQyNTk5MTgyNzQ4MTg3MDM0MToxQzhGMTMwRC1GMjBDLTQyRjUtOUQzQi1CQzdCMUE2NjhDRkQtMTplODI4YmYzMDk0ZjM4MzYzMzk1OTBjMjA3ZGNkMDUwMzox</t>
        </is>
      </c>
      <c r="AH1394"/>
      <c r="AI1394"/>
      <c r="AJ1394"/>
      <c r="AK1394"/>
    </row>
    <row r="1395" ht="25.5" customHeight="1">
      <c r="A1395" s="2" t="str">
        <f>=HYPERLINK("https://applink.larksuite.com/client/mini_program/open?appId=cli_9c7cc8a9a9edd105&amp;mode=appCenter&amp;path_pc=pc/pages/requested/index?instanceId=7477453819643740166&amp;source=bitable&amp;path=pages/detail/index?instanceId=7477453819643740166&amp;source=bitable", "202503030065")</f>
        <v>202503030065</v>
      </c>
      <c r="B1395" t="inlineStr">
        <is>
          <t>Approved</t>
        </is>
      </c>
      <c r="C1395" t="inlineStr">
        <is>
          <t>Procurement Order</t>
        </is>
      </c>
      <c r="D1395" s="3">
        <v>45719.56927083333</v>
      </c>
      <c r="E1395" s="3">
        <v>45723.434537037036</v>
      </c>
      <c r="F1395" t="inlineStr">
        <is>
          <t>Fatima Kathleen M. FLores</t>
        </is>
      </c>
      <c r="G1395" t="inlineStr">
        <is>
          <t>Procurement</t>
        </is>
      </c>
      <c r="H1395"/>
      <c r="I1395"/>
      <c r="J1395" t="inlineStr">
        <is>
          <t>Project</t>
        </is>
      </c>
      <c r="K1395" t="inlineStr">
        <is>
          <t>PDEI - Event Service</t>
        </is>
      </c>
      <c r="L1395" t="inlineStr">
        <is>
          <t>MPL PH S15</t>
        </is>
      </c>
      <c r="M1395" t="inlineStr">
        <is>
          <t>2024TEG-P0430</t>
        </is>
      </c>
      <c r="N1395" t="inlineStr">
        <is>
          <t>Tiny</t>
        </is>
      </c>
      <c r="O1395" t="inlineStr">
        <is>
          <t>202502170122-Tiny-费用报销 - 副本 - 副本 - 副本-2025-02-17 18:27:38</t>
        </is>
      </c>
      <c r="P1395" t="inlineStr">
        <is>
          <t>NO</t>
        </is>
      </c>
      <c r="Q1395"/>
      <c r="R1395" t="inlineStr">
        <is>
          <t>YES</t>
        </is>
      </c>
      <c r="S1395" t="inlineStr">
        <is>
          <t>Outsourced Camera Crew &amp; Equipment (33 days)</t>
        </is>
      </c>
      <c r="T1395">
        <v>1</v>
      </c>
      <c r="U1395">
        <v>1596000</v>
      </c>
      <c r="V1395" t="inlineStr">
        <is>
          <t>PHP</t>
        </is>
      </c>
      <c r="W1395">
        <v>1596000</v>
      </c>
      <c r="X1395" s="2" t="str">
        <f>=HYPERLINK("https://www.larksuite.com/approval/admin/previewAttachment?key=PMi7DQIxEATQlma84_3QDAmWRXCQIHyRa0ciuPR5Ep6d5gUVW4E7FKFuyXJZCHTfbTOiEPTMPV7zvvg9NXXgWHaO917Pxxwf9orWECZZAuDtcgtJVS78Hb8AAAD__w", "2 attachment(s)")</f>
        <v>2 attachment(s)</v>
      </c>
      <c r="Y1395" t="inlineStr">
        <is>
          <t>Bank Transfer</t>
        </is>
      </c>
      <c r="Z1395" t="inlineStr">
        <is>
          <t>Maxi One Production Inc.</t>
        </is>
      </c>
      <c r="AA1395" t="inlineStr">
        <is>
          <t>3981 0038 87</t>
        </is>
      </c>
      <c r="AB1395" t="inlineStr">
        <is>
          <t>BPI</t>
        </is>
      </c>
      <c r="AC1395" t="inlineStr">
        <is>
          <t>Unit 1811 Tower E, The Grove by Rockwell, 117 E. Rodriguez Jr. Ave., Brgy. Ugong, Pasig City</t>
        </is>
      </c>
      <c r="AD1395" s="4">
        <v>45716</v>
      </c>
      <c r="AE1395" t="inlineStr">
        <is>
          <t>50% Down payment  upon approval
50% Balance - progress billing</t>
        </is>
      </c>
      <c r="AF1395" s="2"/>
      <c r="AG1395" t="inlineStr">
        <is>
          <t>NzQyNTk5MTgyNzQ4MTg3MDM0MToyNDVGMkUxQi04NEJBLTRENEEtOTlBNy03OTg3M0E4Q0ZDMTgtMTpjZDE5NjFmNWVlYmViYzRlNDI4MzQxNzI0MTJhMDk2ODox</t>
        </is>
      </c>
      <c r="AH1395"/>
      <c r="AI1395"/>
      <c r="AJ1395"/>
      <c r="AK1395"/>
    </row>
    <row r="1396" ht="25.5" customHeight="1">
      <c r="A1396" s="2" t="str">
        <f>=HYPERLINK("https://applink.larksuite.com/client/mini_program/open?appId=cli_9c7cc8a9a9edd105&amp;mode=appCenter&amp;path_pc=pc/pages/requested/index?instanceId=7477836209385897990&amp;source=bitable&amp;path=pages/detail/index?instanceId=7477836209385897990&amp;source=bitable", "202503040076")</f>
        <v>202503040076</v>
      </c>
      <c r="B1396" t="inlineStr">
        <is>
          <t>Recalled</t>
        </is>
      </c>
      <c r="C1396" t="inlineStr">
        <is>
          <t>Procurement Order</t>
        </is>
      </c>
      <c r="D1396" s="3">
        <v>45720.5997337963</v>
      </c>
      <c r="E1396" s="3">
        <v>45730.60255787037</v>
      </c>
      <c r="F1396" t="inlineStr">
        <is>
          <t>Fatima Kathleen M. FLores</t>
        </is>
      </c>
      <c r="G1396" t="inlineStr">
        <is>
          <t>Procurement</t>
        </is>
      </c>
      <c r="H1396"/>
      <c r="I1396"/>
      <c r="J1396" t="inlineStr">
        <is>
          <t>Project</t>
        </is>
      </c>
      <c r="K1396" t="inlineStr">
        <is>
          <t>PDEI - Event Service</t>
        </is>
      </c>
      <c r="L1396" t="inlineStr">
        <is>
          <t>HOK Invitational S3</t>
        </is>
      </c>
      <c r="M1396" t="inlineStr">
        <is>
          <t>2025TEG-P0027</t>
        </is>
      </c>
      <c r="N1396" t="inlineStr">
        <is>
          <t>Duane Aaron Baret Cadangan</t>
        </is>
      </c>
      <c r="O1396" t="inlineStr">
        <is>
          <t>202502070089-Duane Aaron Baret Cadangan-费用报销 - 副本 - 副本 - 副本-2025-02-07 15:00:15</t>
        </is>
      </c>
      <c r="P1396" t="inlineStr">
        <is>
          <t>YES</t>
        </is>
      </c>
      <c r="Q1396"/>
      <c r="R1396" t="inlineStr">
        <is>
          <t>YES</t>
        </is>
      </c>
      <c r="S1396" t="inlineStr">
        <is>
          <t>Outsourced Camera Highlights Operator</t>
        </is>
      </c>
      <c r="T1396">
        <v>1</v>
      </c>
      <c r="U1396">
        <v>25000</v>
      </c>
      <c r="V1396" t="inlineStr">
        <is>
          <t>PHP</t>
        </is>
      </c>
      <c r="W1396">
        <v>25000</v>
      </c>
      <c r="X1396" s="2" t="str">
        <f>=HYPERLINK("https://www.larksuite.com/approval/admin/previewAttachment?key=PMg7DsJADATQK40_a3u4DE2iFRGEBhGl8dmRKNK-KEHUEAvCKUpIp2eWhYJWo5gkWlsyiZSo6nWf90O-r_e2bzrP5XxaH49lrh8ZTFWkuVsBkNvllu5OhuPv-AUAAP__", "2 attachment(s)")</f>
        <v>2 attachment(s)</v>
      </c>
      <c r="Y1396" t="inlineStr">
        <is>
          <t>Bank Transfer</t>
        </is>
      </c>
      <c r="Z1396" t="inlineStr">
        <is>
          <t>Regner John R. Peneza</t>
        </is>
      </c>
      <c r="AA1396" t="inlineStr">
        <is>
          <t>109654013457</t>
        </is>
      </c>
      <c r="AB1396" t="inlineStr">
        <is>
          <t>Unionbank</t>
        </is>
      </c>
      <c r="AC1396" t="inlineStr">
        <is>
          <t>Bldg. 3 unit 102 Residencias De Manila, Pandacan</t>
        </is>
      </c>
      <c r="AD1396" s="4">
        <v>45708</v>
      </c>
      <c r="AE1396" t="inlineStr">
        <is>
          <t>1st Payment - Mar. 7, 2025
Final Payment - Mar. 21, 2025</t>
        </is>
      </c>
      <c r="AF1396" s="2"/>
      <c r="AG1396" t="inlineStr">
        <is>
          <t>NzQyNTk5MTgyNzQ4MTg3MDM0MTpGOEUxM0UxNy1CRjk1LTRBRkEtOTNFNy1DQzU1Q0ZEM0VCMjAtMTo2NzJhMjBiMWRkMmU5N2JiNGFlZGUyNmUzNGYxODE0ZDox</t>
        </is>
      </c>
      <c r="AH1396"/>
      <c r="AI1396"/>
      <c r="AJ1396"/>
      <c r="AK1396"/>
    </row>
    <row r="1397" ht="25.5" customHeight="1">
      <c r="A1397" s="2" t="str">
        <f>=HYPERLINK("https://applink.larksuite.com/client/mini_program/open?appId=cli_9c7cc8a9a9edd105&amp;mode=appCenter&amp;path_pc=pc/pages/requested/index?instanceId=7477840387912613900&amp;source=bitable&amp;path=pages/detail/index?instanceId=7477840387912613900&amp;source=bitable", "202503040080")</f>
        <v>202503040080</v>
      </c>
      <c r="B1397" t="inlineStr">
        <is>
          <t>Approved</t>
        </is>
      </c>
      <c r="C1397" t="inlineStr">
        <is>
          <t>Procurement Order</t>
        </is>
      </c>
      <c r="D1397" s="3">
        <v>45720.61099537037</v>
      </c>
      <c r="E1397" s="3">
        <v>45721.68116898148</v>
      </c>
      <c r="F1397" t="inlineStr">
        <is>
          <t>Fatima Kathleen M. FLores</t>
        </is>
      </c>
      <c r="G1397" t="inlineStr">
        <is>
          <t>Procurement</t>
        </is>
      </c>
      <c r="H1397"/>
      <c r="I1397"/>
      <c r="J1397" t="inlineStr">
        <is>
          <t>Project</t>
        </is>
      </c>
      <c r="K1397" t="inlineStr">
        <is>
          <t>PDEI - Event Service</t>
        </is>
      </c>
      <c r="L1397" t="inlineStr">
        <is>
          <t>HOK Invitational S3</t>
        </is>
      </c>
      <c r="M1397" t="inlineStr">
        <is>
          <t>2025TEG-P0027</t>
        </is>
      </c>
      <c r="N1397" t="inlineStr">
        <is>
          <t>Duane Aaron Baret Cadangan</t>
        </is>
      </c>
      <c r="O1397" t="inlineStr">
        <is>
          <t>202502070089-Duane Aaron Baret Cadangan-费用报销 - 副本 - 副本 - 副本-2025-02-07 15:00:15</t>
        </is>
      </c>
      <c r="P1397" t="inlineStr">
        <is>
          <t>YES</t>
        </is>
      </c>
      <c r="Q1397"/>
      <c r="R1397" t="inlineStr">
        <is>
          <t>YES</t>
        </is>
      </c>
      <c r="S1397" t="inlineStr">
        <is>
          <t>Outsourced LED Cg Operator</t>
        </is>
      </c>
      <c r="T1397">
        <v>1</v>
      </c>
      <c r="U1397">
        <v>33336</v>
      </c>
      <c r="V1397" t="inlineStr">
        <is>
          <t>PHP</t>
        </is>
      </c>
      <c r="W1397">
        <v>33336</v>
      </c>
      <c r="X1397" s="2" t="str">
        <f>=HYPERLINK("https://www.larksuite.com/approval/admin/previewAttachment?key=PMhLCoIxDATgK800aSbxMm4sxQeKIJR_07MLLtx-kURkp0XBi63ALZfSYaliC1oBu21KBTEy93jO820d89Ffb9zXODD2ul7m-LCXWoPM3RIAT383uXtVOH6ObwAAAP__", "2 attachment(s)")</f>
        <v>2 attachment(s)</v>
      </c>
      <c r="Y1397" t="inlineStr">
        <is>
          <t>Bank Transfer</t>
        </is>
      </c>
      <c r="Z1397" t="inlineStr">
        <is>
          <t>Yvan Laurence Balatbat</t>
        </is>
      </c>
      <c r="AA1397" t="inlineStr">
        <is>
          <t>00000 49934 132</t>
        </is>
      </c>
      <c r="AB1397" t="inlineStr">
        <is>
          <t>Security Bank</t>
        </is>
      </c>
      <c r="AC1397" t="inlineStr">
        <is>
          <t>123 Scout Ojeda St Brgy Obrero Quezon City</t>
        </is>
      </c>
      <c r="AD1397" s="4">
        <v>45706</v>
      </c>
      <c r="AE1397" t="inlineStr">
        <is>
          <t>1st Payment - Mar. 7, 2025
Final Payment - Mar. 21, 2025</t>
        </is>
      </c>
      <c r="AF1397" s="2"/>
      <c r="AG1397" t="inlineStr">
        <is>
          <t>NzQyNTk5MTgyNzQ4MTg3MDM0MTo3QkZEN0I2RC1BNTUyLTRDOTctQUFCNS1BRjJGMTk5REM2NEQtMTpmZGQyYjQ0YmE5YTQ0YWVlN2EwYjBmMTUwMDQ2NDkwZDox</t>
        </is>
      </c>
      <c r="AH1397"/>
      <c r="AI1397"/>
      <c r="AJ1397"/>
      <c r="AK1397"/>
    </row>
    <row r="1398" ht="25.5" customHeight="1">
      <c r="A1398" s="2" t="str">
        <f>=HYPERLINK("https://applink.larksuite.com/client/mini_program/open?appId=cli_9c7cc8a9a9edd105&amp;mode=appCenter&amp;path_pc=pc/pages/requested/index?instanceId=7478234469002936326&amp;source=bitable&amp;path=pages/detail/index?instanceId=7478234469002936326&amp;source=bitable", "202503050069")</f>
        <v>202503050069</v>
      </c>
      <c r="B1398" t="inlineStr">
        <is>
          <t>Approved</t>
        </is>
      </c>
      <c r="C1398" t="inlineStr">
        <is>
          <t>Procurement Order</t>
        </is>
      </c>
      <c r="D1398" s="3">
        <v>45721.67296296296</v>
      </c>
      <c r="E1398" s="3">
        <v>45737.79958333333</v>
      </c>
      <c r="F1398" t="inlineStr">
        <is>
          <t>Fatima Kathleen M. FLores</t>
        </is>
      </c>
      <c r="G1398" t="inlineStr">
        <is>
          <t>Procurement</t>
        </is>
      </c>
      <c r="H1398"/>
      <c r="I1398"/>
      <c r="J1398" t="inlineStr">
        <is>
          <t>Project</t>
        </is>
      </c>
      <c r="K1398" t="inlineStr">
        <is>
          <t>PDEI - Event Service</t>
        </is>
      </c>
      <c r="L1398" t="inlineStr">
        <is>
          <t>MPL PH S15</t>
        </is>
      </c>
      <c r="M1398" t="inlineStr">
        <is>
          <t>2024TEG-P0430</t>
        </is>
      </c>
      <c r="N1398" t="inlineStr">
        <is>
          <t>Tiny</t>
        </is>
      </c>
      <c r="O1398" t="inlineStr">
        <is>
          <t>202502180017-Tiny-费用报销 - 副本 - 副本 - 副本-2025-02-18 03:01:53</t>
        </is>
      </c>
      <c r="P1398" t="inlineStr">
        <is>
          <t>YES</t>
        </is>
      </c>
      <c r="Q1398"/>
      <c r="R1398" t="inlineStr">
        <is>
          <t>YES</t>
        </is>
      </c>
      <c r="S1398" t="inlineStr">
        <is>
          <t>Outsourced HMUA</t>
        </is>
      </c>
      <c r="T1398">
        <v>1</v>
      </c>
      <c r="U1398">
        <v>200000</v>
      </c>
      <c r="V1398" t="inlineStr">
        <is>
          <t>PHP</t>
        </is>
      </c>
      <c r="W1398">
        <v>200000</v>
      </c>
      <c r="X1398" s="2" t="str">
        <f>=HYPERLINK("https://www.larksuite.com/approval/admin/previewAttachment?key=PMg7CgJBEATQK1V11_bHy5g4DIpoIixuMGcXDDZ9UUTURo-GmtbgSmWZS9GAtYdbLFvMbCSjao3XvD7278TAQeYTx3vt99scH26dZkiXvADwcrqnpO4Q_o5fAAAA__8", "2 attachment(s)")</f>
        <v>2 attachment(s)</v>
      </c>
      <c r="Y1398" t="inlineStr">
        <is>
          <t>Bank Transfer</t>
        </is>
      </c>
      <c r="Z1398" t="inlineStr">
        <is>
          <t>Nico Rio Ong Rivera</t>
        </is>
      </c>
      <c r="AA1398" t="inlineStr">
        <is>
          <t>0646703869</t>
        </is>
      </c>
      <c r="AB1398" t="inlineStr">
        <is>
          <t>BPI</t>
        </is>
      </c>
      <c r="AC1398" t="inlineStr">
        <is>
          <t>312 Edang St. Pasay City</t>
        </is>
      </c>
      <c r="AD1398" s="4">
        <v>45716</v>
      </c>
      <c r="AE1398" t="inlineStr">
        <is>
          <t>1st Payment - Mar. 21, 2025
2nd Payment - Apr. 18, 2025
3rd Payment - May 2, 2025
4th Payment - May 23, 2025
Final Payment - Jun 27, 2025</t>
        </is>
      </c>
      <c r="AF1398" s="2"/>
      <c r="AG1398" t="inlineStr">
        <is>
          <t>NzQyNTk5MTgyNzQ4MTg3MDM0MTpGRUE5RTJEQy1DRTAzLTQ3QUEtOUFCNS01NTUyRTUwNzQyRTYtMTo3MTJkYWExOWExOWE4OTZmYzZmMjJkODc4NjJkMWI1Njox</t>
        </is>
      </c>
      <c r="AH1398"/>
      <c r="AI1398"/>
      <c r="AJ1398"/>
      <c r="AK1398"/>
    </row>
    <row r="1399" ht="25.5" customHeight="1">
      <c r="A1399" s="2" t="str">
        <f>=HYPERLINK("https://applink.larksuite.com/client/mini_program/open?appId=cli_9c7cc8a9a9edd105&amp;mode=appCenter&amp;path_pc=pc/pages/requested/index?instanceId=7478269839426306060&amp;source=bitable&amp;path=pages/detail/index?instanceId=7478269839426306060&amp;source=bitable", "202503050108")</f>
        <v>202503050108</v>
      </c>
      <c r="B1399" t="inlineStr">
        <is>
          <t>Approved</t>
        </is>
      </c>
      <c r="C1399" t="inlineStr">
        <is>
          <t>Procurement Order</t>
        </is>
      </c>
      <c r="D1399" s="3">
        <v>45721.76828703703</v>
      </c>
      <c r="E1399" s="3">
        <v>45727.695023148146</v>
      </c>
      <c r="F1399" t="inlineStr">
        <is>
          <t>Fatima Kathleen M. FLores</t>
        </is>
      </c>
      <c r="G1399" t="inlineStr">
        <is>
          <t>Procurement</t>
        </is>
      </c>
      <c r="H1399"/>
      <c r="I1399"/>
      <c r="J1399" t="inlineStr">
        <is>
          <t>Project</t>
        </is>
      </c>
      <c r="K1399" t="inlineStr">
        <is>
          <t>PDEI - Event Service</t>
        </is>
      </c>
      <c r="L1399" t="inlineStr">
        <is>
          <t>Jobstreet Prizepool Addendum</t>
        </is>
      </c>
      <c r="M1399" t="inlineStr">
        <is>
          <t>2024TEG-P0438</t>
        </is>
      </c>
      <c r="N1399" t="inlineStr">
        <is>
          <t>Raffy/Paeng</t>
        </is>
      </c>
      <c r="O1399" t="inlineStr">
        <is>
          <t>202502190103-Raffy/Paeng-费用报销 - 副本 - 副本 - 副本-2025-02-19 16:22:07</t>
        </is>
      </c>
      <c r="P1399" t="inlineStr">
        <is>
          <t>YES</t>
        </is>
      </c>
      <c r="Q1399"/>
      <c r="R1399" t="inlineStr">
        <is>
          <t>YES</t>
        </is>
      </c>
      <c r="S1399" t="inlineStr">
        <is>
          <t>Outsourced Talent Caster</t>
        </is>
      </c>
      <c r="T1399">
        <v>1</v>
      </c>
      <c r="U1399">
        <v>20000</v>
      </c>
      <c r="V1399" t="inlineStr">
        <is>
          <t>PHP</t>
        </is>
      </c>
      <c r="W1399">
        <v>20000</v>
      </c>
      <c r="X1399" s="2" t="str">
        <f>=HYPERLINK("https://www.larksuite.com/approval/admin/previewAttachment?key=PMg7CsJgEATgK83sTvbhZWz-ECxMJQRS7NkFC9svioja6NFQ0xqcVJZFl7csHIHA2DCzkYyq2c_j6eflpJbWjTfuuV7r2D_cOs2QLnkB4OPvnpK6Q_g5vgEAAP__", "2 attachment(s)")</f>
        <v>2 attachment(s)</v>
      </c>
      <c r="Y1399" t="inlineStr">
        <is>
          <t>Bank Transfer</t>
        </is>
      </c>
      <c r="Z1399" t="inlineStr">
        <is>
          <t>Reycelle Anne Claravall Garrido</t>
        </is>
      </c>
      <c r="AA1399" t="inlineStr">
        <is>
          <t>6044 0200 6105</t>
        </is>
      </c>
      <c r="AB1399" t="inlineStr">
        <is>
          <t>China Bank Savings</t>
        </is>
      </c>
      <c r="AC1399" t="inlineStr">
        <is>
          <t>35-B Zamboanga Street, Brgy. Nayong Kanluran, West Avenue, Quezon City</t>
        </is>
      </c>
      <c r="AD1399" s="4">
        <v>45696</v>
      </c>
      <c r="AE1399" t="inlineStr">
        <is>
          <t>100% Full Payment - Feb. 28, 2025</t>
        </is>
      </c>
      <c r="AF1399" s="2"/>
      <c r="AG1399" t="inlineStr">
        <is>
          <t>NzQyNTk5MTgyNzQ4MTg3MDM0MTo1MTMyNTUzQi04M0U0LTRGOEYtQTUxMC1FODhCOTM0MThDMTEtMTplYjYzY2YyNzhmZTI5NDU0ODUxYzE0ZWQ1YzJmODEyZDox</t>
        </is>
      </c>
      <c r="AH1399"/>
      <c r="AI1399"/>
      <c r="AJ1399"/>
      <c r="AK1399"/>
    </row>
    <row r="1400" ht="25.5" customHeight="1">
      <c r="A1400" s="2" t="str">
        <f>=HYPERLINK("https://applink.larksuite.com/client/mini_program/open?appId=cli_9c7cc8a9a9edd105&amp;mode=appCenter&amp;path_pc=pc/pages/requested/index?instanceId=7478605014508765196&amp;source=bitable&amp;path=pages/detail/index?instanceId=7478605014508765196&amp;source=bitable", "202503060068")</f>
        <v>202503060068</v>
      </c>
      <c r="B1400" t="inlineStr">
        <is>
          <t>Approved</t>
        </is>
      </c>
      <c r="C1400" t="inlineStr">
        <is>
          <t>Procurement Order</t>
        </is>
      </c>
      <c r="D1400" s="3">
        <v>45722.67151620371</v>
      </c>
      <c r="E1400" s="3">
        <v>45723.40064814815</v>
      </c>
      <c r="F1400" t="inlineStr">
        <is>
          <t>Arlyn Castillo</t>
        </is>
      </c>
      <c r="G1400" t="inlineStr">
        <is>
          <t>Procurement</t>
        </is>
      </c>
      <c r="H1400"/>
      <c r="I1400"/>
      <c r="J1400" t="inlineStr">
        <is>
          <t>Project</t>
        </is>
      </c>
      <c r="K1400" t="inlineStr">
        <is>
          <t>PDEI - Event Service</t>
        </is>
      </c>
      <c r="L1400" t="inlineStr">
        <is>
          <t>MPL PH S15</t>
        </is>
      </c>
      <c r="M1400" t="inlineStr">
        <is>
          <t>2024TEG-P0430</t>
        </is>
      </c>
      <c r="N1400" t="inlineStr">
        <is>
          <t>Tiny</t>
        </is>
      </c>
      <c r="O1400" t="inlineStr">
        <is>
          <t>202502170121-Tiny-费用报销 - 副本 - 副本 - 副本-2025-02-17 18:26:09</t>
        </is>
      </c>
      <c r="P1400" t="inlineStr">
        <is>
          <t>NO</t>
        </is>
      </c>
      <c r="Q1400"/>
      <c r="R1400" t="inlineStr">
        <is>
          <t>YES</t>
        </is>
      </c>
      <c r="S1400" t="inlineStr">
        <is>
          <t>Outsourced Technical Services (LED, Lights and Sounds)</t>
        </is>
      </c>
      <c r="T1400">
        <v>1</v>
      </c>
      <c r="U1400">
        <v>11200000</v>
      </c>
      <c r="V1400" t="inlineStr">
        <is>
          <t>PHP</t>
        </is>
      </c>
      <c r="W1400">
        <v>11200000</v>
      </c>
      <c r="X1400" s="2" t="str">
        <f>=HYPERLINK("https://www.larksuite.com/approval/admin/previewAttachment?key=PMhBqsJAEATQK1XNVHd1_8v8TUIQQRCEmM2cXXDh9mURWcGZDTVHg8tyJQJUoJzBzjUW7YaZVWt_HP_j3C5c6LjrbTzXeduO_cVojwFPaRYA_v18WlJ3Cl_HJwAA__8", "2 attachment(s)")</f>
        <v>2 attachment(s)</v>
      </c>
      <c r="Y1400" t="inlineStr">
        <is>
          <t>Bank Transfer</t>
        </is>
      </c>
      <c r="Z1400" t="inlineStr">
        <is>
          <t>XSTATIC EVENT SYSTEM INC.</t>
        </is>
      </c>
      <c r="AA1400" t="inlineStr">
        <is>
          <t>011728001773</t>
        </is>
      </c>
      <c r="AB1400" t="inlineStr">
        <is>
          <t>BDO</t>
        </is>
      </c>
      <c r="AC1400" t="inlineStr">
        <is>
          <t>Blk. 15 Lot 26 BF Martinville Las Piñas City</t>
        </is>
      </c>
      <c r="AD1400" s="4">
        <v>45716</v>
      </c>
      <c r="AE1400" t="inlineStr">
        <is>
          <t>70% Down Payment upon confirmation
30% Final payment - 30 days</t>
        </is>
      </c>
      <c r="AF1400" s="2"/>
      <c r="AG1400" t="inlineStr">
        <is>
          <t>NzQyNTk5MTgyNzQ4MTg3MDM0MTpDQkREQkU5My1FNUM5LTQ0MzMtQUIxOC0yMUNFMzZFNkVFOEUtMTpmNjMwMmNhOTY1MmQ3YWI1Y2JhNmZkOWEwZTg3YjI3ZDox</t>
        </is>
      </c>
      <c r="AH1400"/>
      <c r="AI1400"/>
      <c r="AJ1400"/>
      <c r="AK1400"/>
    </row>
    <row r="1401" ht="25.5" customHeight="1">
      <c r="A1401" s="2" t="str">
        <f>=HYPERLINK("https://applink.larksuite.com/client/mini_program/open?appId=cli_9c7cc8a9a9edd105&amp;mode=appCenter&amp;path_pc=pc/pages/requested/index?instanceId=7481577531884224524&amp;source=bitable&amp;path=pages/detail/index?instanceId=7481577531884224524&amp;source=bitable", "202503140062")</f>
        <v>202503140062</v>
      </c>
      <c r="B1401" t="inlineStr">
        <is>
          <t>Approved</t>
        </is>
      </c>
      <c r="C1401" t="inlineStr">
        <is>
          <t>Procurement Order</t>
        </is>
      </c>
      <c r="D1401" s="3">
        <v>45730.68185185185</v>
      </c>
      <c r="E1401" s="3">
        <v>45735.75431712963</v>
      </c>
      <c r="F1401" t="inlineStr">
        <is>
          <t>Fatima Kathleen M. FLores</t>
        </is>
      </c>
      <c r="G1401" t="inlineStr">
        <is>
          <t>Procurement</t>
        </is>
      </c>
      <c r="H1401"/>
      <c r="I1401"/>
      <c r="J1401" t="inlineStr">
        <is>
          <t>Project</t>
        </is>
      </c>
      <c r="K1401" t="inlineStr">
        <is>
          <t>PDEI - Game Marketing</t>
        </is>
      </c>
      <c r="L1401" t="inlineStr">
        <is>
          <t>The Ragnarok Battle of The Novice Hearts Phase 5</t>
        </is>
      </c>
      <c r="M1401" t="inlineStr">
        <is>
          <t>2025TEG-P0037</t>
        </is>
      </c>
      <c r="N1401" t="inlineStr">
        <is>
          <t>JP dela Peña</t>
        </is>
      </c>
      <c r="O1401" t="inlineStr">
        <is>
          <t>202502100037-JP dela Peña-费用报销 - 副本 - 副本 - 副本-2025-02-10 04:57:09</t>
        </is>
      </c>
      <c r="P1401" t="inlineStr">
        <is>
          <t>NO</t>
        </is>
      </c>
      <c r="Q1401"/>
      <c r="R1401" t="inlineStr">
        <is>
          <t>YES</t>
        </is>
      </c>
      <c r="S1401" t="inlineStr">
        <is>
          <t>Facebook Image Post in Enduins Gaming Facebook Page</t>
        </is>
      </c>
      <c r="T1401">
        <v>1</v>
      </c>
      <c r="U1401">
        <v>25536</v>
      </c>
      <c r="V1401" t="inlineStr">
        <is>
          <t>PHP</t>
        </is>
      </c>
      <c r="W1401">
        <v>25536</v>
      </c>
      <c r="X1401" s="2" t="str">
        <f>=HYPERLINK("https://www.larksuite.com/approval/admin/previewAttachment?key=PMg9qkJBDAXgLeXnZE7yNvMah0HBC4LcQYusXbCw_UaqjAz1UYJSK9EmUoMM10yYIQxtrWQJdWT2PNb_PV7v87wda3L7fvS-XtZ8ahTNhA54ioj-_dwJoGpAvi6fAAAA__8", "2 attachment(s)")</f>
        <v>2 attachment(s)</v>
      </c>
      <c r="Y1401" t="inlineStr">
        <is>
          <t>Bank Transfer</t>
        </is>
      </c>
      <c r="Z1401" t="inlineStr">
        <is>
          <t>CBZN Corporations</t>
        </is>
      </c>
      <c r="AA1401" t="inlineStr">
        <is>
          <t>0000036924831</t>
        </is>
      </c>
      <c r="AB1401" t="inlineStr">
        <is>
          <t>Security Bank</t>
        </is>
      </c>
      <c r="AC1401" t="inlineStr">
        <is>
          <t>2F Bldg C, Metrowalk Commercial Complex, Meralco Ave., Pasig City</t>
        </is>
      </c>
      <c r="AD1401" s="4">
        <v>45696</v>
      </c>
      <c r="AE1401" t="inlineStr">
        <is>
          <t>100% Full Payment</t>
        </is>
      </c>
      <c r="AF1401" s="2" t="str">
        <f>=HYPERLINK("https://www.larksuite.com/approval/admin/previewAttachment?key=TMg9ikIxFAXgLZ2T-z-bmcYQFHwgyAta3LULVrafJ-FpFC9ocRTYoUmLMGGmjqE2tEczohD0zJ7H-r_b632et2PN2LIfva-XNZ_0FIeWqbIA8O_HSVSKy9fxCQAA__8", "2 attachment(s)")</f>
        <v>2 attachment(s)</v>
      </c>
      <c r="AG1401" t="inlineStr">
        <is>
          <t>NzQyNTk5MTgyNzQ4MTg3MDM0MTowN0RCNEY3OS1CNjMzLTQ1RTUtOUY5NC1CQUEzMzgzOEU0QkItMTozNWZlOWJmN2Y3ODA2N2FiMmE5YTY2YjBhZDFkMWExZjox</t>
        </is>
      </c>
      <c r="AH1401"/>
      <c r="AI1401"/>
      <c r="AJ1401"/>
      <c r="AK1401"/>
    </row>
    <row r="1402" ht="25.5" customHeight="1">
      <c r="A1402" s="2" t="str">
        <f>=HYPERLINK("https://applink.larksuite.com/client/mini_program/open?appId=cli_9c7cc8a9a9edd105&amp;mode=appCenter&amp;path_pc=pc/pages/requested/index?instanceId=7483025194890641414&amp;source=bitable&amp;path=pages/detail/index?instanceId=7483025194890641414&amp;source=bitable", "202503180072")</f>
        <v>202503180072</v>
      </c>
      <c r="B1402" t="inlineStr">
        <is>
          <t>Approved</t>
        </is>
      </c>
      <c r="C1402" t="inlineStr">
        <is>
          <t>Procurement Order</t>
        </is>
      </c>
      <c r="D1402" s="3">
        <v>45734.58300925926</v>
      </c>
      <c r="E1402" s="3">
        <v>45737.571701388886</v>
      </c>
      <c r="F1402" t="inlineStr">
        <is>
          <t>Fatima Kathleen M. FLores</t>
        </is>
      </c>
      <c r="G1402" t="inlineStr">
        <is>
          <t>Procurement</t>
        </is>
      </c>
      <c r="H1402"/>
      <c r="I1402"/>
      <c r="J1402" t="inlineStr">
        <is>
          <t>Project</t>
        </is>
      </c>
      <c r="K1402" t="inlineStr">
        <is>
          <t>PDEI - Game Marketing</t>
        </is>
      </c>
      <c r="L1402" t="inlineStr">
        <is>
          <t>realme Piaget launch</t>
        </is>
      </c>
      <c r="M1402" t="inlineStr">
        <is>
          <t>2025TEG-P0049</t>
        </is>
      </c>
      <c r="N1402" t="inlineStr">
        <is>
          <t>JP dela Peña</t>
        </is>
      </c>
      <c r="O1402" t="inlineStr">
        <is>
          <t>202503100079-JP dela Peña-费用报销 - 副本 - 副本 - 副本-2025-03-10 07:08:19</t>
        </is>
      </c>
      <c r="P1402" t="inlineStr">
        <is>
          <t>YES</t>
        </is>
      </c>
      <c r="Q1402"/>
      <c r="R1402" t="inlineStr">
        <is>
          <t>YES</t>
        </is>
      </c>
      <c r="S1402" t="inlineStr">
        <is>
          <t>Logistics Associate</t>
        </is>
      </c>
      <c r="T1402">
        <v>1</v>
      </c>
      <c r="U1402">
        <v>3000</v>
      </c>
      <c r="V1402" t="inlineStr">
        <is>
          <t>PHP</t>
        </is>
      </c>
      <c r="W1402">
        <v>3000</v>
      </c>
      <c r="X1402" s="2" t="str">
        <f>=HYPERLINK("https://www.larksuite.com/approval/admin/previewAttachment?key=PMhJikJBEATQK0VkReXQl-nNLz4OKII4bPLsggu3z5PwnBxeUNEK7FAO2GQpCy6KamtGFIKe2euy_5_tfVyneb09Xra22c_Dtq87Z4UZYkgjAfDv5yMkVbnwdXwCAAD__w", "2 attachment(s)")</f>
        <v>2 attachment(s)</v>
      </c>
      <c r="Y1402" t="inlineStr">
        <is>
          <t>Bank Transfer</t>
        </is>
      </c>
      <c r="Z1402" t="inlineStr">
        <is>
          <t>Paul Alan Vendencio</t>
        </is>
      </c>
      <c r="AA1402" t="inlineStr">
        <is>
          <t>09120161825</t>
        </is>
      </c>
      <c r="AB1402" t="inlineStr">
        <is>
          <t>Gcash</t>
        </is>
      </c>
      <c r="AC1402" t="inlineStr">
        <is>
          <t>28 Gomez St Sta Lucia Novaliches Quezon City</t>
        </is>
      </c>
      <c r="AD1402" s="4">
        <v>45725</v>
      </c>
      <c r="AE1402" t="inlineStr">
        <is>
          <t>100% Full Payment - Mar. 21, 2025</t>
        </is>
      </c>
      <c r="AF1402" s="2"/>
      <c r="AG1402" t="inlineStr">
        <is>
          <t>NzQyNTk5MTgyNzQ4MTg3MDM0MTpFQjIwMTM4My01QjM5LTQ3RkQtOEI5Qi1FOTlENTg1MzlCM0MtMTpiOTFhNTI1OTY0NjIzZjgyOGYyOWZjMWI0NzNhNmNiMjox</t>
        </is>
      </c>
      <c r="AH1402"/>
      <c r="AI1402"/>
      <c r="AJ1402"/>
      <c r="AK1402"/>
    </row>
    <row r="1403" ht="25.5" customHeight="1">
      <c r="A1403" s="2" t="str">
        <f>=HYPERLINK("https://applink.larksuite.com/client/mini_program/open?appId=cli_9c7cc8a9a9edd105&amp;mode=appCenter&amp;path_pc=pc/pages/requested/index?instanceId=7483028501717630982&amp;source=bitable&amp;path=pages/detail/index?instanceId=7483028501717630982&amp;source=bitable", "202503180075")</f>
        <v>202503180075</v>
      </c>
      <c r="B1403" t="inlineStr">
        <is>
          <t>Approved</t>
        </is>
      </c>
      <c r="C1403" t="inlineStr">
        <is>
          <t>Procurement Order</t>
        </is>
      </c>
      <c r="D1403" s="3">
        <v>45734.5919212963</v>
      </c>
      <c r="E1403" s="3">
        <v>45735.731770833336</v>
      </c>
      <c r="F1403" t="inlineStr">
        <is>
          <t>Fatima Kathleen M. FLores</t>
        </is>
      </c>
      <c r="G1403" t="inlineStr">
        <is>
          <t>Procurement</t>
        </is>
      </c>
      <c r="H1403"/>
      <c r="I1403"/>
      <c r="J1403" t="inlineStr">
        <is>
          <t>Project</t>
        </is>
      </c>
      <c r="K1403" t="inlineStr">
        <is>
          <t>PDEI - Event Service</t>
        </is>
      </c>
      <c r="L1403" t="inlineStr">
        <is>
          <t>MPL PH S15</t>
        </is>
      </c>
      <c r="M1403" t="inlineStr">
        <is>
          <t>2024TEG-P0430</t>
        </is>
      </c>
      <c r="N1403" t="inlineStr">
        <is>
          <t>Tiny</t>
        </is>
      </c>
      <c r="O1403" t="inlineStr">
        <is>
          <t>202503110098-Tiny-费用报销 - 副本 - 副本 - 副本-2025-03-11 10:44:33</t>
        </is>
      </c>
      <c r="P1403" t="inlineStr">
        <is>
          <t>YES</t>
        </is>
      </c>
      <c r="Q1403"/>
      <c r="R1403" t="inlineStr">
        <is>
          <t>YES</t>
        </is>
      </c>
      <c r="S1403" t="inlineStr">
        <is>
          <t>Outsourced Vision Mixer (Feb. 26 to Mar. 2, 2025)</t>
        </is>
      </c>
      <c r="T1403">
        <v>1</v>
      </c>
      <c r="U1403">
        <v>13500</v>
      </c>
      <c r="V1403" t="inlineStr">
        <is>
          <t>PHP</t>
        </is>
      </c>
      <c r="W1403">
        <v>13500</v>
      </c>
      <c r="X1403" s="2" t="str">
        <f>=HYPERLINK("https://www.larksuite.com/approval/admin/previewAttachment?key=PMhNCsJADAXgK72XZPLjZdx0KEpRBLHqImcXXHT7eRKeg-oFK0qBHZYKyQEGwxWV0tKMKAQ9s-dtPW_yuc7Xux5jue_frffLss4nR4UIQs00AfB0uIaZVbnh7_gFAAD__w", "2 attachment(s)")</f>
        <v>2 attachment(s)</v>
      </c>
      <c r="Y1403" t="inlineStr">
        <is>
          <t>Bank Transfer</t>
        </is>
      </c>
      <c r="Z1403" t="inlineStr">
        <is>
          <t>Marc David Estuye</t>
        </is>
      </c>
      <c r="AA1403" t="inlineStr">
        <is>
          <t>015564458238</t>
        </is>
      </c>
      <c r="AB1403" t="inlineStr">
        <is>
          <t>GoTyme Bank</t>
        </is>
      </c>
      <c r="AC1403" t="inlineStr">
        <is>
          <t>Blk 2 Lot 21 St. Francis 11, Brgy. Platero, Biñan, Laguna</t>
        </is>
      </c>
      <c r="AD1403" s="4">
        <v>45714</v>
      </c>
      <c r="AE1403" t="inlineStr">
        <is>
          <t>100% Full Payment - Mar. 21, 2025</t>
        </is>
      </c>
      <c r="AF1403" s="2"/>
      <c r="AG1403" t="inlineStr">
        <is>
          <t>NzQyNTk5MTgyNzQ4MTg3MDM0MTpCREJCOUEyRC1CQzYwLTQ1NUUtQjI5OC04MjZFMEQwQThEQzUtMTpmOWUzZGQyYTVlZGU3NzRkODFmNzExM2M1NzY5Y2Q2MDox</t>
        </is>
      </c>
      <c r="AH1403"/>
      <c r="AI1403"/>
      <c r="AJ1403"/>
      <c r="AK1403"/>
    </row>
    <row r="1404" ht="25.5" customHeight="1">
      <c r="A1404" s="2" t="str">
        <f>=HYPERLINK("https://applink.larksuite.com/client/mini_program/open?appId=cli_9c7cc8a9a9edd105&amp;mode=appCenter&amp;path_pc=pc/pages/requested/index?instanceId=7482721330740101132&amp;source=bitable&amp;path=pages/detail/index?instanceId=7482721330740101132&amp;source=bitable", "202503170159")</f>
        <v>202503170159</v>
      </c>
      <c r="B1404" t="inlineStr">
        <is>
          <t>Approved</t>
        </is>
      </c>
      <c r="C1404" t="inlineStr">
        <is>
          <t>Procurement Order</t>
        </is>
      </c>
      <c r="D1404" s="3">
        <v>45733.76415509259</v>
      </c>
      <c r="E1404" s="3">
        <v>45736.66055555556</v>
      </c>
      <c r="F1404" t="inlineStr">
        <is>
          <t>Fatima Kathleen M. FLores</t>
        </is>
      </c>
      <c r="G1404" t="inlineStr">
        <is>
          <t>Procurement</t>
        </is>
      </c>
      <c r="H1404"/>
      <c r="I1404"/>
      <c r="J1404" t="inlineStr">
        <is>
          <t>Project</t>
        </is>
      </c>
      <c r="K1404" t="inlineStr">
        <is>
          <t>PDEI - Event Service</t>
        </is>
      </c>
      <c r="L1404" t="inlineStr">
        <is>
          <t>MDL PH S5 Regular Season</t>
        </is>
      </c>
      <c r="M1404" t="inlineStr">
        <is>
          <t>2025TEG-P0004</t>
        </is>
      </c>
      <c r="N1404" t="inlineStr">
        <is>
          <t>Kervin</t>
        </is>
      </c>
      <c r="O1404" t="inlineStr">
        <is>
          <t>202502180061-Kervin-费用报销 - 副本 - 副本 - 副本-2025-02-18 08:39:06</t>
        </is>
      </c>
      <c r="P1404" t="inlineStr">
        <is>
          <t>YES</t>
        </is>
      </c>
      <c r="Q1404"/>
      <c r="R1404" t="inlineStr">
        <is>
          <t>YES</t>
        </is>
      </c>
      <c r="S1404" t="inlineStr">
        <is>
          <t>Outsourced Talent Host (Odin)</t>
        </is>
      </c>
      <c r="T1404">
        <v>1</v>
      </c>
      <c r="U1404">
        <v>183666.67</v>
      </c>
      <c r="V1404" t="inlineStr">
        <is>
          <t>PHP</t>
        </is>
      </c>
      <c r="W1404">
        <v>183666.67</v>
      </c>
      <c r="X1404" s="2" t="str">
        <f>=HYPERLINK("https://www.larksuite.com/approval/admin/previewAttachment?key=PMgxCgJBDAXQK_2fZOYnXsbGZXDRFUGwy9kFi23fTGLmoM9CFK3AVqTJ6A4FCNKtrSkVxJnZ27Gu8NdjPQf2dx17jv7eb2v7cJTMII_wBMDL6a6IqJqBv-MXAAD__w", "2 attachment(s)")</f>
        <v>2 attachment(s)</v>
      </c>
      <c r="Y1404" t="inlineStr">
        <is>
          <t>Bank Transfer</t>
        </is>
      </c>
      <c r="Z1404" t="inlineStr">
        <is>
          <t>Claudine E. Tayco</t>
        </is>
      </c>
      <c r="AA1404" t="inlineStr">
        <is>
          <t>2419004314</t>
        </is>
      </c>
      <c r="AB1404" t="inlineStr">
        <is>
          <t>BPI</t>
        </is>
      </c>
      <c r="AC1404" t="inlineStr">
        <is>
          <t>193 Magdalo St. Buna Lejos II, Indang, Cavite</t>
        </is>
      </c>
      <c r="AD1404" s="4">
        <v>45720</v>
      </c>
      <c r="AE1404" t="inlineStr">
        <is>
          <t>1st Payment - Mar. 21, 2025
2nd Payment - Apr. 4, 2025
3rd Payment - Apr. 18, 2025
Final Payment - May 23, 2025</t>
        </is>
      </c>
      <c r="AF1404" s="2"/>
      <c r="AG1404" t="inlineStr">
        <is>
          <t>NzQyNTk5MTgyNzQ4MTg3MDM0MTpGQkMyNTMxRi0wMTFCLTRGRjQtODhCQi1FNjk0NUEwMkVBNjItMTowNzU4MDM5ODdhOWY2YjBlMjJmNGI5NWY3NzVmMWViMDox</t>
        </is>
      </c>
      <c r="AH1404"/>
      <c r="AI1404"/>
      <c r="AJ1404"/>
      <c r="AK1404"/>
    </row>
    <row r="1405" ht="25.5" customHeight="1">
      <c r="A1405" s="2" t="str">
        <f>=HYPERLINK("https://applink.larksuite.com/client/mini_program/open?appId=cli_9c7cc8a9a9edd105&amp;mode=appCenter&amp;path_pc=pc/pages/requested/index?instanceId=7483030211710238726&amp;source=bitable&amp;path=pages/detail/index?instanceId=7483030211710238726&amp;source=bitable", "202503180076")</f>
        <v>202503180076</v>
      </c>
      <c r="B1405" t="inlineStr">
        <is>
          <t>Approved</t>
        </is>
      </c>
      <c r="C1405" t="inlineStr">
        <is>
          <t>Procurement Order</t>
        </is>
      </c>
      <c r="D1405" s="3">
        <v>45734.59652777778</v>
      </c>
      <c r="E1405" s="3">
        <v>45735.73099537037</v>
      </c>
      <c r="F1405" t="inlineStr">
        <is>
          <t>Fatima Kathleen M. FLores</t>
        </is>
      </c>
      <c r="G1405" t="inlineStr">
        <is>
          <t>Procurement</t>
        </is>
      </c>
      <c r="H1405"/>
      <c r="I1405"/>
      <c r="J1405" t="inlineStr">
        <is>
          <t>Project</t>
        </is>
      </c>
      <c r="K1405" t="inlineStr">
        <is>
          <t>PDEI - Event Service</t>
        </is>
      </c>
      <c r="L1405" t="inlineStr">
        <is>
          <t>MPL PH S15</t>
        </is>
      </c>
      <c r="M1405" t="inlineStr">
        <is>
          <t>2024TEG-P0430</t>
        </is>
      </c>
      <c r="N1405" t="inlineStr">
        <is>
          <t>Tiny</t>
        </is>
      </c>
      <c r="O1405" t="inlineStr">
        <is>
          <t>202503110098-Tiny-费用报销 - 副本 - 副本 - 副本-2025-03-11 10:44:33</t>
        </is>
      </c>
      <c r="P1405" t="inlineStr">
        <is>
          <t>YES</t>
        </is>
      </c>
      <c r="Q1405"/>
      <c r="R1405" t="inlineStr">
        <is>
          <t>YES</t>
        </is>
      </c>
      <c r="S1405" t="inlineStr">
        <is>
          <t>Outsourced Vision Mixer (Week 2 to Playoffs)</t>
        </is>
      </c>
      <c r="T1405">
        <v>1</v>
      </c>
      <c r="U1405">
        <v>70000</v>
      </c>
      <c r="V1405" t="inlineStr">
        <is>
          <t>PHP</t>
        </is>
      </c>
      <c r="W1405">
        <v>70000</v>
      </c>
      <c r="X1405" s="2" t="str">
        <f>=HYPERLINK("https://www.larksuite.com/approval/admin/previewAttachment?key=PMg7DsJADATQK814HH-4DA1RRJNtkLbz2ZEoaF8UEXVQ0fCmNTjpJQhGJmGqtBgbZjaSUTXnfT11b1ulbdretWa_X9f54dFphpS7CgAff1e6e3c4fo5vAAAA__8", "2 attachment(s)")</f>
        <v>2 attachment(s)</v>
      </c>
      <c r="Y1405" t="inlineStr">
        <is>
          <t>Bank Transfer</t>
        </is>
      </c>
      <c r="Z1405" t="inlineStr">
        <is>
          <t>Khim Segovia</t>
        </is>
      </c>
      <c r="AA1405" t="inlineStr">
        <is>
          <t>09053390100</t>
        </is>
      </c>
      <c r="AB1405" t="inlineStr">
        <is>
          <t>GCash</t>
        </is>
      </c>
      <c r="AC1405" t="inlineStr">
        <is>
          <t>105 K-6th Street Cubao Quezon City</t>
        </is>
      </c>
      <c r="AD1405" s="4">
        <v>45714</v>
      </c>
      <c r="AE1405" t="inlineStr">
        <is>
          <t>1st Payment - Mar. 21, 2025
2nd Payment - Apr. 18, 2025
3rd Payment - May 2, 2025
4th Payment - May 23, 2025
Final Payment - Jun 27, 2025</t>
        </is>
      </c>
      <c r="AF1405" s="2"/>
      <c r="AG1405" t="inlineStr">
        <is>
          <t>NzQyNTk5MTgyNzQ4MTg3MDM0MTo5N0YxNkExNC1FNDUxLTRDRTAtQTZDQS04OTQ4NkJENzY3QTEtMToxOGZhNTE0ZTNlNmU5Y2FlMWU2NWY5MWVmMmQ5OTY2Zjox</t>
        </is>
      </c>
      <c r="AH1405"/>
      <c r="AI1405"/>
      <c r="AJ1405"/>
      <c r="AK1405"/>
    </row>
    <row r="1406" ht="25.5" customHeight="1">
      <c r="A1406" s="2" t="str">
        <f>=HYPERLINK("https://applink.larksuite.com/client/mini_program/open?appId=cli_9c7cc8a9a9edd105&amp;mode=appCenter&amp;path_pc=pc/pages/requested/index?instanceId=7482718788878614540&amp;source=bitable&amp;path=pages/detail/index?instanceId=7482718788878614540&amp;source=bitable", "202503170156")</f>
        <v>202503170156</v>
      </c>
      <c r="B1406" t="inlineStr">
        <is>
          <t>Approved</t>
        </is>
      </c>
      <c r="C1406" t="inlineStr">
        <is>
          <t>Procurement Order</t>
        </is>
      </c>
      <c r="D1406" s="3">
        <v>45733.757314814815</v>
      </c>
      <c r="E1406" s="3">
        <v>45736.662673611114</v>
      </c>
      <c r="F1406" t="inlineStr">
        <is>
          <t>Fatima Kathleen M. FLores</t>
        </is>
      </c>
      <c r="G1406" t="inlineStr">
        <is>
          <t>Procurement</t>
        </is>
      </c>
      <c r="H1406"/>
      <c r="I1406"/>
      <c r="J1406" t="inlineStr">
        <is>
          <t>Project</t>
        </is>
      </c>
      <c r="K1406" t="inlineStr">
        <is>
          <t>PDEI - Event Service</t>
        </is>
      </c>
      <c r="L1406" t="inlineStr">
        <is>
          <t>MDL PH S5 Regular Season</t>
        </is>
      </c>
      <c r="M1406" t="inlineStr">
        <is>
          <t>2025TEG-P0004</t>
        </is>
      </c>
      <c r="N1406" t="inlineStr">
        <is>
          <t>Kervin</t>
        </is>
      </c>
      <c r="O1406" t="inlineStr">
        <is>
          <t>202502180061-Kervin-费用报销 - 副本 - 副本 - 副本-2025-02-18 08:39:06</t>
        </is>
      </c>
      <c r="P1406" t="inlineStr">
        <is>
          <t>YES</t>
        </is>
      </c>
      <c r="Q1406"/>
      <c r="R1406" t="inlineStr">
        <is>
          <t>YES</t>
        </is>
      </c>
      <c r="S1406" t="inlineStr">
        <is>
          <t>Outsourced Talent Caster (Joshycakes)</t>
        </is>
      </c>
      <c r="T1406">
        <v>1</v>
      </c>
      <c r="U1406">
        <v>145000</v>
      </c>
      <c r="V1406" t="inlineStr">
        <is>
          <t>PHP</t>
        </is>
      </c>
      <c r="W1406">
        <v>145000</v>
      </c>
      <c r="X1406" s="2" t="str">
        <f>=HYPERLINK("https://www.larksuite.com/approval/admin/previewAttachment?key=PMg7DsIwEATQK83a490ZLkOTKIKIVEh8Cp8diSLtSwVSI3oadDQjZlGtQiWplMFBzDajyqhIaa7HdvVOv7_ej_H43PsyX7dlW58xXK2hOtkFIC6n9yJpJ_F3_AIAAP__", "2 attachment(s)")</f>
        <v>2 attachment(s)</v>
      </c>
      <c r="Y1406" t="inlineStr">
        <is>
          <t>Bank Transfer</t>
        </is>
      </c>
      <c r="Z1406" t="inlineStr">
        <is>
          <t>Marjosh Amiel A. Valdez</t>
        </is>
      </c>
      <c r="AA1406" t="inlineStr">
        <is>
          <t>109327570004</t>
        </is>
      </c>
      <c r="AB1406" t="inlineStr">
        <is>
          <t>Unionbank</t>
        </is>
      </c>
      <c r="AC1406" t="inlineStr">
        <is>
          <t>B8 L6 Metropolitan Ave Bankers Vil 1 Bagumbong Caloocan City</t>
        </is>
      </c>
      <c r="AD1406" s="4">
        <v>45720</v>
      </c>
      <c r="AE1406" t="inlineStr">
        <is>
          <t>1st Payment - Mar. 21, 2025
2nd Payment - Apr. 4, 2025
3rd Payment - Apr. 18, 2025
Final Payment - May 23, 2025</t>
        </is>
      </c>
      <c r="AF1406" s="2"/>
      <c r="AG1406" t="inlineStr">
        <is>
          <t>NzQyNTk5MTgyNzQ4MTg3MDM0MToxOUJGQTRGNS02MjA2LTRENkQtQTlDNS0yNTA3NjdDRDM1RjItMTplM2FhZjU2N2JiNmNlNzJjZjEyYTZiNTNmYTc2NzViNDox</t>
        </is>
      </c>
      <c r="AH1406"/>
      <c r="AI1406"/>
      <c r="AJ1406"/>
      <c r="AK1406"/>
    </row>
    <row r="1407" ht="25.5" customHeight="1">
      <c r="A1407" s="2" t="str">
        <f>=HYPERLINK("https://applink.larksuite.com/client/mini_program/open?appId=cli_9c7cc8a9a9edd105&amp;mode=appCenter&amp;path_pc=pc/pages/requested/index?instanceId=7483039633564008460&amp;source=bitable&amp;path=pages/detail/index?instanceId=7483039633564008460&amp;source=bitable", "202503180087")</f>
        <v>202503180087</v>
      </c>
      <c r="B1407" t="inlineStr">
        <is>
          <t>Approved</t>
        </is>
      </c>
      <c r="C1407" t="inlineStr">
        <is>
          <t>Procurement Order</t>
        </is>
      </c>
      <c r="D1407" s="3">
        <v>45734.6219212963</v>
      </c>
      <c r="E1407" s="3">
        <v>45735.72702546296</v>
      </c>
      <c r="F1407" t="inlineStr">
        <is>
          <t>Fatima Kathleen M. FLores</t>
        </is>
      </c>
      <c r="G1407" t="inlineStr">
        <is>
          <t>Procurement</t>
        </is>
      </c>
      <c r="H1407"/>
      <c r="I1407"/>
      <c r="J1407" t="inlineStr">
        <is>
          <t>Project</t>
        </is>
      </c>
      <c r="K1407" t="inlineStr">
        <is>
          <t>PDEI - Event Service</t>
        </is>
      </c>
      <c r="L1407" t="inlineStr">
        <is>
          <t>MPL PH S15</t>
        </is>
      </c>
      <c r="M1407" t="inlineStr">
        <is>
          <t>2024TEG-P0430</t>
        </is>
      </c>
      <c r="N1407" t="inlineStr">
        <is>
          <t>Tiny</t>
        </is>
      </c>
      <c r="O1407" t="inlineStr">
        <is>
          <t>202502180013-Tiny-费用报销 - 副本 - 副本 - 副本-2025-02-18 02:57:17</t>
        </is>
      </c>
      <c r="P1407" t="inlineStr">
        <is>
          <t>YES</t>
        </is>
      </c>
      <c r="Q1407"/>
      <c r="R1407" t="inlineStr">
        <is>
          <t>YES</t>
        </is>
      </c>
      <c r="S1407" t="inlineStr">
        <is>
          <t>Outsourced Liaison Officer</t>
        </is>
      </c>
      <c r="T1407">
        <v>1</v>
      </c>
      <c r="U1407">
        <v>40500</v>
      </c>
      <c r="V1407" t="inlineStr">
        <is>
          <t>PHP</t>
        </is>
      </c>
      <c r="W1407">
        <v>40500</v>
      </c>
      <c r="X1407" s="2" t="str">
        <f>=HYPERLINK("https://www.larksuite.com/approval/admin/previewAttachment?key=PMw7DsIwEATQK816x_vhMjSOLASkQjKk2LOjNGlf8SwEFl3UEkxpCSlnKDRNtRuBoKFaiXvCxSJq2-f9WOM923ruX_kdr1HrMeb2kZ7eGlxJDQByu1ydZOY5no5_AAAA__8", "2 attachment(s)")</f>
        <v>2 attachment(s)</v>
      </c>
      <c r="Y1407" t="inlineStr">
        <is>
          <t>Bank Transfer</t>
        </is>
      </c>
      <c r="Z1407" t="inlineStr">
        <is>
          <t>Bryan Ivan M. Reyes</t>
        </is>
      </c>
      <c r="AA1407" t="inlineStr">
        <is>
          <t>09675817075</t>
        </is>
      </c>
      <c r="AB1407" t="inlineStr">
        <is>
          <t>GCash</t>
        </is>
      </c>
      <c r="AC1407" t="inlineStr">
        <is>
          <t>388 H. Lopez Balut, Tondo Manila</t>
        </is>
      </c>
      <c r="AD1407" s="4">
        <v>45714</v>
      </c>
      <c r="AE1407" t="inlineStr">
        <is>
          <t>1st Payment - Mar. 21, 2025
2nd Payment - Apr. 18, 2025
3rd Payment - May 2, 2025
4th Payment - May 23, 2025
Final Payment - Jun 27, 2025</t>
        </is>
      </c>
      <c r="AF1407" s="2"/>
      <c r="AG1407" t="inlineStr">
        <is>
          <t>NzQyNTk5MTgyNzQ4MTg3MDM0MTo5QzkxQ0Q5QS04MkI5LTQ3Q0QtQTBCRi05QkZDQjYyQzA2MjMtMTo4NDkwZDEzZTdjMjA4OTIxY2RiZmEwNjhjZGIxM2Y0Nzox</t>
        </is>
      </c>
      <c r="AH1407"/>
      <c r="AI1407"/>
      <c r="AJ1407"/>
      <c r="AK1407"/>
    </row>
    <row r="1408" ht="25.5" customHeight="1">
      <c r="A1408" s="2" t="str">
        <f>=HYPERLINK("https://applink.larksuite.com/client/mini_program/open?appId=cli_9c7cc8a9a9edd105&amp;mode=appCenter&amp;path_pc=pc/pages/requested/index?instanceId=7483041398439067660&amp;source=bitable&amp;path=pages/detail/index?instanceId=7483041398439067660&amp;source=bitable", "202503180091")</f>
        <v>202503180091</v>
      </c>
      <c r="B1408" t="inlineStr">
        <is>
          <t>Approved</t>
        </is>
      </c>
      <c r="C1408" t="inlineStr">
        <is>
          <t>Procurement Order</t>
        </is>
      </c>
      <c r="D1408" s="3">
        <v>45734.62667824074</v>
      </c>
      <c r="E1408" s="3">
        <v>45735.72626157408</v>
      </c>
      <c r="F1408" t="inlineStr">
        <is>
          <t>Fatima Kathleen M. FLores</t>
        </is>
      </c>
      <c r="G1408" t="inlineStr">
        <is>
          <t>Procurement</t>
        </is>
      </c>
      <c r="H1408"/>
      <c r="I1408"/>
      <c r="J1408" t="inlineStr">
        <is>
          <t>Project</t>
        </is>
      </c>
      <c r="K1408" t="inlineStr">
        <is>
          <t>PDEI - Event Service</t>
        </is>
      </c>
      <c r="L1408" t="inlineStr">
        <is>
          <t>MPL PH S15</t>
        </is>
      </c>
      <c r="M1408" t="inlineStr">
        <is>
          <t>2024TEG-P0430</t>
        </is>
      </c>
      <c r="N1408" t="inlineStr">
        <is>
          <t>Tiny</t>
        </is>
      </c>
      <c r="O1408" t="inlineStr">
        <is>
          <t>202502180013-Tiny-费用报销 - 副本 - 副本 - 副本-2025-02-18 02:57:17</t>
        </is>
      </c>
      <c r="P1408" t="inlineStr">
        <is>
          <t>YES</t>
        </is>
      </c>
      <c r="Q1408"/>
      <c r="R1408" t="inlineStr">
        <is>
          <t>YES</t>
        </is>
      </c>
      <c r="S1408" t="inlineStr">
        <is>
          <t>Outsourced Liaison Officer</t>
        </is>
      </c>
      <c r="T1408">
        <v>1</v>
      </c>
      <c r="U1408">
        <v>40500</v>
      </c>
      <c r="V1408" t="inlineStr">
        <is>
          <t>PHP</t>
        </is>
      </c>
      <c r="W1408">
        <v>40500</v>
      </c>
      <c r="X1408" s="2" t="str">
        <f>=HYPERLINK("https://www.larksuite.com/approval/admin/previewAttachment?key=PMhBCsJQDATQK01-pknGy7jpp4jSlbToImcXXHT7ogxRi3kIlA3BOlkOmqvoQmQEerRlCmlR1XPf7uNc9-PzdOVrfuvo87Fu822Lcgykk14A7Ha5J0kpiL_jFwAA__8", "2 attachment(s)")</f>
        <v>2 attachment(s)</v>
      </c>
      <c r="Y1408" t="inlineStr">
        <is>
          <t>Bank Transfer</t>
        </is>
      </c>
      <c r="Z1408" t="inlineStr">
        <is>
          <t>Honey Jane Vertudes</t>
        </is>
      </c>
      <c r="AA1408" t="inlineStr">
        <is>
          <t>109324861046</t>
        </is>
      </c>
      <c r="AB1408" t="inlineStr">
        <is>
          <t>Unionbank</t>
        </is>
      </c>
      <c r="AC1408" t="inlineStr">
        <is>
          <t>9 sto.thomas street bagumbayan Quezon City</t>
        </is>
      </c>
      <c r="AD1408" s="4">
        <v>45714</v>
      </c>
      <c r="AE1408" t="inlineStr">
        <is>
          <t>1st Payment - Mar. 21, 2025
2nd Payment - Apr. 18, 2025
3rd Payment - May 2, 2025
4th Payment - May 23, 2025
Final Payment - Jun 27, 2025</t>
        </is>
      </c>
      <c r="AF1408" s="2"/>
      <c r="AG1408" t="inlineStr">
        <is>
          <t>NzQyNTk5MTgyNzQ4MTg3MDM0MTpCQzdBQjRCQy0yRUI4LTRGRDctODRBMC03OEE3NTVBNDE2MTMtMTo0MWQ3MDM1MzllOWQ2NDBmZjYyMjVjZjBhMmUzNjE1Yzox</t>
        </is>
      </c>
      <c r="AH1408"/>
      <c r="AI1408"/>
      <c r="AJ1408"/>
      <c r="AK1408"/>
    </row>
    <row r="1409" ht="25.5" customHeight="1">
      <c r="A1409" s="2" t="str">
        <f>=HYPERLINK("https://applink.larksuite.com/client/mini_program/open?appId=cli_9c7cc8a9a9edd105&amp;mode=appCenter&amp;path_pc=pc/pages/requested/index?instanceId=7483042767602450438&amp;source=bitable&amp;path=pages/detail/index?instanceId=7483042767602450438&amp;source=bitable", "202503180093")</f>
        <v>202503180093</v>
      </c>
      <c r="B1409" t="inlineStr">
        <is>
          <t>Approved</t>
        </is>
      </c>
      <c r="C1409" t="inlineStr">
        <is>
          <t>Procurement Order</t>
        </is>
      </c>
      <c r="D1409" s="3">
        <v>45734.63037037037</v>
      </c>
      <c r="E1409" s="3">
        <v>45735.72545138889</v>
      </c>
      <c r="F1409" t="inlineStr">
        <is>
          <t>Fatima Kathleen M. FLores</t>
        </is>
      </c>
      <c r="G1409" t="inlineStr">
        <is>
          <t>Procurement</t>
        </is>
      </c>
      <c r="H1409"/>
      <c r="I1409"/>
      <c r="J1409" t="inlineStr">
        <is>
          <t>Project</t>
        </is>
      </c>
      <c r="K1409" t="inlineStr">
        <is>
          <t>PDEI - Event Service</t>
        </is>
      </c>
      <c r="L1409" t="inlineStr">
        <is>
          <t>MPL PH S15</t>
        </is>
      </c>
      <c r="M1409" t="inlineStr">
        <is>
          <t>2024TEG-P0430</t>
        </is>
      </c>
      <c r="N1409" t="inlineStr">
        <is>
          <t>Tiny</t>
        </is>
      </c>
      <c r="O1409" t="inlineStr">
        <is>
          <t>202502180013-Tiny-费用报销 - 副本 - 副本 - 副本-2025-02-18 02:57:17</t>
        </is>
      </c>
      <c r="P1409" t="inlineStr">
        <is>
          <t>YES</t>
        </is>
      </c>
      <c r="Q1409"/>
      <c r="R1409" t="inlineStr">
        <is>
          <t>YES</t>
        </is>
      </c>
      <c r="S1409" t="inlineStr">
        <is>
          <t>Outsourced Liaison Officer</t>
        </is>
      </c>
      <c r="T1409">
        <v>1</v>
      </c>
      <c r="U1409">
        <v>40500</v>
      </c>
      <c r="V1409" t="inlineStr">
        <is>
          <t>PHP</t>
        </is>
      </c>
      <c r="W1409">
        <v>40500</v>
      </c>
      <c r="X1409" s="2" t="str">
        <f>=HYPERLINK("https://www.larksuite.com/approval/admin/previewAttachment?key=PMg9CgJBDAXgK70kb_LjZWwcBgWFBWEZi5xdsLD9PAWeQ8wLLNGCdDAN1PBwKAdo2doSUQjxzJ6vdX2O_ZjnnhufY6-jz_ttzbeMClWEkZYA5PJ3C5JVTvwc3wAAAP__", "2 attachment(s)")</f>
        <v>2 attachment(s)</v>
      </c>
      <c r="Y1409" t="inlineStr">
        <is>
          <t>Bank Transfer</t>
        </is>
      </c>
      <c r="Z1409" t="inlineStr">
        <is>
          <t>Justine Cerezo</t>
        </is>
      </c>
      <c r="AA1409" t="inlineStr">
        <is>
          <t>4856020938</t>
        </is>
      </c>
      <c r="AB1409" t="inlineStr">
        <is>
          <t>Landbank</t>
        </is>
      </c>
      <c r="AC1409" t="inlineStr">
        <is>
          <t>7a Sto Tomas St Bagumbayan Quezon City</t>
        </is>
      </c>
      <c r="AD1409" s="4">
        <v>45714</v>
      </c>
      <c r="AE1409" t="inlineStr">
        <is>
          <t>1st Payment - Mar. 21, 2025
2nd Payment - Apr. 18, 2025
3rd Payment - May 2, 2025
4th Payment - May 23, 2025
Final Payment - Jun 27, 2025</t>
        </is>
      </c>
      <c r="AF1409" s="2"/>
      <c r="AG1409" t="inlineStr">
        <is>
          <t>NzQyNTk5MTgyNzQ4MTg3MDM0MTpBOERDODU4NS1CM0YzLTRENDMtQkJGMC1CRDdFMkZGOTk0NjYtMTpkYWVjYmI3MDMzZDFlYjMxZWNmM2JjN2U3MmU1YTE5MDox</t>
        </is>
      </c>
      <c r="AH1409"/>
      <c r="AI1409"/>
      <c r="AJ1409"/>
      <c r="AK1409"/>
    </row>
    <row r="1410" ht="25.5" customHeight="1">
      <c r="A1410" s="2" t="str">
        <f>=HYPERLINK("https://applink.larksuite.com/client/mini_program/open?appId=cli_9c7cc8a9a9edd105&amp;mode=appCenter&amp;path_pc=pc/pages/requested/index?instanceId=7483065179509456908&amp;source=bitable&amp;path=pages/detail/index?instanceId=7483065179509456908&amp;source=bitable", "202503180110")</f>
        <v>202503180110</v>
      </c>
      <c r="B1410" t="inlineStr">
        <is>
          <t>Approved</t>
        </is>
      </c>
      <c r="C1410" t="inlineStr">
        <is>
          <t>Procurement Order</t>
        </is>
      </c>
      <c r="D1410" s="3">
        <v>45734.69076388889</v>
      </c>
      <c r="E1410" s="3">
        <v>45735.72488425926</v>
      </c>
      <c r="F1410" t="inlineStr">
        <is>
          <t>Fatima Kathleen M. FLores</t>
        </is>
      </c>
      <c r="G1410" t="inlineStr">
        <is>
          <t>Procurement</t>
        </is>
      </c>
      <c r="H1410"/>
      <c r="I1410"/>
      <c r="J1410" t="inlineStr">
        <is>
          <t>Project</t>
        </is>
      </c>
      <c r="K1410" t="inlineStr">
        <is>
          <t>PDEI - Event Service</t>
        </is>
      </c>
      <c r="L1410" t="inlineStr">
        <is>
          <t>MPL PH S15</t>
        </is>
      </c>
      <c r="M1410" t="inlineStr">
        <is>
          <t>2024TEG-P0430</t>
        </is>
      </c>
      <c r="N1410" t="inlineStr">
        <is>
          <t>Tiny</t>
        </is>
      </c>
      <c r="O1410" t="inlineStr">
        <is>
          <t>202502180013-Tiny-费用报销 - 副本 - 副本 - 副本-2025-02-18 02:57:17</t>
        </is>
      </c>
      <c r="P1410" t="inlineStr">
        <is>
          <t>YES</t>
        </is>
      </c>
      <c r="Q1410"/>
      <c r="R1410" t="inlineStr">
        <is>
          <t>YES</t>
        </is>
      </c>
      <c r="S1410" t="inlineStr">
        <is>
          <t>Outsourced Liaison Officer</t>
        </is>
      </c>
      <c r="T1410">
        <v>1</v>
      </c>
      <c r="U1410">
        <v>40500</v>
      </c>
      <c r="V1410" t="inlineStr">
        <is>
          <t>PHP</t>
        </is>
      </c>
      <c r="W1410">
        <v>40500</v>
      </c>
      <c r="X1410" s="2" t="str">
        <f>=HYPERLINK("https://www.larksuite.com/approval/admin/previewAttachment?key=PMhBCgIxDAXQK_20v0m-l3HjMChliiDqKmcXXMz2eRo8h3UXKGuCVTA7fFhoQBwuZLWyCCHMM2s79uuXS4_nzDnf62irPvfbvr1sKFpDdLInALuc3oOk5MTf8QsAAP__", "2 attachment(s)")</f>
        <v>2 attachment(s)</v>
      </c>
      <c r="Y1410" t="inlineStr">
        <is>
          <t>Bank Transfer</t>
        </is>
      </c>
      <c r="Z1410" t="inlineStr">
        <is>
          <t>Kyne-kyne Lalaine S. Lao</t>
        </is>
      </c>
      <c r="AA1410" t="inlineStr">
        <is>
          <t>0626081293</t>
        </is>
      </c>
      <c r="AB1410" t="inlineStr">
        <is>
          <t>BPI</t>
        </is>
      </c>
      <c r="AC1410" t="inlineStr">
        <is>
          <t>117 Pacheco St. Tondo Manila</t>
        </is>
      </c>
      <c r="AD1410" s="4">
        <v>45714</v>
      </c>
      <c r="AE1410" t="inlineStr">
        <is>
          <t>1st Payment - Mar. 21, 2025
2nd Payment - Apr. 18, 2025
3rd Payment - May 2, 2025
4th Payment - May 23, 2025
Final Payment - Jun 27, 2025</t>
        </is>
      </c>
      <c r="AF1410" s="2"/>
      <c r="AG1410" t="inlineStr">
        <is>
          <t>NzQyNTk5MTgyNzQ4MTg3MDM0MTo4QkNGQkY1RS0xQkU3LTQxMTYtQUM0Ny03QkFGRTlFRDgzRDgtMTpjNTU4ZTE0NGQ4MWI3ZWZjZjk5N2Q1YzdmNjJiYjA5Yzox</t>
        </is>
      </c>
      <c r="AH1410"/>
      <c r="AI1410"/>
      <c r="AJ1410"/>
      <c r="AK1410"/>
    </row>
    <row r="1411" ht="25.5" customHeight="1">
      <c r="A1411" s="2" t="str">
        <f>=HYPERLINK("https://applink.larksuite.com/client/mini_program/open?appId=cli_9c7cc8a9a9edd105&amp;mode=appCenter&amp;path_pc=pc/pages/requested/index?instanceId=7483066973299965958&amp;source=bitable&amp;path=pages/detail/index?instanceId=7483066973299965958&amp;source=bitable", "202503180114")</f>
        <v>202503180114</v>
      </c>
      <c r="B1411" t="inlineStr">
        <is>
          <t>Approved</t>
        </is>
      </c>
      <c r="C1411" t="inlineStr">
        <is>
          <t>Procurement Order</t>
        </is>
      </c>
      <c r="D1411" s="3">
        <v>45734.695601851854</v>
      </c>
      <c r="E1411" s="3">
        <v>45735.72409722222</v>
      </c>
      <c r="F1411" t="inlineStr">
        <is>
          <t>Fatima Kathleen M. FLores</t>
        </is>
      </c>
      <c r="G1411" t="inlineStr">
        <is>
          <t>Procurement</t>
        </is>
      </c>
      <c r="H1411"/>
      <c r="I1411"/>
      <c r="J1411" t="inlineStr">
        <is>
          <t>Project</t>
        </is>
      </c>
      <c r="K1411" t="inlineStr">
        <is>
          <t>PDEI - Event Service</t>
        </is>
      </c>
      <c r="L1411" t="inlineStr">
        <is>
          <t>MPL PH S15</t>
        </is>
      </c>
      <c r="M1411" t="inlineStr">
        <is>
          <t>2024TEG-P0430</t>
        </is>
      </c>
      <c r="N1411" t="inlineStr">
        <is>
          <t>Tiny</t>
        </is>
      </c>
      <c r="O1411" t="inlineStr">
        <is>
          <t>202502180013-Tiny-费用报销 - 副本 - 副本 - 副本-2025-02-18 02:57:17</t>
        </is>
      </c>
      <c r="P1411" t="inlineStr">
        <is>
          <t>YES</t>
        </is>
      </c>
      <c r="Q1411"/>
      <c r="R1411" t="inlineStr">
        <is>
          <t>YES</t>
        </is>
      </c>
      <c r="S1411" t="inlineStr">
        <is>
          <t>Outsourced Liaison Officer</t>
        </is>
      </c>
      <c r="T1411">
        <v>1</v>
      </c>
      <c r="U1411">
        <v>40500</v>
      </c>
      <c r="V1411" t="inlineStr">
        <is>
          <t>PHP</t>
        </is>
      </c>
      <c r="W1411">
        <v>40500</v>
      </c>
      <c r="X1411" s="2" t="str">
        <f>=HYPERLINK("https://www.larksuite.com/approval/admin/previewAttachment?key=PMg5CgJBEAXQK_3a63sZE4fGpEEQl6TOLhhM-rIF2SGWhFOUkClvQybLlGQGo0dHqoiS7J5jr6vrjg9tcz3qZd9532_reEqwVFHmbg1ALqdbuTuZjr_jFwAA__8", "2 attachment(s)")</f>
        <v>2 attachment(s)</v>
      </c>
      <c r="Y1411" t="inlineStr">
        <is>
          <t>Bank Transfer</t>
        </is>
      </c>
      <c r="Z1411" t="inlineStr">
        <is>
          <t>Molines Lord JC</t>
        </is>
      </c>
      <c r="AA1411" t="inlineStr">
        <is>
          <t>00005 8448 372</t>
        </is>
      </c>
      <c r="AB1411" t="inlineStr">
        <is>
          <t>Security Bank</t>
        </is>
      </c>
      <c r="AC1411" t="inlineStr">
        <is>
          <t>B7 L11 Kingston St. Greenland Ph.1 Nangka Marikina City</t>
        </is>
      </c>
      <c r="AD1411" s="4">
        <v>45714</v>
      </c>
      <c r="AE1411" t="inlineStr">
        <is>
          <t>1st Payment - Mar. 21, 2025
2nd Payment - Apr. 18, 2025
3rd Payment - May 2, 2025
4th Payment - May 23, 2025
Final Payment - Jun 27, 2025</t>
        </is>
      </c>
      <c r="AF1411" s="2"/>
      <c r="AG1411" t="inlineStr">
        <is>
          <t>NzQyNTk5MTgyNzQ4MTg3MDM0MTpERjY2OTU2QS1BMkM1LTRDMEYtQTk5Ni0yNTIxM0Q2RDAxQTQtMTpiNGViMzBiNzRiZDFjM2MwMjhlOTg2NjlkMzc1YzUxNDox</t>
        </is>
      </c>
      <c r="AH1411"/>
      <c r="AI1411"/>
      <c r="AJ1411"/>
      <c r="AK1411"/>
    </row>
    <row r="1412" ht="25.5" customHeight="1">
      <c r="A1412" s="2" t="str">
        <f>=HYPERLINK("https://applink.larksuite.com/client/mini_program/open?appId=cli_9c7cc8a9a9edd105&amp;mode=appCenter&amp;path_pc=pc/pages/requested/index?instanceId=7483067899045756940&amp;source=bitable&amp;path=pages/detail/index?instanceId=7483067899045756940&amp;source=bitable", "202503180115")</f>
        <v>202503180115</v>
      </c>
      <c r="B1412" t="inlineStr">
        <is>
          <t>Approved</t>
        </is>
      </c>
      <c r="C1412" t="inlineStr">
        <is>
          <t>Procurement Order</t>
        </is>
      </c>
      <c r="D1412" s="3">
        <v>45734.69809027778</v>
      </c>
      <c r="E1412" s="3">
        <v>45735.72287037037</v>
      </c>
      <c r="F1412" t="inlineStr">
        <is>
          <t>Fatima Kathleen M. FLores</t>
        </is>
      </c>
      <c r="G1412" t="inlineStr">
        <is>
          <t>Procurement</t>
        </is>
      </c>
      <c r="H1412"/>
      <c r="I1412"/>
      <c r="J1412" t="inlineStr">
        <is>
          <t>Project</t>
        </is>
      </c>
      <c r="K1412" t="inlineStr">
        <is>
          <t>PDEI - Event Service</t>
        </is>
      </c>
      <c r="L1412" t="inlineStr">
        <is>
          <t>MPL PH S15</t>
        </is>
      </c>
      <c r="M1412" t="inlineStr">
        <is>
          <t>2024TEG-P0430</t>
        </is>
      </c>
      <c r="N1412" t="inlineStr">
        <is>
          <t>Tiny</t>
        </is>
      </c>
      <c r="O1412" t="inlineStr">
        <is>
          <t>202502180013-Tiny-费用报销 - 副本 - 副本 - 副本-2025-02-18 02:57:17</t>
        </is>
      </c>
      <c r="P1412" t="inlineStr">
        <is>
          <t>YES</t>
        </is>
      </c>
      <c r="Q1412"/>
      <c r="R1412" t="inlineStr">
        <is>
          <t>YES</t>
        </is>
      </c>
      <c r="S1412" t="inlineStr">
        <is>
          <t>Outsourced Liaison Officer</t>
        </is>
      </c>
      <c r="T1412">
        <v>1</v>
      </c>
      <c r="U1412">
        <v>40500</v>
      </c>
      <c r="V1412" t="inlineStr">
        <is>
          <t>PHP</t>
        </is>
      </c>
      <c r="W1412">
        <v>40500</v>
      </c>
      <c r="X1412" s="2" t="str">
        <f>=HYPERLINK("https://www.larksuite.com/approval/admin/previewAttachment?key=PMhBCsJADAXQK_1MMvn5XsbNlKK0BUEodDFnF1x0-7IMWd08hZA1wSajHMmSEJ09FZhtGinQsmoux_q8zrG_j2337cN-jXm-xrp8rYutgR7hBcAetzsjQsrA3_ELAAD__w", "2 attachment(s)")</f>
        <v>2 attachment(s)</v>
      </c>
      <c r="Y1412" t="inlineStr">
        <is>
          <t>Bank Transfer</t>
        </is>
      </c>
      <c r="Z1412" t="inlineStr">
        <is>
          <t>Lorenzo S. Joaquin</t>
        </is>
      </c>
      <c r="AA1412" t="inlineStr">
        <is>
          <t>09670566726</t>
        </is>
      </c>
      <c r="AB1412" t="inlineStr">
        <is>
          <t>GCash</t>
        </is>
      </c>
      <c r="AC1412" t="inlineStr">
        <is>
          <t>31a Allajur St Zone 3 Nia Npc Fairview Q.C</t>
        </is>
      </c>
      <c r="AD1412" s="4">
        <v>45714</v>
      </c>
      <c r="AE1412" t="inlineStr">
        <is>
          <t>1st Payment - Mar. 21, 2025
2nd Payment - Apr. 18, 2025
3rd Payment - May 2, 2025
4th Payment - May 23, 2025
Final Payment - Jun 27, 2025</t>
        </is>
      </c>
      <c r="AF1412" s="2"/>
      <c r="AG1412" t="inlineStr">
        <is>
          <t>NzQyNTk5MTgyNzQ4MTg3MDM0MTo5MTUyREFEMC1DMUVBLTRBNzEtOTI1OS1DOEM4RDFDQ0I2RjEtMTphMGUyZDRlODliNWE1NTBhMTk0ZjQzM2E4OThlYTA0YTox</t>
        </is>
      </c>
      <c r="AH1412"/>
      <c r="AI1412"/>
      <c r="AJ1412"/>
      <c r="AK1412"/>
    </row>
    <row r="1413" ht="25.5" customHeight="1">
      <c r="A1413" s="2" t="str">
        <f>=HYPERLINK("https://applink.larksuite.com/client/mini_program/open?appId=cli_9c7cc8a9a9edd105&amp;mode=appCenter&amp;path_pc=pc/pages/requested/index?instanceId=7483068781401473036&amp;source=bitable&amp;path=pages/detail/index?instanceId=7483068781401473036&amp;source=bitable", "202503180117")</f>
        <v>202503180117</v>
      </c>
      <c r="B1413" t="inlineStr">
        <is>
          <t>Approved</t>
        </is>
      </c>
      <c r="C1413" t="inlineStr">
        <is>
          <t>Procurement Order</t>
        </is>
      </c>
      <c r="D1413" s="3">
        <v>45734.700474537036</v>
      </c>
      <c r="E1413" s="3">
        <v>45735.72145833333</v>
      </c>
      <c r="F1413" t="inlineStr">
        <is>
          <t>Fatima Kathleen M. FLores</t>
        </is>
      </c>
      <c r="G1413" t="inlineStr">
        <is>
          <t>Procurement</t>
        </is>
      </c>
      <c r="H1413"/>
      <c r="I1413"/>
      <c r="J1413" t="inlineStr">
        <is>
          <t>Project</t>
        </is>
      </c>
      <c r="K1413" t="inlineStr">
        <is>
          <t>PDEI - Event Service</t>
        </is>
      </c>
      <c r="L1413" t="inlineStr">
        <is>
          <t>MPL PH S15</t>
        </is>
      </c>
      <c r="M1413" t="inlineStr">
        <is>
          <t>2024TEG-P0430</t>
        </is>
      </c>
      <c r="N1413" t="inlineStr">
        <is>
          <t>Tiny</t>
        </is>
      </c>
      <c r="O1413" t="inlineStr">
        <is>
          <t>202502180013-Tiny-费用报销 - 副本 - 副本 - 副本-2025-02-18 02:57:17</t>
        </is>
      </c>
      <c r="P1413" t="inlineStr">
        <is>
          <t>YES</t>
        </is>
      </c>
      <c r="Q1413"/>
      <c r="R1413" t="inlineStr">
        <is>
          <t>YES</t>
        </is>
      </c>
      <c r="S1413" t="inlineStr">
        <is>
          <t>Outsourced Liaison Officer</t>
        </is>
      </c>
      <c r="T1413">
        <v>1</v>
      </c>
      <c r="U1413">
        <v>40500</v>
      </c>
      <c r="V1413" t="inlineStr">
        <is>
          <t>PHP</t>
        </is>
      </c>
      <c r="W1413">
        <v>40500</v>
      </c>
      <c r="X1413" s="2" t="str">
        <f>=HYPERLINK("https://www.larksuite.com/approval/admin/previewAttachment?key=PMg9CgIxFATgK83kTd6Pl7HZZXHF2IgBi5xdsLD9PAnPTvOCiq3AFUqDZyQFKgzmqy1GFIKeufZxXD9ze5xjPqf193kfa962Y3-xV7SGMMkSAC9_t5BU5cLP8Q0AAP__", "2 attachment(s)")</f>
        <v>2 attachment(s)</v>
      </c>
      <c r="Y1413" t="inlineStr">
        <is>
          <t>Bank Transfer</t>
        </is>
      </c>
      <c r="Z1413" t="inlineStr">
        <is>
          <t>Renzo E. Lacsamana</t>
        </is>
      </c>
      <c r="AA1413" t="inlineStr">
        <is>
          <t>109664387317</t>
        </is>
      </c>
      <c r="AB1413" t="inlineStr">
        <is>
          <t>Unionbank</t>
        </is>
      </c>
      <c r="AC1413" t="inlineStr">
        <is>
          <t>#19 Paris St. Greenland village Nangka, Marikina City</t>
        </is>
      </c>
      <c r="AD1413" s="4">
        <v>45714</v>
      </c>
      <c r="AE1413" t="inlineStr">
        <is>
          <t>1st Payment - Mar. 21, 2025
2nd Payment - Apr. 18, 2025
3rd Payment - May 2, 2025
4th Payment - May 23, 2025
Final Payment - Jun 27, 2025</t>
        </is>
      </c>
      <c r="AF1413" s="2"/>
      <c r="AG1413" t="inlineStr">
        <is>
          <t>NzQyNTk5MTgyNzQ4MTg3MDM0MTo2MDk2QzFCNy1BRDFDLTQyMjktQTdEMy0xRTExMDQxREVGNUUtMTo2YzNlMWE0NzkxOGZjN2M3MDlmZWQ2NTQ5ZGQ3NDE4Mzox</t>
        </is>
      </c>
      <c r="AH1413"/>
      <c r="AI1413"/>
      <c r="AJ1413"/>
      <c r="AK1413"/>
    </row>
    <row r="1414" ht="25.5" customHeight="1">
      <c r="A1414" s="2" t="str">
        <f>=HYPERLINK("https://applink.larksuite.com/client/mini_program/open?appId=cli_9c7cc8a9a9edd105&amp;mode=appCenter&amp;path_pc=pc/pages/requested/index?instanceId=7482619863702274054&amp;source=bitable&amp;path=pages/detail/index?instanceId=7482619863702274054&amp;source=bitable", "202503170028")</f>
        <v>202503170028</v>
      </c>
      <c r="B1414" t="inlineStr">
        <is>
          <t>Approved</t>
        </is>
      </c>
      <c r="C1414" t="inlineStr">
        <is>
          <t>Procurement Order</t>
        </is>
      </c>
      <c r="D1414" s="3">
        <v>45733.49072916667</v>
      </c>
      <c r="E1414" s="3">
        <v>45735.734814814816</v>
      </c>
      <c r="F1414" t="inlineStr">
        <is>
          <t>Fatima Kathleen M. FLores</t>
        </is>
      </c>
      <c r="G1414" t="inlineStr">
        <is>
          <t>Procurement</t>
        </is>
      </c>
      <c r="H1414"/>
      <c r="I1414"/>
      <c r="J1414" t="inlineStr">
        <is>
          <t>Project</t>
        </is>
      </c>
      <c r="K1414" t="inlineStr">
        <is>
          <t>PDEI - Event Service</t>
        </is>
      </c>
      <c r="L1414" t="inlineStr">
        <is>
          <t>MPL PH S15</t>
        </is>
      </c>
      <c r="M1414" t="inlineStr">
        <is>
          <t>2024TEG-P0430</t>
        </is>
      </c>
      <c r="N1414" t="inlineStr">
        <is>
          <t>Tiny</t>
        </is>
      </c>
      <c r="O1414" t="inlineStr">
        <is>
          <t>202502170131-Tiny-费用报销 - 副本 - 副本 - 副本-2025-02-17 18:57:46</t>
        </is>
      </c>
      <c r="P1414" t="inlineStr">
        <is>
          <t>YES</t>
        </is>
      </c>
      <c r="Q1414"/>
      <c r="R1414" t="inlineStr">
        <is>
          <t>YES</t>
        </is>
      </c>
      <c r="S1414" t="inlineStr">
        <is>
          <t>Outsourced Logistics Manpower (Ingress)</t>
        </is>
      </c>
      <c r="T1414">
        <v>1</v>
      </c>
      <c r="U1414">
        <v>36400</v>
      </c>
      <c r="V1414" t="inlineStr">
        <is>
          <t>PHP</t>
        </is>
      </c>
      <c r="W1414">
        <v>36400</v>
      </c>
      <c r="X1414" s="2" t="str">
        <f>=HYPERLINK("https://www.larksuite.com/approval/admin/previewAttachment?key=PMg9CgIxFATgK828TN6Pl7FJWHRlISDY5eyChe3nSXh2Ni-oaAXuUJqz0lvALISubZsRhaBn7nkd93Xadfb1HMbXGnN_HuOYb_YKM0STWgLg7e8tJFW58HN8AwAA__8", "2 attachment(s)")</f>
        <v>2 attachment(s)</v>
      </c>
      <c r="Y1414" t="inlineStr">
        <is>
          <t>Bank Transfer</t>
        </is>
      </c>
      <c r="Z1414" t="inlineStr">
        <is>
          <t>Rizel John Obong</t>
        </is>
      </c>
      <c r="AA1414" t="inlineStr">
        <is>
          <t>09709731174</t>
        </is>
      </c>
      <c r="AB1414" t="inlineStr">
        <is>
          <t>GCash</t>
        </is>
      </c>
      <c r="AC1414" t="inlineStr">
        <is>
          <t>Blk 1j Lot 31 Phase 3 E-1 Dagat Dagatan Caloocan City</t>
        </is>
      </c>
      <c r="AD1414" s="4">
        <v>45710</v>
      </c>
      <c r="AE1414" t="inlineStr">
        <is>
          <t>100 Payment - Mar. 21, 2025</t>
        </is>
      </c>
      <c r="AF1414" s="2"/>
      <c r="AG1414" t="inlineStr">
        <is>
          <t>NzQyNTk5MTgyNzQ4MTg3MDM0MToxRDA2NjM4NC1BMzExLTQ4ODYtOTExOS0xRkIwNzU0M0U4NzItMTo5NzZlZGJlZmJjNzU1MDQ0NTJhMWFkNjMxOWI5M2MyODox</t>
        </is>
      </c>
      <c r="AH1414"/>
      <c r="AI1414"/>
      <c r="AJ1414"/>
      <c r="AK1414"/>
    </row>
    <row r="1415" ht="25.5" customHeight="1">
      <c r="A1415" s="2" t="str">
        <f>=HYPERLINK("https://applink.larksuite.com/client/mini_program/open?appId=cli_9c7cc8a9a9edd105&amp;mode=appCenter&amp;path_pc=pc/pages/requested/index?instanceId=7483388834634317836&amp;source=bitable&amp;path=pages/detail/index?instanceId=7483388834634317836&amp;source=bitable", "202503190041")</f>
        <v>202503190041</v>
      </c>
      <c r="B1415" t="inlineStr">
        <is>
          <t>Approved</t>
        </is>
      </c>
      <c r="C1415" t="inlineStr">
        <is>
          <t>Procurement Order</t>
        </is>
      </c>
      <c r="D1415" s="3">
        <v>45735.562951388885</v>
      </c>
      <c r="E1415" s="3">
        <v>45736.75137731482</v>
      </c>
      <c r="F1415" t="inlineStr">
        <is>
          <t>Fatima Kathleen M. FLores</t>
        </is>
      </c>
      <c r="G1415" t="inlineStr">
        <is>
          <t>Procurement</t>
        </is>
      </c>
      <c r="H1415"/>
      <c r="I1415"/>
      <c r="J1415" t="inlineStr">
        <is>
          <t>Project</t>
        </is>
      </c>
      <c r="K1415" t="inlineStr">
        <is>
          <t>PDEI - Event Service</t>
        </is>
      </c>
      <c r="L1415" t="inlineStr">
        <is>
          <t>HOK Invitational S3</t>
        </is>
      </c>
      <c r="M1415" t="inlineStr">
        <is>
          <t>2025TEG-P0027</t>
        </is>
      </c>
      <c r="N1415" t="inlineStr">
        <is>
          <t>Duane Aaron Baret Cadangan</t>
        </is>
      </c>
      <c r="O1415" t="inlineStr">
        <is>
          <t>202502270073-Duane Aaron Baret Cadangan-费用报销 - 副本 - 副本 - 副本-2025-02-27 10:15:13</t>
        </is>
      </c>
      <c r="P1415" t="inlineStr">
        <is>
          <t>YES</t>
        </is>
      </c>
      <c r="Q1415"/>
      <c r="R1415" t="inlineStr">
        <is>
          <t>YES</t>
        </is>
      </c>
      <c r="S1415" t="inlineStr">
        <is>
          <t>Outsourced Ushers</t>
        </is>
      </c>
      <c r="T1415">
        <v>1</v>
      </c>
      <c r="U1415">
        <v>70500</v>
      </c>
      <c r="V1415" t="inlineStr">
        <is>
          <t>PHP</t>
        </is>
      </c>
      <c r="W1415">
        <v>70500</v>
      </c>
      <c r="X1415" s="2" t="str">
        <f>=HYPERLINK("https://www.larksuite.com/approval/admin/previewAttachment?key=PMgxqgJBEATQK1VN9XZX_8v8xGURRROZBYM5u2Bg-tJEeqOyEc3R4KqwZFuRCrGsXGOxqlFMe-2P4__kvKnm5L3x9nOd18uxv7h1jYFShAyAfz9XRUR3Br6OTwAAAP__", "2 attachment(s)")</f>
        <v>2 attachment(s)</v>
      </c>
      <c r="Y1415" t="inlineStr">
        <is>
          <t>Bank Transfer</t>
        </is>
      </c>
      <c r="Z1415" t="inlineStr">
        <is>
          <t>Generose Corrales</t>
        </is>
      </c>
      <c r="AA1415" t="inlineStr">
        <is>
          <t>09502049251</t>
        </is>
      </c>
      <c r="AB1415" t="inlineStr">
        <is>
          <t>GCash</t>
        </is>
      </c>
      <c r="AC1415" t="inlineStr">
        <is>
          <t>#16 General Espino St., Brgy. South Signal, Taguig City</t>
        </is>
      </c>
      <c r="AD1415" s="4">
        <v>45709</v>
      </c>
      <c r="AE1415" t="inlineStr">
        <is>
          <t>100% Full Payment - Mar. 21, 2025</t>
        </is>
      </c>
      <c r="AF1415" s="2"/>
      <c r="AG1415" t="inlineStr">
        <is>
          <t>NzQyNTk5MTgyNzQ4MTg3MDM0MTo1NzNBQzVDNC02ODVGLTQ4Q0ItQTJCMS00RDVBRjQ4RjIwODMtMTo5ZWFlOTMxNjJiZGU1NjdhNDdjMzk2OGU0NzAzNDMxMTox</t>
        </is>
      </c>
      <c r="AH1415"/>
      <c r="AI1415"/>
      <c r="AJ1415"/>
      <c r="AK1415"/>
    </row>
    <row r="1416" ht="25.5" customHeight="1">
      <c r="A1416" s="2" t="str">
        <f>=HYPERLINK("https://applink.larksuite.com/client/mini_program/open?appId=cli_9c7cc8a9a9edd105&amp;mode=appCenter&amp;path_pc=pc/pages/requested/index?instanceId=7483391786442817542&amp;source=bitable&amp;path=pages/detail/index?instanceId=7483391786442817542&amp;source=bitable", "202503190042")</f>
        <v>202503190042</v>
      </c>
      <c r="B1416" t="inlineStr">
        <is>
          <t>Approved</t>
        </is>
      </c>
      <c r="C1416" t="inlineStr">
        <is>
          <t>Procurement Order</t>
        </is>
      </c>
      <c r="D1416" s="3">
        <v>45735.57090277778</v>
      </c>
      <c r="E1416" s="3">
        <v>45737.57065972222</v>
      </c>
      <c r="F1416" t="inlineStr">
        <is>
          <t>Fatima Kathleen M. FLores</t>
        </is>
      </c>
      <c r="G1416" t="inlineStr">
        <is>
          <t>Procurement</t>
        </is>
      </c>
      <c r="H1416"/>
      <c r="I1416"/>
      <c r="J1416" t="inlineStr">
        <is>
          <t>Project</t>
        </is>
      </c>
      <c r="K1416" t="inlineStr">
        <is>
          <t>PDEI - Event Service</t>
        </is>
      </c>
      <c r="L1416" t="inlineStr">
        <is>
          <t>HOK Invitational S3</t>
        </is>
      </c>
      <c r="M1416" t="inlineStr">
        <is>
          <t>2025TEG-P0027</t>
        </is>
      </c>
      <c r="N1416" t="inlineStr">
        <is>
          <t>Duane Aaron Baret Cadangan</t>
        </is>
      </c>
      <c r="O1416" t="inlineStr">
        <is>
          <t>202502270073-Duane Aaron Baret Cadangan-费用报销 - 副本 - 副本 - 副本-2025-02-27 10:15:13</t>
        </is>
      </c>
      <c r="P1416" t="inlineStr">
        <is>
          <t>YES</t>
        </is>
      </c>
      <c r="Q1416"/>
      <c r="R1416" t="inlineStr">
        <is>
          <t>YES</t>
        </is>
      </c>
      <c r="S1416" t="inlineStr">
        <is>
          <t>Outsourced Ushers</t>
        </is>
      </c>
      <c r="T1416">
        <v>1</v>
      </c>
      <c r="U1416">
        <v>1500</v>
      </c>
      <c r="V1416" t="inlineStr">
        <is>
          <t>PHP</t>
        </is>
      </c>
      <c r="W1416">
        <v>1500</v>
      </c>
      <c r="X1416" s="2" t="str">
        <f>=HYPERLINK("https://www.larksuite.com/approval/admin/previewAttachment?key=PMgxrsJADATQK3nsWY_9L_ObjSJQCA0SSrNnR6KgfVmwrIHINja8DUusiIYqSS9o0JcvSG1CVq3t3P8Pv-7jfMTzuKbmWO_b3LcXRsvdFGSUmeHv5yGS3Un7un0CAAD__w", "2 attachment(s)")</f>
        <v>2 attachment(s)</v>
      </c>
      <c r="Y1416" t="inlineStr">
        <is>
          <t>Bank Transfer</t>
        </is>
      </c>
      <c r="Z1416" t="inlineStr">
        <is>
          <t>Angel C. Cabrera</t>
        </is>
      </c>
      <c r="AA1416" t="inlineStr">
        <is>
          <t>109666781722</t>
        </is>
      </c>
      <c r="AB1416" t="inlineStr">
        <is>
          <t>Union Bank</t>
        </is>
      </c>
      <c r="AC1416" t="inlineStr">
        <is>
          <t>2360 Harrison Mansion Harrison St. Pasay City, Manila</t>
        </is>
      </c>
      <c r="AD1416" s="4">
        <v>45712</v>
      </c>
      <c r="AE1416" t="inlineStr">
        <is>
          <t>100% Full Payment - Mar. 21, 2025</t>
        </is>
      </c>
      <c r="AF1416" s="2"/>
      <c r="AG1416" t="inlineStr">
        <is>
          <t>NzQyNTk5MTgyNzQ4MTg3MDM0MTo1NTgyMTNCOS1EMTNDLTQ2QzAtOEUzQS0yNEZFQTU2REY0MDktMTowNjA1NGM1ZDc3MWY1YTRkNTEyM2IwMGQzZjExYWE3MTox</t>
        </is>
      </c>
      <c r="AH1416"/>
      <c r="AI1416"/>
      <c r="AJ1416"/>
      <c r="AK1416"/>
    </row>
    <row r="1417" ht="25.5" customHeight="1">
      <c r="A1417" s="2" t="str">
        <f>=HYPERLINK("https://applink.larksuite.com/client/mini_program/open?appId=cli_9c7cc8a9a9edd105&amp;mode=appCenter&amp;path_pc=pc/pages/requested/index?instanceId=7483401215682805772&amp;source=bitable&amp;path=pages/detail/index?instanceId=7483401215682805772&amp;source=bitable", "202503190047")</f>
        <v>202503190047</v>
      </c>
      <c r="B1417" t="inlineStr">
        <is>
          <t>Approved</t>
        </is>
      </c>
      <c r="C1417" t="inlineStr">
        <is>
          <t>Procurement Order</t>
        </is>
      </c>
      <c r="D1417" s="3">
        <v>45735.59630787037</v>
      </c>
      <c r="E1417" s="3">
        <v>45737.79599537037</v>
      </c>
      <c r="F1417" t="inlineStr">
        <is>
          <t>Fatima Kathleen M. FLores</t>
        </is>
      </c>
      <c r="G1417" t="inlineStr">
        <is>
          <t>Procurement</t>
        </is>
      </c>
      <c r="H1417"/>
      <c r="I1417"/>
      <c r="J1417" t="inlineStr">
        <is>
          <t>Project</t>
        </is>
      </c>
      <c r="K1417" t="inlineStr">
        <is>
          <t>PDEI - Event Service</t>
        </is>
      </c>
      <c r="L1417" t="inlineStr">
        <is>
          <t>MPL PH S15</t>
        </is>
      </c>
      <c r="M1417" t="inlineStr">
        <is>
          <t>2024TEG-P0430</t>
        </is>
      </c>
      <c r="N1417" t="inlineStr">
        <is>
          <t>Tiny</t>
        </is>
      </c>
      <c r="O1417" t="inlineStr">
        <is>
          <t>202502170129-Tiny-费用报销 - 副本 - 副本 - 副本-2025-02-17 18:52:07</t>
        </is>
      </c>
      <c r="P1417" t="inlineStr">
        <is>
          <t>YES</t>
        </is>
      </c>
      <c r="Q1417"/>
      <c r="R1417" t="inlineStr">
        <is>
          <t>YES</t>
        </is>
      </c>
      <c r="S1417" t="inlineStr">
        <is>
          <t>Outsourced Lead Stream Engineer</t>
        </is>
      </c>
      <c r="T1417">
        <v>1</v>
      </c>
      <c r="U1417">
        <v>82500</v>
      </c>
      <c r="V1417" t="inlineStr">
        <is>
          <t>PHP</t>
        </is>
      </c>
      <c r="W1417">
        <v>82500</v>
      </c>
      <c r="X1417" s="2" t="str">
        <f>=HYPERLINK("https://www.larksuite.com/approval/admin/previewAttachment?key=PMg7CgJBEATQK1X11PTHy5i4DKLuJoIb9dkFA9PnSXhODi-oaAV2KIdA4_S0xIywtmZEIeiZve3reuqobcfrfDxX6ujP_ba2N2eFGWJIIwHw8vcRkqpc-Dm-AQAA__8", "2 attachment(s)")</f>
        <v>2 attachment(s)</v>
      </c>
      <c r="Y1417" t="inlineStr">
        <is>
          <t>Bank Transfer</t>
        </is>
      </c>
      <c r="Z1417" t="inlineStr">
        <is>
          <t>Ernesto L. Senedrin III</t>
        </is>
      </c>
      <c r="AA1417" t="inlineStr">
        <is>
          <t>109425334198</t>
        </is>
      </c>
      <c r="AB1417" t="inlineStr">
        <is>
          <t>Unionbank</t>
        </is>
      </c>
      <c r="AC1417" t="inlineStr">
        <is>
          <t>North Tower, Unit 23D, The Radiance Manila Bay, Roxas Blvd, Pasay</t>
        </is>
      </c>
      <c r="AD1417" s="4">
        <v>45714</v>
      </c>
      <c r="AE1417" t="inlineStr">
        <is>
          <t>1st Payment - Mar. 21, 2025
2nd Payment - Apr. 18, 2025
3rd Payment - May 2, 2025
4th Payment - May 23, 2025
Final Payment - Jun 27, 2025</t>
        </is>
      </c>
      <c r="AF1417" s="2"/>
      <c r="AG1417" t="inlineStr">
        <is>
          <t>NzQyNTk5MTgyNzQ4MTg3MDM0MTo0Qjc5QTIzOC0yNEIyLTQ3RDQtQkI4Qi04MjZGNkQyRUY0MjAtMTphYTUxNjlmYTc3NTFiYzBjNjZjYmNjMjU5YzdhYTk5Mzox</t>
        </is>
      </c>
      <c r="AH1417"/>
      <c r="AI1417"/>
      <c r="AJ1417"/>
      <c r="AK1417"/>
    </row>
    <row r="1418" ht="25.5" customHeight="1">
      <c r="A1418" s="2" t="str">
        <f>=HYPERLINK("https://applink.larksuite.com/client/mini_program/open?appId=cli_9c7cc8a9a9edd105&amp;mode=appCenter&amp;path_pc=pc/pages/requested/index?instanceId=7483419257443729420&amp;source=bitable&amp;path=pages/detail/index?instanceId=7483419257443729420&amp;source=bitable", "202503190060")</f>
        <v>202503190060</v>
      </c>
      <c r="B1418" t="inlineStr">
        <is>
          <t>Approved</t>
        </is>
      </c>
      <c r="C1418" t="inlineStr">
        <is>
          <t>Procurement Order</t>
        </is>
      </c>
      <c r="D1418" s="3">
        <v>45735.64493055556</v>
      </c>
      <c r="E1418" s="3">
        <v>45737.54318287037</v>
      </c>
      <c r="F1418" t="inlineStr">
        <is>
          <t>Fatima Kathleen M. FLores</t>
        </is>
      </c>
      <c r="G1418" t="inlineStr">
        <is>
          <t>Procurement</t>
        </is>
      </c>
      <c r="H1418"/>
      <c r="I1418"/>
      <c r="J1418" t="inlineStr">
        <is>
          <t>Project</t>
        </is>
      </c>
      <c r="K1418" t="inlineStr">
        <is>
          <t>PDEI - Event Service</t>
        </is>
      </c>
      <c r="L1418" t="inlineStr">
        <is>
          <t>MPL PH S15 Media Day</t>
        </is>
      </c>
      <c r="M1418" t="inlineStr">
        <is>
          <t>2024TEG-P0445</t>
        </is>
      </c>
      <c r="N1418" t="inlineStr">
        <is>
          <t>Tiny</t>
        </is>
      </c>
      <c r="O1418" t="inlineStr">
        <is>
          <t>202503040040-Tiny-费用报销 - 副本 - 副本 - 副本-2025-03-04 04:16:01</t>
        </is>
      </c>
      <c r="P1418" t="inlineStr">
        <is>
          <t>YES</t>
        </is>
      </c>
      <c r="Q1418"/>
      <c r="R1418" t="inlineStr">
        <is>
          <t>YES</t>
        </is>
      </c>
      <c r="S1418" t="inlineStr">
        <is>
          <t>Outsourced Video editor and Videographer</t>
        </is>
      </c>
      <c r="T1418">
        <v>1</v>
      </c>
      <c r="U1418">
        <v>114000</v>
      </c>
      <c r="V1418" t="inlineStr">
        <is>
          <t>PHP</t>
        </is>
      </c>
      <c r="W1418">
        <v>114000</v>
      </c>
      <c r="X1418" s="2" t="str">
        <f>=HYPERLINK("https://www.larksuite.com/approval/admin/previewAttachment?key=PMgxDsJADATAL63tvbOXz9DkFIEQaZBC5bcjUaSdWYZZw2IKlLlgnaygyUeSkS462tsyhbRZ1eu93788tM6Xjs2ertXnY9vXx4bSHRlkFAC7XR5JUprE3_ELAAD__w", "2 attachment(s)")</f>
        <v>2 attachment(s)</v>
      </c>
      <c r="Y1418" t="inlineStr">
        <is>
          <t>Bank Transfer</t>
        </is>
      </c>
      <c r="Z1418" t="inlineStr">
        <is>
          <t>Ziegfred Perez Domingo</t>
        </is>
      </c>
      <c r="AA1418" t="inlineStr">
        <is>
          <t>8034 7580 0832</t>
        </is>
      </c>
      <c r="AB1418" t="inlineStr">
        <is>
          <t>Maya Bank, Inc.</t>
        </is>
      </c>
      <c r="AC1418" t="inlineStr">
        <is>
          <t>Block 4 Lot 12 San Lucas Street MWSS Compound Delpan Tondo, Manila</t>
        </is>
      </c>
      <c r="AD1418" s="4">
        <v>45716</v>
      </c>
      <c r="AE1418" t="inlineStr">
        <is>
          <t>1st Payment - Mar. 21, 2025
2nd Payment - Apr. 18, 2025
3rd Payment - May 2, 2025
4th Payment - May 23, 2025
Final Payment - Jun 27, 2025</t>
        </is>
      </c>
      <c r="AF1418" s="2"/>
      <c r="AG1418" t="inlineStr">
        <is>
          <t>NzQyNTk5MTgyNzQ4MTg3MDM0MTo2MzBBOURBNS0wRUQyLTRCRjQtOTYxQy1COUQ5MTg3N0JBNDYtMTo1MGI5MjMwMjZjNmRmM2M4MWFmYWFkZDlkN2Y3MzMxYzox</t>
        </is>
      </c>
      <c r="AH1418"/>
      <c r="AI1418"/>
      <c r="AJ1418"/>
      <c r="AK1418"/>
    </row>
    <row r="1419" ht="25.5" customHeight="1">
      <c r="A1419" s="2" t="str">
        <f>=HYPERLINK("https://applink.larksuite.com/client/mini_program/open?appId=cli_9c7cc8a9a9edd105&amp;mode=appCenter&amp;path_pc=pc/pages/requested/index?instanceId=7483424933553389580&amp;source=bitable&amp;path=pages/detail/index?instanceId=7483424933553389580&amp;source=bitable", "202503190064")</f>
        <v>202503190064</v>
      </c>
      <c r="B1419" t="inlineStr">
        <is>
          <t>Approved</t>
        </is>
      </c>
      <c r="C1419" t="inlineStr">
        <is>
          <t>Procurement Order</t>
        </is>
      </c>
      <c r="D1419" s="3">
        <v>45735.66023148148</v>
      </c>
      <c r="E1419" s="3">
        <v>45737.54435185185</v>
      </c>
      <c r="F1419" t="inlineStr">
        <is>
          <t>Fatima Kathleen M. FLores</t>
        </is>
      </c>
      <c r="G1419" t="inlineStr">
        <is>
          <t>Procurement</t>
        </is>
      </c>
      <c r="H1419"/>
      <c r="I1419"/>
      <c r="J1419" t="inlineStr">
        <is>
          <t>Project</t>
        </is>
      </c>
      <c r="K1419" t="inlineStr">
        <is>
          <t>PDEI - Event Service</t>
        </is>
      </c>
      <c r="L1419" t="inlineStr">
        <is>
          <t>MPL PH S15 Media Day</t>
        </is>
      </c>
      <c r="M1419" t="inlineStr">
        <is>
          <t>2024TEG-P0445</t>
        </is>
      </c>
      <c r="N1419" t="inlineStr">
        <is>
          <t>Tiny</t>
        </is>
      </c>
      <c r="O1419" t="inlineStr">
        <is>
          <t>202503040040-Tiny-费用报销 - 副本 - 副本 - 副本-2025-03-04 04:16:01</t>
        </is>
      </c>
      <c r="P1419" t="inlineStr">
        <is>
          <t>YES</t>
        </is>
      </c>
      <c r="Q1419"/>
      <c r="R1419" t="inlineStr">
        <is>
          <t>YES</t>
        </is>
      </c>
      <c r="S1419" t="inlineStr">
        <is>
          <t>Outsourced Videographer</t>
        </is>
      </c>
      <c r="T1419">
        <v>1</v>
      </c>
      <c r="U1419">
        <v>116666.7</v>
      </c>
      <c r="V1419" t="inlineStr">
        <is>
          <t>PHP</t>
        </is>
      </c>
      <c r="W1419">
        <v>116666.7</v>
      </c>
      <c r="X1419" s="2" t="str">
        <f>=HYPERLINK("https://www.larksuite.com/approval/admin/previewAttachment?key=PMg9CgIxEAXgK73JvPnzMjYJi6ALgrCQYs4uWNh-ngJPE_UCS0ZBOpjKwVI1U82yRI-WiEKIZ_Y6j_u-5iveZy7Ztp-zr8c81kesYgyEkpoA5PZ3DZJVTvwc3wAAAP__", "2 attachment(s)")</f>
        <v>2 attachment(s)</v>
      </c>
      <c r="Y1419" t="inlineStr">
        <is>
          <t>Bank Transfer</t>
        </is>
      </c>
      <c r="Z1419" t="inlineStr">
        <is>
          <t>Michael Angelo Domasig</t>
        </is>
      </c>
      <c r="AA1419" t="inlineStr">
        <is>
          <t>09157928158</t>
        </is>
      </c>
      <c r="AB1419" t="inlineStr">
        <is>
          <t>GCASH</t>
        </is>
      </c>
      <c r="AC1419" t="inlineStr">
        <is>
          <t>249 Reparo St. Baesa Caloocan City</t>
        </is>
      </c>
      <c r="AD1419" s="4">
        <v>45711</v>
      </c>
      <c r="AE1419" t="inlineStr">
        <is>
          <t>1st Payment - Mar. 21, 2025
2nd Payment - Apr. 18, 2025
3rd Payment - May 2, 2025
4th Payment - May 23, 2025
Final Payment - Jun 27, 2025</t>
        </is>
      </c>
      <c r="AF1419" s="2"/>
      <c r="AG1419" t="inlineStr">
        <is>
          <t>NzQyNTk5MTgyNzQ4MTg3MDM0MTo5MTk0QkQxQi03Nzg1LTRCNjgtQkRDNy02MjdFN0E2MkRFNzItMTowMjQwM2I1ZTRkM2E2NTZkM2NjZGFkMTZlOTIyZTRhNDox</t>
        </is>
      </c>
      <c r="AH1419"/>
      <c r="AI1419"/>
      <c r="AJ1419"/>
      <c r="AK1419"/>
    </row>
    <row r="1420" ht="25.5" customHeight="1">
      <c r="A1420" s="2" t="str">
        <f>=HYPERLINK("https://applink.larksuite.com/client/mini_program/open?appId=cli_9c7cc8a9a9edd105&amp;mode=appCenter&amp;path_pc=pc/pages/requested/index?instanceId=7483426483319373836&amp;source=bitable&amp;path=pages/detail/index?instanceId=7483426483319373836&amp;source=bitable", "202503190066")</f>
        <v>202503190066</v>
      </c>
      <c r="B1420" t="inlineStr">
        <is>
          <t>Approved</t>
        </is>
      </c>
      <c r="C1420" t="inlineStr">
        <is>
          <t>Procurement Order</t>
        </is>
      </c>
      <c r="D1420" s="3">
        <v>45735.66440972222</v>
      </c>
      <c r="E1420" s="3">
        <v>45737.53979166667</v>
      </c>
      <c r="F1420" t="inlineStr">
        <is>
          <t>Fatima Kathleen M. FLores</t>
        </is>
      </c>
      <c r="G1420" t="inlineStr">
        <is>
          <t>Procurement</t>
        </is>
      </c>
      <c r="H1420"/>
      <c r="I1420"/>
      <c r="J1420" t="inlineStr">
        <is>
          <t>Project</t>
        </is>
      </c>
      <c r="K1420" t="inlineStr">
        <is>
          <t>PDEI - Event Service</t>
        </is>
      </c>
      <c r="L1420" t="inlineStr">
        <is>
          <t>MPL PH S15 Media Day</t>
        </is>
      </c>
      <c r="M1420" t="inlineStr">
        <is>
          <t>2024TEG-P0445</t>
        </is>
      </c>
      <c r="N1420" t="inlineStr">
        <is>
          <t>Tiny</t>
        </is>
      </c>
      <c r="O1420" t="inlineStr">
        <is>
          <t>202503040040-Tiny-费用报销 - 副本 - 副本 - 副本-2025-03-04 04:16:01</t>
        </is>
      </c>
      <c r="P1420" t="inlineStr">
        <is>
          <t>YES</t>
        </is>
      </c>
      <c r="Q1420"/>
      <c r="R1420" t="inlineStr">
        <is>
          <t>YES</t>
        </is>
      </c>
      <c r="S1420" t="inlineStr">
        <is>
          <t>Outsourced Videographer</t>
        </is>
      </c>
      <c r="T1420">
        <v>1</v>
      </c>
      <c r="U1420">
        <v>66666.9</v>
      </c>
      <c r="V1420" t="inlineStr">
        <is>
          <t>PHP</t>
        </is>
      </c>
      <c r="W1420">
        <v>66666.9</v>
      </c>
      <c r="X1420" s="2" t="str">
        <f>=HYPERLINK("https://www.larksuite.com/approval/admin/previewAttachment?key=PMi7DcJAEATQlmZ35vZDMyQ-WRjJETLZ1Y5E4PRFGaKGMRpq84atVFEeKtKayWIsX5bZSIuqNc_9KT_H-5i1HfPCZev72vb5sdHpjqTEAmCP25mSukP4O34BAAD__w", "2 attachment(s)")</f>
        <v>2 attachment(s)</v>
      </c>
      <c r="Y1420" t="inlineStr">
        <is>
          <t>Bank Transfer</t>
        </is>
      </c>
      <c r="Z1420" t="inlineStr">
        <is>
          <t>Wendell Yuri Domasig</t>
        </is>
      </c>
      <c r="AA1420" t="inlineStr">
        <is>
          <t>09667628235</t>
        </is>
      </c>
      <c r="AB1420" t="inlineStr">
        <is>
          <t>GCASH</t>
        </is>
      </c>
      <c r="AC1420" t="inlineStr">
        <is>
          <t>249 Reparo St. Baesa Caloocan City</t>
        </is>
      </c>
      <c r="AD1420" s="4">
        <v>45711</v>
      </c>
      <c r="AE1420" t="inlineStr">
        <is>
          <t>1st Payment - Mar. 21, 2025
2nd Payment - Apr. 18, 2025
3rd Payment - May 2, 2025
4th Payment - May 23, 2025
Final Payment - Jun 27, 2025</t>
        </is>
      </c>
      <c r="AF1420" s="2"/>
      <c r="AG1420" t="inlineStr">
        <is>
          <t>NzQyNTk5MTgyNzQ4MTg3MDM0MTo1NzI0QkM0NS1FOUY3LTQzMkEtQTE3RS0yNjcwNTA5NEQ0QjctMTo2NWM3OTYyZjMyNjU4OWI3OGQ1NWNmNTQ0ZWJiZDE4ZTox</t>
        </is>
      </c>
      <c r="AH1420"/>
      <c r="AI1420"/>
      <c r="AJ1420"/>
      <c r="AK1420"/>
    </row>
    <row r="1421" ht="25.5" customHeight="1">
      <c r="A1421" s="2" t="str">
        <f>=HYPERLINK("https://applink.larksuite.com/client/mini_program/open?appId=cli_9c7cc8a9a9edd105&amp;mode=appCenter&amp;path_pc=pc/pages/requested/index?instanceId=7483723913885646854&amp;source=bitable&amp;path=pages/detail/index?instanceId=7483723913885646854&amp;source=bitable", "202503200012")</f>
        <v>202503200012</v>
      </c>
      <c r="B1421" t="inlineStr">
        <is>
          <t>Approved</t>
        </is>
      </c>
      <c r="C1421" t="inlineStr">
        <is>
          <t>Procurement Order</t>
        </is>
      </c>
      <c r="D1421" s="3">
        <v>45736.46591435185</v>
      </c>
      <c r="E1421" s="3">
        <v>45736.74921296296</v>
      </c>
      <c r="F1421" t="inlineStr">
        <is>
          <t>Zaira Villar</t>
        </is>
      </c>
      <c r="G1421" t="inlineStr">
        <is>
          <t>Procurement</t>
        </is>
      </c>
      <c r="H1421"/>
      <c r="I1421"/>
      <c r="J1421" t="inlineStr">
        <is>
          <t>Project</t>
        </is>
      </c>
      <c r="K1421" t="inlineStr">
        <is>
          <t>PDEI - Event Service</t>
        </is>
      </c>
      <c r="L1421" t="inlineStr">
        <is>
          <t>MPL PH S15</t>
        </is>
      </c>
      <c r="M1421" t="inlineStr">
        <is>
          <t>2024TEG-P0430</t>
        </is>
      </c>
      <c r="N1421" t="inlineStr">
        <is>
          <t>Tiny</t>
        </is>
      </c>
      <c r="O1421" t="inlineStr">
        <is>
          <t>202502180013-Tiny-费用报销 - 副本 - 副本 - 副本-2025-02-18 02:57:17</t>
        </is>
      </c>
      <c r="P1421" t="inlineStr">
        <is>
          <t>NO</t>
        </is>
      </c>
      <c r="Q1421"/>
      <c r="R1421" t="inlineStr">
        <is>
          <t>YES</t>
        </is>
      </c>
      <c r="S1421" t="inlineStr">
        <is>
          <t>Outsourced Liaison Officer</t>
        </is>
      </c>
      <c r="T1421">
        <v>1</v>
      </c>
      <c r="U1421">
        <v>47500</v>
      </c>
      <c r="V1421" t="inlineStr">
        <is>
          <t>PHP</t>
        </is>
      </c>
      <c r="W1421">
        <v>47500</v>
      </c>
      <c r="X1421" s="2" t="str">
        <f>=HYPERLINK("https://www.larksuite.com/approval/admin/previewAttachment?key=PMg7CgJhDATgK02S-fPwMjYuQVYEQVixyNkFi20_T4HnEvMCS7QgE0wLtRLLXE7PxdGRiEKIZ8727Otr1wO6tz2-n2bPcb_19pZVoYow0hKAXE63IFnlxN_xCwAA__8", "2 attachment(s)")</f>
        <v>2 attachment(s)</v>
      </c>
      <c r="Y1421" t="inlineStr">
        <is>
          <t>Bank Transfer</t>
        </is>
      </c>
      <c r="Z1421" t="inlineStr">
        <is>
          <t>Jose Miguel Gatchalian</t>
        </is>
      </c>
      <c r="AA1421" t="inlineStr">
        <is>
          <t>0586865032</t>
        </is>
      </c>
      <c r="AB1421" t="inlineStr">
        <is>
          <t>BPI</t>
        </is>
      </c>
      <c r="AC1421" t="inlineStr">
        <is>
          <t>4 Edinburg St., Greenland Phase 1, Nangka Marikina City</t>
        </is>
      </c>
      <c r="AD1421" s="4">
        <v>45737</v>
      </c>
      <c r="AE1421" t="inlineStr">
        <is>
          <t>1st payment - 9,500
2nd payment - 9,500
3rd payment - 9,500
4th payment - 9,500
5th/Final payment - 9,500</t>
        </is>
      </c>
      <c r="AF1421" s="2"/>
      <c r="AG1421" t="inlineStr">
        <is>
          <t>NzQyNTk5MTgyNzQ4MTg3MDM0MToxNTUwMEVCQy01QzVELTRGNDctODM5Qi01QjczMjczMkI5MDctMTowN2U2MTAwNWIzMDVjMmZhZWVlNDM2Zjg2OGQ2NjNhNjox</t>
        </is>
      </c>
      <c r="AH1421"/>
      <c r="AI1421"/>
      <c r="AJ1421"/>
      <c r="AK1421"/>
    </row>
    <row r="1422" ht="25.5" customHeight="1">
      <c r="A1422" s="2" t="str">
        <f>=HYPERLINK("https://applink.larksuite.com/client/mini_program/open?appId=cli_9c7cc8a9a9edd105&amp;mode=appCenter&amp;path_pc=pc/pages/requested/index?instanceId=7495670517186183200&amp;source=bitable&amp;path=pages/detail/index?instanceId=7495670517186183200&amp;source=bitable", "202504210045")</f>
        <v>202504210045</v>
      </c>
      <c r="B1422" t="inlineStr">
        <is>
          <t>Approved</t>
        </is>
      </c>
      <c r="C1422" t="inlineStr">
        <is>
          <t>Procurement Order</t>
        </is>
      </c>
      <c r="D1422" s="3">
        <v>45768.65961805556</v>
      </c>
      <c r="E1422" s="3">
        <v>45770.7481712963</v>
      </c>
      <c r="F1422" t="inlineStr">
        <is>
          <t>Fatima Kathleen M. FLores</t>
        </is>
      </c>
      <c r="G1422" t="inlineStr">
        <is>
          <t>Procurement</t>
        </is>
      </c>
      <c r="H1422"/>
      <c r="I1422"/>
      <c r="J1422" t="inlineStr">
        <is>
          <t>Project</t>
        </is>
      </c>
      <c r="K1422" t="inlineStr">
        <is>
          <t>PDEI - Event Service</t>
        </is>
      </c>
      <c r="L1422" t="inlineStr">
        <is>
          <t>HOK Invitational S3 Addendum</t>
        </is>
      </c>
      <c r="M1422" t="inlineStr">
        <is>
          <t>2025TEG-P0090</t>
        </is>
      </c>
      <c r="N1422" t="inlineStr">
        <is>
          <t>Duane Aaron Baret Cadangan</t>
        </is>
      </c>
      <c r="O1422" t="inlineStr">
        <is>
          <t>202504150086-Duane Aaron Baret Cadangan-费用报销 - 副本 - 副本 - 副本-2025-04-15 10:52:40</t>
        </is>
      </c>
      <c r="P1422" t="inlineStr">
        <is>
          <t>NO</t>
        </is>
      </c>
      <c r="Q1422"/>
      <c r="R1422" t="inlineStr">
        <is>
          <t>YES</t>
        </is>
      </c>
      <c r="S1422" t="inlineStr">
        <is>
          <t>Outsourced Photographer (Feb. 20, 2025</t>
        </is>
      </c>
      <c r="T1422">
        <v>1</v>
      </c>
      <c r="U1422">
        <v>11200</v>
      </c>
      <c r="V1422" t="inlineStr">
        <is>
          <t>PHP</t>
        </is>
      </c>
      <c r="W1422">
        <v>11200</v>
      </c>
      <c r="X1422" s="2" t="str">
        <f>=HYPERLINK("https://www.larksuite.com/approval/admin/previewAttachment?key=PMhBCsIwEAXQK_0_M5mf8TJuLEGFgiCEdpGzCy66fdmJ7I2ehShagUtRLYVGsSe7G7BsUSqIWba2fdw_b499HuepF44x13w-xvZlK5lBHuEdAG-XuyKiKgN_xy8AAP__", "2 attachment(s)")</f>
        <v>2 attachment(s)</v>
      </c>
      <c r="Y1422" t="inlineStr">
        <is>
          <t>Bank Transfer</t>
        </is>
      </c>
      <c r="Z1422" t="inlineStr">
        <is>
          <t>Ryan Edward Matias</t>
        </is>
      </c>
      <c r="AA1422" t="inlineStr">
        <is>
          <t>1996 2285 79</t>
        </is>
      </c>
      <c r="AB1422" t="inlineStr">
        <is>
          <t>BPI</t>
        </is>
      </c>
      <c r="AC1422" t="inlineStr">
        <is>
          <t>Kingsville Court, Antipolo City</t>
        </is>
      </c>
      <c r="AD1422" s="4">
        <v>45708</v>
      </c>
      <c r="AE1422" t="inlineStr">
        <is>
          <t>100% Full Payment</t>
        </is>
      </c>
      <c r="AF1422" s="2"/>
      <c r="AG1422" t="inlineStr">
        <is>
          <t>NzQyNTk5MTgyNzQ4MTg3MDM0MTo5ODJCMzYyRS0xMDQ5LTQ3QzgtOTFFRS0zNzhBNzU0QTE5MEYtMTo4MzViNDcyNWU5YzBjMDA3MDk5ZGIxYWIwMGEzMzkxMDox</t>
        </is>
      </c>
      <c r="AH1422"/>
      <c r="AI1422"/>
      <c r="AJ1422"/>
      <c r="AK1422"/>
    </row>
    <row r="1423" ht="25.5" customHeight="1">
      <c r="A1423" s="2" t="str">
        <f>=HYPERLINK("https://applink.larksuite.com/client/mini_program/open?appId=cli_9c7cc8a9a9edd105&amp;mode=appCenter&amp;path_pc=pc/pages/requested/index?instanceId=7495670517186183200&amp;source=bitable&amp;path=pages/detail/index?instanceId=7495670517186183200&amp;source=bitable", "202504210045")</f>
        <v>202504210045</v>
      </c>
      <c r="B1423" t="inlineStr">
        <is>
          <t>Approved</t>
        </is>
      </c>
      <c r="C1423" t="inlineStr">
        <is>
          <t>Procurement Order</t>
        </is>
      </c>
      <c r="D1423" s="3">
        <v>45768.65961805556</v>
      </c>
      <c r="E1423" s="3">
        <v>45770.7481712963</v>
      </c>
      <c r="F1423" t="inlineStr">
        <is>
          <t>Fatima Kathleen M. FLores</t>
        </is>
      </c>
      <c r="G1423" t="inlineStr">
        <is>
          <t>Procurement</t>
        </is>
      </c>
      <c r="H1423"/>
      <c r="I1423"/>
      <c r="J1423" t="inlineStr">
        <is>
          <t>Project</t>
        </is>
      </c>
      <c r="K1423" t="inlineStr">
        <is>
          <t>PDEI - Event Service</t>
        </is>
      </c>
      <c r="L1423" t="inlineStr">
        <is>
          <t>HOK Invitational S3 Addendum</t>
        </is>
      </c>
      <c r="M1423" t="inlineStr">
        <is>
          <t>2025TEG-P0090</t>
        </is>
      </c>
      <c r="N1423" t="inlineStr">
        <is>
          <t>Duane Aaron Baret Cadangan</t>
        </is>
      </c>
      <c r="O1423" t="inlineStr">
        <is>
          <t>202504150086-Duane Aaron Baret Cadangan-费用报销 - 副本 - 副本 - 副本-2025-04-15 10:52:40</t>
        </is>
      </c>
      <c r="P1423" t="inlineStr">
        <is>
          <t>NO</t>
        </is>
      </c>
      <c r="Q1423"/>
      <c r="R1423" t="inlineStr">
        <is>
          <t>YES</t>
        </is>
      </c>
      <c r="S1423" t="inlineStr">
        <is>
          <t>Outsourced Videographer (Feb. 25, 2025)</t>
        </is>
      </c>
      <c r="T1423">
        <v>1</v>
      </c>
      <c r="U1423">
        <v>7840</v>
      </c>
      <c r="V1423" t="inlineStr">
        <is>
          <t>PHP</t>
        </is>
      </c>
      <c r="W1423">
        <v>7840</v>
      </c>
      <c r="X1423" s="2" t="str">
        <f>=HYPERLINK("https://www.larksuite.com/approval/admin/previewAttachment?key=PMhBCsIwEAXQK_0_M5mf8TJuLEGFgiCEdpGzCy66fdmJ7I2ehShagUtRLYVGsSe7G7BsUSqIWba2fdw_b499HuepF44x13w-xvZlK5lBHuEdAG-XuyKiKgN_5y8AAP__", "1 attachment(s)")</f>
        <v>1 attachment(s)</v>
      </c>
      <c r="Y1423"/>
      <c r="Z1423"/>
      <c r="AA1423"/>
      <c r="AB1423"/>
      <c r="AC1423"/>
      <c r="AD1423" s="4"/>
      <c r="AE1423"/>
      <c r="AF1423" s="2"/>
      <c r="AG1423" t="inlineStr">
        <is>
          <t>NzQyNTk5MTgyNzQ4MTg3MDM0MTo5ODJCMzYyRS0xMDQ5LTQ3QzgtOTFFRS0zNzhBNzU0QTE5MEYtMjoxODFjNTdiM2RlMjVjMDIxZjEyZDI3NDY2MDU3ZWM5Nzox</t>
        </is>
      </c>
      <c r="AH1423"/>
      <c r="AI1423"/>
      <c r="AJ1423"/>
      <c r="AK1423"/>
    </row>
    <row r="1424" ht="25.5" customHeight="1">
      <c r="A1424" s="2" t="str">
        <f>=HYPERLINK("https://applink.larksuite.com/client/mini_program/open?appId=cli_9c7cc8a9a9edd105&amp;mode=appCenter&amp;path_pc=pc/pages/requested/index?instanceId=7495670517186183200&amp;source=bitable&amp;path=pages/detail/index?instanceId=7495670517186183200&amp;source=bitable", "202504210045")</f>
        <v>202504210045</v>
      </c>
      <c r="B1424" t="inlineStr">
        <is>
          <t>Approved</t>
        </is>
      </c>
      <c r="C1424" t="inlineStr">
        <is>
          <t>Procurement Order</t>
        </is>
      </c>
      <c r="D1424" s="3">
        <v>45768.65961805556</v>
      </c>
      <c r="E1424" s="3">
        <v>45770.7481712963</v>
      </c>
      <c r="F1424" t="inlineStr">
        <is>
          <t>Fatima Kathleen M. FLores</t>
        </is>
      </c>
      <c r="G1424" t="inlineStr">
        <is>
          <t>Procurement</t>
        </is>
      </c>
      <c r="H1424"/>
      <c r="I1424"/>
      <c r="J1424" t="inlineStr">
        <is>
          <t>Project</t>
        </is>
      </c>
      <c r="K1424" t="inlineStr">
        <is>
          <t>PDEI - Event Service</t>
        </is>
      </c>
      <c r="L1424" t="inlineStr">
        <is>
          <t>HOK Invitational S3 Addendum</t>
        </is>
      </c>
      <c r="M1424" t="inlineStr">
        <is>
          <t>2025TEG-P0090</t>
        </is>
      </c>
      <c r="N1424" t="inlineStr">
        <is>
          <t>Duane Aaron Baret Cadangan</t>
        </is>
      </c>
      <c r="O1424" t="inlineStr">
        <is>
          <t>202504150086-Duane Aaron Baret Cadangan-费用报销 - 副本 - 副本 - 副本-2025-04-15 10:52:40</t>
        </is>
      </c>
      <c r="P1424" t="inlineStr">
        <is>
          <t>NO</t>
        </is>
      </c>
      <c r="Q1424"/>
      <c r="R1424" t="inlineStr">
        <is>
          <t>YES</t>
        </is>
      </c>
      <c r="S1424" t="inlineStr">
        <is>
          <t>Outsourced Drone Operator &amp; Videographer (Feb. 28, 2025)</t>
        </is>
      </c>
      <c r="T1424">
        <v>1</v>
      </c>
      <c r="U1424">
        <v>12880</v>
      </c>
      <c r="V1424" t="inlineStr">
        <is>
          <t>PHP</t>
        </is>
      </c>
      <c r="W1424">
        <v>12880</v>
      </c>
      <c r="X1424" s="2" t="str">
        <f>=HYPERLINK("https://www.larksuite.com/approval/admin/previewAttachment?key=PMhBCsIwEAXQK_0_M5mf8TJuLEGFgiCEdpGzCy66fdmJ7I2ehShagUtRLYVGsSe7G7BsUSqIWba2fdw_b499HuepF44x13w-xvZlK5lBHuEdAG-XuyKiKgN_t18AAAD__w", "1 attachment(s)")</f>
        <v>1 attachment(s)</v>
      </c>
      <c r="Y1424"/>
      <c r="Z1424"/>
      <c r="AA1424"/>
      <c r="AB1424"/>
      <c r="AC1424"/>
      <c r="AD1424" s="4"/>
      <c r="AE1424"/>
      <c r="AF1424" s="2"/>
      <c r="AG1424" t="inlineStr">
        <is>
          <t>NzQyNTk5MTgyNzQ4MTg3MDM0MTo5ODJCMzYyRS0xMDQ5LTQ3QzgtOTFFRS0zNzhBNzU0QTE5MEYtMzoxZDJlNWFmYTMyODQ2Yzg3M2M5ZWM4MjNjOTA2MjYzNTox</t>
        </is>
      </c>
      <c r="AH1424"/>
      <c r="AI1424"/>
      <c r="AJ1424"/>
      <c r="AK1424"/>
    </row>
    <row r="1425" ht="25.5" customHeight="1">
      <c r="A1425" s="2" t="str">
        <f>=HYPERLINK("https://applink.larksuite.com/client/mini_program/open?appId=cli_9c7cc8a9a9edd105&amp;mode=appCenter&amp;path_pc=pc/pages/requested/index?instanceId=7495674007593730080&amp;source=bitable&amp;path=pages/detail/index?instanceId=7495674007593730080&amp;source=bitable", "202504210048")</f>
        <v>202504210048</v>
      </c>
      <c r="B1425" t="inlineStr">
        <is>
          <t>Approved</t>
        </is>
      </c>
      <c r="C1425" t="inlineStr">
        <is>
          <t>Procurement Order</t>
        </is>
      </c>
      <c r="D1425" s="3">
        <v>45768.669027777774</v>
      </c>
      <c r="E1425" s="3">
        <v>45769.783541666664</v>
      </c>
      <c r="F1425" t="inlineStr">
        <is>
          <t>Fatima Kathleen M. FLores</t>
        </is>
      </c>
      <c r="G1425" t="inlineStr">
        <is>
          <t>Procurement</t>
        </is>
      </c>
      <c r="H1425"/>
      <c r="I1425"/>
      <c r="J1425" t="inlineStr">
        <is>
          <t>Project</t>
        </is>
      </c>
      <c r="K1425" t="inlineStr">
        <is>
          <t>PDEI - Game Marketing</t>
        </is>
      </c>
      <c r="L1425" t="inlineStr">
        <is>
          <t>MDL FunMeet</t>
        </is>
      </c>
      <c r="M1425" t="inlineStr">
        <is>
          <t>2025TEG-P0105</t>
        </is>
      </c>
      <c r="N1425" t="inlineStr">
        <is>
          <t>Kervin</t>
        </is>
      </c>
      <c r="O1425" t="inlineStr">
        <is>
          <t>202504150063-Kervin-费用报销 - 副本 - 副本 - 副本-2025-04-15 08:01:36</t>
        </is>
      </c>
      <c r="P1425" t="inlineStr">
        <is>
          <t>NO</t>
        </is>
      </c>
      <c r="Q1425"/>
      <c r="R1425" t="inlineStr">
        <is>
          <t>YES</t>
        </is>
      </c>
      <c r="S1425" t="inlineStr">
        <is>
          <t>Rental of Industrial Fans</t>
        </is>
      </c>
      <c r="T1425">
        <v>6</v>
      </c>
      <c r="U1425">
        <v>800</v>
      </c>
      <c r="V1425" t="inlineStr">
        <is>
          <t>PHP</t>
        </is>
      </c>
      <c r="W1425">
        <v>4800</v>
      </c>
      <c r="X1425" s="2" t="str">
        <f>=HYPERLINK("https://www.larksuite.com/approval/admin/previewAttachment?key=PMg7DsIwEATQK816xzseLkMTK0KRqFD4FD47EgXtqxGo0SPLoKMZsUT3EgF1pxIYWG2FZCjKbc37fj0_43Uyjy3nMd99PW_bPh_RrdagJHMAiMvfUyTtIn6ObwAAAP__", "2 attachment(s)")</f>
        <v>2 attachment(s)</v>
      </c>
      <c r="Y1425" t="inlineStr">
        <is>
          <t>Bank Transfer</t>
        </is>
      </c>
      <c r="Z1425" t="inlineStr">
        <is>
          <t>SPE Events Management And Services Party Needs Rental</t>
        </is>
      </c>
      <c r="AA1425" t="inlineStr">
        <is>
          <t>141102017588</t>
        </is>
      </c>
      <c r="AB1425" t="inlineStr">
        <is>
          <t>China Bank Corporation</t>
        </is>
      </c>
      <c r="AC1425" t="inlineStr">
        <is>
          <t>10A St. Benedict, Paradise Village, Sangandaan, QC</t>
        </is>
      </c>
      <c r="AD1425" s="4">
        <v>45759</v>
      </c>
      <c r="AE1425" t="inlineStr">
        <is>
          <t>100% Full Payment upon delivery</t>
        </is>
      </c>
      <c r="AF1425" s="2"/>
      <c r="AG1425" t="inlineStr">
        <is>
          <t>NzQyNTk5MTgyNzQ4MTg3MDM0MTpFN0REQTRGOS0wQkQzLTQ3RjQtQUY2Ny00MDVBNENEMDM0NzYtMTo1MTY1ZGZjMmVjZDc2OWMxZGY3YjZjYTM0N2MxYzY2Yzox</t>
        </is>
      </c>
      <c r="AH1425"/>
      <c r="AI1425"/>
      <c r="AJ1425"/>
      <c r="AK1425"/>
    </row>
    <row r="1426" ht="25.5" customHeight="1">
      <c r="A1426" s="2" t="str">
        <f>=HYPERLINK("https://applink.larksuite.com/client/mini_program/open?appId=cli_9c7cc8a9a9edd105&amp;mode=appCenter&amp;path_pc=pc/pages/requested/index?instanceId=7495674007593730080&amp;source=bitable&amp;path=pages/detail/index?instanceId=7495674007593730080&amp;source=bitable", "202504210048")</f>
        <v>202504210048</v>
      </c>
      <c r="B1426" t="inlineStr">
        <is>
          <t>Approved</t>
        </is>
      </c>
      <c r="C1426" t="inlineStr">
        <is>
          <t>Procurement Order</t>
        </is>
      </c>
      <c r="D1426" s="3">
        <v>45768.669027777774</v>
      </c>
      <c r="E1426" s="3">
        <v>45769.783541666664</v>
      </c>
      <c r="F1426" t="inlineStr">
        <is>
          <t>Fatima Kathleen M. FLores</t>
        </is>
      </c>
      <c r="G1426" t="inlineStr">
        <is>
          <t>Procurement</t>
        </is>
      </c>
      <c r="H1426"/>
      <c r="I1426"/>
      <c r="J1426" t="inlineStr">
        <is>
          <t>Project</t>
        </is>
      </c>
      <c r="K1426" t="inlineStr">
        <is>
          <t>PDEI - Game Marketing</t>
        </is>
      </c>
      <c r="L1426" t="inlineStr">
        <is>
          <t>MDL FunMeet</t>
        </is>
      </c>
      <c r="M1426" t="inlineStr">
        <is>
          <t>2025TEG-P0105</t>
        </is>
      </c>
      <c r="N1426" t="inlineStr">
        <is>
          <t>Kervin</t>
        </is>
      </c>
      <c r="O1426" t="inlineStr">
        <is>
          <t>202504150063-Kervin-费用报销 - 副本 - 副本 - 副本-2025-04-15 08:01:36</t>
        </is>
      </c>
      <c r="P1426" t="inlineStr">
        <is>
          <t>NO</t>
        </is>
      </c>
      <c r="Q1426"/>
      <c r="R1426" t="inlineStr">
        <is>
          <t>YES</t>
        </is>
      </c>
      <c r="S1426" t="inlineStr">
        <is>
          <t>Delivery Fee</t>
        </is>
      </c>
      <c r="T1426">
        <v>1</v>
      </c>
      <c r="U1426">
        <v>1000</v>
      </c>
      <c r="V1426" t="inlineStr">
        <is>
          <t>PHP</t>
        </is>
      </c>
      <c r="W1426">
        <v>1000</v>
      </c>
      <c r="X1426" s="2" t="str">
        <f>=HYPERLINK("https://www.larksuite.com/approval/admin/previewAttachment?key=PMg7DsIwEATQK816xzseLkMTK0KRqFD4FD47EgXtqxGo0SPLoKMZsUT3EgF1pxIYWG2FZCjKbc37fj0_43Uyjy3nMd99PW_bPh_RrdagJHMAiMvfUyTtIn4e3wAAAP__", "2 attachment(s)")</f>
        <v>2 attachment(s)</v>
      </c>
      <c r="Y1426"/>
      <c r="Z1426"/>
      <c r="AA1426"/>
      <c r="AB1426"/>
      <c r="AC1426"/>
      <c r="AD1426" s="4"/>
      <c r="AE1426"/>
      <c r="AF1426" s="2"/>
      <c r="AG1426" t="inlineStr">
        <is>
          <t>NzQyNTk5MTgyNzQ4MTg3MDM0MTpFN0REQTRGOS0wQkQzLTQ3RjQtQUY2Ny00MDVBNENEMDM0NzYtMjo5YzgwYzYyNDRjYzY1MTA1ZDUwN2VlYjRhMWZkMzlhNzox</t>
        </is>
      </c>
      <c r="AH1426"/>
      <c r="AI1426"/>
      <c r="AJ1426"/>
      <c r="AK1426"/>
    </row>
    <row r="1427" ht="25.5" customHeight="1">
      <c r="A1427" s="2" t="str">
        <f>=HYPERLINK("https://applink.larksuite.com/client/mini_program/open?appId=cli_9c7cc8a9a9edd105&amp;mode=appCenter&amp;path_pc=pc/pages/requested/index?instanceId=7496345709965230119&amp;source=bitable&amp;path=pages/detail/index?instanceId=7496345709965230119&amp;source=bitable", "202504230052")</f>
        <v>202504230052</v>
      </c>
      <c r="B1427" t="inlineStr">
        <is>
          <t>Approved</t>
        </is>
      </c>
      <c r="C1427" t="inlineStr">
        <is>
          <t>Procurement Order</t>
        </is>
      </c>
      <c r="D1427" s="3">
        <v>45770.47912037037</v>
      </c>
      <c r="E1427" s="3">
        <v>45771.43387731481</v>
      </c>
      <c r="F1427" t="inlineStr">
        <is>
          <t>Fatima Kathleen M. FLores</t>
        </is>
      </c>
      <c r="G1427" t="inlineStr">
        <is>
          <t>Procurement</t>
        </is>
      </c>
      <c r="H1427"/>
      <c r="I1427"/>
      <c r="J1427" t="inlineStr">
        <is>
          <t>Project</t>
        </is>
      </c>
      <c r="K1427" t="inlineStr">
        <is>
          <t>PDEI - Game Marketing</t>
        </is>
      </c>
      <c r="L1427" t="inlineStr">
        <is>
          <t>SM Cyberzone Game Fest</t>
        </is>
      </c>
      <c r="M1427" t="inlineStr">
        <is>
          <t>2025TEG-P0082</t>
        </is>
      </c>
      <c r="N1427" t="inlineStr">
        <is>
          <t>Anteaus Villena</t>
        </is>
      </c>
      <c r="O1427" t="inlineStr">
        <is>
          <t>202504070035-Anteaus Villena-费用报销 - 副本 - 副本 - 副本-2025-04-07 05:32:27</t>
        </is>
      </c>
      <c r="P1427" t="inlineStr">
        <is>
          <t>NO</t>
        </is>
      </c>
      <c r="Q1427"/>
      <c r="R1427" t="inlineStr">
        <is>
          <t>YES</t>
        </is>
      </c>
      <c r="S1427" t="inlineStr">
        <is>
          <t>Outsourced Photography &amp; Videography Services (2 days)</t>
        </is>
      </c>
      <c r="T1427">
        <v>1</v>
      </c>
      <c r="U1427">
        <v>56000</v>
      </c>
      <c r="V1427" t="inlineStr">
        <is>
          <t>PHP</t>
        </is>
      </c>
      <c r="W1427">
        <v>56000</v>
      </c>
      <c r="X1427" s="2"/>
      <c r="Y1427" t="inlineStr">
        <is>
          <t>Bank Transfer</t>
        </is>
      </c>
      <c r="Z1427" t="inlineStr">
        <is>
          <t>Ryan Edward Matias</t>
        </is>
      </c>
      <c r="AA1427" t="inlineStr">
        <is>
          <t>1996 2285 79</t>
        </is>
      </c>
      <c r="AB1427" t="inlineStr">
        <is>
          <t>BPI</t>
        </is>
      </c>
      <c r="AC1427" t="inlineStr">
        <is>
          <t>Kingsville Court, Antipolo City</t>
        </is>
      </c>
      <c r="AD1427" s="4">
        <v>45759</v>
      </c>
      <c r="AE1427" t="inlineStr">
        <is>
          <t>50% Down Payment upon confirmation
50% Final Payment - 14 days upon completion of services</t>
        </is>
      </c>
      <c r="AF1427" s="2"/>
      <c r="AG1427" t="inlineStr">
        <is>
          <t>NzQyNTk5MTgyNzQ4MTg3MDM0MToyQTcwRjEwMy0xQTFBLTRGRDctODlCMy00RUJBMDFDNjI5NEEtMTozNzdhN2Y3YzJhZDc1MjQ0MTcxYWEwYTRhNGJmNzJiZTox</t>
        </is>
      </c>
      <c r="AH1427"/>
      <c r="AI1427"/>
      <c r="AJ1427"/>
      <c r="AK1427"/>
    </row>
    <row r="1428" ht="25.5" customHeight="1">
      <c r="A1428" s="2" t="str">
        <f>=HYPERLINK("https://applink.larksuite.com/client/mini_program/open?appId=cli_9c7cc8a9a9edd105&amp;mode=appCenter&amp;path_pc=pc/pages/requested/index?instanceId=7496345709965230119&amp;source=bitable&amp;path=pages/detail/index?instanceId=7496345709965230119&amp;source=bitable", "202504230052")</f>
        <v>202504230052</v>
      </c>
      <c r="B1428" t="inlineStr">
        <is>
          <t>Approved</t>
        </is>
      </c>
      <c r="C1428" t="inlineStr">
        <is>
          <t>Procurement Order</t>
        </is>
      </c>
      <c r="D1428" s="3">
        <v>45770.47912037037</v>
      </c>
      <c r="E1428" s="3">
        <v>45771.43387731481</v>
      </c>
      <c r="F1428" t="inlineStr">
        <is>
          <t>Fatima Kathleen M. FLores</t>
        </is>
      </c>
      <c r="G1428" t="inlineStr">
        <is>
          <t>Procurement</t>
        </is>
      </c>
      <c r="H1428"/>
      <c r="I1428"/>
      <c r="J1428" t="inlineStr">
        <is>
          <t>Project</t>
        </is>
      </c>
      <c r="K1428" t="inlineStr">
        <is>
          <t>PDEI - Game Marketing</t>
        </is>
      </c>
      <c r="L1428" t="inlineStr">
        <is>
          <t>SM Cyberzone Game Fest</t>
        </is>
      </c>
      <c r="M1428" t="inlineStr">
        <is>
          <t>2025TEG-P0082</t>
        </is>
      </c>
      <c r="N1428" t="inlineStr">
        <is>
          <t>Anteaus Villena</t>
        </is>
      </c>
      <c r="O1428" t="inlineStr">
        <is>
          <t>202504070035-Anteaus Villena-费用报销 - 副本 - 副本 - 副本-2025-04-07 05:32:27</t>
        </is>
      </c>
      <c r="P1428" t="inlineStr">
        <is>
          <t>NO</t>
        </is>
      </c>
      <c r="Q1428"/>
      <c r="R1428" t="inlineStr">
        <is>
          <t>YES</t>
        </is>
      </c>
      <c r="S1428" t="inlineStr">
        <is>
          <t>Outsourced Photography &amp; Videography Services (Overtime)</t>
        </is>
      </c>
      <c r="T1428">
        <v>1</v>
      </c>
      <c r="U1428">
        <v>3360</v>
      </c>
      <c r="V1428" t="inlineStr">
        <is>
          <t>PHP</t>
        </is>
      </c>
      <c r="W1428">
        <v>3360</v>
      </c>
      <c r="X1428" s="2" t="str">
        <f>=HYPERLINK("https://www.larksuite.com/approval/admin/previewAttachment?key=PMhBqgIxEATQK1V1d7pT_zJ_M0NQcQZBDLjI2QUXbl92InujpxCiCVwVSo9WkLKZg9SyxSqhmLK1H-P_Om_nfPh7xGu7H-eal23sTzaVGcojvAPg38-9IkLKwNf5CQAA__8", "3 attachment(s)")</f>
        <v>3 attachment(s)</v>
      </c>
      <c r="Y1428"/>
      <c r="Z1428"/>
      <c r="AA1428"/>
      <c r="AB1428"/>
      <c r="AC1428"/>
      <c r="AD1428" s="4"/>
      <c r="AE1428"/>
      <c r="AF1428" s="2"/>
      <c r="AG1428" t="inlineStr">
        <is>
          <t>NzQyNTk5MTgyNzQ4MTg3MDM0MToyQTcwRjEwMy0xQTFBLTRGRDctODlCMy00RUJBMDFDNjI5NEEtMjo3OTdmZjQ2MTg5OWM0Y2I3NTA5ZmZhYjIyNmZkNGQ0OTox</t>
        </is>
      </c>
      <c r="AH1428"/>
      <c r="AI1428"/>
      <c r="AJ1428"/>
      <c r="AK1428"/>
    </row>
    <row r="1429" ht="25.5" customHeight="1">
      <c r="A1429" s="2" t="str">
        <f>=HYPERLINK("https://applink.larksuite.com/client/mini_program/open?appId=cli_9c7cc8a9a9edd105&amp;mode=appCenter&amp;path_pc=pc/pages/requested/index?instanceId=7496830816685735967&amp;source=bitable&amp;path=pages/detail/index?instanceId=7496830816685735967&amp;source=bitable", "202504240089")</f>
        <v>202504240089</v>
      </c>
      <c r="B1429" t="inlineStr">
        <is>
          <t>Approved</t>
        </is>
      </c>
      <c r="C1429" t="inlineStr">
        <is>
          <t>Procurement Order</t>
        </is>
      </c>
      <c r="D1429" s="3">
        <v>45771.78638888889</v>
      </c>
      <c r="E1429" s="3">
        <v>45772.622615740744</v>
      </c>
      <c r="F1429" t="inlineStr">
        <is>
          <t>Fatima Kathleen M. FLores</t>
        </is>
      </c>
      <c r="G1429" t="inlineStr">
        <is>
          <t>Procurement</t>
        </is>
      </c>
      <c r="H1429"/>
      <c r="I1429"/>
      <c r="J1429" t="inlineStr">
        <is>
          <t>Project</t>
        </is>
      </c>
      <c r="K1429" t="inlineStr">
        <is>
          <t>PDEI - Game Marketing</t>
        </is>
      </c>
      <c r="L1429" t="inlineStr">
        <is>
          <t>SM Cyberzone Game Fest</t>
        </is>
      </c>
      <c r="M1429" t="inlineStr">
        <is>
          <t>2025TEG-P0082</t>
        </is>
      </c>
      <c r="N1429" t="inlineStr">
        <is>
          <t>Anteaus Villena</t>
        </is>
      </c>
      <c r="O1429" t="inlineStr">
        <is>
          <t>202504020020-Anteaus Villena-费用报销 - 副本 - 副本 - 副本-2025-04-02 04:13:43</t>
        </is>
      </c>
      <c r="P1429" t="inlineStr">
        <is>
          <t>YES</t>
        </is>
      </c>
      <c r="Q1429"/>
      <c r="R1429" t="inlineStr">
        <is>
          <t>YES</t>
        </is>
      </c>
      <c r="S1429" t="inlineStr">
        <is>
          <t>Outsourced League Operations (SM North EDSA &amp; East)</t>
        </is>
      </c>
      <c r="T1429">
        <v>1</v>
      </c>
      <c r="U1429">
        <v>6800</v>
      </c>
      <c r="V1429" t="inlineStr">
        <is>
          <t>PHP</t>
        </is>
      </c>
      <c r="W1429">
        <v>6800</v>
      </c>
      <c r="X1429" s="2" t="str">
        <f>=HYPERLINK("https://www.larksuite.com/approval/admin/previewAttachment?key=PMgxCgJBDAXQK_1MMvn5XsZmh0GQrcTtcnbBYtuXZcia5imEbAjWDGU5yjJr0qeSPdpIgZYavc79PL6nUfQ3N64Vfb2OvT42xTFAj_ACYI_bnREhZeDv-AUAAP__", "2 attachment(s)")</f>
        <v>2 attachment(s)</v>
      </c>
      <c r="Y1429" t="inlineStr">
        <is>
          <t>Bank Transfer</t>
        </is>
      </c>
      <c r="Z1429" t="inlineStr">
        <is>
          <t>Jimmy Montero Zapata Jr.</t>
        </is>
      </c>
      <c r="AA1429" t="inlineStr">
        <is>
          <t>8419297101</t>
        </is>
      </c>
      <c r="AB1429" t="inlineStr">
        <is>
          <t>BPI</t>
        </is>
      </c>
      <c r="AC1429" t="inlineStr">
        <is>
          <t>278E Sta,Teresita St, Sampaloc Manila</t>
        </is>
      </c>
      <c r="AD1429" s="4">
        <v>45759</v>
      </c>
      <c r="AE1429" t="inlineStr">
        <is>
          <t>1st Payment - Apr. 25, 2025
Final Payment - May 9, 2025</t>
        </is>
      </c>
      <c r="AF1429" s="2"/>
      <c r="AG1429" t="inlineStr">
        <is>
          <t>NzQyNTk5MTgyNzQ4MTg3MDM0MTpBODRDQUZENi05MjlDLTQyMTAtOUVEQS00RUYyNTQ5MzZGMzQtMTpjMTE2N2VlMmUxNWYzYzM1ZGUwMjViZjNkY2QxM2U0ZDox</t>
        </is>
      </c>
      <c r="AH1429"/>
      <c r="AI1429"/>
      <c r="AJ1429"/>
      <c r="AK1429"/>
    </row>
    <row r="1430" ht="25.5" customHeight="1">
      <c r="A1430" s="2" t="str">
        <f>=HYPERLINK("https://applink.larksuite.com/client/mini_program/open?appId=cli_9c7cc8a9a9edd105&amp;mode=appCenter&amp;path_pc=pc/pages/requested/index?instanceId=7496794683834646559&amp;source=bitable&amp;path=pages/detail/index?instanceId=7496794683834646559&amp;source=bitable", "202504240051")</f>
        <v>202504240051</v>
      </c>
      <c r="B1430" t="inlineStr">
        <is>
          <t>Approved</t>
        </is>
      </c>
      <c r="C1430" t="inlineStr">
        <is>
          <t>Procurement Order</t>
        </is>
      </c>
      <c r="D1430" s="3">
        <v>45771.6890162037</v>
      </c>
      <c r="E1430" s="3">
        <v>45772.63141203704</v>
      </c>
      <c r="F1430" t="inlineStr">
        <is>
          <t>Fatima Kathleen M. FLores</t>
        </is>
      </c>
      <c r="G1430" t="inlineStr">
        <is>
          <t>Procurement</t>
        </is>
      </c>
      <c r="H1430"/>
      <c r="I1430"/>
      <c r="J1430" t="inlineStr">
        <is>
          <t>Project</t>
        </is>
      </c>
      <c r="K1430" t="inlineStr">
        <is>
          <t>PDEI - Event Service</t>
        </is>
      </c>
      <c r="L1430" t="inlineStr">
        <is>
          <t>MDL PH S5 Regular Season</t>
        </is>
      </c>
      <c r="M1430" t="inlineStr">
        <is>
          <t>2025TEG-P0004</t>
        </is>
      </c>
      <c r="N1430" t="inlineStr">
        <is>
          <t>Kervin</t>
        </is>
      </c>
      <c r="O1430" t="inlineStr">
        <is>
          <t>202503180152-Kervin-费用报销 - 副本 - 副本 - 副本-2025-03-18 11:26:55</t>
        </is>
      </c>
      <c r="P1430" t="inlineStr">
        <is>
          <t>NO</t>
        </is>
      </c>
      <c r="Q1430"/>
      <c r="R1430" t="inlineStr">
        <is>
          <t>YES</t>
        </is>
      </c>
      <c r="S1430" t="inlineStr">
        <is>
          <t>Customized Medal and Lanyard</t>
        </is>
      </c>
      <c r="T1430">
        <v>21</v>
      </c>
      <c r="U1430">
        <v>750</v>
      </c>
      <c r="V1430" t="inlineStr">
        <is>
          <t>PHP</t>
        </is>
      </c>
      <c r="W1430">
        <v>15750</v>
      </c>
      <c r="X1430" s="2"/>
      <c r="Y1430" t="inlineStr">
        <is>
          <t>Bank Transfer</t>
        </is>
      </c>
      <c r="Z1430" t="inlineStr">
        <is>
          <t>BYB Trophies Shop</t>
        </is>
      </c>
      <c r="AA1430" t="inlineStr">
        <is>
          <t>004460143715</t>
        </is>
      </c>
      <c r="AB1430" t="inlineStr">
        <is>
          <t>BDO</t>
        </is>
      </c>
      <c r="AC1430" t="inlineStr">
        <is>
          <t>1761 CM Recto, Sta. Cruz, Manila</t>
        </is>
      </c>
      <c r="AD1430" s="4">
        <v>45772</v>
      </c>
      <c r="AE1430" t="inlineStr">
        <is>
          <t>50% Down Payment upon confirmation
50% Final payment upon completion</t>
        </is>
      </c>
      <c r="AF1430" s="2"/>
      <c r="AG1430" t="inlineStr">
        <is>
          <t>NzQyNTk5MTgyNzQ4MTg3MDM0MTo3MTI2NjA1NS1GREYzLTQ3MTEtOUIxRS02NTgxODdCNUIwRjQtMTo0MmFkNTEwYjUxNTFhNDNmMDY2YzJjMzFjNTc2NTI4NDox</t>
        </is>
      </c>
      <c r="AH1430"/>
      <c r="AI1430"/>
      <c r="AJ1430"/>
      <c r="AK1430"/>
    </row>
    <row r="1431" ht="25.5" customHeight="1">
      <c r="A1431" s="2" t="str">
        <f>=HYPERLINK("https://applink.larksuite.com/client/mini_program/open?appId=cli_9c7cc8a9a9edd105&amp;mode=appCenter&amp;path_pc=pc/pages/requested/index?instanceId=7496794683834646559&amp;source=bitable&amp;path=pages/detail/index?instanceId=7496794683834646559&amp;source=bitable", "202504240051")</f>
        <v>202504240051</v>
      </c>
      <c r="B1431" t="inlineStr">
        <is>
          <t>Approved</t>
        </is>
      </c>
      <c r="C1431" t="inlineStr">
        <is>
          <t>Procurement Order</t>
        </is>
      </c>
      <c r="D1431" s="3">
        <v>45771.6890162037</v>
      </c>
      <c r="E1431" s="3">
        <v>45772.63141203704</v>
      </c>
      <c r="F1431" t="inlineStr">
        <is>
          <t>Fatima Kathleen M. FLores</t>
        </is>
      </c>
      <c r="G1431" t="inlineStr">
        <is>
          <t>Procurement</t>
        </is>
      </c>
      <c r="H1431"/>
      <c r="I1431"/>
      <c r="J1431" t="inlineStr">
        <is>
          <t>Project</t>
        </is>
      </c>
      <c r="K1431" t="inlineStr">
        <is>
          <t>PDEI - Event Service</t>
        </is>
      </c>
      <c r="L1431" t="inlineStr">
        <is>
          <t>MDL PH S5 Regular Season</t>
        </is>
      </c>
      <c r="M1431" t="inlineStr">
        <is>
          <t>2025TEG-P0004</t>
        </is>
      </c>
      <c r="N1431" t="inlineStr">
        <is>
          <t>Kervin</t>
        </is>
      </c>
      <c r="O1431" t="inlineStr">
        <is>
          <t>202503180152-Kervin-费用报销 - 副本 - 副本 - 副本-2025-03-18 11:26:55</t>
        </is>
      </c>
      <c r="P1431" t="inlineStr">
        <is>
          <t>NO</t>
        </is>
      </c>
      <c r="Q1431"/>
      <c r="R1431" t="inlineStr">
        <is>
          <t>YES</t>
        </is>
      </c>
      <c r="S1431" t="inlineStr">
        <is>
          <t>Mould for Medal</t>
        </is>
      </c>
      <c r="T1431">
        <v>1</v>
      </c>
      <c r="U1431">
        <v>5500</v>
      </c>
      <c r="V1431" t="inlineStr">
        <is>
          <t>PHP</t>
        </is>
      </c>
      <c r="W1431">
        <v>5500</v>
      </c>
      <c r="X1431" s="2" t="str">
        <f>=HYPERLINK("https://www.larksuite.com/approval/admin/previewAttachment?key=PMgxCgJBDAXQK_0kf5J8L2PjsoiwIIgjW8zZBQvbl23IHhYpUOaCraKyxOzoYDLH0PJlVUJZytd27Fef_fzgcR519uR7zftt3142VO6oIKMB2OXvUSSlJH5u3wAAAP__", "2 attachment(s)")</f>
        <v>2 attachment(s)</v>
      </c>
      <c r="Y1431"/>
      <c r="Z1431"/>
      <c r="AA1431"/>
      <c r="AB1431"/>
      <c r="AC1431"/>
      <c r="AD1431" s="4"/>
      <c r="AE1431"/>
      <c r="AF1431" s="2"/>
      <c r="AG1431" t="inlineStr">
        <is>
          <t>NzQyNTk5MTgyNzQ4MTg3MDM0MTo3MTI2NjA1NS1GREYzLTQ3MTEtOUIxRS02NTgxODdCNUIwRjQtMjowZDdmMjRmNWNiMTllZGVkMTNkNGU2MjNkYzA1M2M2NDox</t>
        </is>
      </c>
      <c r="AH1431"/>
      <c r="AI1431"/>
      <c r="AJ1431"/>
      <c r="AK1431"/>
    </row>
    <row r="1432" ht="25.5" customHeight="1">
      <c r="A1432" s="2" t="str">
        <f>=HYPERLINK("https://applink.larksuite.com/client/mini_program/open?appId=cli_9c7cc8a9a9edd105&amp;mode=appCenter&amp;path_pc=pc/pages/requested/index?instanceId=7496770484839645222&amp;source=bitable&amp;path=pages/detail/index?instanceId=7496770484839645222&amp;source=bitable", "202504240044")</f>
        <v>202504240044</v>
      </c>
      <c r="B1432" t="inlineStr">
        <is>
          <t>Approved</t>
        </is>
      </c>
      <c r="C1432" t="inlineStr">
        <is>
          <t>Procurement Order</t>
        </is>
      </c>
      <c r="D1432" s="3">
        <v>45771.62380787037</v>
      </c>
      <c r="E1432" s="3">
        <v>45783.71597222222</v>
      </c>
      <c r="F1432" t="inlineStr">
        <is>
          <t>Fatima Kathleen M. FLores</t>
        </is>
      </c>
      <c r="G1432" t="inlineStr">
        <is>
          <t>Procurement</t>
        </is>
      </c>
      <c r="H1432"/>
      <c r="I1432"/>
      <c r="J1432" t="inlineStr">
        <is>
          <t>GAE</t>
        </is>
      </c>
      <c r="K1432"/>
      <c r="L1432"/>
      <c r="M1432"/>
      <c r="N1432"/>
      <c r="O1432" t="inlineStr">
        <is>
          <t>202504210073-Madelyn Espanto-费用报销 - 副本 - 副本 - 副本-2025-04-21 09:30:51</t>
        </is>
      </c>
      <c r="P1432"/>
      <c r="Q1432" t="inlineStr">
        <is>
          <t>Procurement</t>
        </is>
      </c>
      <c r="R1432"/>
      <c r="S1432" t="inlineStr">
        <is>
          <t>Outsourced Procurement Officer (Apr. 24 to July 24, 2025)</t>
        </is>
      </c>
      <c r="T1432">
        <v>1</v>
      </c>
      <c r="U1432">
        <v>72222.22</v>
      </c>
      <c r="V1432" t="inlineStr">
        <is>
          <t>PHP</t>
        </is>
      </c>
      <c r="W1432">
        <v>72222.22</v>
      </c>
      <c r="X1432" s="2" t="str">
        <f>=HYPERLINK("https://www.larksuite.com/approval/admin/previewAttachment?key=PMgxCgJBDAXQK_1k_iT5XsbGYZEBK2Fli5xdsLB9UYaoaSMEylywTioywWINBae7t7dlCmkh7_U67tq1roXrlG99dp_Px7HeNpXuyEGOAmC3v48kKQXxc3wDAAD__w", "2 attachment(s)")</f>
        <v>2 attachment(s)</v>
      </c>
      <c r="Y1432" t="inlineStr">
        <is>
          <t>Bank Transfer</t>
        </is>
      </c>
      <c r="Z1432" t="inlineStr">
        <is>
          <t>Zaira A. Villar</t>
        </is>
      </c>
      <c r="AA1432" t="inlineStr">
        <is>
          <t>0000066201809</t>
        </is>
      </c>
      <c r="AB1432" t="inlineStr">
        <is>
          <t>Security Bank</t>
        </is>
      </c>
      <c r="AC1432" t="inlineStr">
        <is>
          <t>3852 F. Nazario St. Brgy. Singkamas Makati City</t>
        </is>
      </c>
      <c r="AD1432" s="4">
        <v>45771</v>
      </c>
      <c r="AE1432" t="inlineStr">
        <is>
          <t>1st Payment - May 9, 2025
2nd Payment - May 30, 2025
3rd Payment - June 13, 2025
4th Payment - June 27, 2025
5th Payment - July 18, 2025
Final Payment - Aug. 8, 2025</t>
        </is>
      </c>
      <c r="AF1432" s="2"/>
      <c r="AG1432" t="inlineStr">
        <is>
          <t>NzQyNTk5MTgyNzQ4MTg3MDM0MTpDQzBGQ0FEQi1EMUI5LTQ3QUMtODVDNi02RjRDMzgzOUREQ0MtMTo0NzYzOTkwM2MyOTU2NTkzZDA3NDZhMGVmMGQyMjgzNzox</t>
        </is>
      </c>
      <c r="AH1432"/>
      <c r="AI1432"/>
      <c r="AJ1432"/>
      <c r="AK1432"/>
    </row>
    <row r="1433" ht="25.5" customHeight="1">
      <c r="A1433" s="2" t="str">
        <f>=HYPERLINK("https://applink.larksuite.com/client/mini_program/open?appId=cli_9c7cc8a9a9edd105&amp;mode=appCenter&amp;path_pc=pc/pages/requested/index?instanceId=7498196838089031719&amp;source=bitable&amp;path=pages/detail/index?instanceId=7498196838089031719&amp;source=bitable", "202504280010")</f>
        <v>202504280010</v>
      </c>
      <c r="B1433" t="inlineStr">
        <is>
          <t>Approved</t>
        </is>
      </c>
      <c r="C1433" t="inlineStr">
        <is>
          <t>Procurement Order</t>
        </is>
      </c>
      <c r="D1433" s="3">
        <v>45775.4675462963</v>
      </c>
      <c r="E1433" s="3">
        <v>45777.63049768518</v>
      </c>
      <c r="F1433" t="inlineStr">
        <is>
          <t>Fatima Kathleen M. FLores</t>
        </is>
      </c>
      <c r="G1433" t="inlineStr">
        <is>
          <t>Procurement</t>
        </is>
      </c>
      <c r="H1433"/>
      <c r="I1433"/>
      <c r="J1433" t="inlineStr">
        <is>
          <t>Project</t>
        </is>
      </c>
      <c r="K1433" t="inlineStr">
        <is>
          <t>PDEI - Game Marketing</t>
        </is>
      </c>
      <c r="L1433" t="inlineStr">
        <is>
          <t>SM Cyberzone Game Fest</t>
        </is>
      </c>
      <c r="M1433" t="inlineStr">
        <is>
          <t>2025TEG-P0082</t>
        </is>
      </c>
      <c r="N1433" t="inlineStr">
        <is>
          <t>Anteaus Villena</t>
        </is>
      </c>
      <c r="O1433" t="inlineStr">
        <is>
          <t>202504070035-Anteaus Villena-费用报销 - 副本 - 副本 - 副本-2025-04-07 05:32:27</t>
        </is>
      </c>
      <c r="P1433" t="inlineStr">
        <is>
          <t>NO</t>
        </is>
      </c>
      <c r="Q1433"/>
      <c r="R1433" t="inlineStr">
        <is>
          <t>YES</t>
        </is>
      </c>
      <c r="S1433" t="inlineStr">
        <is>
          <t>Outsourced Photography &amp; Videography Services (2 days / SM East)</t>
        </is>
      </c>
      <c r="T1433">
        <v>1</v>
      </c>
      <c r="U1433">
        <v>35840</v>
      </c>
      <c r="V1433" t="inlineStr">
        <is>
          <t>PHP</t>
        </is>
      </c>
      <c r="W1433">
        <v>35840</v>
      </c>
      <c r="X1433" s="2" t="str">
        <f>=HYPERLINK("https://www.larksuite.com/approval/admin/previewAttachment?key=PMgxCgJRDATQK80k2STjZWz8LApaCfKbnF2wsH3ZRPZBTyFEEzgVairbGy04ixobVgnFlM16ndewrl7rScVjb87nfjvXm4fKDOUR3gB4-btXREgZ-Dm-AQAA__8", "2 attachment(s)")</f>
        <v>2 attachment(s)</v>
      </c>
      <c r="Y1433" t="inlineStr">
        <is>
          <t>Bank Transfer</t>
        </is>
      </c>
      <c r="Z1433" t="inlineStr">
        <is>
          <t>Ryan Edward Matias</t>
        </is>
      </c>
      <c r="AA1433" t="inlineStr">
        <is>
          <t>1996 2285 79</t>
        </is>
      </c>
      <c r="AB1433" t="inlineStr">
        <is>
          <t>BPI</t>
        </is>
      </c>
      <c r="AC1433" t="inlineStr">
        <is>
          <t>Kingsville Court, Antipolo City</t>
        </is>
      </c>
      <c r="AD1433" s="4">
        <v>45773</v>
      </c>
      <c r="AE1433" t="inlineStr">
        <is>
          <t>50% Down Payment upon confirmation
50% Final Payment - 14 days upon completion of services</t>
        </is>
      </c>
      <c r="AF1433" s="2"/>
      <c r="AG1433" t="inlineStr">
        <is>
          <t>NzQyNTk5MTgyNzQ4MTg3MDM0MTpFOUY2Q0EzMy1FREI2LTQzQTYtODVEMy03OUY0QjQxOTE5QzctMToyYzNhMGZkZmZjZDRkMmI0NDY0ZDY5NDUzODRjOGIzMTox</t>
        </is>
      </c>
      <c r="AH1433"/>
      <c r="AI1433"/>
      <c r="AJ1433"/>
      <c r="AK1433"/>
    </row>
    <row r="1434" ht="25.5" customHeight="1">
      <c r="A1434" s="2" t="str">
        <f>=HYPERLINK("https://applink.larksuite.com/client/mini_program/open?appId=cli_9c7cc8a9a9edd105&amp;mode=appCenter&amp;path_pc=pc/pages/requested/index?instanceId=7498615948295798822&amp;source=bitable&amp;path=pages/detail/index?instanceId=7498615948295798822&amp;source=bitable", "202504290034")</f>
        <v>202504290034</v>
      </c>
      <c r="B1434" t="inlineStr">
        <is>
          <t>Approved</t>
        </is>
      </c>
      <c r="C1434" t="inlineStr">
        <is>
          <t>Procurement Order</t>
        </is>
      </c>
      <c r="D1434" s="3">
        <v>45776.59695601852</v>
      </c>
      <c r="E1434" s="3">
        <v>45779.483402777776</v>
      </c>
      <c r="F1434" t="inlineStr">
        <is>
          <t>Fatima Kathleen M. FLores</t>
        </is>
      </c>
      <c r="G1434" t="inlineStr">
        <is>
          <t>Procurement</t>
        </is>
      </c>
      <c r="H1434"/>
      <c r="I1434"/>
      <c r="J1434" t="inlineStr">
        <is>
          <t>Project</t>
        </is>
      </c>
      <c r="K1434" t="inlineStr">
        <is>
          <t>PDEI - Game Marketing</t>
        </is>
      </c>
      <c r="L1434" t="inlineStr">
        <is>
          <t>ABI Corporate Video - AVP</t>
        </is>
      </c>
      <c r="M1434" t="inlineStr">
        <is>
          <t>2025TEG-P0113</t>
        </is>
      </c>
      <c r="N1434" t="inlineStr">
        <is>
          <t>Brian Michael Conrad Buenviaje</t>
        </is>
      </c>
      <c r="O1434" t="inlineStr">
        <is>
          <t>202504240092-Brian Michael Conrad Buenviaje-费用报销 - 副本 - 副本 - 副本-2025-04-24 11:07:31</t>
        </is>
      </c>
      <c r="P1434" t="inlineStr">
        <is>
          <t>NO</t>
        </is>
      </c>
      <c r="Q1434"/>
      <c r="R1434" t="inlineStr">
        <is>
          <t>YES</t>
        </is>
      </c>
      <c r="S1434" t="inlineStr">
        <is>
          <t>Outsourced Logistics Service (STP - ABI / April 24, 2025)</t>
        </is>
      </c>
      <c r="T1434">
        <v>1</v>
      </c>
      <c r="U1434">
        <v>19000</v>
      </c>
      <c r="V1434" t="inlineStr">
        <is>
          <t>PHP</t>
        </is>
      </c>
      <c r="W1434">
        <v>19000</v>
      </c>
      <c r="X1434" s="2" t="str">
        <f>=HYPERLINK("https://www.larksuite.com/approval/admin/previewAttachment?key=PMg9CgIxEAXgK72ZzN_zMjYuQQIBQRQt5uyCxbZflCDKZQRhFCWk01ghTiulJ6tUW1syiZSg9rHn9fUt_-wHa_tcy_t9v83jKc5URQ6zUQDkcvpIMyPD8Hf8AgAA__8", "2 attachment(s)")</f>
        <v>2 attachment(s)</v>
      </c>
      <c r="Y1434" t="inlineStr">
        <is>
          <t>Bank Transfer</t>
        </is>
      </c>
      <c r="Z1434" t="inlineStr">
        <is>
          <t>Rubelyn De Vera</t>
        </is>
      </c>
      <c r="AA1434" t="inlineStr">
        <is>
          <t>0000064068228</t>
        </is>
      </c>
      <c r="AB1434" t="inlineStr">
        <is>
          <t>Security Bank</t>
        </is>
      </c>
      <c r="AC1434" t="inlineStr">
        <is>
          <t>19 Bagong Kanluran, Paso de Blas, Valenzuela City</t>
        </is>
      </c>
      <c r="AD1434" s="4">
        <v>45712</v>
      </c>
      <c r="AE1434" t="inlineStr">
        <is>
          <t>100% Full Payment upon completion of services</t>
        </is>
      </c>
      <c r="AF1434" s="2" t="str">
        <f>=HYPERLINK("https://www.larksuite.com/approval/admin/previewAttachment?key=TMhBikJBDATQK6XSSbpqLjMbP418aBBE0UXOLrhy-4qwYmKULASXoWeIhVTQlVOke3tjTtlEyfvY6__xZr72Tdy5zjP7eb2s447iKAtlBGRm-PtxwMRR4-v2CQAA__8", "5 attachment(s)")</f>
        <v>5 attachment(s)</v>
      </c>
      <c r="AG1434" t="inlineStr">
        <is>
          <t>NzQyNTk5MTgyNzQ4MTg3MDM0MTpBNzI1QjY0Ri1DQ0FCLTQxQTctOTg0OC1DNEY0M0ZGQkI4MDEtMTozYmYwZmFmMDdiOGMzMTRlZDQyOWRhMzU2YmZlMDk3YTox</t>
        </is>
      </c>
      <c r="AH1434"/>
      <c r="AI1434"/>
      <c r="AJ1434"/>
      <c r="AK1434"/>
    </row>
    <row r="1435" ht="25.5" customHeight="1">
      <c r="A1435" s="2" t="str">
        <f>=HYPERLINK("https://applink.larksuite.com/client/mini_program/open?appId=cli_9c7cc8a9a9edd105&amp;mode=appCenter&amp;path_pc=pc/pages/requested/index?instanceId=7500531757813465119&amp;source=bitable&amp;path=pages/detail/index?instanceId=7500531757813465119&amp;source=bitable", "202505040013")</f>
        <v>202505040013</v>
      </c>
      <c r="B1435" t="inlineStr">
        <is>
          <t>Approved</t>
        </is>
      </c>
      <c r="C1435" t="inlineStr">
        <is>
          <t>Procurement Order</t>
        </is>
      </c>
      <c r="D1435" s="3">
        <v>45781.7596875</v>
      </c>
      <c r="E1435" s="3">
        <v>45782.406168981484</v>
      </c>
      <c r="F1435" t="inlineStr">
        <is>
          <t>Fatima Kathleen M. FLores</t>
        </is>
      </c>
      <c r="G1435" t="inlineStr">
        <is>
          <t>Procurement</t>
        </is>
      </c>
      <c r="H1435"/>
      <c r="I1435"/>
      <c r="J1435" t="inlineStr">
        <is>
          <t>Project</t>
        </is>
      </c>
      <c r="K1435" t="inlineStr">
        <is>
          <t>PDEI - Event Service</t>
        </is>
      </c>
      <c r="L1435" t="inlineStr">
        <is>
          <t>UAAP Esports S87 2025</t>
        </is>
      </c>
      <c r="M1435" t="inlineStr">
        <is>
          <t>2025TEG-P0068</t>
        </is>
      </c>
      <c r="N1435" t="inlineStr">
        <is>
          <t>Frances Angelita Arreglado</t>
        </is>
      </c>
      <c r="O1435" t="inlineStr">
        <is>
          <t>202505030016-Frances Angelita Arreglado-费用报销 - 副本 - 副本 - 副本-2025-05-03 14:01:44</t>
        </is>
      </c>
      <c r="P1435" t="inlineStr">
        <is>
          <t>NO</t>
        </is>
      </c>
      <c r="Q1435"/>
      <c r="R1435" t="inlineStr">
        <is>
          <t>YES</t>
        </is>
      </c>
      <c r="S1435" t="inlineStr">
        <is>
          <t>Main and Satellite Stage Fabrications</t>
        </is>
      </c>
      <c r="T1435">
        <v>1</v>
      </c>
      <c r="U1435">
        <v>1000000</v>
      </c>
      <c r="V1435" t="inlineStr">
        <is>
          <t>PHP</t>
        </is>
      </c>
      <c r="W1435">
        <v>1000000</v>
      </c>
      <c r="X1435" s="2" t="str">
        <f>=HYPERLINK("https://www.larksuite.com/approval/admin/previewAttachment?key=PMg7CoIxEATgK83sM-tlbPwJQqIIolZ7dsHC9otBxHBqFKwoBXY64Mr0HFQLJ6ulmVlIRkkft3k2Geu192etx9T77vf1Mo8nvVIEqWY6APD0d00zqwrDz_ENAAD__w", "2 attachment(s)")</f>
        <v>2 attachment(s)</v>
      </c>
      <c r="Y1435" t="inlineStr">
        <is>
          <t>Bank Transfer</t>
        </is>
      </c>
      <c r="Z1435" t="inlineStr">
        <is>
          <t>STAGE ONE EVENT SERVICES CORP.</t>
        </is>
      </c>
      <c r="AA1435" t="inlineStr">
        <is>
          <t>0124 0800 3549</t>
        </is>
      </c>
      <c r="AB1435" t="inlineStr">
        <is>
          <t>BDO</t>
        </is>
      </c>
      <c r="AC1435" t="inlineStr">
        <is>
          <t>Kamagong St. cor. Ipil St. Hillcrest Village, Brgy. 173 Camarin, Caloocan</t>
        </is>
      </c>
      <c r="AD1435" s="4">
        <v>45781</v>
      </c>
      <c r="AE1435" t="inlineStr">
        <is>
          <t>70% Down Payment
30% Final Payment - 30 days after complete set-up</t>
        </is>
      </c>
      <c r="AF1435" s="2"/>
      <c r="AG1435" t="inlineStr">
        <is>
          <t>NzQyNTk5MTgyNzQ4MTg3MDM0MTpENDUyOEZBRi01NUE5LTQwMkYtQjNCRC1DMkQwMzc4MkY1RDMtMTo1YTJkMzhhN2ExNTc3Mjk4NjdjMWRiOWZmYTg1NjlhMzox</t>
        </is>
      </c>
      <c r="AH1435"/>
      <c r="AI1435"/>
      <c r="AJ1435"/>
      <c r="AK1435"/>
    </row>
    <row r="1436" ht="25.5" customHeight="1">
      <c r="A1436" s="2" t="str">
        <f>=HYPERLINK("https://applink.larksuite.com/client/mini_program/open?appId=cli_9c7cc8a9a9edd105&amp;mode=appCenter&amp;path_pc=pc/pages/requested/index?instanceId=7500574709860335648&amp;source=bitable&amp;path=pages/detail/index?instanceId=7500574709860335648&amp;source=bitable", "202505040022")</f>
        <v>202505040022</v>
      </c>
      <c r="B1436" t="inlineStr">
        <is>
          <t>Approved</t>
        </is>
      </c>
      <c r="C1436" t="inlineStr">
        <is>
          <t>Procurement Order</t>
        </is>
      </c>
      <c r="D1436" s="3">
        <v>45781.87542824074</v>
      </c>
      <c r="E1436" s="3">
        <v>45784.63884259259</v>
      </c>
      <c r="F1436" t="inlineStr">
        <is>
          <t>Fatima Kathleen M. FLores</t>
        </is>
      </c>
      <c r="G1436" t="inlineStr">
        <is>
          <t>Procurement</t>
        </is>
      </c>
      <c r="H1436"/>
      <c r="I1436"/>
      <c r="J1436" t="inlineStr">
        <is>
          <t>Project</t>
        </is>
      </c>
      <c r="K1436" t="inlineStr">
        <is>
          <t>PDEI - Event Service</t>
        </is>
      </c>
      <c r="L1436" t="inlineStr">
        <is>
          <t>UAAP Esports S87 2025</t>
        </is>
      </c>
      <c r="M1436" t="inlineStr">
        <is>
          <t>2025TEG-P0068</t>
        </is>
      </c>
      <c r="N1436" t="inlineStr">
        <is>
          <t>Frances Angelita Arreglado</t>
        </is>
      </c>
      <c r="O1436" t="inlineStr">
        <is>
          <t>202505030019-Frances Angelita Arreglado-费用报销 - 副本 - 副本 - 副本-2025-05-03 14:31:32</t>
        </is>
      </c>
      <c r="P1436" t="inlineStr">
        <is>
          <t>NO</t>
        </is>
      </c>
      <c r="Q1436"/>
      <c r="R1436" t="inlineStr">
        <is>
          <t>YES</t>
        </is>
      </c>
      <c r="S1436" t="inlineStr">
        <is>
          <t>Outsourced Bouncers / Event Security (10 days)</t>
        </is>
      </c>
      <c r="T1436">
        <v>10</v>
      </c>
      <c r="U1436">
        <v>15000</v>
      </c>
      <c r="V1436" t="inlineStr">
        <is>
          <t>PHP</t>
        </is>
      </c>
      <c r="W1436">
        <v>150000</v>
      </c>
      <c r="X1436" s="2"/>
      <c r="Y1436" t="inlineStr">
        <is>
          <t>Bank Transfer</t>
        </is>
      </c>
      <c r="Z1436" t="inlineStr">
        <is>
          <t>Juanito T. Acedo Jr.</t>
        </is>
      </c>
      <c r="AA1436" t="inlineStr">
        <is>
          <t>010670126934</t>
        </is>
      </c>
      <c r="AB1436" t="inlineStr">
        <is>
          <t>BDO</t>
        </is>
      </c>
      <c r="AC1436" t="inlineStr">
        <is>
          <t>127-68 Bronze Street Tugatog, Malabon</t>
        </is>
      </c>
      <c r="AD1436" s="4">
        <v>45781</v>
      </c>
      <c r="AE1436" t="inlineStr">
        <is>
          <t>50% Down Payment upon confirmation
30% 2nd payment - May 16, 2025
20% Final Payment - May 23, 2025</t>
        </is>
      </c>
      <c r="AF1436" s="2"/>
      <c r="AG1436" t="inlineStr">
        <is>
          <t>NzQyNTk5MTgyNzQ4MTg3MDM0MTpBNUNEMTZBNS04QTI3LTQxNjItQkE1Ny1FQjg2Q0VDNThDNDQtMTowNTBjMmE4NGUzMDkyM2FhZjgyZDIxNTdiNmY1MmIxZDox</t>
        </is>
      </c>
      <c r="AH1436"/>
      <c r="AI1436"/>
      <c r="AJ1436"/>
      <c r="AK1436"/>
    </row>
    <row r="1437" ht="25.5" customHeight="1">
      <c r="A1437" s="2" t="str">
        <f>=HYPERLINK("https://applink.larksuite.com/client/mini_program/open?appId=cli_9c7cc8a9a9edd105&amp;mode=appCenter&amp;path_pc=pc/pages/requested/index?instanceId=7500574709860335648&amp;source=bitable&amp;path=pages/detail/index?instanceId=7500574709860335648&amp;source=bitable", "202505040022")</f>
        <v>202505040022</v>
      </c>
      <c r="B1437" t="inlineStr">
        <is>
          <t>Approved</t>
        </is>
      </c>
      <c r="C1437" t="inlineStr">
        <is>
          <t>Procurement Order</t>
        </is>
      </c>
      <c r="D1437" s="3">
        <v>45781.87542824074</v>
      </c>
      <c r="E1437" s="3">
        <v>45784.63884259259</v>
      </c>
      <c r="F1437" t="inlineStr">
        <is>
          <t>Fatima Kathleen M. FLores</t>
        </is>
      </c>
      <c r="G1437" t="inlineStr">
        <is>
          <t>Procurement</t>
        </is>
      </c>
      <c r="H1437"/>
      <c r="I1437"/>
      <c r="J1437" t="inlineStr">
        <is>
          <t>Project</t>
        </is>
      </c>
      <c r="K1437" t="inlineStr">
        <is>
          <t>PDEI - Event Service</t>
        </is>
      </c>
      <c r="L1437" t="inlineStr">
        <is>
          <t>UAAP Esports S87 2025</t>
        </is>
      </c>
      <c r="M1437" t="inlineStr">
        <is>
          <t>2025TEG-P0068</t>
        </is>
      </c>
      <c r="N1437" t="inlineStr">
        <is>
          <t>Frances Angelita Arreglado</t>
        </is>
      </c>
      <c r="O1437" t="inlineStr">
        <is>
          <t>202505030019-Frances Angelita Arreglado-费用报销 - 副本 - 副本 - 副本-2025-05-03 14:31:32</t>
        </is>
      </c>
      <c r="P1437" t="inlineStr">
        <is>
          <t>NO</t>
        </is>
      </c>
      <c r="Q1437"/>
      <c r="R1437" t="inlineStr">
        <is>
          <t>YES</t>
        </is>
      </c>
      <c r="S1437" t="inlineStr">
        <is>
          <t>Outsourced Safety Officer (13 days)</t>
        </is>
      </c>
      <c r="T1437">
        <v>1</v>
      </c>
      <c r="U1437">
        <v>32500</v>
      </c>
      <c r="V1437" t="inlineStr">
        <is>
          <t>PHP</t>
        </is>
      </c>
      <c r="W1437">
        <v>32500</v>
      </c>
      <c r="X1437" s="2" t="str">
        <f>=HYPERLINK("https://www.larksuite.com/approval/admin/previewAttachment?key=PMg7CsJgEATgK82-d7yMjSEIUQiIP1js2QUL2y9bkB1iSThFCZkKIMoL7IRZpPfoSBVRktTZnvs1oo_HScb7jM-xZt1v-_aSYKmizN0agFz-buXuZDp-Lt8AAAD__w", "2 attachment(s)")</f>
        <v>2 attachment(s)</v>
      </c>
      <c r="Y1437"/>
      <c r="Z1437"/>
      <c r="AA1437"/>
      <c r="AB1437"/>
      <c r="AC1437"/>
      <c r="AD1437" s="4"/>
      <c r="AE1437"/>
      <c r="AF1437" s="2"/>
      <c r="AG1437" t="inlineStr">
        <is>
          <t>NzQyNTk5MTgyNzQ4MTg3MDM0MTpBNUNEMTZBNS04QTI3LTQxNjItQkE1Ny1FQjg2Q0VDNThDNDQtMjoxY2ExYjQ3MzkwMjFhMTUwNjlmMzg1ZmUzNmQzNjhlNzox</t>
        </is>
      </c>
      <c r="AH1437"/>
      <c r="AI1437"/>
      <c r="AJ1437"/>
      <c r="AK1437"/>
    </row>
    <row r="1438" ht="25.5" customHeight="1">
      <c r="A1438" s="2" t="str">
        <f>=HYPERLINK("https://applink.larksuite.com/client/mini_program/open?appId=cli_9c7cc8a9a9edd105&amp;mode=appCenter&amp;path_pc=pc/pages/requested/index?instanceId=7500574709860335648&amp;source=bitable&amp;path=pages/detail/index?instanceId=7500574709860335648&amp;source=bitable", "202505040022")</f>
        <v>202505040022</v>
      </c>
      <c r="B1438" t="inlineStr">
        <is>
          <t>Approved</t>
        </is>
      </c>
      <c r="C1438" t="inlineStr">
        <is>
          <t>Procurement Order</t>
        </is>
      </c>
      <c r="D1438" s="3">
        <v>45781.87542824074</v>
      </c>
      <c r="E1438" s="3">
        <v>45784.63884259259</v>
      </c>
      <c r="F1438" t="inlineStr">
        <is>
          <t>Fatima Kathleen M. FLores</t>
        </is>
      </c>
      <c r="G1438" t="inlineStr">
        <is>
          <t>Procurement</t>
        </is>
      </c>
      <c r="H1438"/>
      <c r="I1438"/>
      <c r="J1438" t="inlineStr">
        <is>
          <t>Project</t>
        </is>
      </c>
      <c r="K1438" t="inlineStr">
        <is>
          <t>PDEI - Event Service</t>
        </is>
      </c>
      <c r="L1438" t="inlineStr">
        <is>
          <t>UAAP Esports S87 2025</t>
        </is>
      </c>
      <c r="M1438" t="inlineStr">
        <is>
          <t>2025TEG-P0068</t>
        </is>
      </c>
      <c r="N1438" t="inlineStr">
        <is>
          <t>Frances Angelita Arreglado</t>
        </is>
      </c>
      <c r="O1438" t="inlineStr">
        <is>
          <t>202505030019-Frances Angelita Arreglado-费用报销 - 副本 - 副本 - 副本-2025-05-03 14:31:32</t>
        </is>
      </c>
      <c r="P1438" t="inlineStr">
        <is>
          <t>NO</t>
        </is>
      </c>
      <c r="Q1438"/>
      <c r="R1438" t="inlineStr">
        <is>
          <t>YES</t>
        </is>
      </c>
      <c r="S1438" t="inlineStr">
        <is>
          <t>Outsourced Medic (10 days)</t>
        </is>
      </c>
      <c r="T1438">
        <v>1</v>
      </c>
      <c r="U1438">
        <v>20000</v>
      </c>
      <c r="V1438" t="inlineStr">
        <is>
          <t>PHP</t>
        </is>
      </c>
      <c r="W1438">
        <v>20000</v>
      </c>
      <c r="X1438" s="2" t="str">
        <f>=HYPERLINK("https://www.larksuite.com/approval/admin/previewAttachment?key=PMg7CsJgEATgK82-d7yMjSEIUQiIP1js2QUL2y9bkB1iSThFCZkKIMoL7IRZpPfoSBVRktTZnvs1oo_HScb7jM-xZt1v-_aSYKmizN0agFz-buXuZDp-rt8AAAD__w", "2 attachment(s)")</f>
        <v>2 attachment(s)</v>
      </c>
      <c r="Y1438"/>
      <c r="Z1438"/>
      <c r="AA1438"/>
      <c r="AB1438"/>
      <c r="AC1438"/>
      <c r="AD1438" s="4"/>
      <c r="AE1438"/>
      <c r="AF1438" s="2"/>
      <c r="AG1438" t="inlineStr">
        <is>
          <t>NzQyNTk5MTgyNzQ4MTg3MDM0MTpBNUNEMTZBNS04QTI3LTQxNjItQkE1Ny1FQjg2Q0VDNThDNDQtMzoyMDNjYzAzMmRhNGJmMzgxNjc1MjdlYjAyYjI0NGQ3Zjox</t>
        </is>
      </c>
      <c r="AH1438"/>
      <c r="AI1438"/>
      <c r="AJ1438"/>
      <c r="AK1438"/>
    </row>
    <row r="1439" ht="25.5" customHeight="1">
      <c r="A1439" s="2" t="str">
        <f>=HYPERLINK("https://applink.larksuite.com/client/mini_program/open?appId=cli_9c7cc8a9a9edd105&amp;mode=appCenter&amp;path_pc=pc/pages/requested/index?instanceId=7500882832143679526&amp;source=bitable&amp;path=pages/detail/index?instanceId=7500882832143679526&amp;source=bitable", "202505050073")</f>
        <v>202505050073</v>
      </c>
      <c r="B1439" t="inlineStr">
        <is>
          <t>Approved</t>
        </is>
      </c>
      <c r="C1439" t="inlineStr">
        <is>
          <t>Procurement Order</t>
        </is>
      </c>
      <c r="D1439" s="3">
        <v>45782.70575231482</v>
      </c>
      <c r="E1439" s="3">
        <v>45784.63748842593</v>
      </c>
      <c r="F1439" t="inlineStr">
        <is>
          <t>Fatima Kathleen M. FLores</t>
        </is>
      </c>
      <c r="G1439" t="inlineStr">
        <is>
          <t>Procurement</t>
        </is>
      </c>
      <c r="H1439"/>
      <c r="I1439"/>
      <c r="J1439" t="inlineStr">
        <is>
          <t>Project</t>
        </is>
      </c>
      <c r="K1439" t="inlineStr">
        <is>
          <t>PDEI - Event Service</t>
        </is>
      </c>
      <c r="L1439" t="inlineStr">
        <is>
          <t>UAAP Esports S87 2025</t>
        </is>
      </c>
      <c r="M1439" t="inlineStr">
        <is>
          <t>2025TEG-P0068</t>
        </is>
      </c>
      <c r="N1439" t="inlineStr">
        <is>
          <t>Frances Angelita Arreglado</t>
        </is>
      </c>
      <c r="O1439" t="inlineStr">
        <is>
          <t>202505030017-Frances Angelita Arreglado-费用报销 - 副本 - 副本 - 副本-2025-05-03 14:13:08</t>
        </is>
      </c>
      <c r="P1439" t="inlineStr">
        <is>
          <t>NO</t>
        </is>
      </c>
      <c r="Q1439"/>
      <c r="R1439" t="inlineStr">
        <is>
          <t>YES</t>
        </is>
      </c>
      <c r="S1439" t="inlineStr">
        <is>
          <t>Tables and Other Fabrications (Stage and On-ground)</t>
        </is>
      </c>
      <c r="T1439">
        <v>1</v>
      </c>
      <c r="U1439">
        <v>500000</v>
      </c>
      <c r="V1439" t="inlineStr">
        <is>
          <t>PHP</t>
        </is>
      </c>
      <c r="W1439">
        <v>500000</v>
      </c>
      <c r="X1439" s="2" t="str">
        <f>=HYPERLINK("https://www.larksuite.com/approval/admin/previewAttachment?key=PMg7CkJBDAXQLd2bZPJxMzbzGPzwKlGYImsXLGyPJ-E5qF6wohTYMYBMSRWaetQQb2lGFIJe0se5ru-d55bHnHhS170_t7mOF0eFCELNNAHw8ncNM6tyw8_xDQAA__8", "2 attachment(s)")</f>
        <v>2 attachment(s)</v>
      </c>
      <c r="Y1439" t="inlineStr">
        <is>
          <t>Bank Transfer</t>
        </is>
      </c>
      <c r="Z1439" t="inlineStr">
        <is>
          <t>Printportal &amp; Advertising OPC</t>
        </is>
      </c>
      <c r="AA1439" t="inlineStr">
        <is>
          <t>200058110735</t>
        </is>
      </c>
      <c r="AB1439" t="inlineStr">
        <is>
          <t>Eastwest Bank</t>
        </is>
      </c>
      <c r="AC1439" t="inlineStr">
        <is>
          <t>25 Isidro Francisco, Malinta, Valenzuela City</t>
        </is>
      </c>
      <c r="AD1439" s="4">
        <v>45781</v>
      </c>
      <c r="AE1439" t="inlineStr">
        <is>
          <t>50% Down payment upon confirmation
50% Final Payment upon completion of services</t>
        </is>
      </c>
      <c r="AF1439" s="2" t="str">
        <f>=HYPERLINK("https://www.larksuite.com/approval/admin/previewAttachment?key=TMg7CkJBDAXQLd2bZPJxMzbzGPzwKlGYImsXrGyPJ-E5qF6wohTYMYBMSRWaetQQb2lGFIJe0se5ru-d55bHnHhS170_t7mOFz3VYTXMWAB4-XMSler6c3wDAAD__w", "4 attachment(s)")</f>
        <v>4 attachment(s)</v>
      </c>
      <c r="AG1439" t="inlineStr">
        <is>
          <t>NzQyNTk5MTgyNzQ4MTg3MDM0MTpEQkZFQzJBRS04ODIyLTQyN0YtOTI3QS00NDFGMTkzNUEzMDQtMToxZDAwYTBjYmI3YzE2MzlmNmVlYzMzNTc0ODcxODdkYzox</t>
        </is>
      </c>
      <c r="AH1439"/>
      <c r="AI1439"/>
      <c r="AJ1439"/>
      <c r="AK1439"/>
    </row>
    <row r="1440" ht="25.5" customHeight="1">
      <c r="A1440" s="2" t="str">
        <f>=HYPERLINK("https://applink.larksuite.com/client/mini_program/open?appId=cli_9c7cc8a9a9edd105&amp;mode=appCenter&amp;path_pc=pc/pages/requested/index?instanceId=7500872349940449319&amp;source=bitable&amp;path=pages/detail/index?instanceId=7500872349940449319&amp;source=bitable", "202505050062")</f>
        <v>202505050062</v>
      </c>
      <c r="B1440" t="inlineStr">
        <is>
          <t>Approved</t>
        </is>
      </c>
      <c r="C1440" t="inlineStr">
        <is>
          <t>Procurement Order</t>
        </is>
      </c>
      <c r="D1440" s="3">
        <v>45782.677511574075</v>
      </c>
      <c r="E1440" s="3">
        <v>45783.66211805555</v>
      </c>
      <c r="F1440" t="inlineStr">
        <is>
          <t>Fatima Kathleen M. FLores</t>
        </is>
      </c>
      <c r="G1440" t="inlineStr">
        <is>
          <t>Procurement</t>
        </is>
      </c>
      <c r="H1440"/>
      <c r="I1440"/>
      <c r="J1440" t="inlineStr">
        <is>
          <t>Project</t>
        </is>
      </c>
      <c r="K1440" t="inlineStr">
        <is>
          <t>PDEI - Event Service</t>
        </is>
      </c>
      <c r="L1440" t="inlineStr">
        <is>
          <t>UAAP Esports S87 2025</t>
        </is>
      </c>
      <c r="M1440" t="inlineStr">
        <is>
          <t>2025TEG-P0068</t>
        </is>
      </c>
      <c r="N1440" t="inlineStr">
        <is>
          <t>Frances Angelita Arreglado</t>
        </is>
      </c>
      <c r="O1440" t="inlineStr">
        <is>
          <t>202505030015-Frances Angelita Arreglado-费用报销 - 副本 - 副本 - 副本-2025-05-03 13:49:15</t>
        </is>
      </c>
      <c r="P1440" t="inlineStr">
        <is>
          <t>NO</t>
        </is>
      </c>
      <c r="Q1440"/>
      <c r="R1440" t="inlineStr">
        <is>
          <t>YES</t>
        </is>
      </c>
      <c r="S1440" t="inlineStr">
        <is>
          <t>Outsourced Technical Services / Rental of Equipment</t>
        </is>
      </c>
      <c r="T1440">
        <v>1</v>
      </c>
      <c r="U1440">
        <v>3900000</v>
      </c>
      <c r="V1440" t="inlineStr">
        <is>
          <t>PHP</t>
        </is>
      </c>
      <c r="W1440">
        <v>3900000</v>
      </c>
      <c r="X1440" s="2" t="str">
        <f>=HYPERLINK("https://www.larksuite.com/approval/admin/previewAttachment?key=PMhBikJBDATQK1WSSqdrLjOb3zSKCIJ8cZOzCy7cvjENY6bFEChzwboSmOVBiSAVpva2KqFsyHvd9_8KP4_H-5bXPPfKfl2OvZ6WKndUkDEB2N_Po0hKg_g6PgEAAP__", "2 attachment(s)")</f>
        <v>2 attachment(s)</v>
      </c>
      <c r="Y1440" t="inlineStr">
        <is>
          <t>Bank Transfer</t>
        </is>
      </c>
      <c r="Z1440" t="inlineStr">
        <is>
          <t>EL KAPITAN PRO SOUNDS &amp; LIGHTS SYSTEM INC.</t>
        </is>
      </c>
      <c r="AA1440" t="inlineStr">
        <is>
          <t>350-7-35080571-7</t>
        </is>
      </c>
      <c r="AB1440" t="inlineStr">
        <is>
          <t>METROPOLITAN BANK &amp; TRUST COMPANY</t>
        </is>
      </c>
      <c r="AC1440" t="inlineStr">
        <is>
          <t>Naga Rd., Cor. Country Homes Drive, Pulang Lupa II, Las Piñas City</t>
        </is>
      </c>
      <c r="AD1440" s="4">
        <v>45784</v>
      </c>
      <c r="AE1440" t="inlineStr">
        <is>
          <t>70% Down payment upon confirmation
30% upon completion of services</t>
        </is>
      </c>
      <c r="AF1440" s="2" t="str">
        <f>=HYPERLINK("https://www.larksuite.com/approval/admin/previewAttachment?key=TMg9ikJBEATgK1VN_0zXXmaTNwyKCII8MemzC0amXxaRFbQUXBwCewZQc5hLDncZ1aM5pzCZGr3u-3_ZOI_H-xbXOPeKfl2OvZ7MsoQr3CkA_PtxEipL-zo-AQAA__8", "2 attachment(s)")</f>
        <v>2 attachment(s)</v>
      </c>
      <c r="AG1440" t="inlineStr">
        <is>
          <t>NzQyNTk5MTgyNzQ4MTg3MDM0MTo3QzVGMkRDNy1GRjFELTRDOUEtQjAzRC04MTVDRjNFQTc1MzgtMTpmODMzODZhMzU4MDE5OWZiMDAwZDY2Y2Q2MjhlY2MyYTox</t>
        </is>
      </c>
      <c r="AH1440"/>
      <c r="AI1440"/>
      <c r="AJ1440"/>
      <c r="AK1440"/>
    </row>
    <row r="1441" ht="25.5" customHeight="1">
      <c r="A1441" s="2" t="str">
        <f>=HYPERLINK("https://applink.larksuite.com/client/mini_program/open?appId=cli_9c7cc8a9a9edd105&amp;mode=appCenter&amp;path_pc=pc/pages/requested/index?instanceId=7501669354518396966&amp;source=bitable&amp;path=pages/detail/index?instanceId=7501669354518396966&amp;source=bitable", "202505070066")</f>
        <v>202505070066</v>
      </c>
      <c r="B1441" t="inlineStr">
        <is>
          <t>Approved</t>
        </is>
      </c>
      <c r="C1441" t="inlineStr">
        <is>
          <t>Procurement Order</t>
        </is>
      </c>
      <c r="D1441" s="3">
        <v>45784.825277777774</v>
      </c>
      <c r="E1441" s="3">
        <v>45791.46393518519</v>
      </c>
      <c r="F1441" t="inlineStr">
        <is>
          <t>Fatima Kathleen M. FLores</t>
        </is>
      </c>
      <c r="G1441" t="inlineStr">
        <is>
          <t>Procurement</t>
        </is>
      </c>
      <c r="H1441"/>
      <c r="I1441"/>
      <c r="J1441" t="inlineStr">
        <is>
          <t>Project</t>
        </is>
      </c>
      <c r="K1441" t="inlineStr">
        <is>
          <t>PDEI - Event Service</t>
        </is>
      </c>
      <c r="L1441" t="inlineStr">
        <is>
          <t>1xBET Mekong Tournament</t>
        </is>
      </c>
      <c r="M1441" t="inlineStr">
        <is>
          <t>2025TEG-P0102</t>
        </is>
      </c>
      <c r="N1441" t="inlineStr">
        <is>
          <t>Frances Angelita Arreglado</t>
        </is>
      </c>
      <c r="O1441" t="inlineStr">
        <is>
          <t>202504250059-Frances Angelita Arreglado-费用报销 - 副本 - 副本 - 副本-2025-04-25 07:48:01</t>
        </is>
      </c>
      <c r="P1441" t="inlineStr">
        <is>
          <t>YES</t>
        </is>
      </c>
      <c r="Q1441"/>
      <c r="R1441" t="inlineStr">
        <is>
          <t>YES</t>
        </is>
      </c>
      <c r="S1441" t="inlineStr">
        <is>
          <t>Outsourced Logistics Project Manager</t>
        </is>
      </c>
      <c r="T1441">
        <v>1</v>
      </c>
      <c r="U1441">
        <v>76000</v>
      </c>
      <c r="V1441" t="inlineStr">
        <is>
          <t>PHP</t>
        </is>
      </c>
      <c r="W1441">
        <v>76000</v>
      </c>
      <c r="X1441" s="2" t="str">
        <f>=HYPERLINK("https://www.larksuite.com/approval/admin/previewAttachment?key=PMg7CgJBEATQK1X_qqe8jInLootjIorJnF0wMH0cBo6yoJAyF2x1wUhFZdkIUeTyZd1CG-Vrm_v5mLq7en5Ut8frWO_rZd-eVmp3dGTGAGCnv0dnpsTEz_ENAAD__w", "2 attachment(s)")</f>
        <v>2 attachment(s)</v>
      </c>
      <c r="Y1441" t="inlineStr">
        <is>
          <t>Bank Transfer</t>
        </is>
      </c>
      <c r="Z1441" t="inlineStr">
        <is>
          <t>Juan Angelo B. Masongsong</t>
        </is>
      </c>
      <c r="AA1441" t="inlineStr">
        <is>
          <t>0068 4024 9688</t>
        </is>
      </c>
      <c r="AB1441" t="inlineStr">
        <is>
          <t>BDO</t>
        </is>
      </c>
      <c r="AC1441" t="inlineStr">
        <is>
          <t>Munsayac Street, Barangay Calantipay, Baliwag Bulacan</t>
        </is>
      </c>
      <c r="AD1441" s="4">
        <v>45771</v>
      </c>
      <c r="AE1441" t="inlineStr">
        <is>
          <t>1st Payment - May 9, 2025
2nd Payment - May 30, 2025
3rd Payment - June 20, 2025
Final Payment - July 11, 2025</t>
        </is>
      </c>
      <c r="AF1441" s="2"/>
      <c r="AG1441" t="inlineStr">
        <is>
          <t>NzQyNTk5MTgyNzQ4MTg3MDM0MTozQUUyNkYwRS03RTkzLTQzNDEtQkY0My04RjA3QTMyMDYzMUYtMTo2NDk5Zjk1MTYzYjA5MjQxMTFhMWU5ZjY4MDBmYWY1MTox</t>
        </is>
      </c>
      <c r="AH1441"/>
      <c r="AI1441"/>
      <c r="AJ1441"/>
      <c r="AK1441"/>
    </row>
    <row r="1442" ht="25.5" customHeight="1">
      <c r="A1442" s="2" t="str">
        <f>=HYPERLINK("https://applink.larksuite.com/client/mini_program/open?appId=cli_9c7cc8a9a9edd105&amp;mode=appCenter&amp;path_pc=pc/pages/requested/index?instanceId=7501644571064156198&amp;source=bitable&amp;path=pages/detail/index?instanceId=7501644571064156198&amp;source=bitable", "202505070054")</f>
        <v>202505070054</v>
      </c>
      <c r="B1442" t="inlineStr">
        <is>
          <t>Approved</t>
        </is>
      </c>
      <c r="C1442" t="inlineStr">
        <is>
          <t>Procurement Order</t>
        </is>
      </c>
      <c r="D1442" s="3">
        <v>45784.75849537037</v>
      </c>
      <c r="E1442" s="3">
        <v>45786.73327546296</v>
      </c>
      <c r="F1442" t="inlineStr">
        <is>
          <t>Fatima Kathleen M. FLores</t>
        </is>
      </c>
      <c r="G1442" t="inlineStr">
        <is>
          <t>Procurement</t>
        </is>
      </c>
      <c r="H1442"/>
      <c r="I1442"/>
      <c r="J1442" t="inlineStr">
        <is>
          <t>Project</t>
        </is>
      </c>
      <c r="K1442" t="inlineStr">
        <is>
          <t>PDEI - Game Marketing</t>
        </is>
      </c>
      <c r="L1442" t="inlineStr">
        <is>
          <t>Minotaur x Jollibee GameJoy Launch</t>
        </is>
      </c>
      <c r="M1442" t="inlineStr">
        <is>
          <t>2025TEG-P0091</t>
        </is>
      </c>
      <c r="N1442" t="inlineStr">
        <is>
          <t>Duane Aaron Baret Cadangan</t>
        </is>
      </c>
      <c r="O1442" t="inlineStr">
        <is>
          <t>202504100075-Duane Aaron Baret Cadangan-费用报销 - 副本 - 副本 - 副本-2025-04-10 10:45:12</t>
        </is>
      </c>
      <c r="P1442" t="inlineStr">
        <is>
          <t>YES</t>
        </is>
      </c>
      <c r="Q1442"/>
      <c r="R1442" t="inlineStr">
        <is>
          <t>YES</t>
        </is>
      </c>
      <c r="S1442" t="inlineStr">
        <is>
          <t>Outsourced IT Associate</t>
        </is>
      </c>
      <c r="T1442">
        <v>1</v>
      </c>
      <c r="U1442">
        <v>3340</v>
      </c>
      <c r="V1442" t="inlineStr">
        <is>
          <t>PHP</t>
        </is>
      </c>
      <c r="W1442">
        <v>3340</v>
      </c>
      <c r="X1442" s="2" t="str">
        <f>=HYPERLINK("https://www.larksuite.com/approval/admin/previewAttachment?key=PMgxDsJADATAL-3ae_aZz9BwihARaRDp_HYkirQTk4g56FFQ0QrsHGBII4kQR7BmWzOzkIyyXu_tfnI3n368jn35F30-H9v6cFSaIV3yCYC3yz0lVYXwd_wCAAD__w", "2 attachment(s)")</f>
        <v>2 attachment(s)</v>
      </c>
      <c r="Y1442" t="inlineStr">
        <is>
          <t>Bank Transfer</t>
        </is>
      </c>
      <c r="Z1442" t="inlineStr">
        <is>
          <t>John Ray Monteroso</t>
        </is>
      </c>
      <c r="AA1442" t="inlineStr">
        <is>
          <t>09709383967</t>
        </is>
      </c>
      <c r="AB1442" t="inlineStr">
        <is>
          <t>GCash</t>
        </is>
      </c>
      <c r="AC1442" t="inlineStr">
        <is>
          <t>1 Santol St. Libis Bulelak Malanday Marikina City</t>
        </is>
      </c>
      <c r="AD1442" s="4">
        <v>45781</v>
      </c>
      <c r="AE1442" t="inlineStr">
        <is>
          <t>100% Full Payment - May 16, 2025</t>
        </is>
      </c>
      <c r="AF1442" s="2"/>
      <c r="AG1442" t="inlineStr">
        <is>
          <t>NzQyNTk5MTgyNzQ4MTg3MDM0MTpGODU2OTRCQS0xRjUxLTQ5MTItQjU4MC1EREExQTlGMDlCNkMtMTpmOGE3Njg4ZWM0NDExOGI0OGViYzgyMTc0NDkzMWRlNzox</t>
        </is>
      </c>
      <c r="AH1442"/>
      <c r="AI1442"/>
      <c r="AJ1442"/>
      <c r="AK1442"/>
    </row>
    <row r="1443" ht="25.5" customHeight="1">
      <c r="A1443" s="2" t="str">
        <f>=HYPERLINK("https://applink.larksuite.com/client/mini_program/open?appId=cli_9c7cc8a9a9edd105&amp;mode=appCenter&amp;path_pc=pc/pages/requested/index?instanceId=7502295450045726759&amp;source=bitable&amp;path=pages/detail/index?instanceId=7502295450045726759&amp;source=bitable", "202505090024")</f>
        <v>202505090024</v>
      </c>
      <c r="B1443" t="inlineStr">
        <is>
          <t>Approved</t>
        </is>
      </c>
      <c r="C1443" t="inlineStr">
        <is>
          <t>Procurement Order</t>
        </is>
      </c>
      <c r="D1443" s="3">
        <v>45786.51247685185</v>
      </c>
      <c r="E1443" s="3">
        <v>45786.63056712963</v>
      </c>
      <c r="F1443" t="inlineStr">
        <is>
          <t>Fatima Kathleen M. FLores</t>
        </is>
      </c>
      <c r="G1443" t="inlineStr">
        <is>
          <t>Procurement</t>
        </is>
      </c>
      <c r="H1443"/>
      <c r="I1443"/>
      <c r="J1443" t="inlineStr">
        <is>
          <t>Project</t>
        </is>
      </c>
      <c r="K1443" t="inlineStr">
        <is>
          <t>PDEI - Game Marketing</t>
        </is>
      </c>
      <c r="L1443" t="inlineStr">
        <is>
          <t>SM Cyberzone Game Fest</t>
        </is>
      </c>
      <c r="M1443" t="inlineStr">
        <is>
          <t>2025TEG-P0082</t>
        </is>
      </c>
      <c r="N1443" t="inlineStr">
        <is>
          <t>Anteaus Villena</t>
        </is>
      </c>
      <c r="O1443" t="inlineStr">
        <is>
          <t>202505080130-Anteaus Villena-费用报销 - 副本 - 副本 - 副本-2025-05-08 11:47:02</t>
        </is>
      </c>
      <c r="P1443" t="inlineStr">
        <is>
          <t>NO</t>
        </is>
      </c>
      <c r="Q1443"/>
      <c r="R1443" t="inlineStr">
        <is>
          <t>YES</t>
        </is>
      </c>
      <c r="S1443" t="inlineStr">
        <is>
          <t>Outsourced Logistics Service (STP - Clark, Pampanga / May 2, 2025)</t>
        </is>
      </c>
      <c r="T1443">
        <v>1</v>
      </c>
      <c r="U1443">
        <v>11000</v>
      </c>
      <c r="V1443" t="inlineStr">
        <is>
          <t>PHP</t>
        </is>
      </c>
      <c r="W1443">
        <v>11000</v>
      </c>
      <c r="X1443" s="2" t="str">
        <f>=HYPERLINK("https://www.larksuite.com/approval/admin/previewAttachment?key=PMhBCkIxDATQK03SSdLxMm4sH_2gFIS66tkFF25fdkP2sJYCZS7YroC7ggEwyrNC27dVCWUp3-N5XOfZ5pjk4_WJc6297rdjvC1U7qhGtg7ALn9vRVJK4uf4BgAA__8", "2 attachment(s)")</f>
        <v>2 attachment(s)</v>
      </c>
      <c r="Y1443" t="inlineStr">
        <is>
          <t>Bank Transfer</t>
        </is>
      </c>
      <c r="Z1443" t="inlineStr">
        <is>
          <t>Rubelyn De Vera</t>
        </is>
      </c>
      <c r="AA1443" t="inlineStr">
        <is>
          <t>0000064068228</t>
        </is>
      </c>
      <c r="AB1443" t="inlineStr">
        <is>
          <t>Security Bank</t>
        </is>
      </c>
      <c r="AC1443" t="inlineStr">
        <is>
          <t>19 Bagong Kanluran, Paso de Blas, Valenzuela City</t>
        </is>
      </c>
      <c r="AD1443" s="4">
        <v>45779</v>
      </c>
      <c r="AE1443" t="inlineStr">
        <is>
          <t>100% Full Payment upon completion of services</t>
        </is>
      </c>
      <c r="AF1443" s="2" t="str">
        <f>=HYPERLINK("https://www.larksuite.com/approval/admin/previewAttachment?key=TMg9CgIxFATgK828vJ-Ml7ExLLqgBIRY5eyCle2XncgebCm4aAJ3BcwUHoBHWVZo22aVUEzZHs_jOs82x3R_vD5xrrXX_XaMN7O3hCvcKQC8_DkJ9Zbt5_gGAAD__w", "5 attachment(s)")</f>
        <v>5 attachment(s)</v>
      </c>
      <c r="AG1443" t="inlineStr">
        <is>
          <t>NzQyNTk5MTgyNzQ4MTg3MDM0MTpDMzNFOTYwNC1DRkVGLTRFQ0QtODg4OC0zNDc1MERGNUQ0RjItMTo2ZTNiNzM4N2I1MWJmNGI1NjMzOWU1MjNjMWYyNDE3Yzox</t>
        </is>
      </c>
      <c r="AH1443"/>
      <c r="AI1443"/>
      <c r="AJ1443"/>
      <c r="AK1443"/>
    </row>
    <row r="1444" ht="25.5" customHeight="1">
      <c r="A1444" s="2" t="str">
        <f>=HYPERLINK("https://applink.larksuite.com/client/mini_program/open?appId=cli_9c7cc8a9a9edd105&amp;mode=appCenter&amp;path_pc=pc/pages/requested/index?instanceId=7502295450045726759&amp;source=bitable&amp;path=pages/detail/index?instanceId=7502295450045726759&amp;source=bitable", "202505090024")</f>
        <v>202505090024</v>
      </c>
      <c r="B1444" t="inlineStr">
        <is>
          <t>Approved</t>
        </is>
      </c>
      <c r="C1444" t="inlineStr">
        <is>
          <t>Procurement Order</t>
        </is>
      </c>
      <c r="D1444" s="3">
        <v>45786.51247685185</v>
      </c>
      <c r="E1444" s="3">
        <v>45786.63056712963</v>
      </c>
      <c r="F1444" t="inlineStr">
        <is>
          <t>Fatima Kathleen M. FLores</t>
        </is>
      </c>
      <c r="G1444" t="inlineStr">
        <is>
          <t>Procurement</t>
        </is>
      </c>
      <c r="H1444"/>
      <c r="I1444"/>
      <c r="J1444" t="inlineStr">
        <is>
          <t>Project</t>
        </is>
      </c>
      <c r="K1444" t="inlineStr">
        <is>
          <t>PDEI - Game Marketing</t>
        </is>
      </c>
      <c r="L1444" t="inlineStr">
        <is>
          <t>SM Cyberzone Game Fest</t>
        </is>
      </c>
      <c r="M1444" t="inlineStr">
        <is>
          <t>2025TEG-P0082</t>
        </is>
      </c>
      <c r="N1444" t="inlineStr">
        <is>
          <t>Anteaus Villena</t>
        </is>
      </c>
      <c r="O1444" t="inlineStr">
        <is>
          <t>202505080130-Anteaus Villena-费用报销 - 副本 - 副本 - 副本-2025-05-08 11:47:02</t>
        </is>
      </c>
      <c r="P1444" t="inlineStr">
        <is>
          <t>NO</t>
        </is>
      </c>
      <c r="Q1444"/>
      <c r="R1444" t="inlineStr">
        <is>
          <t>YES</t>
        </is>
      </c>
      <c r="S1444" t="inlineStr">
        <is>
          <t>Outsourced Logistics Service (STP - Clark, Pampanga / May 4, 2025)</t>
        </is>
      </c>
      <c r="T1444">
        <v>1</v>
      </c>
      <c r="U1444">
        <v>18000</v>
      </c>
      <c r="V1444" t="inlineStr">
        <is>
          <t>PHP</t>
        </is>
      </c>
      <c r="W1444">
        <v>18000</v>
      </c>
      <c r="X1444" s="2" t="str">
        <f>=HYPERLINK("https://www.larksuite.com/approval/admin/previewAttachment?key=PMhBCkIxDATQK03SSdLxMm4sH_2gFIS66tkFF25fdkP2sJYCZS7YroC7ggEwyrNC27dVCWUp3-N5XOfZ5pjk4_WJc6297rdjvC1U7qhGtg7ALn9vRVJK4uf2DQAA__8", "1 attachment(s)")</f>
        <v>1 attachment(s)</v>
      </c>
      <c r="Y1444"/>
      <c r="Z1444"/>
      <c r="AA1444"/>
      <c r="AB1444"/>
      <c r="AC1444"/>
      <c r="AD1444" s="4"/>
      <c r="AE1444"/>
      <c r="AF1444" s="2"/>
      <c r="AG1444" t="inlineStr">
        <is>
          <t>NzQyNTk5MTgyNzQ4MTg3MDM0MTpDMzNFOTYwNC1DRkVGLTRFQ0QtODg4OC0zNDc1MERGNUQ0RjItMjo1OTExNGJjMmIwOTE3YWQ0MzA3MTE5MGMxOWExMDAyMTox</t>
        </is>
      </c>
      <c r="AH1444"/>
      <c r="AI1444"/>
      <c r="AJ1444"/>
      <c r="AK1444"/>
    </row>
    <row r="1445" ht="25.5" customHeight="1">
      <c r="A1445" s="2" t="str">
        <f>=HYPERLINK("https://applink.larksuite.com/client/mini_program/open?appId=cli_9c7cc8a9a9edd105&amp;mode=appCenter&amp;path_pc=pc/pages/requested/index?instanceId=7502342621512368166&amp;source=bitable&amp;path=pages/detail/index?instanceId=7502342621512368166&amp;source=bitable", "202505090042")</f>
        <v>202505090042</v>
      </c>
      <c r="B1445" t="inlineStr">
        <is>
          <t>Approved</t>
        </is>
      </c>
      <c r="C1445" t="inlineStr">
        <is>
          <t>Procurement Order</t>
        </is>
      </c>
      <c r="D1445" s="3">
        <v>45786.63959490741</v>
      </c>
      <c r="E1445" s="3">
        <v>45796.65733796296</v>
      </c>
      <c r="F1445" t="inlineStr">
        <is>
          <t>Fatima Kathleen M. FLores</t>
        </is>
      </c>
      <c r="G1445" t="inlineStr">
        <is>
          <t>Procurement</t>
        </is>
      </c>
      <c r="H1445"/>
      <c r="I1445"/>
      <c r="J1445" t="inlineStr">
        <is>
          <t>Project</t>
        </is>
      </c>
      <c r="K1445" t="inlineStr">
        <is>
          <t>PDEI - Event Service</t>
        </is>
      </c>
      <c r="L1445" t="inlineStr">
        <is>
          <t>1xBET Mekong Tournament</t>
        </is>
      </c>
      <c r="M1445" t="inlineStr">
        <is>
          <t>2025TEG-P0102</t>
        </is>
      </c>
      <c r="N1445" t="inlineStr">
        <is>
          <t>Frances Angelita Arreglado</t>
        </is>
      </c>
      <c r="O1445" t="inlineStr">
        <is>
          <t>202504240050-Frances Angelita Arreglado-费用报销 - 副本 - 副本 - 副本-2025-04-24 08:26:12</t>
        </is>
      </c>
      <c r="P1445" t="inlineStr">
        <is>
          <t>YES</t>
        </is>
      </c>
      <c r="Q1445"/>
      <c r="R1445" t="inlineStr">
        <is>
          <t>YES</t>
        </is>
      </c>
      <c r="S1445" t="inlineStr">
        <is>
          <t>Outsourced Talent / EN Caster</t>
        </is>
      </c>
      <c r="T1445">
        <v>1</v>
      </c>
      <c r="U1445">
        <v>27000</v>
      </c>
      <c r="V1445" t="inlineStr">
        <is>
          <t>PHP</t>
        </is>
      </c>
      <c r="W1445">
        <v>27000</v>
      </c>
      <c r="X1445" s="2" t="str">
        <f>=HYPERLINK("https://www.larksuite.com/approval/admin/previewAttachment?key=PMhBqgJBDATQK1VV0knnX-ZvpmlkUBkQ3OXsggu3LyYRc9Ci4EUV2Dkgc4U4KIvJiFYzs5CMUq_H_q9z7jwuYd3H8zr7fTv2enFUSkhztwmAfz-3dPeqcHwdnwAAAP__", "2 attachment(s)")</f>
        <v>2 attachment(s)</v>
      </c>
      <c r="Y1445" t="inlineStr">
        <is>
          <t>Bank Transfer</t>
        </is>
      </c>
      <c r="Z1445" t="inlineStr">
        <is>
          <t>Matthew Jose A. Duma</t>
        </is>
      </c>
      <c r="AA1445" t="inlineStr">
        <is>
          <t>631110013410</t>
        </is>
      </c>
      <c r="AB1445" t="inlineStr">
        <is>
          <t>PSBank</t>
        </is>
      </c>
      <c r="AC1445" t="inlineStr">
        <is>
          <t>006 San Francisco Terrace Subd., San Pablo City, Laguna</t>
        </is>
      </c>
      <c r="AD1445" s="4">
        <v>45775</v>
      </c>
      <c r="AE1445" t="inlineStr">
        <is>
          <t>1st Payment - May 23, 2025
Final Payment - June 6, 2025</t>
        </is>
      </c>
      <c r="AF1445" s="2"/>
      <c r="AG1445" t="inlineStr">
        <is>
          <t>NzQyNTk5MTgyNzQ4MTg3MDM0MTo3Q0I3MDhGMS0yMkI5LTQ5OTAtQTE2OC1DODczOEZBNDhEMDEtMTo1MWQ2M2MwOTAzMTNkOGIzZDE5YjEwZDhkYjcyMTI1ODox</t>
        </is>
      </c>
      <c r="AH1445"/>
      <c r="AI1445"/>
      <c r="AJ1445"/>
      <c r="AK1445"/>
    </row>
    <row r="1446" ht="25.5" customHeight="1">
      <c r="A1446" s="2" t="str">
        <f>=HYPERLINK("https://applink.larksuite.com/client/mini_program/open?appId=cli_9c7cc8a9a9edd105&amp;mode=appCenter&amp;path_pc=pc/pages/requested/index?instanceId=7504222403325607968&amp;source=bitable&amp;path=pages/detail/index?instanceId=7504222403325607968&amp;source=bitable", "202505140081")</f>
        <v>202505140081</v>
      </c>
      <c r="B1446" t="inlineStr">
        <is>
          <t>Approved</t>
        </is>
      </c>
      <c r="C1446" t="inlineStr">
        <is>
          <t>Procurement Order</t>
        </is>
      </c>
      <c r="D1446" s="3">
        <v>45791.70523148148</v>
      </c>
      <c r="E1446" s="3">
        <v>45796.655706018515</v>
      </c>
      <c r="F1446" t="inlineStr">
        <is>
          <t>Fatima Kathleen M. FLores</t>
        </is>
      </c>
      <c r="G1446" t="inlineStr">
        <is>
          <t>Procurement</t>
        </is>
      </c>
      <c r="H1446"/>
      <c r="I1446"/>
      <c r="J1446" t="inlineStr">
        <is>
          <t>Project</t>
        </is>
      </c>
      <c r="K1446" t="inlineStr">
        <is>
          <t>PDEI - Event Service</t>
        </is>
      </c>
      <c r="L1446" t="inlineStr">
        <is>
          <t>MDL PH S5 Regular Season</t>
        </is>
      </c>
      <c r="M1446" t="inlineStr">
        <is>
          <t>2025TEG-P0004</t>
        </is>
      </c>
      <c r="N1446" t="inlineStr">
        <is>
          <t>Kervin</t>
        </is>
      </c>
      <c r="O1446" t="inlineStr">
        <is>
          <t>202502180057-Kervin-费用报销 - 副本 - 副本 - 副本-2025-02-18 08:36:45</t>
        </is>
      </c>
      <c r="P1446" t="inlineStr">
        <is>
          <t>YES</t>
        </is>
      </c>
      <c r="Q1446"/>
      <c r="R1446" t="inlineStr">
        <is>
          <t>YES</t>
        </is>
      </c>
      <c r="S1446" t="inlineStr">
        <is>
          <t>Outsourced Main CG Operator / Assistant Director</t>
        </is>
      </c>
      <c r="T1446">
        <v>1</v>
      </c>
      <c r="U1446">
        <v>36800</v>
      </c>
      <c r="V1446" t="inlineStr">
        <is>
          <t>PHP</t>
        </is>
      </c>
      <c r="W1446">
        <v>36800</v>
      </c>
      <c r="X1446" s="2" t="str">
        <f>=HYPERLINK("https://www.larksuite.com/approval/admin/previewAttachment?key=PMg7DsJADATQK43Hs_aay9BkFSFIKhQ-xZ4diSLti26I3syjoDIWbGaDSArubIGs6JPTMgtpUZxjX6_LsW-fB7_t0H1s7_m6Let4WqskkS55B2CX0z0lVYXwd_wCAAD__w", "2 attachment(s)")</f>
        <v>2 attachment(s)</v>
      </c>
      <c r="Y1446" t="inlineStr">
        <is>
          <t>Bank Transfer</t>
        </is>
      </c>
      <c r="Z1446" t="inlineStr">
        <is>
          <t>Mark Noel Alcaraz</t>
        </is>
      </c>
      <c r="AA1446" t="inlineStr">
        <is>
          <t>003520333729</t>
        </is>
      </c>
      <c r="AB1446" t="inlineStr">
        <is>
          <t>BDO</t>
        </is>
      </c>
      <c r="AC1446" t="inlineStr">
        <is>
          <t>045 Bancal Meycauayan Bulacan</t>
        </is>
      </c>
      <c r="AD1446" s="4">
        <v>45749</v>
      </c>
      <c r="AE1446" t="inlineStr">
        <is>
          <t>1st Payment - May 16, 2025
2nd Payment - May 30, 2025
Final Payment  Jun 13, 2025</t>
        </is>
      </c>
      <c r="AF1446" s="2"/>
      <c r="AG1446" t="inlineStr">
        <is>
          <t>NzQyNTk5MTgyNzQ4MTg3MDM0MTowNkI0MjY1Qy05MDI0LTRCQjYtQjNFNC1DRkMxMkQ3Njg2NDYtMTpkOWJlMDNhODEwZmY3YTNhN2M0N2QwNjZkNjFlOTMzNzox</t>
        </is>
      </c>
      <c r="AH1446"/>
      <c r="AI1446"/>
      <c r="AJ1446"/>
      <c r="AK1446"/>
    </row>
    <row r="1447" ht="25.5" customHeight="1">
      <c r="A1447" s="2" t="str">
        <f>=HYPERLINK("https://applink.larksuite.com/client/mini_program/open?appId=cli_9c7cc8a9a9edd105&amp;mode=appCenter&amp;path_pc=pc/pages/requested/index?instanceId=7504238956301647911&amp;source=bitable&amp;path=pages/detail/index?instanceId=7504238956301647911&amp;source=bitable", "202505140099")</f>
        <v>202505140099</v>
      </c>
      <c r="B1447" t="inlineStr">
        <is>
          <t>Approved</t>
        </is>
      </c>
      <c r="C1447" t="inlineStr">
        <is>
          <t>Procurement Order</t>
        </is>
      </c>
      <c r="D1447" s="3">
        <v>45791.74983796296</v>
      </c>
      <c r="E1447" s="3">
        <v>45796.51729166666</v>
      </c>
      <c r="F1447" t="inlineStr">
        <is>
          <t>Fatima Kathleen M. FLores</t>
        </is>
      </c>
      <c r="G1447" t="inlineStr">
        <is>
          <t>Procurement</t>
        </is>
      </c>
      <c r="H1447"/>
      <c r="I1447"/>
      <c r="J1447" t="inlineStr">
        <is>
          <t>Project</t>
        </is>
      </c>
      <c r="K1447" t="inlineStr">
        <is>
          <t>PDEI - Game Marketing</t>
        </is>
      </c>
      <c r="L1447" t="inlineStr">
        <is>
          <t>Minotaur x Jollibee GameJoy Launch</t>
        </is>
      </c>
      <c r="M1447" t="inlineStr">
        <is>
          <t>2025TEG-P0091</t>
        </is>
      </c>
      <c r="N1447" t="inlineStr">
        <is>
          <t>Duane Aaron Baret Cadangan</t>
        </is>
      </c>
      <c r="O1447" t="inlineStr">
        <is>
          <t>202504100083-Duane Aaron Baret Cadangan-费用报销 - 副本 - 副本 - 副本-2025-04-10 12:15:10</t>
        </is>
      </c>
      <c r="P1447" t="inlineStr">
        <is>
          <t>YES</t>
        </is>
      </c>
      <c r="Q1447"/>
      <c r="R1447" t="inlineStr">
        <is>
          <t>YES</t>
        </is>
      </c>
      <c r="S1447" t="inlineStr">
        <is>
          <t>Outsourced Event Director</t>
        </is>
      </c>
      <c r="T1447">
        <v>1</v>
      </c>
      <c r="U1447">
        <v>5000</v>
      </c>
      <c r="V1447" t="inlineStr">
        <is>
          <t>PHP</t>
        </is>
      </c>
      <c r="W1447">
        <v>5000</v>
      </c>
      <c r="X1447" s="2" t="str">
        <f>=HYPERLINK("https://www.larksuite.com/approval/admin/previewAttachment?key=PMgxCgJRDATQK80k-UnGy9i4LCIKgqxWObtgYfuyiexFTyFEEzi1EOatlQ5mlMixYZVQTNlsj_3c0fc-bp-y9bSj5n297NuLS2WG8ghvADz93SsipAz8HN8AAAD__w", "2 attachment(s)")</f>
        <v>2 attachment(s)</v>
      </c>
      <c r="Y1447" t="inlineStr">
        <is>
          <t>Bank Transfer</t>
        </is>
      </c>
      <c r="Z1447" t="inlineStr">
        <is>
          <t>Jerome Bacani Pineda</t>
        </is>
      </c>
      <c r="AA1447" t="inlineStr">
        <is>
          <t>3179759828</t>
        </is>
      </c>
      <c r="AB1447" t="inlineStr">
        <is>
          <t>BPI</t>
        </is>
      </c>
      <c r="AC1447" t="inlineStr">
        <is>
          <t>46 Nightingale Street, Strip 70, Concepcion Uno, Marikina City</t>
        </is>
      </c>
      <c r="AD1447" s="4">
        <v>45782</v>
      </c>
      <c r="AE1447" t="inlineStr">
        <is>
          <t>100% Full Payment - May 16, 2025</t>
        </is>
      </c>
      <c r="AF1447" s="2"/>
      <c r="AG1447" t="inlineStr">
        <is>
          <t>NzQyNTk5MTgyNzQ4MTg3MDM0MTo3RjExREUzNy1ERDRDLTQ5ODQtQjhFOS05NUU5MDk5NkYyOTEtMTpiOTY2NWQwYTZlN2ZhYWUwMTE4Mjk5NzA5Njg2M2M2ZDox</t>
        </is>
      </c>
      <c r="AH1447"/>
      <c r="AI1447"/>
      <c r="AJ1447"/>
      <c r="AK1447"/>
    </row>
    <row r="1448" ht="25.5" customHeight="1">
      <c r="A1448" s="2" t="str">
        <f>=HYPERLINK("https://applink.larksuite.com/client/mini_program/open?appId=cli_9c7cc8a9a9edd105&amp;mode=appCenter&amp;path_pc=pc/pages/requested/index?instanceId=7504247628691963942&amp;source=bitable&amp;path=pages/detail/index?instanceId=7504247628691963942&amp;source=bitable", "202505140113")</f>
        <v>202505140113</v>
      </c>
      <c r="B1448" t="inlineStr">
        <is>
          <t>Approved</t>
        </is>
      </c>
      <c r="C1448" t="inlineStr">
        <is>
          <t>Procurement Order</t>
        </is>
      </c>
      <c r="D1448" s="3">
        <v>45791.773206018515</v>
      </c>
      <c r="E1448" s="3">
        <v>45796.51802083333</v>
      </c>
      <c r="F1448" t="inlineStr">
        <is>
          <t>Fatima Kathleen M. FLores</t>
        </is>
      </c>
      <c r="G1448" t="inlineStr">
        <is>
          <t>Procurement</t>
        </is>
      </c>
      <c r="H1448"/>
      <c r="I1448"/>
      <c r="J1448" t="inlineStr">
        <is>
          <t>Project</t>
        </is>
      </c>
      <c r="K1448" t="inlineStr">
        <is>
          <t>PDEI - Game Marketing</t>
        </is>
      </c>
      <c r="L1448" t="inlineStr">
        <is>
          <t>Minotaur x Jollibee GameJoy Launch</t>
        </is>
      </c>
      <c r="M1448" t="inlineStr">
        <is>
          <t>2025TEG-P0091</t>
        </is>
      </c>
      <c r="N1448" t="inlineStr">
        <is>
          <t>Duane Aaron Baret Cadangan</t>
        </is>
      </c>
      <c r="O1448" t="inlineStr">
        <is>
          <t>202504100083-Duane Aaron Baret Cadangan-费用报销 - 副本 - 副本 - 副本-2025-04-10 12:15:10</t>
        </is>
      </c>
      <c r="P1448" t="inlineStr">
        <is>
          <t>YES</t>
        </is>
      </c>
      <c r="Q1448"/>
      <c r="R1448" t="inlineStr">
        <is>
          <t>YES</t>
        </is>
      </c>
      <c r="S1448" t="inlineStr">
        <is>
          <t>Outsourced Camera Director</t>
        </is>
      </c>
      <c r="T1448">
        <v>1</v>
      </c>
      <c r="U1448">
        <v>2000</v>
      </c>
      <c r="V1448" t="inlineStr">
        <is>
          <t>PHP</t>
        </is>
      </c>
      <c r="W1448">
        <v>2000</v>
      </c>
      <c r="X1448" s="2" t="str">
        <f>=HYPERLINK("https://www.larksuite.com/approval/admin/previewAttachment?key=PMgxCgJRDATQK80k-UnGy9i4fMTFShCbnF2wsH3ZRPaipxCiCZxaCItK6xSVrrCxYZVQTNkcz31dqx_9IblPP1Xzvt_28eJSmaE8whsAL3_3iggpAz_HNwAA__8", "2 attachment(s)")</f>
        <v>2 attachment(s)</v>
      </c>
      <c r="Y1448" t="inlineStr">
        <is>
          <t>Bank Transfer</t>
        </is>
      </c>
      <c r="Z1448" t="inlineStr">
        <is>
          <t>Khim Segovia</t>
        </is>
      </c>
      <c r="AA1448" t="inlineStr">
        <is>
          <t>09053390100</t>
        </is>
      </c>
      <c r="AB1448" t="inlineStr">
        <is>
          <t>GCash</t>
        </is>
      </c>
      <c r="AC1448" t="inlineStr">
        <is>
          <t>105 K-6th Street Cubao Quezon City</t>
        </is>
      </c>
      <c r="AD1448" s="4">
        <v>45782</v>
      </c>
      <c r="AE1448" t="inlineStr">
        <is>
          <t>100% Full Payment - May 16, 2025</t>
        </is>
      </c>
      <c r="AF1448" s="2"/>
      <c r="AG1448" t="inlineStr">
        <is>
          <t>NzQyNTk5MTgyNzQ4MTg3MDM0MTpDMTM0RUM1Ny03Rjc1LTQ0NkEtQkFGNi0xMEMzRjJFNUM1NTAtMTo1NmU5NzM4YzYyMmQ2ZDBhNzMwNDliYTExM2IzNDU4OTox</t>
        </is>
      </c>
      <c r="AH1448"/>
      <c r="AI1448"/>
      <c r="AJ1448"/>
      <c r="AK1448"/>
    </row>
    <row r="1449" ht="25.5" customHeight="1">
      <c r="A1449" s="2" t="str">
        <f>=HYPERLINK("https://applink.larksuite.com/client/mini_program/open?appId=cli_9c7cc8a9a9edd105&amp;mode=appCenter&amp;path_pc=pc/pages/requested/index?instanceId=7504252235824496671&amp;source=bitable&amp;path=pages/detail/index?instanceId=7504252235824496671&amp;source=bitable", "202505140121")</f>
        <v>202505140121</v>
      </c>
      <c r="B1449" t="inlineStr">
        <is>
          <t>Approved</t>
        </is>
      </c>
      <c r="C1449" t="inlineStr">
        <is>
          <t>Procurement Order</t>
        </is>
      </c>
      <c r="D1449" s="3">
        <v>45791.785625</v>
      </c>
      <c r="E1449" s="3">
        <v>45796.51907407407</v>
      </c>
      <c r="F1449" t="inlineStr">
        <is>
          <t>Fatima Kathleen M. FLores</t>
        </is>
      </c>
      <c r="G1449" t="inlineStr">
        <is>
          <t>Procurement</t>
        </is>
      </c>
      <c r="H1449"/>
      <c r="I1449"/>
      <c r="J1449" t="inlineStr">
        <is>
          <t>Project</t>
        </is>
      </c>
      <c r="K1449" t="inlineStr">
        <is>
          <t>PDEI - Game Marketing</t>
        </is>
      </c>
      <c r="L1449" t="inlineStr">
        <is>
          <t>Minotaur x Jollibee GameJoy Launch</t>
        </is>
      </c>
      <c r="M1449" t="inlineStr">
        <is>
          <t>2025TEG-P0091</t>
        </is>
      </c>
      <c r="N1449" t="inlineStr">
        <is>
          <t>Duane Aaron Baret Cadangan</t>
        </is>
      </c>
      <c r="O1449" t="inlineStr">
        <is>
          <t>202505030008-Duane Aaron Baret Cadangan-费用报销 - 副本 - 副本 - 副本-2025-05-03 09:12:51</t>
        </is>
      </c>
      <c r="P1449" t="inlineStr">
        <is>
          <t>YES</t>
        </is>
      </c>
      <c r="Q1449"/>
      <c r="R1449" t="inlineStr">
        <is>
          <t>YES</t>
        </is>
      </c>
      <c r="S1449" t="inlineStr">
        <is>
          <t>Outsourced Resolume Operator</t>
        </is>
      </c>
      <c r="T1449">
        <v>1</v>
      </c>
      <c r="U1449">
        <v>95000</v>
      </c>
      <c r="V1449" t="inlineStr">
        <is>
          <t>PHP</t>
        </is>
      </c>
      <c r="W1449">
        <v>95000</v>
      </c>
      <c r="X1449" s="2" t="str">
        <f>=HYPERLINK("https://www.larksuite.com/approval/admin/previewAttachment?key=PMg7DsIwEATQK82uxzseLkNDFPFzhULnsyNRpH01AjV6tDLoSCOWOpg9s_WRpKsUK1dIhqKca5v79ZXH85jye-ihyfW93_btE93KhBrZBoC4nN5E0i7i7_gFAAD__w", "2 attachment(s)")</f>
        <v>2 attachment(s)</v>
      </c>
      <c r="Y1449" t="inlineStr">
        <is>
          <t>Bank Transfer</t>
        </is>
      </c>
      <c r="Z1449" t="inlineStr">
        <is>
          <t>John Sebastian Macabuag</t>
        </is>
      </c>
      <c r="AA1449" t="inlineStr">
        <is>
          <t>109356750810</t>
        </is>
      </c>
      <c r="AB1449" t="inlineStr">
        <is>
          <t>Unionbank</t>
        </is>
      </c>
      <c r="AC1449" t="inlineStr">
        <is>
          <t>#1361 Fruto Santos Avenue, Zapote, Las Pinas City</t>
        </is>
      </c>
      <c r="AD1449" s="4">
        <v>45782</v>
      </c>
      <c r="AE1449" t="inlineStr">
        <is>
          <t>1st Payment - May 16, 2025
Final Payment - May 30, 2025</t>
        </is>
      </c>
      <c r="AF1449" s="2"/>
      <c r="AG1449" t="inlineStr">
        <is>
          <t>NzQyNTk5MTgyNzQ4MTg3MDM0MTo5NkE2NUNBMS1CQTRBLTQ5MzQtODc3RC0xMkUwNTEyM0I3RkUtMTo5NjY3ZDIzY2M2MDcwMmU5M2JkNjAzMzZkZTVmYWYwZTox</t>
        </is>
      </c>
      <c r="AH1449"/>
      <c r="AI1449"/>
      <c r="AJ1449"/>
      <c r="AK1449"/>
    </row>
    <row r="1450" ht="25.5" customHeight="1">
      <c r="A1450" s="2" t="str">
        <f>=HYPERLINK("https://applink.larksuite.com/client/mini_program/open?appId=cli_9c7cc8a9a9edd105&amp;mode=appCenter&amp;path_pc=pc/pages/requested/index?instanceId=7504258047619891239&amp;source=bitable&amp;path=pages/detail/index?instanceId=7504258047619891239&amp;source=bitable", "202505140132")</f>
        <v>202505140132</v>
      </c>
      <c r="B1450" t="inlineStr">
        <is>
          <t>Approved</t>
        </is>
      </c>
      <c r="C1450" t="inlineStr">
        <is>
          <t>Procurement Order</t>
        </is>
      </c>
      <c r="D1450" s="3">
        <v>45791.80128472222</v>
      </c>
      <c r="E1450" s="3">
        <v>45796.51609953704</v>
      </c>
      <c r="F1450" t="inlineStr">
        <is>
          <t>Fatima Kathleen M. FLores</t>
        </is>
      </c>
      <c r="G1450" t="inlineStr">
        <is>
          <t>Procurement</t>
        </is>
      </c>
      <c r="H1450"/>
      <c r="I1450"/>
      <c r="J1450" t="inlineStr">
        <is>
          <t>Project</t>
        </is>
      </c>
      <c r="K1450" t="inlineStr">
        <is>
          <t>PDEI - Game Marketing</t>
        </is>
      </c>
      <c r="L1450" t="inlineStr">
        <is>
          <t>Minotaur x Jollibee GameJoy Launch</t>
        </is>
      </c>
      <c r="M1450" t="inlineStr">
        <is>
          <t>2025TEG-P0091</t>
        </is>
      </c>
      <c r="N1450" t="inlineStr">
        <is>
          <t>Duane Aaron Baret Cadangan</t>
        </is>
      </c>
      <c r="O1450" t="inlineStr">
        <is>
          <t>202505090004-Duane Aaron Baret Cadangan-费用报销 - 副本 - 副本 - 副本-2025-05-09 00:57:14</t>
        </is>
      </c>
      <c r="P1450" t="inlineStr">
        <is>
          <t>YES</t>
        </is>
      </c>
      <c r="Q1450"/>
      <c r="R1450" t="inlineStr">
        <is>
          <t>YES</t>
        </is>
      </c>
      <c r="S1450" t="inlineStr">
        <is>
          <t>Outsourced Graphic Artist</t>
        </is>
      </c>
      <c r="T1450">
        <v>1</v>
      </c>
      <c r="U1450">
        <v>50000</v>
      </c>
      <c r="V1450" t="inlineStr">
        <is>
          <t>PHP</t>
        </is>
      </c>
      <c r="W1450">
        <v>50000</v>
      </c>
      <c r="X1450" s="2" t="str">
        <f>=HYPERLINK("https://www.larksuite.com/approval/admin/previewAttachment?key=PMgxCkIxEATQK81sNrsZL2Pzw0cwqUTRYs8uWNi-GESMzhaCiyawssOtD3gGNURrKitmCsmQ1dzndfWlte885vu5P1av23HOB7vSDNnc2wDAy99bursUjp_jGwAA__8", "2 attachment(s)")</f>
        <v>2 attachment(s)</v>
      </c>
      <c r="Y1450" t="inlineStr">
        <is>
          <t>Bank Transfer</t>
        </is>
      </c>
      <c r="Z1450" t="inlineStr">
        <is>
          <t>Andrea Isabel Atienza</t>
        </is>
      </c>
      <c r="AA1450" t="inlineStr">
        <is>
          <t>09499027308</t>
        </is>
      </c>
      <c r="AB1450" t="inlineStr">
        <is>
          <t>GCash</t>
        </is>
      </c>
      <c r="AC1450" t="inlineStr">
        <is>
          <t>8879 P. Victor St. Guadalupe Nuevo Makati City</t>
        </is>
      </c>
      <c r="AD1450" s="4">
        <v>45782</v>
      </c>
      <c r="AE1450" t="inlineStr">
        <is>
          <t>1st Payment - May 16, 2025
Final Payment - May 30, 2025</t>
        </is>
      </c>
      <c r="AF1450" s="2"/>
      <c r="AG1450" t="inlineStr">
        <is>
          <t>NzQyNTk5MTgyNzQ4MTg3MDM0MTo5MzQwRjAxMS1GNDBELTRCNEQtQUNGMi0yM0UxQkJDODk0QjMtMTpjOGU0MzA3YTQwMjhlMWM5MDAzMDI4ODRhOGVjNDJhZDox</t>
        </is>
      </c>
      <c r="AH1450"/>
      <c r="AI1450"/>
      <c r="AJ1450"/>
      <c r="AK1450"/>
    </row>
    <row r="1451" ht="25.5" customHeight="1">
      <c r="A1451" s="2" t="str">
        <f>=HYPERLINK("https://applink.larksuite.com/client/mini_program/open?appId=cli_9c7cc8a9a9edd105&amp;mode=appCenter&amp;path_pc=pc/pages/requested/index?instanceId=7504616148672036903&amp;source=bitable&amp;path=pages/detail/index?instanceId=7504616148672036903&amp;source=bitable", "202505150103")</f>
        <v>202505150103</v>
      </c>
      <c r="B1451" t="inlineStr">
        <is>
          <t>Approved</t>
        </is>
      </c>
      <c r="C1451" t="inlineStr">
        <is>
          <t>Procurement Order</t>
        </is>
      </c>
      <c r="D1451" s="3">
        <v>45792.76629629629</v>
      </c>
      <c r="E1451" s="3">
        <v>45796.50929398148</v>
      </c>
      <c r="F1451" t="inlineStr">
        <is>
          <t>Fatima Kathleen M. FLores</t>
        </is>
      </c>
      <c r="G1451" t="inlineStr">
        <is>
          <t>Procurement</t>
        </is>
      </c>
      <c r="H1451"/>
      <c r="I1451"/>
      <c r="J1451" t="inlineStr">
        <is>
          <t>Project</t>
        </is>
      </c>
      <c r="K1451" t="inlineStr">
        <is>
          <t>PDEI - Game Marketing</t>
        </is>
      </c>
      <c r="L1451" t="inlineStr">
        <is>
          <t>SM Cyberzone Game Fest</t>
        </is>
      </c>
      <c r="M1451" t="inlineStr">
        <is>
          <t>2025TEG-P0082</t>
        </is>
      </c>
      <c r="N1451" t="inlineStr">
        <is>
          <t>Anteaus Villena</t>
        </is>
      </c>
      <c r="O1451" t="inlineStr">
        <is>
          <t>202504020020-Anteaus Villena-费用报销 - 副本 - 副本 - 副本-2025-04-02 04:13:43</t>
        </is>
      </c>
      <c r="P1451" t="inlineStr">
        <is>
          <t>YES</t>
        </is>
      </c>
      <c r="Q1451"/>
      <c r="R1451" t="inlineStr">
        <is>
          <t>YES</t>
        </is>
      </c>
      <c r="S1451" t="inlineStr">
        <is>
          <t>Outsourced Logistics Associate (SM Clark &amp; Dasma)</t>
        </is>
      </c>
      <c r="T1451">
        <v>1</v>
      </c>
      <c r="U1451">
        <v>18000</v>
      </c>
      <c r="V1451" t="inlineStr">
        <is>
          <t>PHP</t>
        </is>
      </c>
      <c r="W1451">
        <v>18000</v>
      </c>
      <c r="X1451" s="2" t="str">
        <f>=HYPERLINK("https://www.larksuite.com/approval/admin/previewAttachment?key=PMlBCsJQDATQK80k0-THy7hp-YioCILtJmcXXbh9LwYRY6FHQUUrsHOBgkGNSMN3vK2ZWUhGWW_3eX5e_XjsK47bPsXZ78s6txeXSjOkSz4A8PR3T0lVIfwcnwAAAP__", "2 attachment(s)")</f>
        <v>2 attachment(s)</v>
      </c>
      <c r="Y1451" t="inlineStr">
        <is>
          <t>Bank Transfer</t>
        </is>
      </c>
      <c r="Z1451" t="inlineStr">
        <is>
          <t>Adrian Joseph Bernal</t>
        </is>
      </c>
      <c r="AA1451" t="inlineStr">
        <is>
          <t>120902024374</t>
        </is>
      </c>
      <c r="AB1451" t="inlineStr">
        <is>
          <t>Chinabank</t>
        </is>
      </c>
      <c r="AC1451" t="inlineStr">
        <is>
          <t>Unit 6, Pagrai Hills, Antipolo City</t>
        </is>
      </c>
      <c r="AD1451" s="4">
        <v>45759</v>
      </c>
      <c r="AE1451" t="inlineStr">
        <is>
          <t>1st Payment - May 16, 2025
Final Payment - May 23, 2025</t>
        </is>
      </c>
      <c r="AF1451" s="2"/>
      <c r="AG1451" t="inlineStr">
        <is>
          <t>NzQyNTk5MTgyNzQ4MTg3MDM0MTo0NjEzMjg0RC02MEIwLTQ0OUItOTQ5Ny0wQkU5OTBGN0E4REItMTplYjYyYzZmMDBkMGRjMTZmNWFiOWM4ODc3MmIyZWVmMjox</t>
        </is>
      </c>
      <c r="AH1451"/>
      <c r="AI1451"/>
      <c r="AJ1451"/>
      <c r="AK1451"/>
    </row>
    <row r="1452" ht="25.5" customHeight="1">
      <c r="A1452" s="2" t="str">
        <f>=HYPERLINK("https://applink.larksuite.com/client/mini_program/open?appId=cli_9c7cc8a9a9edd105&amp;mode=appCenter&amp;path_pc=pc/pages/requested/index?instanceId=7504918405137334310&amp;source=bitable&amp;path=pages/detail/index?instanceId=7504918405137334310&amp;source=bitable", "202505160041")</f>
        <v>202505160041</v>
      </c>
      <c r="B1452" t="inlineStr">
        <is>
          <t>Approved</t>
        </is>
      </c>
      <c r="C1452" t="inlineStr">
        <is>
          <t>Procurement Order</t>
        </is>
      </c>
      <c r="D1452" s="3">
        <v>45793.58081018519</v>
      </c>
      <c r="E1452" s="3">
        <v>45793.63025462963</v>
      </c>
      <c r="F1452" t="inlineStr">
        <is>
          <t>Fatima Kathleen M. FLores</t>
        </is>
      </c>
      <c r="G1452" t="inlineStr">
        <is>
          <t>Procurement</t>
        </is>
      </c>
      <c r="H1452"/>
      <c r="I1452"/>
      <c r="J1452" t="inlineStr">
        <is>
          <t>Project</t>
        </is>
      </c>
      <c r="K1452" t="inlineStr">
        <is>
          <t>PDEI - Game Marketing</t>
        </is>
      </c>
      <c r="L1452" t="inlineStr">
        <is>
          <t>SM Cyberzone Game Fest</t>
        </is>
      </c>
      <c r="M1452" t="inlineStr">
        <is>
          <t>2025TEG-P0082</t>
        </is>
      </c>
      <c r="N1452" t="inlineStr">
        <is>
          <t>Anteaus Villena</t>
        </is>
      </c>
      <c r="O1452" t="inlineStr">
        <is>
          <t>202505080130-Anteaus Villena-费用报销 - 副本 - 副本 - 副本-2025-05-08 11:47:02</t>
        </is>
      </c>
      <c r="P1452" t="inlineStr">
        <is>
          <t>NO</t>
        </is>
      </c>
      <c r="Q1452"/>
      <c r="R1452" t="inlineStr">
        <is>
          <t>YES</t>
        </is>
      </c>
      <c r="S1452" t="inlineStr">
        <is>
          <t>Outsourced Logistics Service (STP - SM Dasma, Cavite / May 9 &amp; 11, 2025)</t>
        </is>
      </c>
      <c r="T1452">
        <v>1</v>
      </c>
      <c r="U1452">
        <v>21000</v>
      </c>
      <c r="V1452" t="inlineStr">
        <is>
          <t>PHP</t>
        </is>
      </c>
      <c r="W1452">
        <v>21000</v>
      </c>
      <c r="X1452" s="2" t="str">
        <f>=HYPERLINK("https://www.larksuite.com/approval/admin/previewAttachment?key=PMgxCkJBDATQK83sTDaJl7Hx81FBG1Fs9uyihd3jzSJmBTUbbo4GV8aXZQSVkkWssZjZSM7W2m77MaKuukDvet7DWq_zad8ejM4xkLJVAHj4v9J29zR-j08AAAD__w", "2 attachment(s)")</f>
        <v>2 attachment(s)</v>
      </c>
      <c r="Y1452" t="inlineStr">
        <is>
          <t>Bank Transfer</t>
        </is>
      </c>
      <c r="Z1452" t="inlineStr">
        <is>
          <t>Rubelyn De Vera</t>
        </is>
      </c>
      <c r="AA1452" t="inlineStr">
        <is>
          <t>0000064068228</t>
        </is>
      </c>
      <c r="AB1452" t="inlineStr">
        <is>
          <t>Security Bank</t>
        </is>
      </c>
      <c r="AC1452" t="inlineStr">
        <is>
          <t>19 Bagong Kanluran, Paso de Blas, Valenzuela City</t>
        </is>
      </c>
      <c r="AD1452" s="4">
        <v>45786</v>
      </c>
      <c r="AE1452" t="inlineStr">
        <is>
          <t>100% Full Payment upon completion of services</t>
        </is>
      </c>
      <c r="AF1452" s="2" t="str">
        <f>=HYPERLINK("https://www.larksuite.com/approval/admin/previewAttachment?key=TMg9DkFhFATQLc28ub82o_HyBQmNEM1du1DpTk4UEeVUNKy5NTjpX5bBqZRMxGzDzEYyWrPf1tG9rrpA73re3TSv82ntD0YpYO1mbAA8_D2JLoV-j08AAAD__w", "5 attachment(s)")</f>
        <v>5 attachment(s)</v>
      </c>
      <c r="AG1452" t="inlineStr">
        <is>
          <t>NzQyNTk5MTgyNzQ4MTg3MDM0MTo5MUI0QjFGRS05NTgwLTRFNzktOTdCRC1FRDE5NTlGM0ZCODMtMTo3ODhmNDRhZmUzZjdlYTg3M2MyNzQ2ZTI1YzMxZmM5YTox</t>
        </is>
      </c>
      <c r="AH1452"/>
      <c r="AI1452"/>
      <c r="AJ1452"/>
      <c r="AK1452"/>
    </row>
    <row r="1453" ht="25.5" customHeight="1">
      <c r="A1453" s="2" t="str">
        <f>=HYPERLINK("https://applink.larksuite.com/client/mini_program/open?appId=cli_9c7cc8a9a9edd105&amp;mode=appCenter&amp;path_pc=pc/pages/requested/index?instanceId=7504927506458345511&amp;source=bitable&amp;path=pages/detail/index?instanceId=7504927506458345511&amp;source=bitable", "202505160050")</f>
        <v>202505160050</v>
      </c>
      <c r="B1453" t="inlineStr">
        <is>
          <t>Approved</t>
        </is>
      </c>
      <c r="C1453" t="inlineStr">
        <is>
          <t>Procurement Order</t>
        </is>
      </c>
      <c r="D1453" s="3">
        <v>45793.60534722222</v>
      </c>
      <c r="E1453" s="3">
        <v>45799.430601851855</v>
      </c>
      <c r="F1453" t="inlineStr">
        <is>
          <t>Fatima Kathleen M. FLores</t>
        </is>
      </c>
      <c r="G1453" t="inlineStr">
        <is>
          <t>Procurement</t>
        </is>
      </c>
      <c r="H1453"/>
      <c r="I1453"/>
      <c r="J1453" t="inlineStr">
        <is>
          <t>Project</t>
        </is>
      </c>
      <c r="K1453" t="inlineStr">
        <is>
          <t>PDEI - Event Service</t>
        </is>
      </c>
      <c r="L1453" t="inlineStr">
        <is>
          <t>SM Cyberzone Game Fest</t>
        </is>
      </c>
      <c r="M1453" t="inlineStr">
        <is>
          <t>2025TEG-P0082</t>
        </is>
      </c>
      <c r="N1453" t="inlineStr">
        <is>
          <t>Anteaus Villena</t>
        </is>
      </c>
      <c r="O1453" t="inlineStr">
        <is>
          <t>202504070035-Anteaus Villena-费用报销 - 副本 - 副本 - 副本-2025-04-07 05:32:27</t>
        </is>
      </c>
      <c r="P1453" t="inlineStr">
        <is>
          <t>NO</t>
        </is>
      </c>
      <c r="Q1453"/>
      <c r="R1453" t="inlineStr">
        <is>
          <t>YES</t>
        </is>
      </c>
      <c r="S1453" t="inlineStr">
        <is>
          <t>Outsourced Photography &amp; Videography Team</t>
        </is>
      </c>
      <c r="T1453">
        <v>1</v>
      </c>
      <c r="U1453">
        <v>38080</v>
      </c>
      <c r="V1453" t="inlineStr">
        <is>
          <t>PHP</t>
        </is>
      </c>
      <c r="W1453">
        <v>38080</v>
      </c>
      <c r="X1453" s="2" t="str">
        <f>=HYPERLINK("https://www.larksuite.com/approval/admin/previewAttachment?key=PMixDcJQDATQle7ss_3NMjSJIgpCg0Kg-LMjUdC-HESOoGdDTWtwVkBtFUjFcEWQ0yarGsVsn-u-XZdjv5-Pt43zcyg0X7dlW5-MLjOUSz4A8PJ3L0ndKfwc3wAAAP__", "2 attachment(s)")</f>
        <v>2 attachment(s)</v>
      </c>
      <c r="Y1453" t="inlineStr">
        <is>
          <t>Bank Transfer</t>
        </is>
      </c>
      <c r="Z1453" t="inlineStr">
        <is>
          <t>Ryan Matias</t>
        </is>
      </c>
      <c r="AA1453" t="inlineStr">
        <is>
          <t>1996 2285 79</t>
        </is>
      </c>
      <c r="AB1453" t="inlineStr">
        <is>
          <t>BPI</t>
        </is>
      </c>
      <c r="AC1453" t="inlineStr">
        <is>
          <t>21 Lancelot St., Kingsville Court, Mambugan, Antipolo City</t>
        </is>
      </c>
      <c r="AD1453" s="4">
        <v>45784</v>
      </c>
      <c r="AE1453" t="inlineStr">
        <is>
          <t>50% Down payment upon confirmation
50% Full Payment - 14 days upon completion of services</t>
        </is>
      </c>
      <c r="AF1453" s="2"/>
      <c r="AG1453" t="inlineStr">
        <is>
          <t>NzQyNTk5MTgyNzQ4MTg3MDM0MTpCOThEMUNGQi01OTM4LTQxMEMtODZCRi01MEFGODg2RTVCRTAtMTozMTg3ZTZjYTJiMGZkYWMwZTU3ZTBkY2Y1NjBjOGY0Yjox</t>
        </is>
      </c>
      <c r="AH1453"/>
      <c r="AI1453"/>
      <c r="AJ1453"/>
      <c r="AK1453"/>
    </row>
    <row r="1454" ht="25.5" customHeight="1">
      <c r="A1454" s="2" t="str">
        <f>=HYPERLINK("https://applink.larksuite.com/client/mini_program/open?appId=cli_9c7cc8a9a9edd105&amp;mode=appCenter&amp;path_pc=pc/pages/requested/index?instanceId=7576258742623145698&amp;source=bitable&amp;path=pages/detail/index?instanceId=7576258742623145698&amp;source=bitable", "202511240130")</f>
        <v>202511240130</v>
      </c>
      <c r="B1454" t="inlineStr">
        <is>
          <t>Approved</t>
        </is>
      </c>
      <c r="C1454" t="inlineStr">
        <is>
          <t>Procurement Order</t>
        </is>
      </c>
      <c r="D1454" s="3">
        <v>45985.82869212963</v>
      </c>
      <c r="E1454" s="3">
        <v>45986.687997685185</v>
      </c>
      <c r="F1454" t="inlineStr">
        <is>
          <t>Fatima Kathleen M. FLores</t>
        </is>
      </c>
      <c r="G1454" t="inlineStr">
        <is>
          <t>Procurement</t>
        </is>
      </c>
      <c r="H1454"/>
      <c r="I1454"/>
      <c r="J1454" t="inlineStr">
        <is>
          <t>Project</t>
        </is>
      </c>
      <c r="K1454" t="inlineStr">
        <is>
          <t>GG - Event Service</t>
        </is>
      </c>
      <c r="L1454" t="inlineStr">
        <is>
          <t>KIC 2025 - Group Stage &amp; Knockouts</t>
        </is>
      </c>
      <c r="M1454" t="inlineStr">
        <is>
          <t>2025TEG-P0286</t>
        </is>
      </c>
      <c r="N1454" t="inlineStr">
        <is>
          <t>Carla Andrea Calma Crespo</t>
        </is>
      </c>
      <c r="O1454" t="inlineStr">
        <is>
          <t>202511110110-Carla Andrea Calma Crespo-费用报销 - 副本 - 副本 - 副本-2025-11-11 09:41:42</t>
        </is>
      </c>
      <c r="P1454" t="inlineStr">
        <is>
          <t>YES</t>
        </is>
      </c>
      <c r="Q1454"/>
      <c r="R1454" t="inlineStr">
        <is>
          <t>NO</t>
        </is>
      </c>
      <c r="S1454" t="inlineStr">
        <is>
          <t>Outsourced IT Network Cable Management Support</t>
        </is>
      </c>
      <c r="T1454">
        <v>1</v>
      </c>
      <c r="U1454">
        <v>18000</v>
      </c>
      <c r="V1454" t="inlineStr">
        <is>
          <t>PHP</t>
        </is>
      </c>
      <c r="W1454">
        <v>18000</v>
      </c>
      <c r="X1454" s="2" t="str">
        <f>=HYPERLINK("https://www.larksuite.com/approval/admin/previewAttachment?key=PMg7qsJgEAXgLZ15npm7mdsk_CgSGyHEYtYuWNh-WYKsEMuGt2hDhsHUKLqmmnhk1-gI2aDQYvZj_b_Pe9Diehx6Pdc2521b-0uiqQqauxUA-fu50d270_F1fAIAAP__", "2 attachment(s)")</f>
        <v>2 attachment(s)</v>
      </c>
      <c r="Y1454" t="inlineStr">
        <is>
          <t>Bank Transfer</t>
        </is>
      </c>
      <c r="Z1454" t="inlineStr">
        <is>
          <t>Jose Andrew A. Mazaredo</t>
        </is>
      </c>
      <c r="AA1454" t="inlineStr">
        <is>
          <t>09166309613</t>
        </is>
      </c>
      <c r="AB1454" t="inlineStr">
        <is>
          <t>GCash</t>
        </is>
      </c>
      <c r="AC1454" t="inlineStr">
        <is>
          <t>20 P. Ladia St. Project 4, Quezon City</t>
        </is>
      </c>
      <c r="AD1454" s="4">
        <v>45970</v>
      </c>
      <c r="AE1454" t="inlineStr">
        <is>
          <t>1st Payment - Nov. 28, 2025
Final Payment - Dec. 12, 2025</t>
        </is>
      </c>
      <c r="AF1454" s="2"/>
      <c r="AG1454" t="inlineStr">
        <is>
          <t>NzQyNTk5MTgyNzQ4MTg3MDM0MTo0NjQ2M0JDQy1BMUE1LTQyRDktOUIyRi04QzVBREE1OTI1NjktMTo0ZmY4NjE4ZjI3MDJkZDgyMWQwZjE2ZThhZmJlODI5NDox</t>
        </is>
      </c>
      <c r="AH1454" t="inlineStr">
        <is>
          <t>Jose Andrew A. Mazaredo</t>
        </is>
      </c>
      <c r="AI1454"/>
      <c r="AJ1454" t="inlineStr">
        <is>
          <t>LIQUIDITY PLAN (PAR # 202510290062 / 2025TEG-P0286)
1108 CE KIC GS+KO TAB &gt; OPERATIONS TEAM &gt;
Information Tech &gt; IT Support - Ingress &amp; Egress only
Total Remaining Budget = Php 20,100.00
Actual Cost = Php 18,000.00
Balance = Php 2,100.00</t>
        </is>
      </c>
      <c r="AK1454"/>
    </row>
    <row r="1455" ht="25.5" customHeight="1">
      <c r="A1455" s="2" t="str">
        <f>=HYPERLINK("https://applink.larksuite.com/client/mini_program/open?appId=cli_9c7cc8a9a9edd105&amp;mode=appCenter&amp;path_pc=pc/pages/requested/index?instanceId=7576258036793118433&amp;source=bitable&amp;path=pages/detail/index?instanceId=7576258036793118433&amp;source=bitable", "202511240129")</f>
        <v>202511240129</v>
      </c>
      <c r="B1455" t="inlineStr">
        <is>
          <t>Approved</t>
        </is>
      </c>
      <c r="C1455" t="inlineStr">
        <is>
          <t>Procurement Order</t>
        </is>
      </c>
      <c r="D1455" s="3">
        <v>45985.82679398148</v>
      </c>
      <c r="E1455" s="3">
        <v>45986.689409722225</v>
      </c>
      <c r="F1455" t="inlineStr">
        <is>
          <t>Fatima Kathleen M. FLores</t>
        </is>
      </c>
      <c r="G1455" t="inlineStr">
        <is>
          <t>Procurement</t>
        </is>
      </c>
      <c r="H1455"/>
      <c r="I1455"/>
      <c r="J1455" t="inlineStr">
        <is>
          <t>Project</t>
        </is>
      </c>
      <c r="K1455" t="inlineStr">
        <is>
          <t>GG - Event Service</t>
        </is>
      </c>
      <c r="L1455" t="inlineStr">
        <is>
          <t>KIC 2025 - Group Stage &amp; Knockouts</t>
        </is>
      </c>
      <c r="M1455" t="inlineStr">
        <is>
          <t>2025TEG-P0286</t>
        </is>
      </c>
      <c r="N1455" t="inlineStr">
        <is>
          <t>Carla Andrea Calma Crespo</t>
        </is>
      </c>
      <c r="O1455" t="inlineStr">
        <is>
          <t>202511110110-Carla Andrea Calma Crespo-费用报销 - 副本 - 副本 - 副本-2025-11-11 09:41:42</t>
        </is>
      </c>
      <c r="P1455" t="inlineStr">
        <is>
          <t>YES</t>
        </is>
      </c>
      <c r="Q1455"/>
      <c r="R1455" t="inlineStr">
        <is>
          <t>NO</t>
        </is>
      </c>
      <c r="S1455" t="inlineStr">
        <is>
          <t>Outsourced IT Network Cable Management Support</t>
        </is>
      </c>
      <c r="T1455">
        <v>1</v>
      </c>
      <c r="U1455">
        <v>19500</v>
      </c>
      <c r="V1455" t="inlineStr">
        <is>
          <t>PHP</t>
        </is>
      </c>
      <c r="W1455">
        <v>19500</v>
      </c>
      <c r="X1455" s="2" t="str">
        <f>=HYPERLINK("https://www.larksuite.com/approval/admin/previewAttachment?key=PMg9CsJAFATgK83s-9vxMjaGoIUSEBcs3tkFi7RfTiJn0FJwcQjsisoRE5YlI6eb9WhWCcWy6O25Xxcfy_RiHMdXH_S63_btzVCNgTJ3mwB4Od3K3aV0_B2_AAAA__8", "2 attachment(s)")</f>
        <v>2 attachment(s)</v>
      </c>
      <c r="Y1455" t="inlineStr">
        <is>
          <t>Bank Transfer</t>
        </is>
      </c>
      <c r="Z1455" t="inlineStr">
        <is>
          <t>Elton John Lee</t>
        </is>
      </c>
      <c r="AA1455" t="inlineStr">
        <is>
          <t>1993906533791</t>
        </is>
      </c>
      <c r="AB1455" t="inlineStr">
        <is>
          <t>Metrobank</t>
        </is>
      </c>
      <c r="AC1455" t="inlineStr">
        <is>
          <t>22 St. Joseph St. Dela Costa Homes 1, Barangka, Marikina City</t>
        </is>
      </c>
      <c r="AD1455" s="4">
        <v>45970</v>
      </c>
      <c r="AE1455" t="inlineStr">
        <is>
          <t>1st Payment - Nov. 28, 2025
Final Payment - Dec. 12, 2025</t>
        </is>
      </c>
      <c r="AF1455" s="2"/>
      <c r="AG1455" t="inlineStr">
        <is>
          <t>NzQyNTk5MTgyNzQ4MTg3MDM0MTo3Q0U0NTQzRS0wNjc1LTRDRTYtOUFBMi1ENzI1NUY1Q0ZGNTItMTplOTBjYTlhNWM1NDUzY2VmYmEzNWQ0OTc0YWM2MDgyNDox</t>
        </is>
      </c>
      <c r="AH1455" t="inlineStr">
        <is>
          <t>Elton John Lee</t>
        </is>
      </c>
      <c r="AI1455"/>
      <c r="AJ1455" t="inlineStr">
        <is>
          <t>LIQUIDITY PLAN (PAR # 202510290062 / 2025TEG-P0286)
1108 CE KIC GS+KO TAB &gt; OPERATIONS TEAM &gt;
Information Tech &gt; IT Support - Ingress &amp; Egress only
Total Budget = Php 39,600.00
Actual Cost = Php 19,500.00
Balance = Php 20,100.00</t>
        </is>
      </c>
      <c r="AK1455"/>
    </row>
    <row r="1456" ht="25.5" customHeight="1">
      <c r="A1456" s="2" t="str">
        <f>=HYPERLINK("https://applink.larksuite.com/client/mini_program/open?appId=cli_9c7cc8a9a9edd105&amp;mode=appCenter&amp;path_pc=pc/pages/requested/index?instanceId=7576274931298602718&amp;source=bitable&amp;path=pages/detail/index?instanceId=7576274931298602718&amp;source=bitable", "202511240136")</f>
        <v>202511240136</v>
      </c>
      <c r="B1456" t="inlineStr">
        <is>
          <t>Approved</t>
        </is>
      </c>
      <c r="C1456" t="inlineStr">
        <is>
          <t>Procurement Order</t>
        </is>
      </c>
      <c r="D1456" s="3">
        <v>45985.87231481481</v>
      </c>
      <c r="E1456" s="3">
        <v>45986.69195601852</v>
      </c>
      <c r="F1456" t="inlineStr">
        <is>
          <t>Fatima Kathleen M. FLores</t>
        </is>
      </c>
      <c r="G1456" t="inlineStr">
        <is>
          <t>Procurement</t>
        </is>
      </c>
      <c r="H1456"/>
      <c r="I1456"/>
      <c r="J1456" t="inlineStr">
        <is>
          <t>Project</t>
        </is>
      </c>
      <c r="K1456" t="inlineStr">
        <is>
          <t>GG - Event Service</t>
        </is>
      </c>
      <c r="L1456" t="inlineStr">
        <is>
          <t>KIC 2025 - Group Stage &amp; Knockouts</t>
        </is>
      </c>
      <c r="M1456" t="inlineStr">
        <is>
          <t>2025TEG-P0286</t>
        </is>
      </c>
      <c r="N1456" t="inlineStr">
        <is>
          <t>Carla Andrea Calma Crespo</t>
        </is>
      </c>
      <c r="O1456" t="inlineStr">
        <is>
          <t>202511110131-Carla Andrea Calma Crespo-费用报销 - 副本 - 副本 - 副本-2025-11-11 10:44:59</t>
        </is>
      </c>
      <c r="P1456" t="inlineStr">
        <is>
          <t>YES</t>
        </is>
      </c>
      <c r="Q1456"/>
      <c r="R1456" t="inlineStr">
        <is>
          <t>NO</t>
        </is>
      </c>
      <c r="S1456" t="inlineStr">
        <is>
          <t>Outsourced Rehearsal Stand-ins</t>
        </is>
      </c>
      <c r="T1456">
        <v>1</v>
      </c>
      <c r="U1456">
        <v>24000</v>
      </c>
      <c r="V1456" t="inlineStr">
        <is>
          <t>PHP</t>
        </is>
      </c>
      <c r="W1456">
        <v>24000</v>
      </c>
      <c r="X1456" s="2" t="str">
        <f>=HYPERLINK("https://www.larksuite.com/approval/admin/previewAttachment?key=PMgxCkJBDATQK80k2UziZWxcFkV_JYrNnl2wsH1ZRNagZyOa1uDWUJqindaVMLG2bUoNUZ57Huvsh5aNuuk1Hp_73O_rZc0nR8sM8ggvADz93RUR3Rn4Ob4BAAD__w", "2 attachment(s)")</f>
        <v>2 attachment(s)</v>
      </c>
      <c r="Y1456" t="inlineStr">
        <is>
          <t>Bank Transfer</t>
        </is>
      </c>
      <c r="Z1456" t="inlineStr">
        <is>
          <t>John Benigno R. Magat</t>
        </is>
      </c>
      <c r="AA1456" t="inlineStr">
        <is>
          <t>046110005388</t>
        </is>
      </c>
      <c r="AB1456" t="inlineStr">
        <is>
          <t>PSBank</t>
        </is>
      </c>
      <c r="AC1456" t="inlineStr">
        <is>
          <t>228 Grissom st. Brgy Moonwalk Paranaque Metro Manila</t>
        </is>
      </c>
      <c r="AD1456" s="4">
        <v>45958</v>
      </c>
      <c r="AE1456" t="inlineStr">
        <is>
          <t>1st Payment - Nov. 28, 2025
Final Payment - Dec. 5, 2025</t>
        </is>
      </c>
      <c r="AF1456" s="2"/>
      <c r="AG1456" t="inlineStr">
        <is>
          <t>NzQyNTk5MTgyNzQ4MTg3MDM0MTpBQTY1QzZCMC02OTQwLTQ2RUEtOEYyMS02MkYxNUMzQjQwNUQtMToxYWY4OThjNDMxZGYxMGFmOGI3MGVlYjMxOTQyOGNhZDox</t>
        </is>
      </c>
      <c r="AH1456" t="inlineStr">
        <is>
          <t>John Benigno R. Magat</t>
        </is>
      </c>
      <c r="AI1456"/>
      <c r="AJ1456" t="inlineStr">
        <is>
          <t>LIQUIDITY PLAN (PAR # 202510290062 / 2025TEG-P0286)
1108 CE KIC GS+KO TAB &gt; BROADCAST TEAM &gt;
Rehearsal Stand-ins (Dummy)
Total Budget = Php 28,800.00
Actual Cost = Php 24,000.00
Balance = Php 4,800.00</t>
        </is>
      </c>
      <c r="AK1456"/>
    </row>
    <row r="1457" ht="25.5" customHeight="1">
      <c r="A1457" s="2" t="str">
        <f>=HYPERLINK("https://applink.larksuite.com/client/mini_program/open?appId=cli_9c7cc8a9a9edd105&amp;mode=appCenter&amp;path_pc=pc/pages/requested/index?instanceId=7576273573627580129&amp;source=bitable&amp;path=pages/detail/index?instanceId=7576273573627580129&amp;source=bitable", "202511240135")</f>
        <v>202511240135</v>
      </c>
      <c r="B1457" t="inlineStr">
        <is>
          <t>Approved</t>
        </is>
      </c>
      <c r="C1457" t="inlineStr">
        <is>
          <t>Procurement Order</t>
        </is>
      </c>
      <c r="D1457" s="3">
        <v>45985.86865740741</v>
      </c>
      <c r="E1457" s="3">
        <v>45986.69353009259</v>
      </c>
      <c r="F1457" t="inlineStr">
        <is>
          <t>Fatima Kathleen M. FLores</t>
        </is>
      </c>
      <c r="G1457" t="inlineStr">
        <is>
          <t>Procurement</t>
        </is>
      </c>
      <c r="H1457"/>
      <c r="I1457"/>
      <c r="J1457" t="inlineStr">
        <is>
          <t>Project</t>
        </is>
      </c>
      <c r="K1457" t="inlineStr">
        <is>
          <t>GG - Event Service</t>
        </is>
      </c>
      <c r="L1457" t="inlineStr">
        <is>
          <t>KIC 2025 - Group Stage &amp; Knockouts</t>
        </is>
      </c>
      <c r="M1457" t="inlineStr">
        <is>
          <t>2025TEG-P0286</t>
        </is>
      </c>
      <c r="N1457" t="inlineStr">
        <is>
          <t>Carla Andrea Calma Crespo</t>
        </is>
      </c>
      <c r="O1457" t="inlineStr">
        <is>
          <t>202511110115-Carla Andrea Calma Crespo-费用报销 - 副本 - 副本 - 副本-2025-11-11 10:13:09</t>
        </is>
      </c>
      <c r="P1457" t="inlineStr">
        <is>
          <t>YES</t>
        </is>
      </c>
      <c r="Q1457"/>
      <c r="R1457" t="inlineStr">
        <is>
          <t>NO</t>
        </is>
      </c>
      <c r="S1457" t="inlineStr">
        <is>
          <t>Outsourced Technical Assistant (Ingress/Egress)</t>
        </is>
      </c>
      <c r="T1457">
        <v>1</v>
      </c>
      <c r="U1457">
        <v>40000</v>
      </c>
      <c r="V1457" t="inlineStr">
        <is>
          <t>PHP</t>
        </is>
      </c>
      <c r="W1457">
        <v>40000</v>
      </c>
      <c r="X1457" s="2" t="str">
        <f>=HYPERLINK("https://www.larksuite.com/approval/admin/previewAttachment?key=PMg9CgIxEAXgK735fRkvY-MSRLSSBC3m7ILFtl8OQY4Qy4KXaEGawVRa0FIZA6LV2kIWKLTs4zWvEXt-P3jstWo-rff9No-3RFEVNHcbAORyutHdq9Lxd_wCAAD__w", "2 attachment(s)")</f>
        <v>2 attachment(s)</v>
      </c>
      <c r="Y1457" t="inlineStr">
        <is>
          <t>Bank Transfer</t>
        </is>
      </c>
      <c r="Z1457" t="inlineStr">
        <is>
          <t>John Radilh Mancao</t>
        </is>
      </c>
      <c r="AA1457" t="inlineStr">
        <is>
          <t>010060106856</t>
        </is>
      </c>
      <c r="AB1457" t="inlineStr">
        <is>
          <t>GoTyme Bank</t>
        </is>
      </c>
      <c r="AC1457" t="inlineStr">
        <is>
          <t>302 A ALAGAO ST. COMEMBO, TAGUIG CITY</t>
        </is>
      </c>
      <c r="AD1457" s="4">
        <v>45958</v>
      </c>
      <c r="AE1457" t="inlineStr">
        <is>
          <t>1st Payment - Nov. 28, 2025
Final Payment - Dec. 28, 2025</t>
        </is>
      </c>
      <c r="AF1457" s="2"/>
      <c r="AG1457" t="inlineStr">
        <is>
          <t>NzQyNTk5MTgyNzQ4MTg3MDM0MTozQzU3NzBENS01OUJDLTRGODktQjYyNi1ERkRGMURDMTYzQjktMToxNzdjMzFjOWM4ZDlmM2RiNTJlODIzYTE3ZGEzMTI3NDox</t>
        </is>
      </c>
      <c r="AH1457" t="inlineStr">
        <is>
          <t>John Radilh Mancao</t>
        </is>
      </c>
      <c r="AI1457"/>
      <c r="AJ1457" t="inlineStr">
        <is>
          <t>LIQUIDITY PLAN (PAR # 202510290062 / 2025TEG-P0286)
1108 CE KIC GS+KO TAB &gt; BROADCAST TEAM &gt;
Technical Assistant (Execution)
Total Remaining Budget = Php 45,600.00
Actual Cost = Php 40,000.00
Balance = Php 5,600.00</t>
        </is>
      </c>
      <c r="AK1457"/>
    </row>
    <row r="1458" ht="25.5" customHeight="1">
      <c r="A1458" s="2" t="str">
        <f>=HYPERLINK("https://applink.larksuite.com/client/mini_program/open?appId=cli_9c7cc8a9a9edd105&amp;mode=appCenter&amp;path_pc=pc/pages/requested/index?instanceId=7576187069404319456&amp;source=bitable&amp;path=pages/detail/index?instanceId=7576187069404319456&amp;source=bitable", "202511240062")</f>
        <v>202511240062</v>
      </c>
      <c r="B1458" t="inlineStr">
        <is>
          <t>Approved</t>
        </is>
      </c>
      <c r="C1458" t="inlineStr">
        <is>
          <t>Procurement Order</t>
        </is>
      </c>
      <c r="D1458" s="3">
        <v>45985.63555555556</v>
      </c>
      <c r="E1458" s="3">
        <v>45986.649039351854</v>
      </c>
      <c r="F1458" t="inlineStr">
        <is>
          <t>Fatima Kathleen M. FLores</t>
        </is>
      </c>
      <c r="G1458" t="inlineStr">
        <is>
          <t>Procurement</t>
        </is>
      </c>
      <c r="H1458"/>
      <c r="I1458"/>
      <c r="J1458" t="inlineStr">
        <is>
          <t>Project</t>
        </is>
      </c>
      <c r="K1458" t="inlineStr">
        <is>
          <t>GG - Event Service</t>
        </is>
      </c>
      <c r="L1458" t="inlineStr">
        <is>
          <t>KIC 2025 - Carnival [Playoffs]</t>
        </is>
      </c>
      <c r="M1458" t="inlineStr">
        <is>
          <t>2025TEG-P0316</t>
        </is>
      </c>
      <c r="N1458" t="inlineStr">
        <is>
          <t>Maura Aurel Atilano Yap</t>
        </is>
      </c>
      <c r="O1458" t="inlineStr">
        <is>
          <t>202511240058-Maura Aurel Atilano Yap-费用报销 - 副本 - 副本 - 副本-2025-11-24 07:03:58</t>
        </is>
      </c>
      <c r="P1458" t="inlineStr">
        <is>
          <t>NO</t>
        </is>
      </c>
      <c r="Q1458"/>
      <c r="R1458" t="inlineStr">
        <is>
          <t>YES</t>
        </is>
      </c>
      <c r="S1458" t="inlineStr">
        <is>
          <t>Fabrication of Backdrops</t>
        </is>
      </c>
      <c r="T1458">
        <v>1</v>
      </c>
      <c r="U1458">
        <v>155666.56</v>
      </c>
      <c r="V1458" t="inlineStr">
        <is>
          <t>PHP</t>
        </is>
      </c>
      <c r="W1458">
        <v>155666.56</v>
      </c>
      <c r="X1458" s="2" t="str">
        <f>=HYPERLINK("https://www.larksuite.com/approval/admin/previewAttachment?key=PMg9CkIxEATgK81mfybjZWx8PBRMJUSbPbtgYfvVNNRM8xJCNgRrJssmUQqEmyKrRxsp0OjVxzqvmft8iPvDtd5P732_ncfLUhwD9AifAOzyd2dESBX4Ob4BAAD__w", "2 attachment(s)")</f>
        <v>2 attachment(s)</v>
      </c>
      <c r="Y1458" t="inlineStr">
        <is>
          <t>Bank Transfer</t>
        </is>
      </c>
      <c r="Z1458" t="inlineStr">
        <is>
          <t>Marivic Reotan</t>
        </is>
      </c>
      <c r="AA1458" t="inlineStr">
        <is>
          <t>0429800633</t>
        </is>
      </c>
      <c r="AB1458" t="inlineStr">
        <is>
          <t>BPI</t>
        </is>
      </c>
      <c r="AC1458" t="inlineStr">
        <is>
          <t>72 Tumana Dulo, Bagong Silangan, District 2, QC</t>
        </is>
      </c>
      <c r="AD1458" s="4">
        <v>45986</v>
      </c>
      <c r="AE1458" t="inlineStr">
        <is>
          <t>60% Down Payment upon confirmation
40% Balance - Dec. 5, 2025
NOTE: VENDOR IS STILL IN THE PROCESSING THEIR BIR 2303. AS PER AGREEMENT, THEY'LL ISSUE OFFICIAL INVOICE  ON THE FINAL PAYMENT.</t>
        </is>
      </c>
      <c r="AF1458" s="2" t="str">
        <f>=HYPERLINK("https://www.larksuite.com/approval/admin/previewAttachment?key=TMg9CgIxFATgK83s-8t4GRuXoGAqIdq8swtWtl8OIkfQUnDxENgVlRyFlMON8sg-mlVCsSz7XPMasedDtT-11vtpve-3eb6YwxKucKcA8PLnJDQs7ef4BgAA__8", "5 attachment(s)")</f>
        <v>5 attachment(s)</v>
      </c>
      <c r="AG1458" t="inlineStr">
        <is>
          <t>NzQyNTk5MTgyNzQ4MTg3MDM0MTpGODIyODVDMS1FNjQxLTREOTItQkYwMC1EQ0U1QjRENDQ2NzYtMTpmZjg1MTVjNWQxOGFkZjE2NTY1MzZjODY1OWM0YTcxNjox</t>
        </is>
      </c>
      <c r="AH1458" t="inlineStr">
        <is>
          <t>M.F.R. Designs</t>
        </is>
      </c>
      <c r="AI1458"/>
      <c r="AJ1458" t="inlineStr">
        <is>
          <t>LIQUIDITY PLAN (PAR # 202511190039 / 2025TEG-P0316)
FABRICATION &gt; GRAND FINALS &gt;
Signages &amp; Backdrops &gt; 
Sign Wall
Buff &amp; Nerf Backdrop
Lapu-Lapu Backdrop
Total Budget = Php 75,000.00
Actual Cost = Php 155,666.56
Balance = (Php 80,666.56) OVER BUDGET</t>
        </is>
      </c>
      <c r="AK1458"/>
    </row>
    <row r="1459" ht="25.5" customHeight="1">
      <c r="A1459" s="2" t="str">
        <f>=HYPERLINK("https://applink.larksuite.com/client/mini_program/open?appId=cli_9c7cc8a9a9edd105&amp;mode=appCenter&amp;path_pc=pc/pages/requested/index?instanceId=7576238761151827680&amp;source=bitable&amp;path=pages/detail/index?instanceId=7576238761151827680&amp;source=bitable", "202511240109")</f>
        <v>202511240109</v>
      </c>
      <c r="B1459" t="inlineStr">
        <is>
          <t>Approved</t>
        </is>
      </c>
      <c r="C1459" t="inlineStr">
        <is>
          <t>Procurement Order</t>
        </is>
      </c>
      <c r="D1459" s="3">
        <v>45985.77484953704</v>
      </c>
      <c r="E1459" s="3">
        <v>45986.67978009259</v>
      </c>
      <c r="F1459" t="inlineStr">
        <is>
          <t>Fatima Kathleen M. FLores</t>
        </is>
      </c>
      <c r="G1459" t="inlineStr">
        <is>
          <t>Procurement</t>
        </is>
      </c>
      <c r="H1459"/>
      <c r="I1459"/>
      <c r="J1459" t="inlineStr">
        <is>
          <t>Project</t>
        </is>
      </c>
      <c r="K1459" t="inlineStr">
        <is>
          <t>GG - Event Service</t>
        </is>
      </c>
      <c r="L1459" t="inlineStr">
        <is>
          <t>KIC 2025 - Carnival [Playoffs]</t>
        </is>
      </c>
      <c r="M1459" t="inlineStr">
        <is>
          <t>2025TEG-P0316</t>
        </is>
      </c>
      <c r="N1459" t="inlineStr">
        <is>
          <t>Maura Aurel Atilano Yap</t>
        </is>
      </c>
      <c r="O1459" t="inlineStr">
        <is>
          <t>202511240060-Maura Aurel Atilano Yap-费用报销 - 副本 - 副本 - 副本-2025-11-24 07:07:17</t>
        </is>
      </c>
      <c r="P1459" t="inlineStr">
        <is>
          <t>NO</t>
        </is>
      </c>
      <c r="Q1459"/>
      <c r="R1459" t="inlineStr">
        <is>
          <t>YES</t>
        </is>
      </c>
      <c r="S1459" t="inlineStr">
        <is>
          <t>Carnival On-ground Fabrication</t>
        </is>
      </c>
      <c r="T1459">
        <v>1</v>
      </c>
      <c r="U1459">
        <v>118720</v>
      </c>
      <c r="V1459" t="inlineStr">
        <is>
          <t>PHP</t>
        </is>
      </c>
      <c r="W1459">
        <v>118720</v>
      </c>
      <c r="X1459" s="2" t="str">
        <f>=HYPERLINK("https://www.larksuite.com/approval/admin/previewAttachment?key=PMg7isNAEATQK1X1r7r3MptIDEagyGBwMGc3OHD6qonqpNcghjbgVqrMW0Um21SNbZvSQJTXPu_135HryGviXn29tV-PY51P5sgM8ghvAPz7uSsiZirwdXwCAAD__w", "2 attachment(s)")</f>
        <v>2 attachment(s)</v>
      </c>
      <c r="Y1459" t="inlineStr">
        <is>
          <t>Bank Transfer</t>
        </is>
      </c>
      <c r="Z1459" t="inlineStr">
        <is>
          <t>STAGE ONE EVENT SERVICES CORP.</t>
        </is>
      </c>
      <c r="AA1459" t="inlineStr">
        <is>
          <t>0124 0800 3549</t>
        </is>
      </c>
      <c r="AB1459" t="inlineStr">
        <is>
          <t>BDO</t>
        </is>
      </c>
      <c r="AC1459" t="inlineStr">
        <is>
          <t>Kamagong St. cor. Ipil St. Hillcrest Village, Brgy. 173 Camarin, Caloocan</t>
        </is>
      </c>
      <c r="AD1459" s="4">
        <v>45985</v>
      </c>
      <c r="AE1459" t="inlineStr">
        <is>
          <t>70% Down Payment upon confirmation
30% Final payment - 30 days upon completion of services</t>
        </is>
      </c>
      <c r="AF1459" s="2"/>
      <c r="AG1459" t="inlineStr">
        <is>
          <t>NzQyNTk5MTgyNzQ4MTg3MDM0MTo0QzEzQkZBQy02QjYzLTRENDctQTgxOC00QzY2REZFRjg4NjQtMTo0NDBjY2QyY2U5N2JmMDA1N2Q0Nzk3M2I2NWI5MDQ1Mjox</t>
        </is>
      </c>
      <c r="AH1459" t="inlineStr">
        <is>
          <t>STAGE ONE EVENT SERVICES CORP.</t>
        </is>
      </c>
      <c r="AI1459"/>
      <c r="AJ1459" t="inlineStr">
        <is>
          <t>LIQUIDITY PLAN (PAR # 202511190039 / 2025TEG-P0316)
BOOTHS &gt; GRAND FINALS &gt;
Shooting Game Booth &gt; Shooting Game
Color Game Booth &gt; Color Game
Total Budget = Php 100,000.00
Actual Cost = Php 118,720.00
Balance = (Php 18,720.00) OVER BUDGET</t>
        </is>
      </c>
      <c r="AK1459"/>
    </row>
    <row r="1460" ht="25.5" customHeight="1">
      <c r="A1460" s="2" t="str">
        <f>=HYPERLINK("https://applink.larksuite.com/client/mini_program/open?appId=cli_9c7cc8a9a9edd105&amp;mode=appCenter&amp;path_pc=pc/pages/requested/index?instanceId=7576510649501535966&amp;source=bitable&amp;path=pages/detail/index?instanceId=7576510649501535966&amp;source=bitable", "202511250020")</f>
        <v>202511250020</v>
      </c>
      <c r="B1460" t="inlineStr">
        <is>
          <t>Approved</t>
        </is>
      </c>
      <c r="C1460" t="inlineStr">
        <is>
          <t>Procurement Order</t>
        </is>
      </c>
      <c r="D1460" s="3">
        <v>45986.50753472222</v>
      </c>
      <c r="E1460" s="3">
        <v>45986.694189814814</v>
      </c>
      <c r="F1460" t="inlineStr">
        <is>
          <t>Fatima Kathleen M. FLores</t>
        </is>
      </c>
      <c r="G1460" t="inlineStr">
        <is>
          <t>Procurement</t>
        </is>
      </c>
      <c r="H1460"/>
      <c r="I1460"/>
      <c r="J1460" t="inlineStr">
        <is>
          <t>Project</t>
        </is>
      </c>
      <c r="K1460" t="inlineStr">
        <is>
          <t>GG - Event Service</t>
        </is>
      </c>
      <c r="L1460" t="inlineStr">
        <is>
          <t>KIC 2025 - Group Stage &amp; Knockouts</t>
        </is>
      </c>
      <c r="M1460" t="inlineStr">
        <is>
          <t>2025TEG-P0286</t>
        </is>
      </c>
      <c r="N1460" t="inlineStr">
        <is>
          <t>Carla Andrea Calma Crespo</t>
        </is>
      </c>
      <c r="O1460" t="inlineStr">
        <is>
          <t>202511110129-Carla Andrea Calma Crespo-费用报销 - 副本 - 副本 - 副本-2025-11-11 10:39:59</t>
        </is>
      </c>
      <c r="P1460" t="inlineStr">
        <is>
          <t>YES</t>
        </is>
      </c>
      <c r="Q1460"/>
      <c r="R1460" t="inlineStr">
        <is>
          <t>NO</t>
        </is>
      </c>
      <c r="S1460" t="inlineStr">
        <is>
          <t>Outsourced Technical Assistant</t>
        </is>
      </c>
      <c r="T1460">
        <v>1</v>
      </c>
      <c r="U1460">
        <v>25500</v>
      </c>
      <c r="V1460" t="inlineStr">
        <is>
          <t>PHP</t>
        </is>
      </c>
      <c r="W1460">
        <v>25500</v>
      </c>
      <c r="X1460" s="2" t="str">
        <f>=HYPERLINK("https://www.larksuite.com/approval/admin/previewAttachment?key=PMg9CsJQEATgK828_Zm3XsYmIUgkNkLQYs8uWKT9chI5g5YFL44CW6EMIr0CDIvK7NGUCqIsez22-_HF6zldn_3kHkufj2Vb34zSGJC52wTA2-Umd69Kx9_xCwAA__8", "2 attachment(s)")</f>
        <v>2 attachment(s)</v>
      </c>
      <c r="Y1460" t="inlineStr">
        <is>
          <t>Bank Transfer</t>
        </is>
      </c>
      <c r="Z1460" t="inlineStr">
        <is>
          <t>Kenneth Bayona</t>
        </is>
      </c>
      <c r="AA1460" t="inlineStr">
        <is>
          <t>09484380719</t>
        </is>
      </c>
      <c r="AB1460" t="inlineStr">
        <is>
          <t>GCash</t>
        </is>
      </c>
      <c r="AC1460" t="inlineStr">
        <is>
          <t>San Nicolas 2nd, Magalang, Pampanga</t>
        </is>
      </c>
      <c r="AD1460" s="4">
        <v>45969</v>
      </c>
      <c r="AE1460" t="inlineStr">
        <is>
          <t>1st Payment - Nov. 28, 2025
Final Payment - Dec. 5, 2025</t>
        </is>
      </c>
      <c r="AF1460" s="2"/>
      <c r="AG1460" t="inlineStr">
        <is>
          <t>NzQyNTk5MTgyNzQ4MTg3MDM0MTo2NzZERDY0OS1EOUJGLTRBMjgtOTJDRS0zQkQ5RUI3NjQ2NTctMTphZjc3ZGUzNzI5MTI4ZjMxNWEyYTEzYTI0NzA4ZmZiNTox</t>
        </is>
      </c>
      <c r="AH1460" t="inlineStr">
        <is>
          <t>Kenneth Bayona</t>
        </is>
      </c>
      <c r="AI1460"/>
      <c r="AJ1460" t="inlineStr">
        <is>
          <t>LIQUIDITY PLAN (PAR # 202510290062 / 2025TEG-P0286)
1108 CE KIC GS+KO TAB &gt; BROADCAST TEAM &gt;
Technical Assistant (Ingress/Egress)
Total Budget = Php 27,000.00
Actual Cost = Php 25,500.00
Balance = Php 1,500.00</t>
        </is>
      </c>
      <c r="AK1460"/>
    </row>
    <row r="1461" ht="25.5" customHeight="1">
      <c r="A1461" s="2" t="str">
        <f>=HYPERLINK("https://applink.larksuite.com/client/mini_program/open?appId=cli_9c7cc8a9a9edd105&amp;mode=appCenter&amp;path_pc=pc/pages/requested/index?instanceId=7576511785566523101&amp;source=bitable&amp;path=pages/detail/index?instanceId=7576511785566523101&amp;source=bitable", "202511250023")</f>
        <v>202511250023</v>
      </c>
      <c r="B1461" t="inlineStr">
        <is>
          <t>Approved</t>
        </is>
      </c>
      <c r="C1461" t="inlineStr">
        <is>
          <t>Procurement Order</t>
        </is>
      </c>
      <c r="D1461" s="3">
        <v>45986.51059027778</v>
      </c>
      <c r="E1461" s="3">
        <v>45986.69478009259</v>
      </c>
      <c r="F1461" t="inlineStr">
        <is>
          <t>Fatima Kathleen M. FLores</t>
        </is>
      </c>
      <c r="G1461" t="inlineStr">
        <is>
          <t>Procurement</t>
        </is>
      </c>
      <c r="H1461"/>
      <c r="I1461"/>
      <c r="J1461" t="inlineStr">
        <is>
          <t>Project</t>
        </is>
      </c>
      <c r="K1461" t="inlineStr">
        <is>
          <t>GG - Event Service</t>
        </is>
      </c>
      <c r="L1461" t="inlineStr">
        <is>
          <t>KIC 2025 - Group Stage &amp; Knockouts</t>
        </is>
      </c>
      <c r="M1461" t="inlineStr">
        <is>
          <t>2025TEG-P0286</t>
        </is>
      </c>
      <c r="N1461" t="inlineStr">
        <is>
          <t>Carla Andrea Calma Crespo</t>
        </is>
      </c>
      <c r="O1461" t="inlineStr">
        <is>
          <t>202511120020-Carla Andrea Calma Crespo-费用报销 - 副本 - 副本 - 副本-2025-11-12 02:59:05</t>
        </is>
      </c>
      <c r="P1461" t="inlineStr">
        <is>
          <t>YES</t>
        </is>
      </c>
      <c r="Q1461"/>
      <c r="R1461" t="inlineStr">
        <is>
          <t>NO</t>
        </is>
      </c>
      <c r="S1461" t="inlineStr">
        <is>
          <t>Outsourced Camera Operator</t>
        </is>
      </c>
      <c r="T1461">
        <v>1</v>
      </c>
      <c r="U1461">
        <v>17500</v>
      </c>
      <c r="V1461" t="inlineStr">
        <is>
          <t>PHP</t>
        </is>
      </c>
      <c r="W1461">
        <v>17500</v>
      </c>
      <c r="X1461" s="2" t="str">
        <f>=HYPERLINK("https://www.larksuite.com/approval/admin/previewAttachment?key=PMg9CsJQEATgK828_ZldL2NjCAZJJUmweGcXLGy_LCIraNnw5mhwKpRBqiIyYxjBOSalhijLuezr_XNu9bLrOLTVNfZ5Ph_r8ma0xoDM3QoAb383uXt3On6ObwAAAP__", "2 attachment(s)")</f>
        <v>2 attachment(s)</v>
      </c>
      <c r="Y1461" t="inlineStr">
        <is>
          <t>Bank Transfer</t>
        </is>
      </c>
      <c r="Z1461" t="inlineStr">
        <is>
          <t>Khim Segovia</t>
        </is>
      </c>
      <c r="AA1461" t="inlineStr">
        <is>
          <t>09053390100</t>
        </is>
      </c>
      <c r="AB1461" t="inlineStr">
        <is>
          <t>GCash</t>
        </is>
      </c>
      <c r="AC1461" t="inlineStr">
        <is>
          <t>105 K-6th Street Cubao Quezon City</t>
        </is>
      </c>
      <c r="AD1461" s="4">
        <v>45973</v>
      </c>
      <c r="AE1461" t="inlineStr">
        <is>
          <t>100% Full Payment - Nov. 28, 2025</t>
        </is>
      </c>
      <c r="AF1461" s="2"/>
      <c r="AG1461" t="inlineStr">
        <is>
          <t>NzQyNTk5MTgyNzQ4MTg3MDM0MTo5NDUzNjY1RC0zRjlCLTQ2OUItQTNFNC1CQUVENzI5RkU1OUMtMTpjYzM1YjkyMTMyNTMxZjM0YWE4ZGU4Y2RlZDMxMGQ0MTox</t>
        </is>
      </c>
      <c r="AH1461" t="inlineStr">
        <is>
          <t>Khim Segovia</t>
        </is>
      </c>
      <c r="AI1461"/>
      <c r="AJ1461" t="inlineStr">
        <is>
          <t>LIQUIDITY PLAN (PAR # 202510290062 / 2025TEG-P0286)
1108 CE KIC GS+KO TAB &gt; BROADCAST TEAM &gt;
Vision Mixer
Total Budget = Php 38,500.00
Actual Cost = Php 17,500.00
Balance = Php 21,000.00</t>
        </is>
      </c>
      <c r="AK1461"/>
    </row>
    <row r="1462" ht="25.5" customHeight="1">
      <c r="A1462" s="2" t="str">
        <f>=HYPERLINK("https://applink.larksuite.com/client/mini_program/open?appId=cli_9c7cc8a9a9edd105&amp;mode=appCenter&amp;path_pc=pc/pages/requested/index?instanceId=7576512823577054944&amp;source=bitable&amp;path=pages/detail/index?instanceId=7576512823577054944&amp;source=bitable", "202511250025")</f>
        <v>202511250025</v>
      </c>
      <c r="B1462" t="inlineStr">
        <is>
          <t>Approved</t>
        </is>
      </c>
      <c r="C1462" t="inlineStr">
        <is>
          <t>Procurement Order</t>
        </is>
      </c>
      <c r="D1462" s="3">
        <v>45986.513391203705</v>
      </c>
      <c r="E1462" s="3">
        <v>45986.69552083333</v>
      </c>
      <c r="F1462" t="inlineStr">
        <is>
          <t>Fatima Kathleen M. FLores</t>
        </is>
      </c>
      <c r="G1462" t="inlineStr">
        <is>
          <t>Procurement</t>
        </is>
      </c>
      <c r="H1462"/>
      <c r="I1462"/>
      <c r="J1462" t="inlineStr">
        <is>
          <t>Project</t>
        </is>
      </c>
      <c r="K1462" t="inlineStr">
        <is>
          <t>GG - Event Service</t>
        </is>
      </c>
      <c r="L1462" t="inlineStr">
        <is>
          <t>KIC 2025 - Group Stage &amp; Knockouts</t>
        </is>
      </c>
      <c r="M1462" t="inlineStr">
        <is>
          <t>2025TEG-P0286</t>
        </is>
      </c>
      <c r="N1462" t="inlineStr">
        <is>
          <t>Carla Andrea Calma Crespo</t>
        </is>
      </c>
      <c r="O1462" t="inlineStr">
        <is>
          <t>202511120021-Carla Andrea Calma Crespo-费用报销 - 副本 - 副本 - 副本-2025-11-12 03:02:11</t>
        </is>
      </c>
      <c r="P1462" t="inlineStr">
        <is>
          <t>YES</t>
        </is>
      </c>
      <c r="Q1462"/>
      <c r="R1462" t="inlineStr">
        <is>
          <t>NO</t>
        </is>
      </c>
      <c r="S1462" t="inlineStr">
        <is>
          <t>Outsourced Floor Manager</t>
        </is>
      </c>
      <c r="T1462">
        <v>1</v>
      </c>
      <c r="U1462">
        <v>27500</v>
      </c>
      <c r="V1462" t="inlineStr">
        <is>
          <t>PHP</t>
        </is>
      </c>
      <c r="W1462">
        <v>27500</v>
      </c>
      <c r="X1462" s="2" t="str">
        <f>=HYPERLINK("https://www.larksuite.com/approval/admin/previewAttachment?key=PMhBCsJQDATQK02SSebHy7hpKSIUBGnVxT-74MLtq2GokRbVYJs3bCpVaT48UkKyyenTpIZMUXPdt6ufr8-9j97H8ubjmOdt2danZcsdCjIGALv8PUSyu4if4xsAAP__", "2 attachment(s)")</f>
        <v>2 attachment(s)</v>
      </c>
      <c r="Y1462" t="inlineStr">
        <is>
          <t>Bank Transfer</t>
        </is>
      </c>
      <c r="Z1462" t="inlineStr">
        <is>
          <t>JOSE QUIQUI JR</t>
        </is>
      </c>
      <c r="AA1462" t="inlineStr">
        <is>
          <t>000550330364</t>
        </is>
      </c>
      <c r="AB1462" t="inlineStr">
        <is>
          <t>BDO</t>
        </is>
      </c>
      <c r="AC1462" t="inlineStr">
        <is>
          <t>8 Sto Rosario St., Plainview Mandaluyong City</t>
        </is>
      </c>
      <c r="AD1462" s="4">
        <v>45973</v>
      </c>
      <c r="AE1462" t="inlineStr">
        <is>
          <t>1st Payment - Nov. 28, 2025
Final Payment - Dec. 5, 2025</t>
        </is>
      </c>
      <c r="AF1462" s="2"/>
      <c r="AG1462" t="inlineStr">
        <is>
          <t>NzQyNTk5MTgyNzQ4MTg3MDM0MTo5NzI4Qjg4MC1BMjg1LTQ2NkUtODlENS00MkQ3QUM2ODZFRDgtMTpkMDE2MWM3MDNlNzg5ZGYyMzY4NjY4NDgxMmIyY2I0ZTox</t>
        </is>
      </c>
      <c r="AH1462" t="inlineStr">
        <is>
          <t>JOSE QUIQUI JR</t>
        </is>
      </c>
      <c r="AI1462"/>
      <c r="AJ1462" t="inlineStr">
        <is>
          <t>LIQUIDITY PLAN (PAR # 202510290062 / 2025TEG-P0286)
1108 CE KIC GS+KO TAB &gt; BROADCAST TEAM &gt;
Floor Manager 3
Total Budget = Php 38,500.00
Actual Cost = Php 27,500.00
Balance = Php 11,000.00</t>
        </is>
      </c>
      <c r="AK1462"/>
    </row>
    <row r="1463" ht="25.5" customHeight="1">
      <c r="A1463" s="2" t="str">
        <f>=HYPERLINK("https://applink.larksuite.com/client/mini_program/open?appId=cli_9c7cc8a9a9edd105&amp;mode=appCenter&amp;path_pc=pc/pages/requested/index?instanceId=7576513799016976091&amp;source=bitable&amp;path=pages/detail/index?instanceId=7576513799016976091&amp;source=bitable", "202511250026")</f>
        <v>202511250026</v>
      </c>
      <c r="B1463" t="inlineStr">
        <is>
          <t>Approved</t>
        </is>
      </c>
      <c r="C1463" t="inlineStr">
        <is>
          <t>Procurement Order</t>
        </is>
      </c>
      <c r="D1463" s="3">
        <v>45986.516018518516</v>
      </c>
      <c r="E1463" s="3">
        <v>45986.69611111111</v>
      </c>
      <c r="F1463" t="inlineStr">
        <is>
          <t>Fatima Kathleen M. FLores</t>
        </is>
      </c>
      <c r="G1463" t="inlineStr">
        <is>
          <t>Procurement</t>
        </is>
      </c>
      <c r="H1463"/>
      <c r="I1463"/>
      <c r="J1463" t="inlineStr">
        <is>
          <t>Project</t>
        </is>
      </c>
      <c r="K1463" t="inlineStr">
        <is>
          <t>GG - Event Service</t>
        </is>
      </c>
      <c r="L1463" t="inlineStr">
        <is>
          <t>KIC 2025 - Group Stage &amp; Knockouts</t>
        </is>
      </c>
      <c r="M1463" t="inlineStr">
        <is>
          <t>2025TEG-P0286</t>
        </is>
      </c>
      <c r="N1463" t="inlineStr">
        <is>
          <t>Carla Andrea Calma Crespo</t>
        </is>
      </c>
      <c r="O1463" t="inlineStr">
        <is>
          <t>202511120022-Carla Andrea Calma Crespo-费用报销 - 副本 - 副本 - 副本-2025-11-12 03:04:18</t>
        </is>
      </c>
      <c r="P1463" t="inlineStr">
        <is>
          <t>YES</t>
        </is>
      </c>
      <c r="Q1463"/>
      <c r="R1463" t="inlineStr">
        <is>
          <t>NO</t>
        </is>
      </c>
      <c r="S1463" t="inlineStr">
        <is>
          <t>Outsourced Floor Manager</t>
        </is>
      </c>
      <c r="T1463">
        <v>1</v>
      </c>
      <c r="U1463">
        <v>21600</v>
      </c>
      <c r="V1463" t="inlineStr">
        <is>
          <t>PHP</t>
        </is>
      </c>
      <c r="W1463">
        <v>21600</v>
      </c>
      <c r="X1463" s="2" t="str">
        <f>=HYPERLINK("https://www.larksuite.com/approval/admin/previewAttachment?key=PMgxjkIxEAPQK9mZyfh7L7MNUYQg_AZBl7MjUdC-Oog6OqOMNJvBra7qDNlgWQVzt03JEBW1x2P-39u6-Tz7Wq-pkft9vczxZLdagyIzDgD8-3koM-1KfB2fAAAA__8", "2 attachment(s)")</f>
        <v>2 attachment(s)</v>
      </c>
      <c r="Y1463" t="inlineStr">
        <is>
          <t>Bank Transfer</t>
        </is>
      </c>
      <c r="Z1463" t="inlineStr">
        <is>
          <t>MAICAH DOLOR ASTRONOMO</t>
        </is>
      </c>
      <c r="AA1463" t="inlineStr">
        <is>
          <t>010913463655</t>
        </is>
      </c>
      <c r="AB1463" t="inlineStr">
        <is>
          <t>GOTYME BANK CORPORATION</t>
        </is>
      </c>
      <c r="AC1463" t="inlineStr">
        <is>
          <t>218 Paso St. Bagumbayan Taguig City</t>
        </is>
      </c>
      <c r="AD1463" s="4">
        <v>45973</v>
      </c>
      <c r="AE1463" t="inlineStr">
        <is>
          <t>1st Payment - Nov. 28, 2025
Final Payment - Dec. 5, 2025</t>
        </is>
      </c>
      <c r="AF1463" s="2"/>
      <c r="AG1463" t="inlineStr">
        <is>
          <t>NzQyNTk5MTgyNzQ4MTg3MDM0MTo1OEU2MDNCRS1DODRGLTRFQkQtQUJBQy0zNjA0N0NBODdFODUtMTpmNDQ3OGZkMWQ0MjllMTVjMjVhMzc3MWY4NjU1ZmQ2Mzox</t>
        </is>
      </c>
      <c r="AH1463" t="inlineStr">
        <is>
          <t>MAICAH DOLOR ASTRONOMO</t>
        </is>
      </c>
      <c r="AI1463"/>
      <c r="AJ1463" t="inlineStr">
        <is>
          <t>LIQUIDITY PLAN (PAR # 202510290062 / 2025TEG-P0286)
1108 CE KIC GS+KO TAB &gt; BROADCAST TEAM &gt;
Floor Manager 4
Total Budget = Php 22,000.00
Actual Cost = Php 21,600.00
Balance = Php 400.00</t>
        </is>
      </c>
      <c r="AK1463"/>
    </row>
    <row r="1464" ht="25.5" customHeight="1">
      <c r="A1464" s="2" t="str">
        <f>=HYPERLINK("https://applink.larksuite.com/client/mini_program/open?appId=cli_9c7cc8a9a9edd105&amp;mode=appCenter&amp;path_pc=pc/pages/requested/index?instanceId=7576516111101972191&amp;source=bitable&amp;path=pages/detail/index?instanceId=7576516111101972191&amp;source=bitable", "202511250029")</f>
        <v>202511250029</v>
      </c>
      <c r="B1464" t="inlineStr">
        <is>
          <t>Approved</t>
        </is>
      </c>
      <c r="C1464" t="inlineStr">
        <is>
          <t>Procurement Order</t>
        </is>
      </c>
      <c r="D1464" s="3">
        <v>45986.52224537037</v>
      </c>
      <c r="E1464" s="3">
        <v>45986.697962962964</v>
      </c>
      <c r="F1464" t="inlineStr">
        <is>
          <t>Fatima Kathleen M. FLores</t>
        </is>
      </c>
      <c r="G1464" t="inlineStr">
        <is>
          <t>Procurement</t>
        </is>
      </c>
      <c r="H1464"/>
      <c r="I1464"/>
      <c r="J1464" t="inlineStr">
        <is>
          <t>Project</t>
        </is>
      </c>
      <c r="K1464" t="inlineStr">
        <is>
          <t>GG - Event Service</t>
        </is>
      </c>
      <c r="L1464" t="inlineStr">
        <is>
          <t>KIC 2025 - Group Stage &amp; Knockouts</t>
        </is>
      </c>
      <c r="M1464" t="inlineStr">
        <is>
          <t>2025TEG-P0286</t>
        </is>
      </c>
      <c r="N1464" t="inlineStr">
        <is>
          <t>Carla Andrea Calma Crespo</t>
        </is>
      </c>
      <c r="O1464" t="inlineStr">
        <is>
          <t>202511120024-Carla Andrea Calma Crespo-费用报销 - 副本 - 副本 - 副本-2025-11-12 03:16:48</t>
        </is>
      </c>
      <c r="P1464" t="inlineStr">
        <is>
          <t>YES</t>
        </is>
      </c>
      <c r="Q1464"/>
      <c r="R1464" t="inlineStr">
        <is>
          <t>NO</t>
        </is>
      </c>
      <c r="S1464" t="inlineStr">
        <is>
          <t>Outsourced Lighting Operator</t>
        </is>
      </c>
      <c r="T1464">
        <v>1</v>
      </c>
      <c r="U1464">
        <v>80000</v>
      </c>
      <c r="V1464" t="inlineStr">
        <is>
          <t>PHP</t>
        </is>
      </c>
      <c r="W1464">
        <v>80000</v>
      </c>
      <c r="X1464" s="2" t="str">
        <f>=HYPERLINK("https://www.larksuite.com/approval/admin/previewAttachment?key=PMgxCsJAFATQK838_ftnx8vYJCyCJo0gWOzZBYu0rwZRo7OVkWYYXOqqziJJ0AqaKxYlQ1SrtR_zfnxxzifp7TXPGevz2Ob-ZrcioJbZBgDeLm_KTLsSf8cvAAD__w", "2 attachment(s)")</f>
        <v>2 attachment(s)</v>
      </c>
      <c r="Y1464" t="inlineStr">
        <is>
          <t>Bank Transfer</t>
        </is>
      </c>
      <c r="Z1464" t="inlineStr">
        <is>
          <t>Mark Anthony Flor</t>
        </is>
      </c>
      <c r="AA1464" t="inlineStr">
        <is>
          <t>09199712271</t>
        </is>
      </c>
      <c r="AB1464" t="inlineStr">
        <is>
          <t>GCash</t>
        </is>
      </c>
      <c r="AC1464" t="inlineStr">
        <is>
          <t>Blk179 Lot44 St. Cecilia Street, Deca Homes Loma de Gato, Marilao, Bulacan</t>
        </is>
      </c>
      <c r="AD1464" s="4">
        <v>45971</v>
      </c>
      <c r="AE1464" t="inlineStr">
        <is>
          <t>1st Payment - Nov. 28, 2025
2nd Payment - Dec. 12, 2025
Final Payment - Dec. 26, 2025</t>
        </is>
      </c>
      <c r="AF1464" s="2"/>
      <c r="AG1464" t="inlineStr">
        <is>
          <t>NzQyNTk5MTgyNzQ4MTg3MDM0MToxNTkzNDRENi1EN0QzLTQ2OEQtQTQ1My1EOTYxM0E3MTk0NjQtMTo5MTFkMjc2NTVlM2UwNDJlMDg0MTU1YzhhNDcwOThmYjox</t>
        </is>
      </c>
      <c r="AH1464" t="inlineStr">
        <is>
          <t>Mark Anthony Flor</t>
        </is>
      </c>
      <c r="AI1464"/>
      <c r="AJ1464" t="inlineStr">
        <is>
          <t>LIQUIDITY PLAN (PAR # 202510290062 / 2025TEG-P0286)
1108 CE KIC GS+KO TAB &gt; BROADCAST TEAM &gt;
Lighting Operators
Total Budget = Php 154,000.00
Actual Cost = Php 80,000.00
Balance = Php 74,000.00</t>
        </is>
      </c>
      <c r="AK1464"/>
    </row>
    <row r="1465" ht="25.5" customHeight="1">
      <c r="A1465" s="2" t="str">
        <f>=HYPERLINK("https://applink.larksuite.com/client/mini_program/open?appId=cli_9c7cc8a9a9edd105&amp;mode=appCenter&amp;path_pc=pc/pages/requested/index?instanceId=7576519808691228379&amp;source=bitable&amp;path=pages/detail/index?instanceId=7576519808691228379&amp;source=bitable", "202511250034")</f>
        <v>202511250034</v>
      </c>
      <c r="B1465" t="inlineStr">
        <is>
          <t>Approved</t>
        </is>
      </c>
      <c r="C1465" t="inlineStr">
        <is>
          <t>Procurement Order</t>
        </is>
      </c>
      <c r="D1465" s="3">
        <v>45986.53221064815</v>
      </c>
      <c r="E1465" s="3">
        <v>45986.699907407405</v>
      </c>
      <c r="F1465" t="inlineStr">
        <is>
          <t>Fatima Kathleen M. FLores</t>
        </is>
      </c>
      <c r="G1465" t="inlineStr">
        <is>
          <t>Procurement</t>
        </is>
      </c>
      <c r="H1465"/>
      <c r="I1465"/>
      <c r="J1465" t="inlineStr">
        <is>
          <t>Project</t>
        </is>
      </c>
      <c r="K1465" t="inlineStr">
        <is>
          <t>GG - Event Service</t>
        </is>
      </c>
      <c r="L1465" t="inlineStr">
        <is>
          <t>KIC 2025 - Group Stage &amp; Knockouts</t>
        </is>
      </c>
      <c r="M1465" t="inlineStr">
        <is>
          <t>2025TEG-P0286</t>
        </is>
      </c>
      <c r="N1465" t="inlineStr">
        <is>
          <t>Carla Andrea Calma Crespo</t>
        </is>
      </c>
      <c r="O1465" t="inlineStr">
        <is>
          <t>202511120029-Carla Andrea Calma Crespo-费用报销 - 副本 - 副本 - 副本-2025-11-12 03:33:58</t>
        </is>
      </c>
      <c r="P1465" t="inlineStr">
        <is>
          <t>YES</t>
        </is>
      </c>
      <c r="Q1465"/>
      <c r="R1465" t="inlineStr">
        <is>
          <t>NO</t>
        </is>
      </c>
      <c r="S1465" t="inlineStr">
        <is>
          <t>Outsourced Logistics Associates (Ingress)</t>
        </is>
      </c>
      <c r="T1465">
        <v>1</v>
      </c>
      <c r="U1465">
        <v>75000</v>
      </c>
      <c r="V1465" t="inlineStr">
        <is>
          <t>PHP</t>
        </is>
      </c>
      <c r="W1465">
        <v>75000</v>
      </c>
      <c r="X1465" s="2" t="str">
        <f>=HYPERLINK("https://www.larksuite.com/approval/admin/previewAttachment?key=PMi7DcJAEATQlmY_t7NDMyRYFg5MgvBFVzsSAemrNlQPixJS5oItDtYwNbpk7h3U8mWkQGPU2s79flz6xHzhmOPswLqej3172xDdwciMBmC3vwczU6rEz_ENAAD__w", "2 attachment(s)")</f>
        <v>2 attachment(s)</v>
      </c>
      <c r="Y1465" t="inlineStr">
        <is>
          <t>Bank Transfer</t>
        </is>
      </c>
      <c r="Z1465" t="inlineStr">
        <is>
          <t>Nordan Burabo</t>
        </is>
      </c>
      <c r="AA1465" t="inlineStr">
        <is>
          <t>09636201512</t>
        </is>
      </c>
      <c r="AB1465" t="inlineStr">
        <is>
          <t>GCash</t>
        </is>
      </c>
      <c r="AC1465" t="inlineStr">
        <is>
          <t>Blk 1 Lot 23 Agoncillo St. Sta Lucia Novaliches, Quezon City</t>
        </is>
      </c>
      <c r="AD1465" s="4">
        <v>45969</v>
      </c>
      <c r="AE1465" t="inlineStr">
        <is>
          <t>1st Payment - Nov. 28, 2025
2nd Payment - Dec. 5, 2025
Final Payment - Dec. 12, 2025</t>
        </is>
      </c>
      <c r="AF1465" s="2"/>
      <c r="AG1465" t="inlineStr">
        <is>
          <t>NzQyNTk5MTgyNzQ4MTg3MDM0MTpBRjRCNkVENi0wMTA5LTQxMkItQUVDQS1GMDkzNkFGRTlENEYtMTo2OWVmYmNlNjhjNjY0OTQ3Y2ZhZTQzZTJjOTQwN2IyMjox</t>
        </is>
      </c>
      <c r="AH1465" t="inlineStr">
        <is>
          <t>Nordan Burabo</t>
        </is>
      </c>
      <c r="AI1465"/>
      <c r="AJ1465" t="inlineStr">
        <is>
          <t>LIQUIDITY PLAN (PAR # 202510290062 / 2025TEG-P0286)
1108 CE KIC GS+KO TAB &gt; OPERATIONS TEAM &gt;
Logistics &gt;
Runners (Ingress - Main Stage)
Runners (Ingress - Carnival)
Runners (Event Days)
Total Budget = Php 156,000.00
Actual Cost = Php 105,000.00
Balance = Php 51,000.00</t>
        </is>
      </c>
      <c r="AK1465"/>
    </row>
    <row r="1466" ht="25.5" customHeight="1">
      <c r="A1466" s="2" t="str">
        <f>=HYPERLINK("https://applink.larksuite.com/client/mini_program/open?appId=cli_9c7cc8a9a9edd105&amp;mode=appCenter&amp;path_pc=pc/pages/requested/index?instanceId=7576519808691228379&amp;source=bitable&amp;path=pages/detail/index?instanceId=7576519808691228379&amp;source=bitable", "202511250034")</f>
        <v>202511250034</v>
      </c>
      <c r="B1466" t="inlineStr">
        <is>
          <t>Approved</t>
        </is>
      </c>
      <c r="C1466" t="inlineStr">
        <is>
          <t>Procurement Order</t>
        </is>
      </c>
      <c r="D1466" s="3">
        <v>45986.53221064815</v>
      </c>
      <c r="E1466" s="3">
        <v>45986.699907407405</v>
      </c>
      <c r="F1466" t="inlineStr">
        <is>
          <t>Fatima Kathleen M. FLores</t>
        </is>
      </c>
      <c r="G1466" t="inlineStr">
        <is>
          <t>Procurement</t>
        </is>
      </c>
      <c r="H1466"/>
      <c r="I1466"/>
      <c r="J1466" t="inlineStr">
        <is>
          <t>Project</t>
        </is>
      </c>
      <c r="K1466" t="inlineStr">
        <is>
          <t>GG - Event Service</t>
        </is>
      </c>
      <c r="L1466" t="inlineStr">
        <is>
          <t>KIC 2025 - Group Stage &amp; Knockouts</t>
        </is>
      </c>
      <c r="M1466" t="inlineStr">
        <is>
          <t>2025TEG-P0286</t>
        </is>
      </c>
      <c r="N1466" t="inlineStr">
        <is>
          <t>Carla Andrea Calma Crespo</t>
        </is>
      </c>
      <c r="O1466" t="inlineStr">
        <is>
          <t>202511120029-Carla Andrea Calma Crespo-费用报销 - 副本 - 副本 - 副本-2025-11-12 03:33:58</t>
        </is>
      </c>
      <c r="P1466" t="inlineStr">
        <is>
          <t>YES</t>
        </is>
      </c>
      <c r="Q1466"/>
      <c r="R1466" t="inlineStr">
        <is>
          <t>NO</t>
        </is>
      </c>
      <c r="S1466" t="inlineStr">
        <is>
          <t>Outsourced Logistics Associates (Event Days)</t>
        </is>
      </c>
      <c r="T1466">
        <v>1</v>
      </c>
      <c r="U1466">
        <v>30000</v>
      </c>
      <c r="V1466" t="inlineStr">
        <is>
          <t>PHP</t>
        </is>
      </c>
      <c r="W1466">
        <v>30000</v>
      </c>
      <c r="X1466" s="2" t="str">
        <f>=HYPERLINK("https://www.larksuite.com/approval/admin/previewAttachment?key=PMgxDsJADATAL-3aPtvLZ2iIIlKEBpGr7u1IFLSTTWQPegohmsBVo3JQjU7RrL20bLFKKJbn2s79flz6-HzhmONsx7qej317c6jMUB7hDYC3v3tFhJSBn_MbAAD__w", "2 attachment(s)")</f>
        <v>2 attachment(s)</v>
      </c>
      <c r="Y1466"/>
      <c r="Z1466"/>
      <c r="AA1466"/>
      <c r="AB1466"/>
      <c r="AC1466"/>
      <c r="AD1466" s="4"/>
      <c r="AE1466"/>
      <c r="AF1466" s="2"/>
      <c r="AG1466" t="inlineStr">
        <is>
          <t>NzQyNTk5MTgyNzQ4MTg3MDM0MTpBRjRCNkVENi0wMTA5LTQxMkItQUVDQS1GMDkzNkFGRTlENEYtMjplODkyNThhZjdiYjc0NmI5NmQwZTMxMGIzNjVhZGMzMDox</t>
        </is>
      </c>
      <c r="AH1466"/>
      <c r="AI1466"/>
      <c r="AJ1466" t="inlineStr">
        <is>
          <t>LIQUIDITY PLAN (PAR # 202510290062 / 2025TEG-P0286)
1108 CE KIC GS+KO TAB &gt; OPERATIONS TEAM &gt;
Logistics &gt;
Runners (Ingress - Main Stage)
Runners (Ingress - Carnival)
Runners (Event Days)
Total Budget = Php 156,000.00
Actual Cost = Php 105,000.00
Balance = Php 51,000.00</t>
        </is>
      </c>
      <c r="AK1466"/>
    </row>
    <row r="1467" ht="25.5" customHeight="1">
      <c r="A1467" s="2" t="str">
        <f>=HYPERLINK("https://applink.larksuite.com/client/mini_program/open?appId=cli_9c7cc8a9a9edd105&amp;mode=appCenter&amp;path_pc=pc/pages/requested/index?instanceId=7576525299974672096&amp;source=bitable&amp;path=pages/detail/index?instanceId=7576525299974672096&amp;source=bitable", "202511250042")</f>
        <v>202511250042</v>
      </c>
      <c r="B1467" t="inlineStr">
        <is>
          <t>Approved</t>
        </is>
      </c>
      <c r="C1467" t="inlineStr">
        <is>
          <t>Procurement Order</t>
        </is>
      </c>
      <c r="D1467" s="3">
        <v>45986.54701388889</v>
      </c>
      <c r="E1467" s="3">
        <v>45986.70101851852</v>
      </c>
      <c r="F1467" t="inlineStr">
        <is>
          <t>Fatima Kathleen M. FLores</t>
        </is>
      </c>
      <c r="G1467" t="inlineStr">
        <is>
          <t>Procurement</t>
        </is>
      </c>
      <c r="H1467"/>
      <c r="I1467"/>
      <c r="J1467" t="inlineStr">
        <is>
          <t>Project</t>
        </is>
      </c>
      <c r="K1467" t="inlineStr">
        <is>
          <t>GG - Event Service</t>
        </is>
      </c>
      <c r="L1467" t="inlineStr">
        <is>
          <t>KIC 2025 - Group Stage &amp; Knockouts</t>
        </is>
      </c>
      <c r="M1467" t="inlineStr">
        <is>
          <t>2025TEG-P0286</t>
        </is>
      </c>
      <c r="N1467" t="inlineStr">
        <is>
          <t>Carla Andrea Calma Crespo</t>
        </is>
      </c>
      <c r="O1467" t="inlineStr">
        <is>
          <t>202511120046-Carla Andrea Calma Crespo-费用报销 - 副本 - 副本 - 副本-2025-11-12 05:22:45</t>
        </is>
      </c>
      <c r="P1467" t="inlineStr">
        <is>
          <t>YES</t>
        </is>
      </c>
      <c r="Q1467"/>
      <c r="R1467" t="inlineStr">
        <is>
          <t>NO</t>
        </is>
      </c>
      <c r="S1467" t="inlineStr">
        <is>
          <t>Outsourced Replay Operator (Camera)</t>
        </is>
      </c>
      <c r="T1467">
        <v>1</v>
      </c>
      <c r="U1467">
        <v>19800</v>
      </c>
      <c r="V1467" t="inlineStr">
        <is>
          <t>PHP</t>
        </is>
      </c>
      <c r="W1467">
        <v>19800</v>
      </c>
      <c r="X1467" s="2" t="str">
        <f>=HYPERLINK("https://www.larksuite.com/approval/admin/previewAttachment?key=PMg9qgJBEATgK1X_TNfUu8xLHBYRxkTWjfrsgoHpV9NQc1iUkDIXrDlYw4dLYhYdqvY2UqAxqtc-_mPTHufeuuZ5rWe_77djvWyI7mBkxgRgfz8PZqZUia_jEwAA__8", "2 attachment(s)")</f>
        <v>2 attachment(s)</v>
      </c>
      <c r="Y1467" t="inlineStr">
        <is>
          <t>Bank Transfer</t>
        </is>
      </c>
      <c r="Z1467" t="inlineStr">
        <is>
          <t>Dannie Rizal N. Iremedio</t>
        </is>
      </c>
      <c r="AA1467" t="inlineStr">
        <is>
          <t>0000075157652</t>
        </is>
      </c>
      <c r="AB1467" t="inlineStr">
        <is>
          <t>Security Bank</t>
        </is>
      </c>
      <c r="AC1467" t="inlineStr">
        <is>
          <t>790 P. Ocampo St , Brgy 719, Zone 78 Malate, Manila</t>
        </is>
      </c>
      <c r="AD1467" s="4">
        <v>45973</v>
      </c>
      <c r="AE1467" t="inlineStr">
        <is>
          <t>1st Payment - Nov. 28, 2025
Final Payment - Dec. 5, 2025</t>
        </is>
      </c>
      <c r="AF1467" s="2"/>
      <c r="AG1467" t="inlineStr">
        <is>
          <t>NzQyNTk5MTgyNzQ4MTg3MDM0MTpENzFBMzQ0RC1CMERGLTQ5NjYtOUYzRi1EM0EwMDNDQUFBQzYtMTozNGE1ZTczMmY3MmE0MDYwZjA2MTM3NTllYzBlY2IyZTox</t>
        </is>
      </c>
      <c r="AH1467" t="inlineStr">
        <is>
          <t>Dannie Rizal N. Iremedio</t>
        </is>
      </c>
      <c r="AI1467"/>
      <c r="AJ1467" t="inlineStr">
        <is>
          <t>LIQUIDITY PLAN (PAR # 202510290062 / 2025TEG-P0286)
1108 CE KIC GS+KO TAB &gt; BROADCAST TEAM &gt;
Replay Operator (CAMERA)
Total Budget = Php 24,000.00
Actual Cost = Php 19,800.00
Balance = Php 4,200.00</t>
        </is>
      </c>
      <c r="AK1467"/>
    </row>
    <row r="1468" ht="25.5" customHeight="1">
      <c r="A1468" s="2" t="str">
        <f>=HYPERLINK("https://applink.larksuite.com/client/mini_program/open?appId=cli_9c7cc8a9a9edd105&amp;mode=appCenter&amp;path_pc=pc/pages/requested/index?instanceId=7576523012921396961&amp;source=bitable&amp;path=pages/detail/index?instanceId=7576523012921396961&amp;source=bitable", "202511250040")</f>
        <v>202511250040</v>
      </c>
      <c r="B1468" t="inlineStr">
        <is>
          <t>Approved</t>
        </is>
      </c>
      <c r="C1468" t="inlineStr">
        <is>
          <t>Procurement Order</t>
        </is>
      </c>
      <c r="D1468" s="3">
        <v>45986.54084490741</v>
      </c>
      <c r="E1468" s="3">
        <v>45986.70174768518</v>
      </c>
      <c r="F1468" t="inlineStr">
        <is>
          <t>Fatima Kathleen M. FLores</t>
        </is>
      </c>
      <c r="G1468" t="inlineStr">
        <is>
          <t>Procurement</t>
        </is>
      </c>
      <c r="H1468"/>
      <c r="I1468"/>
      <c r="J1468" t="inlineStr">
        <is>
          <t>Project</t>
        </is>
      </c>
      <c r="K1468" t="inlineStr">
        <is>
          <t>GG - Event Service</t>
        </is>
      </c>
      <c r="L1468" t="inlineStr">
        <is>
          <t>KIC 2025 - Group Stage &amp; Knockouts</t>
        </is>
      </c>
      <c r="M1468" t="inlineStr">
        <is>
          <t>2025TEG-P0286</t>
        </is>
      </c>
      <c r="N1468" t="inlineStr">
        <is>
          <t>Carla Andrea Calma Crespo</t>
        </is>
      </c>
      <c r="O1468" t="inlineStr">
        <is>
          <t>202511120029-Carla Andrea Calma Crespo-费用报销 - 副本 - 副本 - 副本-2025-11-12 03:33:58</t>
        </is>
      </c>
      <c r="P1468" t="inlineStr">
        <is>
          <t>YES</t>
        </is>
      </c>
      <c r="Q1468"/>
      <c r="R1468" t="inlineStr">
        <is>
          <t>NO</t>
        </is>
      </c>
      <c r="S1468" t="inlineStr">
        <is>
          <t>Outsourced Housekeeping Manpower</t>
        </is>
      </c>
      <c r="T1468">
        <v>1</v>
      </c>
      <c r="U1468">
        <v>58000</v>
      </c>
      <c r="V1468" t="inlineStr">
        <is>
          <t>PHP</t>
        </is>
      </c>
      <c r="W1468">
        <v>58000</v>
      </c>
      <c r="X1468" s="2" t="str">
        <f>=HYPERLINK("https://www.larksuite.com/approval/admin/previewAttachment?key=PMgxDgIxDATAL-3ajn3LZ2hyiqC4NEgRFHk7EgXt5EHk0egphGgCd7XKZg6ajK5UcttmlVAsz31e4359MMeavY-F93zu9ejjfLGpzFAe4QcA3v7uFRFSBn6ObwAAAP__", "2 attachment(s)")</f>
        <v>2 attachment(s)</v>
      </c>
      <c r="Y1468" t="inlineStr">
        <is>
          <t>Bank Transfer</t>
        </is>
      </c>
      <c r="Z1468" t="inlineStr">
        <is>
          <t>Marc Kevin Serrano</t>
        </is>
      </c>
      <c r="AA1468" t="inlineStr">
        <is>
          <t>1519218972</t>
        </is>
      </c>
      <c r="AB1468" t="inlineStr">
        <is>
          <t>BPI</t>
        </is>
      </c>
      <c r="AC1468" t="inlineStr">
        <is>
          <t>3 Don Guillermo Street, Barangay Holy Spirit, Commonwealth, Quezon City</t>
        </is>
      </c>
      <c r="AD1468" s="4">
        <v>45974</v>
      </c>
      <c r="AE1468" t="inlineStr">
        <is>
          <t>1st Payment - Nov. 28, 2025
Final Payment - Dec. 12, 2025</t>
        </is>
      </c>
      <c r="AF1468" s="2"/>
      <c r="AG1468" t="inlineStr">
        <is>
          <t>NzQyNTk5MTgyNzQ4MTg3MDM0MToxNzhBQTczQS03OTU1LTQwQjQtOTM0Ni1BQkNCNDc5NzZFODktMTozZjY3ZTFiODE2NDVmNDU2NzY4N2ZmYjVkYzBmODdkNjox</t>
        </is>
      </c>
      <c r="AH1468" t="inlineStr">
        <is>
          <t>Marc Kevin Serrano</t>
        </is>
      </c>
      <c r="AI1468"/>
      <c r="AJ1468" t="inlineStr">
        <is>
          <t>LIQUIDITY PLAN (PAR # 202510290062 / 2025TEG-P0286)
1108 CE KIC GS+KO TAB &gt; OPERATIONS TEAM &gt;
Logistics &gt; Runners (Housekeeping)
Total Budget = Php 70,400.00
Actual Cost = Php 58,000.00
Balance = Php 12,400.00</t>
        </is>
      </c>
      <c r="AK1468"/>
    </row>
    <row r="1469" ht="25.5" customHeight="1">
      <c r="A1469" s="2" t="str">
        <f>=HYPERLINK("https://applink.larksuite.com/client/mini_program/open?appId=cli_9c7cc8a9a9edd105&amp;mode=appCenter&amp;path_pc=pc/pages/requested/index?instanceId=7576526357312605919&amp;source=bitable&amp;path=pages/detail/index?instanceId=7576526357312605919&amp;source=bitable", "202511250044")</f>
        <v>202511250044</v>
      </c>
      <c r="B1469" t="inlineStr">
        <is>
          <t>Approved</t>
        </is>
      </c>
      <c r="C1469" t="inlineStr">
        <is>
          <t>Procurement Order</t>
        </is>
      </c>
      <c r="D1469" s="3">
        <v>45986.54986111111</v>
      </c>
      <c r="E1469" s="3">
        <v>45986.702581018515</v>
      </c>
      <c r="F1469" t="inlineStr">
        <is>
          <t>Fatima Kathleen M. FLores</t>
        </is>
      </c>
      <c r="G1469" t="inlineStr">
        <is>
          <t>Procurement</t>
        </is>
      </c>
      <c r="H1469"/>
      <c r="I1469"/>
      <c r="J1469" t="inlineStr">
        <is>
          <t>Project</t>
        </is>
      </c>
      <c r="K1469" t="inlineStr">
        <is>
          <t>GG - Event Service</t>
        </is>
      </c>
      <c r="L1469" t="inlineStr">
        <is>
          <t>KIC 2025 - Group Stage &amp; Knockouts</t>
        </is>
      </c>
      <c r="M1469" t="inlineStr">
        <is>
          <t>2025TEG-P0286</t>
        </is>
      </c>
      <c r="N1469" t="inlineStr">
        <is>
          <t>Carla Andrea Calma Crespo</t>
        </is>
      </c>
      <c r="O1469" t="inlineStr">
        <is>
          <t>202511120052-Carla Andrea Calma Crespo-费用报销 - 副本 - 副本 - 副本-2025-11-12 05:34:56</t>
        </is>
      </c>
      <c r="P1469" t="inlineStr">
        <is>
          <t>YES</t>
        </is>
      </c>
      <c r="Q1469"/>
      <c r="R1469" t="inlineStr">
        <is>
          <t>NO</t>
        </is>
      </c>
      <c r="S1469" t="inlineStr">
        <is>
          <t>Outsourced Replay Operator (GAME)</t>
        </is>
      </c>
      <c r="T1469">
        <v>1</v>
      </c>
      <c r="U1469">
        <v>19800</v>
      </c>
      <c r="V1469" t="inlineStr">
        <is>
          <t>PHP</t>
        </is>
      </c>
      <c r="W1469">
        <v>19800</v>
      </c>
      <c r="X1469" s="2" t="str">
        <f>=HYPERLINK("https://www.larksuite.com/approval/admin/previewAttachment?key=PMg9CgIxFATgK828v8nzMjaGRVAXQUiXswsWtl8NokbSqxFNa3ArVWnlKacVstnbNqWGKK89X8d1eq4z5lPrHPF473W_HfPDbJlBHuEDAC9_d0VEdwV-jm8AAAD__w", "2 attachment(s)")</f>
        <v>2 attachment(s)</v>
      </c>
      <c r="Y1469" t="inlineStr">
        <is>
          <t>Bank Transfer</t>
        </is>
      </c>
      <c r="Z1469" t="inlineStr">
        <is>
          <t>Avin Francis Melendres Kais</t>
        </is>
      </c>
      <c r="AA1469" t="inlineStr">
        <is>
          <t>120602031077</t>
        </is>
      </c>
      <c r="AB1469" t="inlineStr">
        <is>
          <t>ChinaBank</t>
        </is>
      </c>
      <c r="AC1469" t="inlineStr">
        <is>
          <t>1221 D Felix Huertas St. Sta.Cruz, Manila</t>
        </is>
      </c>
      <c r="AD1469" s="4">
        <v>45973</v>
      </c>
      <c r="AE1469" t="inlineStr">
        <is>
          <t>1st Payment - Nov. 28, 2025
Final Payment - Dec. 5, 2025</t>
        </is>
      </c>
      <c r="AF1469" s="2"/>
      <c r="AG1469" t="inlineStr">
        <is>
          <t>NzQyNTk5MTgyNzQ4MTg3MDM0MTpDNjZFQ0UzQy1COEM2LTQ5NTEtOUNBQS1ERjFCOTYyRjA1NTgtMTpjMWM1MzFlNjEwY2ZmODQzMWRiZDRlZmZmYmJjOWYyYTox</t>
        </is>
      </c>
      <c r="AH1469" t="inlineStr">
        <is>
          <t>Avin Francis Melendres Kais</t>
        </is>
      </c>
      <c r="AI1469"/>
      <c r="AJ1469" t="inlineStr">
        <is>
          <t>LIQUIDITY PLAN (PAR # 202510290062 / 2025TEG-P0286)
1108 CE KIC GS+KO TAB &gt; BROADCAST TEAM &gt;
Replay Operator (GAME)
Total Budget = Php 21,600.00
Actual Cost = Php 19,800.00
Balance = Php 1,800.00</t>
        </is>
      </c>
      <c r="AK1469"/>
    </row>
    <row r="1470" ht="25.5" customHeight="1">
      <c r="A1470" s="2" t="str">
        <f>=HYPERLINK("https://applink.larksuite.com/client/mini_program/open?appId=cli_9c7cc8a9a9edd105&amp;mode=appCenter&amp;path_pc=pc/pages/requested/index?instanceId=7576527584758894305&amp;source=bitable&amp;path=pages/detail/index?instanceId=7576527584758894305&amp;source=bitable", "202511250045")</f>
        <v>202511250045</v>
      </c>
      <c r="B1470" t="inlineStr">
        <is>
          <t>Approved</t>
        </is>
      </c>
      <c r="C1470" t="inlineStr">
        <is>
          <t>Procurement Order</t>
        </is>
      </c>
      <c r="D1470" s="3">
        <v>45986.5531712963</v>
      </c>
      <c r="E1470" s="3">
        <v>45986.708020833335</v>
      </c>
      <c r="F1470" t="inlineStr">
        <is>
          <t>Fatima Kathleen M. FLores</t>
        </is>
      </c>
      <c r="G1470" t="inlineStr">
        <is>
          <t>Procurement</t>
        </is>
      </c>
      <c r="H1470"/>
      <c r="I1470"/>
      <c r="J1470" t="inlineStr">
        <is>
          <t>Project</t>
        </is>
      </c>
      <c r="K1470" t="inlineStr">
        <is>
          <t>GG - Event Service</t>
        </is>
      </c>
      <c r="L1470" t="inlineStr">
        <is>
          <t>KIC 2025 - Group Stage &amp; Knockouts</t>
        </is>
      </c>
      <c r="M1470" t="inlineStr">
        <is>
          <t>2025TEG-P0286</t>
        </is>
      </c>
      <c r="N1470" t="inlineStr">
        <is>
          <t>Carla Andrea Calma Crespo</t>
        </is>
      </c>
      <c r="O1470" t="inlineStr">
        <is>
          <t>202511120054-Carla Andrea Calma Crespo-费用报销 - 副本 - 副本 - 副本-2025-11-12 05:38:38</t>
        </is>
      </c>
      <c r="P1470" t="inlineStr">
        <is>
          <t>YES</t>
        </is>
      </c>
      <c r="Q1470"/>
      <c r="R1470" t="inlineStr">
        <is>
          <t>NO</t>
        </is>
      </c>
      <c r="S1470" t="inlineStr">
        <is>
          <t>Outsourced Teleprompter</t>
        </is>
      </c>
      <c r="T1470">
        <v>1</v>
      </c>
      <c r="U1470">
        <v>14300</v>
      </c>
      <c r="V1470" t="inlineStr">
        <is>
          <t>PHP</t>
        </is>
      </c>
      <c r="W1470">
        <v>14300</v>
      </c>
      <c r="X1470" s="2" t="str">
        <f>=HYPERLINK("https://www.larksuite.com/approval/admin/previewAttachment?key=PMg7qsJgEAXgLZ15npm7mdskBIkogvCTZtYuWNh-WYKsEMuGt2hDhsEMZZQzqtoNMTpCNii0nP1x_EesE9f15LnZ_bVm3bZjf0s0VUFztwIgfz83unt3Or6OTwAAAP__", "2 attachment(s)")</f>
        <v>2 attachment(s)</v>
      </c>
      <c r="Y1470" t="inlineStr">
        <is>
          <t>Bank Transfer</t>
        </is>
      </c>
      <c r="Z1470" t="inlineStr">
        <is>
          <t>Nathaniel Esguerra</t>
        </is>
      </c>
      <c r="AA1470" t="inlineStr">
        <is>
          <t>09217369372</t>
        </is>
      </c>
      <c r="AB1470" t="inlineStr">
        <is>
          <t>GCash</t>
        </is>
      </c>
      <c r="AC1470" t="inlineStr">
        <is>
          <t>3417 Guernica St., Palanan, Makati</t>
        </is>
      </c>
      <c r="AD1470" s="4">
        <v>45973</v>
      </c>
      <c r="AE1470" t="inlineStr">
        <is>
          <t>1st Payment - Nov. 28, 2025
Final Payment - Dec. 28, 2025</t>
        </is>
      </c>
      <c r="AF1470" s="2"/>
      <c r="AG1470" t="inlineStr">
        <is>
          <t>NzQyNTk5MTgyNzQ4MTg3MDM0MTo1OTBFRkVERS1CMjg4LTRDRkItOTFBOC00MkNCMDFERTJFMzktMTo5N2UzMjIwN2Q4ZDAyMjI3ZmYwZThmYTU3NDUxZmEzMjox</t>
        </is>
      </c>
      <c r="AH1470" t="inlineStr">
        <is>
          <t>Nathaniel Esguerra</t>
        </is>
      </c>
      <c r="AI1470"/>
      <c r="AJ1470" t="inlineStr">
        <is>
          <t>LIQUIDITY PLAN (PAR # 202510290062 / 2025TEG-P0286)
1108 CE KIC GS+KO TAB &gt; BROADCAST TEAM &gt;
Prompter Operator x2
Total Budget = Php 43,200.00
Actual Cost = Php 14,300.00
Balance = Php 28,900.00</t>
        </is>
      </c>
      <c r="AK1470"/>
    </row>
    <row r="1471" ht="25.5" customHeight="1">
      <c r="A1471" s="2" t="str">
        <f>=HYPERLINK("https://applink.larksuite.com/client/mini_program/open?appId=cli_9c7cc8a9a9edd105&amp;mode=appCenter&amp;path_pc=pc/pages/requested/index?instanceId=7576528295022317277&amp;source=bitable&amp;path=pages/detail/index?instanceId=7576528295022317277&amp;source=bitable", "202511250048")</f>
        <v>202511250048</v>
      </c>
      <c r="B1471" t="inlineStr">
        <is>
          <t>Approved</t>
        </is>
      </c>
      <c r="C1471" t="inlineStr">
        <is>
          <t>Procurement Order</t>
        </is>
      </c>
      <c r="D1471" s="3">
        <v>45986.555081018516</v>
      </c>
      <c r="E1471" s="3">
        <v>45986.70922453704</v>
      </c>
      <c r="F1471" t="inlineStr">
        <is>
          <t>Fatima Kathleen M. FLores</t>
        </is>
      </c>
      <c r="G1471" t="inlineStr">
        <is>
          <t>Procurement</t>
        </is>
      </c>
      <c r="H1471"/>
      <c r="I1471"/>
      <c r="J1471" t="inlineStr">
        <is>
          <t>Project</t>
        </is>
      </c>
      <c r="K1471" t="inlineStr">
        <is>
          <t>GG - Event Service</t>
        </is>
      </c>
      <c r="L1471" t="inlineStr">
        <is>
          <t>KIC 2025 - Group Stage &amp; Knockouts</t>
        </is>
      </c>
      <c r="M1471" t="inlineStr">
        <is>
          <t>2025TEG-P0286</t>
        </is>
      </c>
      <c r="N1471" t="inlineStr">
        <is>
          <t>Carla Andrea Calma Crespo</t>
        </is>
      </c>
      <c r="O1471" t="inlineStr">
        <is>
          <t>202511120054-Carla Andrea Calma Crespo-费用报销 - 副本 - 副本 - 副本-2025-11-12 05:38:38</t>
        </is>
      </c>
      <c r="P1471" t="inlineStr">
        <is>
          <t>YES</t>
        </is>
      </c>
      <c r="Q1471"/>
      <c r="R1471" t="inlineStr">
        <is>
          <t>NO</t>
        </is>
      </c>
      <c r="S1471" t="inlineStr">
        <is>
          <t>Outsourced Teleprompter</t>
        </is>
      </c>
      <c r="T1471">
        <v>1</v>
      </c>
      <c r="U1471">
        <v>18150</v>
      </c>
      <c r="V1471" t="inlineStr">
        <is>
          <t>PHP</t>
        </is>
      </c>
      <c r="W1471">
        <v>18150</v>
      </c>
      <c r="X1471" s="2" t="str">
        <f>=HYPERLINK("https://www.larksuite.com/approval/admin/previewAttachment?key=PMg7CsJgEATgK83OPmbXy9gYgiKpBE3zn12wsP2qDdVpXoMY48CWUpVsToJ0E6XFZdJAJq-1Hfv1E49TfToO9jOx3vfbvr0sRyTkEd4A7PJ3V0TMVODn-AYAAP__", "2 attachment(s)")</f>
        <v>2 attachment(s)</v>
      </c>
      <c r="Y1471" t="inlineStr">
        <is>
          <t>Bank Transfer</t>
        </is>
      </c>
      <c r="Z1471" t="inlineStr">
        <is>
          <t>Mc Kenneth R. Esteban</t>
        </is>
      </c>
      <c r="AA1471" t="inlineStr">
        <is>
          <t>9619212212</t>
        </is>
      </c>
      <c r="AB1471" t="inlineStr">
        <is>
          <t>BPI</t>
        </is>
      </c>
      <c r="AC1471" t="inlineStr">
        <is>
          <t>10 Kasoy St. Pasong Tamo Quezon City</t>
        </is>
      </c>
      <c r="AD1471" s="4">
        <v>45973</v>
      </c>
      <c r="AE1471" t="inlineStr">
        <is>
          <t>1st Payment - Nov. 28, 2025
Final Payment - Dec. 28, 2025</t>
        </is>
      </c>
      <c r="AF1471" s="2"/>
      <c r="AG1471" t="inlineStr">
        <is>
          <t>NzQyNTk5MTgyNzQ4MTg3MDM0MTpEOTNCNjQ2Ri01MEEyLTRDRTQtQTgwMi1FOUNGNTQ2OTdGQzAtMTozODlmN2IyMWU5Yzk4ZGRiMjMxNzg3NWU1YTYyNmFlMTox</t>
        </is>
      </c>
      <c r="AH1471" t="inlineStr">
        <is>
          <t>Mc Kenneth R. Esteban</t>
        </is>
      </c>
      <c r="AI1471"/>
      <c r="AJ1471" t="inlineStr">
        <is>
          <t>LIQUIDITY PLAN (PAR # 202510290062 / 2025TEG-P0286)
1108 CE KIC GS+KO TAB &gt; BROADCAST TEAM &gt;
Prompter Operator x2
Total Remaining Budget = Php 28,900.00
Actual Cost = Php 18,150.00
Balance = Php 10,750.00</t>
        </is>
      </c>
      <c r="AK1471"/>
    </row>
    <row r="1472" ht="25.5" customHeight="1">
      <c r="A1472" s="2" t="str">
        <f>=HYPERLINK("https://applink.larksuite.com/client/mini_program/open?appId=cli_9c7cc8a9a9edd105&amp;mode=appCenter&amp;path_pc=pc/pages/requested/index?instanceId=7576529177453580002&amp;source=bitable&amp;path=pages/detail/index?instanceId=7576529177453580002&amp;source=bitable", "202511250050")</f>
        <v>202511250050</v>
      </c>
      <c r="B1472" t="inlineStr">
        <is>
          <t>Approved</t>
        </is>
      </c>
      <c r="C1472" t="inlineStr">
        <is>
          <t>Procurement Order</t>
        </is>
      </c>
      <c r="D1472" s="3">
        <v>45986.55746527778</v>
      </c>
      <c r="E1472" s="3">
        <v>45986.71084490741</v>
      </c>
      <c r="F1472" t="inlineStr">
        <is>
          <t>Fatima Kathleen M. FLores</t>
        </is>
      </c>
      <c r="G1472" t="inlineStr">
        <is>
          <t>Procurement</t>
        </is>
      </c>
      <c r="H1472"/>
      <c r="I1472"/>
      <c r="J1472" t="inlineStr">
        <is>
          <t>Project</t>
        </is>
      </c>
      <c r="K1472" t="inlineStr">
        <is>
          <t>GG - Event Service</t>
        </is>
      </c>
      <c r="L1472" t="inlineStr">
        <is>
          <t>KIC 2025 - Group Stage &amp; Knockouts</t>
        </is>
      </c>
      <c r="M1472" t="inlineStr">
        <is>
          <t>2025TEG-P0286</t>
        </is>
      </c>
      <c r="N1472" t="inlineStr">
        <is>
          <t>Carla Andrea Calma Crespo</t>
        </is>
      </c>
      <c r="O1472" t="inlineStr">
        <is>
          <t>202511120055-Carla Andrea Calma Crespo-费用报销 - 副本 - 副本 - 副本-2025-11-12 05:41:38</t>
        </is>
      </c>
      <c r="P1472" t="inlineStr">
        <is>
          <t>YES</t>
        </is>
      </c>
      <c r="Q1472"/>
      <c r="R1472" t="inlineStr">
        <is>
          <t>NO</t>
        </is>
      </c>
      <c r="S1472" t="inlineStr">
        <is>
          <t>Outsourced Game Observer</t>
        </is>
      </c>
      <c r="T1472">
        <v>1</v>
      </c>
      <c r="U1472">
        <v>19800</v>
      </c>
      <c r="V1472" t="inlineStr">
        <is>
          <t>PHP</t>
        </is>
      </c>
      <c r="W1472">
        <v>19800</v>
      </c>
      <c r="X1472" s="2" t="str">
        <f>=HYPERLINK("https://www.larksuite.com/approval/admin/previewAttachment?key=PMs9CgJhDATQK-Vnkkm8jI3LhwtaCSsWObtose2Dl6WSFerZglZr0WEww1pJhEeJiI2Nki1Ues72XFc73h_YXlX7w7HmuN_W9tJomgkd8F_Uy-lOAN0J-bt8AwAA__8", "2 attachment(s)")</f>
        <v>2 attachment(s)</v>
      </c>
      <c r="Y1472" t="inlineStr">
        <is>
          <t>Bank Transfer</t>
        </is>
      </c>
      <c r="Z1472" t="inlineStr">
        <is>
          <t>Annejeleeka Cherrell Ho</t>
        </is>
      </c>
      <c r="AA1472" t="inlineStr">
        <is>
          <t>1093 2537 7435</t>
        </is>
      </c>
      <c r="AB1472" t="inlineStr">
        <is>
          <t>Unionbank</t>
        </is>
      </c>
      <c r="AC1472" t="inlineStr">
        <is>
          <t>24B Camia St. Brgy Talipapa Quezon City</t>
        </is>
      </c>
      <c r="AD1472" s="4">
        <v>45973</v>
      </c>
      <c r="AE1472" t="inlineStr">
        <is>
          <t>1st Payment - Nov. 28, 2025
Final Payment - Dec. 5, 2025</t>
        </is>
      </c>
      <c r="AF1472" s="2"/>
      <c r="AG1472" t="inlineStr">
        <is>
          <t>NzQyNTk5MTgyNzQ4MTg3MDM0MTo2QzBCODA1My0xREVFLTQ1MjAtQUI4Ni1GRkVFMzVCOTE5NEUtMTo5Y2JmNGI5NzhlM2VlZTQwZTlkOWMyODFhODU3NTFkMzox</t>
        </is>
      </c>
      <c r="AH1472" t="inlineStr">
        <is>
          <t>Annejeleeka Cherrell Ho</t>
        </is>
      </c>
      <c r="AI1472"/>
      <c r="AJ1472" t="inlineStr">
        <is>
          <t>LIQUIDITY PLAN (PAR # 202510290062 / 2025TEG-P0286)
1108 CE KIC GS+KO TAB &gt; BROADCAST TEAM &gt;
Observer 4 (BACK-UP)
Total Budget = Php 21,600.00
Actual Cost = Php 19,800.00
Balance = Php 1,800.00</t>
        </is>
      </c>
      <c r="AK1472"/>
    </row>
    <row r="1473" ht="25.5" customHeight="1">
      <c r="A1473" s="2" t="str">
        <f>=HYPERLINK("https://applink.larksuite.com/client/mini_program/open?appId=cli_9c7cc8a9a9edd105&amp;mode=appCenter&amp;path_pc=pc/pages/requested/index?instanceId=7576539688492666590&amp;source=bitable&amp;path=pages/detail/index?instanceId=7576539688492666590&amp;source=bitable", "202511250062")</f>
        <v>202511250062</v>
      </c>
      <c r="B1473" t="inlineStr">
        <is>
          <t>Approved</t>
        </is>
      </c>
      <c r="C1473" t="inlineStr">
        <is>
          <t>Procurement Order</t>
        </is>
      </c>
      <c r="D1473" s="3">
        <v>45986.58578703704</v>
      </c>
      <c r="E1473" s="3">
        <v>45986.71215277778</v>
      </c>
      <c r="F1473" t="inlineStr">
        <is>
          <t>Fatima Kathleen M. FLores</t>
        </is>
      </c>
      <c r="G1473" t="inlineStr">
        <is>
          <t>Procurement</t>
        </is>
      </c>
      <c r="H1473"/>
      <c r="I1473"/>
      <c r="J1473" t="inlineStr">
        <is>
          <t>Project</t>
        </is>
      </c>
      <c r="K1473" t="inlineStr">
        <is>
          <t>GG - Event Service</t>
        </is>
      </c>
      <c r="L1473" t="inlineStr">
        <is>
          <t>KIC 2025 - Group Stage &amp; Knockouts</t>
        </is>
      </c>
      <c r="M1473" t="inlineStr">
        <is>
          <t>2025TEG-P0286</t>
        </is>
      </c>
      <c r="N1473" t="inlineStr">
        <is>
          <t>Carla Andrea Calma Crespo</t>
        </is>
      </c>
      <c r="O1473" t="inlineStr">
        <is>
          <t>202511120090-Carla Andrea Calma Crespo-费用报销 - 副本 - 副本 - 副本-2025-11-12 08:48:47</t>
        </is>
      </c>
      <c r="P1473" t="inlineStr">
        <is>
          <t>YES</t>
        </is>
      </c>
      <c r="Q1473"/>
      <c r="R1473" t="inlineStr">
        <is>
          <t>NO</t>
        </is>
      </c>
      <c r="S1473" t="inlineStr">
        <is>
          <t>Outsourced Stream Engineer</t>
        </is>
      </c>
      <c r="T1473">
        <v>1</v>
      </c>
      <c r="U1473">
        <v>18000</v>
      </c>
      <c r="V1473" t="inlineStr">
        <is>
          <t>PHP</t>
        </is>
      </c>
      <c r="W1473">
        <v>18000</v>
      </c>
      <c r="X1473" s="2" t="str">
        <f>=HYPERLINK("https://www.larksuite.com/approval/admin/previewAttachment?key=PMi7CQJhEATglmbfOzZj4nHowS-CKCZbu2Bg-mULskMsCacoIVNRGcbsdmpmBjE6UkWUlOVsaz8_jtsHcsdrHd0a875e9u0pwVJFmbs1ADn93crdyXT8HN8AAAD__w", "2 attachment(s)")</f>
        <v>2 attachment(s)</v>
      </c>
      <c r="Y1473" t="inlineStr">
        <is>
          <t>Bank Transfer</t>
        </is>
      </c>
      <c r="Z1473" t="inlineStr">
        <is>
          <t>SEAN JHONAS A. ARAGO</t>
        </is>
      </c>
      <c r="AA1473" t="inlineStr">
        <is>
          <t>011880108133</t>
        </is>
      </c>
      <c r="AB1473" t="inlineStr">
        <is>
          <t>BDO</t>
        </is>
      </c>
      <c r="AC1473" t="inlineStr">
        <is>
          <t>7 SUNFLOWER ST. LUMANG BAYAN EXECUTIVE VILLAGE, BRGY. MAYAMOT, ANTIPOLO CITY</t>
        </is>
      </c>
      <c r="AD1473" s="4">
        <v>45975</v>
      </c>
      <c r="AE1473" t="inlineStr">
        <is>
          <t>1st Payment - Nov. 28, 2025
Final Payment - Dec. 5, 2025</t>
        </is>
      </c>
      <c r="AF1473" s="2"/>
      <c r="AG1473" t="inlineStr">
        <is>
          <t>NzQyNTk5MTgyNzQ4MTg3MDM0MToxNUI4N0RDOC02Nzc4LTQxNjctQTA2NS1EQTEwNDY3RDQ1NDMtMToxOWJkYTFlNjFiNmJjODkxNGMxZTQ3MGI1NDM4NjllMzox</t>
        </is>
      </c>
      <c r="AH1473" t="inlineStr">
        <is>
          <t>SEAN JHONAS A. ARAGO</t>
        </is>
      </c>
      <c r="AI1473"/>
      <c r="AJ1473" t="inlineStr">
        <is>
          <t>LIQUIDITY PLAN (PAR # 202510290062 / 2025TEG-P0286)
1108 CE KIC GS+KO TAB &gt; BROADCAST TEAM &gt;
Stream Engineer
Total Budget = Php 60,000.00
Actual Cost = Php 18,000.00
Balance = Php 42,000.00</t>
        </is>
      </c>
      <c r="AK1473"/>
    </row>
    <row r="1474" ht="25.5" customHeight="1">
      <c r="A1474" s="2" t="str">
        <f>=HYPERLINK("https://applink.larksuite.com/client/mini_program/open?appId=cli_9c7cc8a9a9edd105&amp;mode=appCenter&amp;path_pc=pc/pages/requested/index?instanceId=7576540566716976866&amp;source=bitable&amp;path=pages/detail/index?instanceId=7576540566716976866&amp;source=bitable", "202511250063")</f>
        <v>202511250063</v>
      </c>
      <c r="B1474" t="inlineStr">
        <is>
          <t>Approved</t>
        </is>
      </c>
      <c r="C1474" t="inlineStr">
        <is>
          <t>Procurement Order</t>
        </is>
      </c>
      <c r="D1474" s="3">
        <v>45986.58814814815</v>
      </c>
      <c r="E1474" s="3">
        <v>45986.71357638889</v>
      </c>
      <c r="F1474" t="inlineStr">
        <is>
          <t>Fatima Kathleen M. FLores</t>
        </is>
      </c>
      <c r="G1474" t="inlineStr">
        <is>
          <t>Procurement</t>
        </is>
      </c>
      <c r="H1474"/>
      <c r="I1474"/>
      <c r="J1474" t="inlineStr">
        <is>
          <t>Project</t>
        </is>
      </c>
      <c r="K1474" t="inlineStr">
        <is>
          <t>GG - Event Service</t>
        </is>
      </c>
      <c r="L1474" t="inlineStr">
        <is>
          <t>KIC 2025 - Group Stage &amp; Knockouts</t>
        </is>
      </c>
      <c r="M1474" t="inlineStr">
        <is>
          <t>2025TEG-P0286</t>
        </is>
      </c>
      <c r="N1474" t="inlineStr">
        <is>
          <t>Carla Andrea Calma Crespo</t>
        </is>
      </c>
      <c r="O1474" t="inlineStr">
        <is>
          <t>202511120094-Carla Andrea Calma Crespo-费用报销 - 副本 - 副本 - 副本-2025-11-12 09:04:27</t>
        </is>
      </c>
      <c r="P1474" t="inlineStr">
        <is>
          <t>YES</t>
        </is>
      </c>
      <c r="Q1474"/>
      <c r="R1474" t="inlineStr">
        <is>
          <t>NO</t>
        </is>
      </c>
      <c r="S1474" t="inlineStr">
        <is>
          <t>Outsourced Stream Moderator</t>
        </is>
      </c>
      <c r="T1474">
        <v>1</v>
      </c>
      <c r="U1474">
        <v>17600</v>
      </c>
      <c r="V1474" t="inlineStr">
        <is>
          <t>PHP</t>
        </is>
      </c>
      <c r="W1474">
        <v>17600</v>
      </c>
      <c r="X1474" s="2" t="str">
        <f>=HYPERLINK("https://www.larksuite.com/approval/admin/previewAttachment?key=PMgxjkIxDATQK41jZ8bey2zzoy8QokJEUPjsSBS0j2lgTnMWomwUrDXFGZikjCUm2aNNKsjk7HU__7ddX8dOrPctn8t7X45zPWyWxoA8whOA_f3cFRFVDHwdnwAAAP__", "2 attachment(s)")</f>
        <v>2 attachment(s)</v>
      </c>
      <c r="Y1474" t="inlineStr">
        <is>
          <t>Bank Transfer</t>
        </is>
      </c>
      <c r="Z1474" t="inlineStr">
        <is>
          <t>Eliah Ysabella Gomez Regio</t>
        </is>
      </c>
      <c r="AA1474" t="inlineStr">
        <is>
          <t>09155882344</t>
        </is>
      </c>
      <c r="AB1474" t="inlineStr">
        <is>
          <t>GCash</t>
        </is>
      </c>
      <c r="AC1474" t="inlineStr">
        <is>
          <t>Tropics 4 Filinvest East Homes Cainta, Rizal</t>
        </is>
      </c>
      <c r="AD1474" s="4">
        <v>45973</v>
      </c>
      <c r="AE1474" t="inlineStr">
        <is>
          <t>1st Payment - Nov. 28, 2025
Final Payment - Dec. 5, 2025</t>
        </is>
      </c>
      <c r="AF1474" s="2"/>
      <c r="AG1474" t="inlineStr">
        <is>
          <t>NzQyNTk5MTgyNzQ4MTg3MDM0MTpEMjhGRjRCOC1GQzNFLTQwODktOTRGMC03QjBCRDY3RkI2REItMTo5OTk2ZTZmYmVmYmZkM2Y2MDM0YWJhMmUwZWVlNDUzNTox</t>
        </is>
      </c>
      <c r="AH1474" t="inlineStr">
        <is>
          <t>Eliah Ysabella Gomez Regio</t>
        </is>
      </c>
      <c r="AI1474"/>
      <c r="AJ1474" t="inlineStr">
        <is>
          <t>LIQUIDITY PLAN (PAR # 202510290062 / 2025TEG-P0286)
1108 CE KIC GS+KO TAB &gt; BROADCAST TEAM &gt;
Stream Moderator
Total Budget = Php 64,800.00
Actual Cost = Php 17,600.00
Balance = Php 47,200.00</t>
        </is>
      </c>
      <c r="AK1474"/>
    </row>
    <row r="1475" ht="25.5" customHeight="1">
      <c r="A1475" s="2" t="str">
        <f>=HYPERLINK("https://applink.larksuite.com/client/mini_program/open?appId=cli_9c7cc8a9a9edd105&amp;mode=appCenter&amp;path_pc=pc/pages/requested/index?instanceId=7576542843544555233&amp;source=bitable&amp;path=pages/detail/index?instanceId=7576542843544555233&amp;source=bitable", "202511250071")</f>
        <v>202511250071</v>
      </c>
      <c r="B1475" t="inlineStr">
        <is>
          <t>Approved</t>
        </is>
      </c>
      <c r="C1475" t="inlineStr">
        <is>
          <t>Procurement Order</t>
        </is>
      </c>
      <c r="D1475" s="3">
        <v>45986.594293981485</v>
      </c>
      <c r="E1475" s="3">
        <v>45986.714479166665</v>
      </c>
      <c r="F1475" t="inlineStr">
        <is>
          <t>Fatima Kathleen M. FLores</t>
        </is>
      </c>
      <c r="G1475" t="inlineStr">
        <is>
          <t>Procurement</t>
        </is>
      </c>
      <c r="H1475"/>
      <c r="I1475"/>
      <c r="J1475" t="inlineStr">
        <is>
          <t>Project</t>
        </is>
      </c>
      <c r="K1475" t="inlineStr">
        <is>
          <t>GG - Event Service</t>
        </is>
      </c>
      <c r="L1475" t="inlineStr">
        <is>
          <t>KIC 2025 - Group Stage &amp; Knockouts</t>
        </is>
      </c>
      <c r="M1475" t="inlineStr">
        <is>
          <t>2025TEG-P0286</t>
        </is>
      </c>
      <c r="N1475" t="inlineStr">
        <is>
          <t>Carla Andrea Calma Crespo</t>
        </is>
      </c>
      <c r="O1475" t="inlineStr">
        <is>
          <t>202511120105-Carla Andrea Calma Crespo-费用报销 - 副本 - 副本 - 副本-2025-11-12 09:30:16</t>
        </is>
      </c>
      <c r="P1475" t="inlineStr">
        <is>
          <t>YES</t>
        </is>
      </c>
      <c r="Q1475"/>
      <c r="R1475" t="inlineStr">
        <is>
          <t>NO</t>
        </is>
      </c>
      <c r="S1475" t="inlineStr">
        <is>
          <t>Outsourced Safety System Operator</t>
        </is>
      </c>
      <c r="T1475">
        <v>1</v>
      </c>
      <c r="U1475">
        <v>18700</v>
      </c>
      <c r="V1475" t="inlineStr">
        <is>
          <t>PHP</t>
        </is>
      </c>
      <c r="W1475">
        <v>18700</v>
      </c>
      <c r="X1475" s="2" t="str">
        <f>=HYPERLINK("https://www.larksuite.com/approval/admin/previewAttachment?key=PMhNqgJBDATgK1WSSqrzLvM20wz-DoIgbvrsggu3Xw1DjbSoBtu8YUupSvpgJJmZHrF8mdSQKWrN-_5_9dvlgcO28zE03-t12vb5tGy5Q0HGAGB_Pw-R7C7i6_gEAAD__w", "2 attachment(s)")</f>
        <v>2 attachment(s)</v>
      </c>
      <c r="Y1475" t="inlineStr">
        <is>
          <t>Bank Transfer</t>
        </is>
      </c>
      <c r="Z1475" t="inlineStr">
        <is>
          <t>JUAN MIGUEL NAVARRO</t>
        </is>
      </c>
      <c r="AA1475" t="inlineStr">
        <is>
          <t>1096 7202 2709</t>
        </is>
      </c>
      <c r="AB1475" t="inlineStr">
        <is>
          <t>Unionbank</t>
        </is>
      </c>
      <c r="AC1475" t="inlineStr">
        <is>
          <t>B33 L1-B, DILIGENCE ST., GOODWILL HOMES 1, SAN BARTOLOME, NOVALICHES, QUEZON CITY</t>
        </is>
      </c>
      <c r="AD1475" s="4">
        <v>45973</v>
      </c>
      <c r="AE1475" t="inlineStr">
        <is>
          <t>1st Payment - Nov. 28, 2025
Final Payment - Dec. 5, 2025</t>
        </is>
      </c>
      <c r="AF1475" s="2"/>
      <c r="AG1475" t="inlineStr">
        <is>
          <t>NzQyNTk5MTgyNzQ4MTg3MDM0MTpBMEFFMkVGMS0zRUU5LTRFMzMtQjZBMi02NTFCQkY5MUVDRjAtMTphZDVhODM0MTFlNTk2ZWUyNGI5YzMxNGY0YzExNjA3YTox</t>
        </is>
      </c>
      <c r="AH1475" t="inlineStr">
        <is>
          <t>JUAN MIGUEL NAVARRO</t>
        </is>
      </c>
      <c r="AI1475"/>
      <c r="AJ1475" t="inlineStr">
        <is>
          <t>LIQUIDITY PLAN (PAR # 202510290062 / 2025TEG-P0286)
1108 CE KIC GS+KO TAB &gt; BROADCAST TEAM &gt;
Safety System Operator
Total Budget = Php 64,800.00
Actual Cost = Php 18,700.00
Balance = Php 46,100.00</t>
        </is>
      </c>
      <c r="AK1475"/>
    </row>
    <row r="1476" ht="25.5" customHeight="1">
      <c r="A1476" s="2" t="str">
        <f>=HYPERLINK("https://applink.larksuite.com/client/mini_program/open?appId=cli_9c7cc8a9a9edd105&amp;mode=appCenter&amp;path_pc=pc/pages/requested/index?instanceId=7576541919828807393&amp;source=bitable&amp;path=pages/detail/index?instanceId=7576541919828807393&amp;source=bitable", "202511250069")</f>
        <v>202511250069</v>
      </c>
      <c r="B1476" t="inlineStr">
        <is>
          <t>Approved</t>
        </is>
      </c>
      <c r="C1476" t="inlineStr">
        <is>
          <t>Procurement Order</t>
        </is>
      </c>
      <c r="D1476" s="3">
        <v>45986.59180555555</v>
      </c>
      <c r="E1476" s="3">
        <v>45986.715833333335</v>
      </c>
      <c r="F1476" t="inlineStr">
        <is>
          <t>Fatima Kathleen M. FLores</t>
        </is>
      </c>
      <c r="G1476" t="inlineStr">
        <is>
          <t>Procurement</t>
        </is>
      </c>
      <c r="H1476"/>
      <c r="I1476"/>
      <c r="J1476" t="inlineStr">
        <is>
          <t>Project</t>
        </is>
      </c>
      <c r="K1476" t="inlineStr">
        <is>
          <t>GG - Event Service</t>
        </is>
      </c>
      <c r="L1476" t="inlineStr">
        <is>
          <t>KIC 2025 - Group Stage &amp; Knockouts</t>
        </is>
      </c>
      <c r="M1476" t="inlineStr">
        <is>
          <t>2025TEG-P0286</t>
        </is>
      </c>
      <c r="N1476" t="inlineStr">
        <is>
          <t>Carla Andrea Calma Crespo</t>
        </is>
      </c>
      <c r="O1476" t="inlineStr">
        <is>
          <t>202511120094-Carla Andrea Calma Crespo-费用报销 - 副本 - 副本 - 副本-2025-11-12 09:04:27</t>
        </is>
      </c>
      <c r="P1476" t="inlineStr">
        <is>
          <t>YES</t>
        </is>
      </c>
      <c r="Q1476"/>
      <c r="R1476" t="inlineStr">
        <is>
          <t>NO</t>
        </is>
      </c>
      <c r="S1476" t="inlineStr">
        <is>
          <t>Outsourced Stream Moderator</t>
        </is>
      </c>
      <c r="T1476">
        <v>1</v>
      </c>
      <c r="U1476">
        <v>17000</v>
      </c>
      <c r="V1476" t="inlineStr">
        <is>
          <t>PHP</t>
        </is>
      </c>
      <c r="W1476">
        <v>17000</v>
      </c>
      <c r="X1476" s="2" t="str">
        <f>=HYPERLINK("https://www.larksuite.com/approval/admin/previewAttachment?key=PMhBCgIxDAXQK_00aX6-l3HjUEQcEMTBLnp2wcVsX5Yhq5unELIm2GJn9jCZqlWBLl9tGSnQ6Lm2fVz1mMdrTOIzv8-9r-N-G9vbutga6BFeAOxyujMipAz8Hb8AAAD__w", "2 attachment(s)")</f>
        <v>2 attachment(s)</v>
      </c>
      <c r="Y1476" t="inlineStr">
        <is>
          <t>Bank Transfer</t>
        </is>
      </c>
      <c r="Z1476" t="inlineStr">
        <is>
          <t>Emmanuel Cleto Francisco</t>
        </is>
      </c>
      <c r="AA1476" t="inlineStr">
        <is>
          <t>008450414941</t>
        </is>
      </c>
      <c r="AB1476" t="inlineStr">
        <is>
          <t>BDO</t>
        </is>
      </c>
      <c r="AC1476" t="inlineStr">
        <is>
          <t>7 Aguirre St. zone 4 Signal Village Taguig City</t>
        </is>
      </c>
      <c r="AD1476" s="4">
        <v>45968</v>
      </c>
      <c r="AE1476" t="inlineStr">
        <is>
          <t>1st Payment - Nov. 28, 2025
Final Payment - Dec. 5, 2025</t>
        </is>
      </c>
      <c r="AF1476" s="2"/>
      <c r="AG1476" t="inlineStr">
        <is>
          <t>NzQyNTk5MTgyNzQ4MTg3MDM0MTpGN0YyRDk5Mi1BQTUyLTQ5MkMtOTA0MC0wRTNGN0FCOTQ2MzMtMToyYmE0NTMwYzBmYjA0MGI0ZjJkOGMxNTE5NWMyNzUzODox</t>
        </is>
      </c>
      <c r="AH1476" t="inlineStr">
        <is>
          <t>Emmanuel Cleto Francisco</t>
        </is>
      </c>
      <c r="AI1476"/>
      <c r="AJ1476" t="inlineStr">
        <is>
          <t>LIQUIDITY PLAN (PAR # 202510290062 / 2025TEG-P0286)
1108 CE KIC GS+KO TAB &gt; BROADCAST TEAM &gt;
Stream Moderator
Total Remaining Budget = Php 28,500.00
Actual Cost = Php 17,000.00
Balance = Php 11,500.00</t>
        </is>
      </c>
      <c r="AK1476"/>
    </row>
    <row r="1477" ht="25.5" customHeight="1">
      <c r="A1477" s="2" t="str">
        <f>=HYPERLINK("https://applink.larksuite.com/client/mini_program/open?appId=cli_9c7cc8a9a9edd105&amp;mode=appCenter&amp;path_pc=pc/pages/requested/index?instanceId=7576541254402477792&amp;source=bitable&amp;path=pages/detail/index?instanceId=7576541254402477792&amp;source=bitable", "202511250066")</f>
        <v>202511250066</v>
      </c>
      <c r="B1477" t="inlineStr">
        <is>
          <t>Approved</t>
        </is>
      </c>
      <c r="C1477" t="inlineStr">
        <is>
          <t>Procurement Order</t>
        </is>
      </c>
      <c r="D1477" s="3">
        <v>45986.59001157407</v>
      </c>
      <c r="E1477" s="3">
        <v>45986.71680555555</v>
      </c>
      <c r="F1477" t="inlineStr">
        <is>
          <t>Fatima Kathleen M. FLores</t>
        </is>
      </c>
      <c r="G1477" t="inlineStr">
        <is>
          <t>Procurement</t>
        </is>
      </c>
      <c r="H1477"/>
      <c r="I1477"/>
      <c r="J1477" t="inlineStr">
        <is>
          <t>Project</t>
        </is>
      </c>
      <c r="K1477" t="inlineStr">
        <is>
          <t>GG - Event Service</t>
        </is>
      </c>
      <c r="L1477" t="inlineStr">
        <is>
          <t>KIC 2025 - Group Stage &amp; Knockouts</t>
        </is>
      </c>
      <c r="M1477" t="inlineStr">
        <is>
          <t>2025TEG-P0286</t>
        </is>
      </c>
      <c r="N1477" t="inlineStr">
        <is>
          <t>Carla Andrea Calma Crespo</t>
        </is>
      </c>
      <c r="O1477" t="inlineStr">
        <is>
          <t>202511120094-Carla Andrea Calma Crespo-费用报销 - 副本 - 副本 - 副本-2025-11-12 09:04:27</t>
        </is>
      </c>
      <c r="P1477" t="inlineStr">
        <is>
          <t>YES</t>
        </is>
      </c>
      <c r="Q1477"/>
      <c r="R1477" t="inlineStr">
        <is>
          <t>NO</t>
        </is>
      </c>
      <c r="S1477" t="inlineStr">
        <is>
          <t>Outsourced Stream Moderator</t>
        </is>
      </c>
      <c r="T1477">
        <v>1</v>
      </c>
      <c r="U1477">
        <v>18700</v>
      </c>
      <c r="V1477" t="inlineStr">
        <is>
          <t>PHP</t>
        </is>
      </c>
      <c r="W1477">
        <v>18700</v>
      </c>
      <c r="X1477" s="2" t="str">
        <f>=HYPERLINK("https://www.larksuite.com/approval/admin/previewAttachment?key=PMg5DkIxEAPQK9kTZ_yHy9AQRXyxNIilydmRKGhfbkRunS0LKkaBy93ZxegSQrYrVizaBdMt17jNo-Kt-7x8Bp77zut6nU9zPNjLEXCT2gaAh783S6pK4ef4BgAA__8", "2 attachment(s)")</f>
        <v>2 attachment(s)</v>
      </c>
      <c r="Y1477" t="inlineStr">
        <is>
          <t>Bank Transfer</t>
        </is>
      </c>
      <c r="Z1477" t="inlineStr">
        <is>
          <t>Ej Cezar Falogme</t>
        </is>
      </c>
      <c r="AA1477" t="inlineStr">
        <is>
          <t>001526005059</t>
        </is>
      </c>
      <c r="AB1477" t="inlineStr">
        <is>
          <t>BDO Kabayan Savings</t>
        </is>
      </c>
      <c r="AC1477" t="inlineStr">
        <is>
          <t>33 J Pio Felipe St. Purok-1 New Lower Bicutan Taguig City</t>
        </is>
      </c>
      <c r="AD1477" s="4">
        <v>45968</v>
      </c>
      <c r="AE1477" t="inlineStr">
        <is>
          <t>1st Payment - Nov. 28, 2025
Final Payment - Dec. 5, 2025</t>
        </is>
      </c>
      <c r="AF1477" s="2"/>
      <c r="AG1477" t="inlineStr">
        <is>
          <t>NzQyNTk5MTgyNzQ4MTg3MDM0MTpDNzM3MEM0RC0wMTUwLTQyN0YtODZDRS05MzUwODRFMTA5QzQtMTowYzBmNTNmMjY5YWJmZWJiYzk0NzdlYjIzOWYwNjRjOTox</t>
        </is>
      </c>
      <c r="AH1477" t="inlineStr">
        <is>
          <t>Ej Cezar Falogme</t>
        </is>
      </c>
      <c r="AI1477"/>
      <c r="AJ1477" t="inlineStr">
        <is>
          <t>LIQUIDITY PLAN (PAR # 202510290062 / 2025TEG-P0286)
1108 CE KIC GS+KO TAB &gt; BROADCAST TEAM &gt;
Stream Moderator
Total Remaining Budget = Php 47,200.00
Actual Cost = Php 18,700.00
Balance = Php 28,500.00</t>
        </is>
      </c>
      <c r="AK1477"/>
    </row>
    <row r="1478" ht="25.5" customHeight="1">
      <c r="A1478" s="2" t="str">
        <f>=HYPERLINK("https://applink.larksuite.com/client/mini_program/open?appId=cli_9c7cc8a9a9edd105&amp;mode=appCenter&amp;path_pc=pc/pages/requested/index?instanceId=7576559110305353436&amp;source=bitable&amp;path=pages/detail/index?instanceId=7576559110305353436&amp;source=bitable", "202511250089")</f>
        <v>202511250089</v>
      </c>
      <c r="B1478" t="inlineStr">
        <is>
          <t>Approved</t>
        </is>
      </c>
      <c r="C1478" t="inlineStr">
        <is>
          <t>Procurement Order</t>
        </is>
      </c>
      <c r="D1478" s="3">
        <v>45986.638125</v>
      </c>
      <c r="E1478" s="3">
        <v>45986.71744212963</v>
      </c>
      <c r="F1478" t="inlineStr">
        <is>
          <t>Fatima Kathleen M. FLores</t>
        </is>
      </c>
      <c r="G1478" t="inlineStr">
        <is>
          <t>Procurement</t>
        </is>
      </c>
      <c r="H1478"/>
      <c r="I1478"/>
      <c r="J1478" t="inlineStr">
        <is>
          <t>Project</t>
        </is>
      </c>
      <c r="K1478" t="inlineStr">
        <is>
          <t>GG - Event Service</t>
        </is>
      </c>
      <c r="L1478" t="inlineStr">
        <is>
          <t>KIC 2025 - Group Stage &amp; Knockouts</t>
        </is>
      </c>
      <c r="M1478" t="inlineStr">
        <is>
          <t>2025TEG-P0286</t>
        </is>
      </c>
      <c r="N1478" t="inlineStr">
        <is>
          <t>Carla Andrea Calma Crespo</t>
        </is>
      </c>
      <c r="O1478" t="inlineStr">
        <is>
          <t>202511120111-Carla Andrea Calma Crespo-费用报销 - 副本 - 副本 - 副本-2025-11-12 09:58:04</t>
        </is>
      </c>
      <c r="P1478" t="inlineStr">
        <is>
          <t>YES</t>
        </is>
      </c>
      <c r="Q1478"/>
      <c r="R1478" t="inlineStr">
        <is>
          <t>NO</t>
        </is>
      </c>
      <c r="S1478" t="inlineStr">
        <is>
          <t>Outsourced VTR Operator (PH)</t>
        </is>
      </c>
      <c r="T1478">
        <v>1</v>
      </c>
      <c r="U1478">
        <v>19800</v>
      </c>
      <c r="V1478" t="inlineStr">
        <is>
          <t>PHP</t>
        </is>
      </c>
      <c r="W1478">
        <v>19800</v>
      </c>
      <c r="X1478" s="2" t="str">
        <f>=HYPERLINK("https://www.larksuite.com/approval/admin/previewAttachment?key=PMg7qsJgEAXgLZ0z77mbuY3hRwMGQQikmLULFrZfFBHl1GhYUxqc9Az3JqFwdTWNkWFmI5kasz3X_3U-ymSvY71kP64577e1vemdIkg10wLAv59rmll3GL6OTwAAAP__", "2 attachment(s)")</f>
        <v>2 attachment(s)</v>
      </c>
      <c r="Y1478" t="inlineStr">
        <is>
          <t>Bank Transfer</t>
        </is>
      </c>
      <c r="Z1478" t="inlineStr">
        <is>
          <t>JOHN MARK PABELICO</t>
        </is>
      </c>
      <c r="AA1478" t="inlineStr">
        <is>
          <t>019809678942</t>
        </is>
      </c>
      <c r="AB1478" t="inlineStr">
        <is>
          <t>GoTyme Bank</t>
        </is>
      </c>
      <c r="AC1478" t="inlineStr">
        <is>
          <t>3195A Tindalo Street, UPS2, Brgy. San Martin de Porres, Parañaque City</t>
        </is>
      </c>
      <c r="AD1478" s="4">
        <v>45973</v>
      </c>
      <c r="AE1478" t="inlineStr">
        <is>
          <t>1st Payment - Nov. 28, 2025
Final Payment - Dec. 5, 2025</t>
        </is>
      </c>
      <c r="AF1478" s="2"/>
      <c r="AG1478" t="inlineStr">
        <is>
          <t>NzQyNTk5MTgyNzQ4MTg3MDM0MTozQzk1REM5MS0xNzY2LTQwRjctOUMyMy0wM0FEOTYwQzcwQTEtMTpiMmI0OTc4YWJjNDEzYjNjNjRjMGYzNzU3ZGQ4ZTE0Nzox</t>
        </is>
      </c>
      <c r="AH1478" t="inlineStr">
        <is>
          <t>JOHN MARK PABELICO</t>
        </is>
      </c>
      <c r="AI1478"/>
      <c r="AJ1478" t="inlineStr">
        <is>
          <t>LIQUIDITY PLAN (PAR # 202510290062 / 2025TEG-P0286)
1108 CE KIC GS+KO TAB &gt; BROADCAST TEAM &gt;
PH VTR Operator
Total Budget = Php 24,000.00
Actual Cost = Php 19,800.00
Balance = Php 4,200.00</t>
        </is>
      </c>
      <c r="AK1478"/>
    </row>
    <row r="1479" ht="25.5" customHeight="1">
      <c r="A1479" s="2" t="str">
        <f>=HYPERLINK("https://applink.larksuite.com/client/mini_program/open?appId=cli_9c7cc8a9a9edd105&amp;mode=appCenter&amp;path_pc=pc/pages/requested/index?instanceId=7576553213390753506&amp;source=bitable&amp;path=pages/detail/index?instanceId=7576553213390753506&amp;source=bitable", "202511250085")</f>
        <v>202511250085</v>
      </c>
      <c r="B1479" t="inlineStr">
        <is>
          <t>Approved</t>
        </is>
      </c>
      <c r="C1479" t="inlineStr">
        <is>
          <t>Procurement Order</t>
        </is>
      </c>
      <c r="D1479" s="3">
        <v>45986.6222337963</v>
      </c>
      <c r="E1479" s="3">
        <v>45986.718356481484</v>
      </c>
      <c r="F1479" t="inlineStr">
        <is>
          <t>Fatima Kathleen M. FLores</t>
        </is>
      </c>
      <c r="G1479" t="inlineStr">
        <is>
          <t>Procurement</t>
        </is>
      </c>
      <c r="H1479"/>
      <c r="I1479"/>
      <c r="J1479" t="inlineStr">
        <is>
          <t>Project</t>
        </is>
      </c>
      <c r="K1479" t="inlineStr">
        <is>
          <t>GG - Event Service</t>
        </is>
      </c>
      <c r="L1479" t="inlineStr">
        <is>
          <t>KIC 2025 - Group Stage &amp; Knockouts</t>
        </is>
      </c>
      <c r="M1479" t="inlineStr">
        <is>
          <t>2025TEG-P0286</t>
        </is>
      </c>
      <c r="N1479" t="inlineStr">
        <is>
          <t>Carla Andrea Calma Crespo</t>
        </is>
      </c>
      <c r="O1479" t="inlineStr">
        <is>
          <t>202511120105-Carla Andrea Calma Crespo-费用报销 - 副本 - 副本 - 副本-2025-11-12 09:30:16</t>
        </is>
      </c>
      <c r="P1479" t="inlineStr">
        <is>
          <t>YES</t>
        </is>
      </c>
      <c r="Q1479"/>
      <c r="R1479" t="inlineStr">
        <is>
          <t>NO</t>
        </is>
      </c>
      <c r="S1479" t="inlineStr">
        <is>
          <t>Outsourced Safety System Operator</t>
        </is>
      </c>
      <c r="T1479">
        <v>1</v>
      </c>
      <c r="U1479">
        <v>14400</v>
      </c>
      <c r="V1479" t="inlineStr">
        <is>
          <t>PHP</t>
        </is>
      </c>
      <c r="W1479">
        <v>14400</v>
      </c>
      <c r="X1479" s="2" t="str">
        <f>=HYPERLINK("https://www.larksuite.com/approval/admin/previewAttachment?key=PMgxqgMxDATQK408ksb6l_nNGpMNBAxht_PZAynSvuyG7GHMgpe1gm2FMoLNyIKCgdxtm1SQibnHa_6fd11c59BxPdea-34cc7wtSq1BdGcHYH8_p9y9Kh1fxycAAP__", "2 attachment(s)")</f>
        <v>2 attachment(s)</v>
      </c>
      <c r="Y1479" t="inlineStr">
        <is>
          <t>Bank Transfer</t>
        </is>
      </c>
      <c r="Z1479" t="inlineStr">
        <is>
          <t>John Benigno R. Magat</t>
        </is>
      </c>
      <c r="AA1479" t="inlineStr">
        <is>
          <t>046110005388</t>
        </is>
      </c>
      <c r="AB1479" t="inlineStr">
        <is>
          <t>PSBank</t>
        </is>
      </c>
      <c r="AC1479" t="inlineStr">
        <is>
          <t>228 Grissom st. Brgy Moonwalk Paranaque Metro Manila</t>
        </is>
      </c>
      <c r="AD1479" s="4">
        <v>45976</v>
      </c>
      <c r="AE1479" t="inlineStr">
        <is>
          <t>1st Payment - Nov. 28, 2025
Final Payment - Dec. 5, 2025</t>
        </is>
      </c>
      <c r="AF1479" s="2"/>
      <c r="AG1479" t="inlineStr">
        <is>
          <t>NzQyNTk5MTgyNzQ4MTg3MDM0MTpFOTYyNTI0NS1DRkUxLTRDMEItOEU3NC0yNTFBMTI3Mjg3QjUtMTozM2NhZDQyMzkwZjQ0YTZjM2M5MmU2ZGYxZTY4NGIyNTox</t>
        </is>
      </c>
      <c r="AH1479" t="inlineStr">
        <is>
          <t>John Benigno R. Magat</t>
        </is>
      </c>
      <c r="AI1479"/>
      <c r="AJ1479" t="inlineStr">
        <is>
          <t>LIQUIDITY PLAN (PAR # 202510290062 / 2025TEG-P0286)
1108 CE KIC GS+KO TAB &gt; BROADCAST TEAM &gt;
Safety System Operator
Total Remaining Budget = Php 28,500.00
Actual Cost = Php 14,400.00
Balance = Php 14,100.00</t>
        </is>
      </c>
      <c r="AK1479"/>
    </row>
    <row r="1480" ht="25.5" customHeight="1">
      <c r="A1480" s="2" t="str">
        <f>=HYPERLINK("https://applink.larksuite.com/client/mini_program/open?appId=cli_9c7cc8a9a9edd105&amp;mode=appCenter&amp;path_pc=pc/pages/requested/index?instanceId=7576552178517544669&amp;source=bitable&amp;path=pages/detail/index?instanceId=7576552178517544669&amp;source=bitable", "202511250081")</f>
        <v>202511250081</v>
      </c>
      <c r="B1480" t="inlineStr">
        <is>
          <t>Approved</t>
        </is>
      </c>
      <c r="C1480" t="inlineStr">
        <is>
          <t>Procurement Order</t>
        </is>
      </c>
      <c r="D1480" s="3">
        <v>45986.61944444444</v>
      </c>
      <c r="E1480" s="3">
        <v>45986.71902777778</v>
      </c>
      <c r="F1480" t="inlineStr">
        <is>
          <t>Fatima Kathleen M. FLores</t>
        </is>
      </c>
      <c r="G1480" t="inlineStr">
        <is>
          <t>Procurement</t>
        </is>
      </c>
      <c r="H1480"/>
      <c r="I1480"/>
      <c r="J1480" t="inlineStr">
        <is>
          <t>Project</t>
        </is>
      </c>
      <c r="K1480" t="inlineStr">
        <is>
          <t>GG - Event Service</t>
        </is>
      </c>
      <c r="L1480" t="inlineStr">
        <is>
          <t>KIC 2025 - Group Stage &amp; Knockouts</t>
        </is>
      </c>
      <c r="M1480" t="inlineStr">
        <is>
          <t>2025TEG-P0286</t>
        </is>
      </c>
      <c r="N1480" t="inlineStr">
        <is>
          <t>Carla Andrea Calma Crespo</t>
        </is>
      </c>
      <c r="O1480" t="inlineStr">
        <is>
          <t>202511120105-Carla Andrea Calma Crespo-费用报销 - 副本 - 副本 - 副本-2025-11-12 09:30:16</t>
        </is>
      </c>
      <c r="P1480" t="inlineStr">
        <is>
          <t>YES</t>
        </is>
      </c>
      <c r="Q1480"/>
      <c r="R1480" t="inlineStr">
        <is>
          <t>NO</t>
        </is>
      </c>
      <c r="S1480" t="inlineStr">
        <is>
          <t>Outsourced Safety System Operator</t>
        </is>
      </c>
      <c r="T1480">
        <v>1</v>
      </c>
      <c r="U1480">
        <v>17600</v>
      </c>
      <c r="V1480" t="inlineStr">
        <is>
          <t>PHP</t>
        </is>
      </c>
      <c r="W1480">
        <v>17600</v>
      </c>
      <c r="X1480" s="2" t="str">
        <f>=HYPERLINK("https://www.larksuite.com/approval/admin/previewAttachment?key=PMgrDsJgEATgK83sa_7lMpg2DYYaEsDs2UkQtV8tolbSqxFNa3CUqkyjVlIZUdVjQ6khymv253GHf4xxnmvT1-jzfmzH_mK2zCCP8AWAt8tdEdFdgb_jFwAA__8", "2 attachment(s)")</f>
        <v>2 attachment(s)</v>
      </c>
      <c r="Y1480" t="inlineStr">
        <is>
          <t>Bank Transfer</t>
        </is>
      </c>
      <c r="Z1480" t="inlineStr">
        <is>
          <t>Emir Ryan Concepcion</t>
        </is>
      </c>
      <c r="AA1480" t="inlineStr">
        <is>
          <t>3179710829</t>
        </is>
      </c>
      <c r="AB1480" t="inlineStr">
        <is>
          <t>BPI</t>
        </is>
      </c>
      <c r="AC1480" t="inlineStr">
        <is>
          <t>116 J.Molina Corner Blue Bird Street, Strip 70 Village, Concepcion Uno, Marikina City</t>
        </is>
      </c>
      <c r="AD1480" s="4">
        <v>45973</v>
      </c>
      <c r="AE1480" t="inlineStr">
        <is>
          <t>1st Payment - Nov. 28, 2025
Final Payment - Dec. 5, 2025</t>
        </is>
      </c>
      <c r="AF1480" s="2"/>
      <c r="AG1480" t="inlineStr">
        <is>
          <t>NzQyNTk5MTgyNzQ4MTg3MDM0MTo5Njk2QjI4My1BRTBELTRDMjEtOUJCOS01QTZCN0EzRUEyNzctMTphNTQ5ODJlMzZlZDMyMDQyZjAyMmY4MjZkOTZkZTc2Njox</t>
        </is>
      </c>
      <c r="AH1480" t="inlineStr">
        <is>
          <t>Emir Ryan Concepcion</t>
        </is>
      </c>
      <c r="AI1480"/>
      <c r="AJ1480" t="inlineStr">
        <is>
          <t>LIQUIDITY PLAN (PAR # 202510290062 / 2025TEG-P0286)
1108 CE KIC GS+KO TAB &gt; BROADCAST TEAM &gt;
Safety System Operator
Total Remaining Budget = Php 46,100.00
Actual Cost = Php 17,600.00
Balance = Php 28,500.00</t>
        </is>
      </c>
      <c r="AK1480"/>
    </row>
    <row r="1481" ht="25.5" customHeight="1">
      <c r="A1481" s="2" t="str">
        <f>=HYPERLINK("https://applink.larksuite.com/client/mini_program/open?appId=cli_9c7cc8a9a9edd105&amp;mode=appCenter&amp;path_pc=pc/pages/requested/index?instanceId=7576571953289481954&amp;source=bitable&amp;path=pages/detail/index?instanceId=7576571953289481954&amp;source=bitable", "202511250115")</f>
        <v>202511250115</v>
      </c>
      <c r="B1481" t="inlineStr">
        <is>
          <t>Approved</t>
        </is>
      </c>
      <c r="C1481" t="inlineStr">
        <is>
          <t>Procurement Order</t>
        </is>
      </c>
      <c r="D1481" s="3">
        <v>45986.67273148148</v>
      </c>
      <c r="E1481" s="3">
        <v>45986.720601851855</v>
      </c>
      <c r="F1481" t="inlineStr">
        <is>
          <t>Fatima Kathleen M. FLores</t>
        </is>
      </c>
      <c r="G1481" t="inlineStr">
        <is>
          <t>Procurement</t>
        </is>
      </c>
      <c r="H1481"/>
      <c r="I1481"/>
      <c r="J1481" t="inlineStr">
        <is>
          <t>Project</t>
        </is>
      </c>
      <c r="K1481" t="inlineStr">
        <is>
          <t>GG - Event Service</t>
        </is>
      </c>
      <c r="L1481" t="inlineStr">
        <is>
          <t>KIC 2025 - Group Stage &amp; Knockouts</t>
        </is>
      </c>
      <c r="M1481" t="inlineStr">
        <is>
          <t>2025TEG-P0286</t>
        </is>
      </c>
      <c r="N1481" t="inlineStr">
        <is>
          <t>Carla Andrea Calma Crespo</t>
        </is>
      </c>
      <c r="O1481" t="inlineStr">
        <is>
          <t>202511170055-Carla Andrea Calma Crespo-费用报销 - 副本 - 副本 - 副本-2025-11-17 07:56:50</t>
        </is>
      </c>
      <c r="P1481" t="inlineStr">
        <is>
          <t>YES</t>
        </is>
      </c>
      <c r="Q1481"/>
      <c r="R1481" t="inlineStr">
        <is>
          <t>NO</t>
        </is>
      </c>
      <c r="S1481" t="inlineStr">
        <is>
          <t>Outsourced HMUA (Players)</t>
        </is>
      </c>
      <c r="T1481">
        <v>1</v>
      </c>
      <c r="U1481">
        <v>22800</v>
      </c>
      <c r="V1481" t="inlineStr">
        <is>
          <t>PHP</t>
        </is>
      </c>
      <c r="W1481">
        <v>22800</v>
      </c>
      <c r="X1481" s="2" t="str">
        <f>=HYPERLINK("https://www.larksuite.com/approval/admin/previewAttachment?key=PMg7CsJgEATgK83--5gdL2NjCCIGBIndnl2wsP2qDdVpXkLIlmDDZCVN6asVbcqYNUYKNHrNduzXZ57yV4PR5-PY53O_7dvbUlwL9AhvAHb5uzMipAr8HN8AAAD__w", "2 attachment(s)")</f>
        <v>2 attachment(s)</v>
      </c>
      <c r="Y1481" t="inlineStr">
        <is>
          <t>Bank Transfer</t>
        </is>
      </c>
      <c r="Z1481" t="inlineStr">
        <is>
          <t>Grace Filomeno</t>
        </is>
      </c>
      <c r="AA1481" t="inlineStr">
        <is>
          <t>007340484415</t>
        </is>
      </c>
      <c r="AB1481" t="inlineStr">
        <is>
          <t>BDO</t>
        </is>
      </c>
      <c r="AC1481" t="inlineStr">
        <is>
          <t>89 T Santos St. San Jose, Rodriguez, Rizal</t>
        </is>
      </c>
      <c r="AD1481" s="4">
        <v>45975</v>
      </c>
      <c r="AE1481" t="inlineStr">
        <is>
          <t>100% Full Payment - Nov. 28, 2025</t>
        </is>
      </c>
      <c r="AF1481" s="2"/>
      <c r="AG1481" t="inlineStr">
        <is>
          <t>NzQyNTk5MTgyNzQ4MTg3MDM0MToxNEEwRUEyMC02NDBGLTREQ0ItQjNDQi0xODJGNDFFMzU2OEMtMTpiODhhYTY2YmE3ZjQ2Y2YzYjQ1M2ViYjE2MDYwYmRjNDox</t>
        </is>
      </c>
      <c r="AH1481" t="inlineStr">
        <is>
          <t>Grace Filomeno</t>
        </is>
      </c>
      <c r="AI1481"/>
      <c r="AJ1481" t="inlineStr">
        <is>
          <t>LIQUIDITY PLAN (PAR # 202510290062 / 2025TEG-P0286)
1108 CE KIC GS+KO TAB &gt; OPERATIONS TEAM &gt;
Talent Management &gt; HMUA (for Talents)
Total Remaining Budget = Php 39,700.00
Actual Cost = Php 22,800.00
Balance = Php 16,900.00</t>
        </is>
      </c>
      <c r="AK1481"/>
    </row>
    <row r="1482" ht="25.5" customHeight="1">
      <c r="A1482" s="2" t="str">
        <f>=HYPERLINK("https://applink.larksuite.com/client/mini_program/open?appId=cli_9c7cc8a9a9edd105&amp;mode=appCenter&amp;path_pc=pc/pages/requested/index?instanceId=7576570390227472097&amp;source=bitable&amp;path=pages/detail/index?instanceId=7576570390227472097&amp;source=bitable", "202511250113")</f>
        <v>202511250113</v>
      </c>
      <c r="B1482" t="inlineStr">
        <is>
          <t>Approved</t>
        </is>
      </c>
      <c r="C1482" t="inlineStr">
        <is>
          <t>Procurement Order</t>
        </is>
      </c>
      <c r="D1482" s="3">
        <v>45986.66851851852</v>
      </c>
      <c r="E1482" s="3">
        <v>45986.721342592595</v>
      </c>
      <c r="F1482" t="inlineStr">
        <is>
          <t>Fatima Kathleen M. FLores</t>
        </is>
      </c>
      <c r="G1482" t="inlineStr">
        <is>
          <t>Procurement</t>
        </is>
      </c>
      <c r="H1482"/>
      <c r="I1482"/>
      <c r="J1482" t="inlineStr">
        <is>
          <t>Project</t>
        </is>
      </c>
      <c r="K1482" t="inlineStr">
        <is>
          <t>GG - Event Service</t>
        </is>
      </c>
      <c r="L1482" t="inlineStr">
        <is>
          <t>KIC 2025 - Group Stage &amp; Knockouts</t>
        </is>
      </c>
      <c r="M1482" t="inlineStr">
        <is>
          <t>2025TEG-P0286</t>
        </is>
      </c>
      <c r="N1482" t="inlineStr">
        <is>
          <t>Carla Andrea Calma Crespo</t>
        </is>
      </c>
      <c r="O1482" t="inlineStr">
        <is>
          <t>202511140029-Carla Andrea Calma Crespo-费用报销 - 副本 - 副本 - 副本-2025-11-14 04:02:54</t>
        </is>
      </c>
      <c r="P1482" t="inlineStr">
        <is>
          <t>YES</t>
        </is>
      </c>
      <c r="Q1482"/>
      <c r="R1482" t="inlineStr">
        <is>
          <t>NO</t>
        </is>
      </c>
      <c r="S1482" t="inlineStr">
        <is>
          <t>Outsourced Multi-Country Operator</t>
        </is>
      </c>
      <c r="T1482">
        <v>1</v>
      </c>
      <c r="U1482">
        <v>75000</v>
      </c>
      <c r="V1482" t="inlineStr">
        <is>
          <t>PHP</t>
        </is>
      </c>
      <c r="W1482">
        <v>75000</v>
      </c>
      <c r="X1482" s="2" t="str">
        <f>=HYPERLINK("https://www.larksuite.com/approval/admin/previewAttachment?key=PMg5CsIAFATQK81fJ-NlbAzBvRECKf7ZBQvb14uhl7JoIWUu2LDYRYTgzqRDHB8jBRqjZ31t56r9juMRxMH38zb79bKtHyvRHYzMWADY6e_BzJQ68XN8AwAA__8", "2 attachment(s)")</f>
        <v>2 attachment(s)</v>
      </c>
      <c r="Y1482" t="inlineStr">
        <is>
          <t>Bank Transfer</t>
        </is>
      </c>
      <c r="Z1482" t="inlineStr">
        <is>
          <t>Jillian Marie V Bolayog</t>
        </is>
      </c>
      <c r="AA1482" t="inlineStr">
        <is>
          <t>005030461346</t>
        </is>
      </c>
      <c r="AB1482" t="inlineStr">
        <is>
          <t>BDO</t>
        </is>
      </c>
      <c r="AC1482" t="inlineStr">
        <is>
          <t>24 St. Anthony Street Brgy. Holy Spirit Quezon City</t>
        </is>
      </c>
      <c r="AD1482" s="4">
        <v>45958</v>
      </c>
      <c r="AE1482" t="inlineStr">
        <is>
          <t>1st Payment - Nov. 28, 2025
2nd Payment - Dec. 5, 2025
Final Payment - Dec. 12, 2025</t>
        </is>
      </c>
      <c r="AF1482" s="2"/>
      <c r="AG1482" t="inlineStr">
        <is>
          <t>NzQyNTk5MTgyNzQ4MTg3MDM0MTo3RDcyRTI2My0yODEyLTQ0N0UtOTI2OC1EQkMxMTdDMzM1QjgtMTplZjJhZTVjMWY2ZThjNDE0Y2E5YTk2MzBiZjY4YjdmZTox</t>
        </is>
      </c>
      <c r="AH1482" t="inlineStr">
        <is>
          <t>Jillian Marie V Bolayog</t>
        </is>
      </c>
      <c r="AI1482"/>
      <c r="AJ1482" t="inlineStr">
        <is>
          <t>LIQUIDITY PLAN (PAR # 202510290062 / 2025TEG-P0286)
1108 CE KIC GS+KO TAB &gt; BROADCAST TEAM &gt;
Multi-Country Operator
Total Budget = Php 90,000.00
Actual Cost = Php 75,000.00
Balance = Php 15,000.00</t>
        </is>
      </c>
      <c r="AK1482"/>
    </row>
    <row r="1483" ht="25.5" customHeight="1">
      <c r="A1483" s="2" t="str">
        <f>=HYPERLINK("https://applink.larksuite.com/client/mini_program/open?appId=cli_9c7cc8a9a9edd105&amp;mode=appCenter&amp;path_pc=pc/pages/requested/index?instanceId=7576586647974809308&amp;source=bitable&amp;path=pages/detail/index?instanceId=7576586647974809308&amp;source=bitable", "202511250135")</f>
        <v>202511250135</v>
      </c>
      <c r="B1483" t="inlineStr">
        <is>
          <t>Approved</t>
        </is>
      </c>
      <c r="C1483" t="inlineStr">
        <is>
          <t>Procurement Order</t>
        </is>
      </c>
      <c r="D1483" s="3">
        <v>45986.71233796296</v>
      </c>
      <c r="E1483" s="3">
        <v>45986.75025462963</v>
      </c>
      <c r="F1483" t="inlineStr">
        <is>
          <t>Fatima Kathleen M. FLores</t>
        </is>
      </c>
      <c r="G1483" t="inlineStr">
        <is>
          <t>Procurement</t>
        </is>
      </c>
      <c r="H1483"/>
      <c r="I1483"/>
      <c r="J1483" t="inlineStr">
        <is>
          <t>Project</t>
        </is>
      </c>
      <c r="K1483" t="inlineStr">
        <is>
          <t>GG - Event Service</t>
        </is>
      </c>
      <c r="L1483" t="inlineStr">
        <is>
          <t>HOK KIC - Media Day</t>
        </is>
      </c>
      <c r="M1483" t="inlineStr">
        <is>
          <t>2025TEG-P0307</t>
        </is>
      </c>
      <c r="N1483" t="inlineStr">
        <is>
          <t>Carla Andrea Calma Crespo</t>
        </is>
      </c>
      <c r="O1483" t="inlineStr">
        <is>
          <t>202511170062-Carla Andrea Calma Crespo-费用报销 - 副本 - 副本 - 副本-2025-11-17 08:27:29</t>
        </is>
      </c>
      <c r="P1483" t="inlineStr">
        <is>
          <t>YES</t>
        </is>
      </c>
      <c r="Q1483"/>
      <c r="R1483" t="inlineStr">
        <is>
          <t>NO</t>
        </is>
      </c>
      <c r="S1483" t="inlineStr">
        <is>
          <t>Outsourced Creative Production Assistant</t>
        </is>
      </c>
      <c r="T1483">
        <v>1</v>
      </c>
      <c r="U1483">
        <v>45000</v>
      </c>
      <c r="V1483" t="inlineStr">
        <is>
          <t>PHP</t>
        </is>
      </c>
      <c r="W1483">
        <v>45000</v>
      </c>
      <c r="X1483" s="2" t="str">
        <f>=HYPERLINK("https://www.larksuite.com/approval/admin/previewAttachment?key=PMixDcJQDATQlc7f_j4fy9AkiggRFSKIwrMjUdC-LEPWNE8hZEOw5mTOygyKUZCjerSRAo2evT626-uzHxp1Lu-79sP7vC3b-rQpjgF6hBcAu_zdGRFSBn6ObwAAAP__", "2 attachment(s)")</f>
        <v>2 attachment(s)</v>
      </c>
      <c r="Y1483" t="inlineStr">
        <is>
          <t>Bank Transfer</t>
        </is>
      </c>
      <c r="Z1483" t="inlineStr">
        <is>
          <t>Sheilla Mae Songalia</t>
        </is>
      </c>
      <c r="AA1483" t="inlineStr">
        <is>
          <t>09497767800</t>
        </is>
      </c>
      <c r="AB1483" t="inlineStr">
        <is>
          <t>GCash</t>
        </is>
      </c>
      <c r="AC1483" t="inlineStr">
        <is>
          <t>19-B Acacia St. Old Cabuyao Brgy. Sauyo, QC</t>
        </is>
      </c>
      <c r="AD1483" s="4">
        <v>45972</v>
      </c>
      <c r="AE1483" t="inlineStr">
        <is>
          <t>1st Payment - Nov. 28, 2025
Final Payment - Dec. 12, 2025</t>
        </is>
      </c>
      <c r="AF1483" s="2"/>
      <c r="AG1483" t="inlineStr">
        <is>
          <t>NzQyNTk5MTgyNzQ4MTg3MDM0MTpDRENERTZERS1FQUFCLTQxRTEtOTNDNC1CQTBGQkRFNjNDNEMtMTpmYjBhYjIxMTRkZTVlYjA5YWRhM2MyZDc3ZjZiYjQxYjox</t>
        </is>
      </c>
      <c r="AH1483" t="inlineStr">
        <is>
          <t>Sheilla Mae Songalia</t>
        </is>
      </c>
      <c r="AI1483"/>
      <c r="AJ1483" t="inlineStr">
        <is>
          <t>LIQUIDITY PLAN (PAR # 202511070057 / 2025TEG-P0307)
1112 CE Media Day &gt; MEDIA DAY - STUDIO SHOOT &gt;
MEDIA DAY MANPOWER &gt; Liaisons &gt;
Creative Assistants
Total Remaining Budget = Php 68,400.00
This request = Php 45,000.00
Balance = Php 23,400.00</t>
        </is>
      </c>
      <c r="AK1483"/>
    </row>
    <row r="1484" ht="25.5" customHeight="1">
      <c r="A1484" s="2" t="str">
        <f>=HYPERLINK("https://applink.larksuite.com/client/mini_program/open?appId=cli_9c7cc8a9a9edd105&amp;mode=appCenter&amp;path_pc=pc/pages/requested/index?instanceId=7576586120943636187&amp;source=bitable&amp;path=pages/detail/index?instanceId=7576586120943636187&amp;source=bitable", "202511250134")</f>
        <v>202511250134</v>
      </c>
      <c r="B1484" t="inlineStr">
        <is>
          <t>Approved</t>
        </is>
      </c>
      <c r="C1484" t="inlineStr">
        <is>
          <t>Procurement Order</t>
        </is>
      </c>
      <c r="D1484" s="3">
        <v>45986.710914351854</v>
      </c>
      <c r="E1484" s="3">
        <v>45986.75098379629</v>
      </c>
      <c r="F1484" t="inlineStr">
        <is>
          <t>Fatima Kathleen M. FLores</t>
        </is>
      </c>
      <c r="G1484" t="inlineStr">
        <is>
          <t>Procurement</t>
        </is>
      </c>
      <c r="H1484"/>
      <c r="I1484"/>
      <c r="J1484" t="inlineStr">
        <is>
          <t>Project</t>
        </is>
      </c>
      <c r="K1484" t="inlineStr">
        <is>
          <t>GG - Event Service</t>
        </is>
      </c>
      <c r="L1484" t="inlineStr">
        <is>
          <t>HOK KIC - Media Day</t>
        </is>
      </c>
      <c r="M1484" t="inlineStr">
        <is>
          <t>2025TEG-P0307</t>
        </is>
      </c>
      <c r="N1484" t="inlineStr">
        <is>
          <t>Carla Andrea Calma Crespo</t>
        </is>
      </c>
      <c r="O1484" t="inlineStr">
        <is>
          <t>202511170062-Carla Andrea Calma Crespo-费用报销 - 副本 - 副本 - 副本-2025-11-17 08:27:29</t>
        </is>
      </c>
      <c r="P1484" t="inlineStr">
        <is>
          <t>YES</t>
        </is>
      </c>
      <c r="Q1484"/>
      <c r="R1484" t="inlineStr">
        <is>
          <t>NO</t>
        </is>
      </c>
      <c r="S1484" t="inlineStr">
        <is>
          <t>Outsourced Creative Production Assistant</t>
        </is>
      </c>
      <c r="T1484">
        <v>1</v>
      </c>
      <c r="U1484">
        <v>45000</v>
      </c>
      <c r="V1484" t="inlineStr">
        <is>
          <t>PHP</t>
        </is>
      </c>
      <c r="W1484">
        <v>45000</v>
      </c>
      <c r="X1484" s="2" t="str">
        <f>=HYPERLINK("https://www.larksuite.com/approval/admin/previewAttachment?key=PMg9qgJBEATgK1VN_9T0u8xLXBZH1ERYNeizCwamX04iZ9Cy4MVRYCuUMZMD5ZaWnOrRlAqiLHu77f8Rx-V-jffruaLW6uN82rcHozQGZO42AfDv5yZ3r0rH1_EJAAD__w", "2 attachment(s)")</f>
        <v>2 attachment(s)</v>
      </c>
      <c r="Y1484" t="inlineStr">
        <is>
          <t>Bank Transfer</t>
        </is>
      </c>
      <c r="Z1484" t="inlineStr">
        <is>
          <t>Sandra Ortiz</t>
        </is>
      </c>
      <c r="AA1484" t="inlineStr">
        <is>
          <t>09610537362</t>
        </is>
      </c>
      <c r="AB1484" t="inlineStr">
        <is>
          <t>GCash</t>
        </is>
      </c>
      <c r="AC1484" t="inlineStr">
        <is>
          <t>3477 Magistrado Torres St Bacood Sta. Mesa Manila</t>
        </is>
      </c>
      <c r="AD1484" s="4">
        <v>45972</v>
      </c>
      <c r="AE1484" t="inlineStr">
        <is>
          <t>1st Payment - Nov. 28, 2025
Final Payment - Dec. 12, 2025</t>
        </is>
      </c>
      <c r="AF1484" s="2"/>
      <c r="AG1484" t="inlineStr">
        <is>
          <t>NzQyNTk5MTgyNzQ4MTg3MDM0MTpDQkFBNjA0Qy0xMDAxLTREMDAtQkVDMS03NjREOTk0OTdFMkEtMTo3NTBjNTZkMjExMDUyY2U4N2IwODlmNWZhN2Q4YjkyMTox</t>
        </is>
      </c>
      <c r="AH1484" t="inlineStr">
        <is>
          <t>Sandra Ortiz</t>
        </is>
      </c>
      <c r="AI1484"/>
      <c r="AJ1484" t="inlineStr">
        <is>
          <t>LIQUIDITY PLAN (PAR # 202511070057 / 2025TEG-P0307)
1112 CE Media Day &gt; MEDIA DAY - STUDIO SHOOT &gt;
MEDIA DAY MANPOWER &gt; Liaisons &gt;
Creative Assistants
Total Budget = Php 133,400.00
This request = Php 45,000.00
Balance = Php 68,400.00</t>
        </is>
      </c>
      <c r="AK1484"/>
    </row>
    <row r="1485" ht="25.5" customHeight="1">
      <c r="A1485" s="2" t="str">
        <f>=HYPERLINK("https://applink.larksuite.com/client/mini_program/open?appId=cli_9c7cc8a9a9edd105&amp;mode=appCenter&amp;path_pc=pc/pages/requested/index?instanceId=7576595405417238235&amp;source=bitable&amp;path=pages/detail/index?instanceId=7576595405417238235&amp;source=bitable", "202511250147")</f>
        <v>202511250147</v>
      </c>
      <c r="B1485" t="inlineStr">
        <is>
          <t>Approved</t>
        </is>
      </c>
      <c r="C1485" t="inlineStr">
        <is>
          <t>Procurement Order</t>
        </is>
      </c>
      <c r="D1485" s="3">
        <v>45986.7359375</v>
      </c>
      <c r="E1485" s="3">
        <v>45986.7797337963</v>
      </c>
      <c r="F1485" t="inlineStr">
        <is>
          <t>Fatima Kathleen M. FLores</t>
        </is>
      </c>
      <c r="G1485" t="inlineStr">
        <is>
          <t>Procurement</t>
        </is>
      </c>
      <c r="H1485"/>
      <c r="I1485"/>
      <c r="J1485" t="inlineStr">
        <is>
          <t>Project</t>
        </is>
      </c>
      <c r="K1485" t="inlineStr">
        <is>
          <t>PDEI - Game Marketing</t>
        </is>
      </c>
      <c r="L1485" t="inlineStr">
        <is>
          <t>Mineski Socials Night</t>
        </is>
      </c>
      <c r="M1485" t="inlineStr">
        <is>
          <t>2025TEG-P0293</t>
        </is>
      </c>
      <c r="N1485" t="inlineStr">
        <is>
          <t>Ronelle Kylene Chaneco Lim</t>
        </is>
      </c>
      <c r="O1485" t="inlineStr">
        <is>
          <t>202511040036-Ronelle Kylene Chaneco Lim-费用报销 - 副本 - 副本 - 副本-2025-11-04 04:23:48</t>
        </is>
      </c>
      <c r="P1485" t="inlineStr">
        <is>
          <t>YES</t>
        </is>
      </c>
      <c r="Q1485"/>
      <c r="R1485" t="inlineStr">
        <is>
          <t>NO</t>
        </is>
      </c>
      <c r="S1485" t="inlineStr">
        <is>
          <t>Outsourced Talent  / Host</t>
        </is>
      </c>
      <c r="T1485">
        <v>1</v>
      </c>
      <c r="U1485">
        <v>72300</v>
      </c>
      <c r="V1485" t="inlineStr">
        <is>
          <t>PHP</t>
        </is>
      </c>
      <c r="W1485">
        <v>72300</v>
      </c>
      <c r="X1485" s="2" t="str">
        <f>=HYPERLINK("https://www.larksuite.com/approval/admin/previewAttachment?key=PMgxCgJBDAXQK_0kP_kTL2PjMtgsCOIuFnN2wWLbV8NQIy2qwTZv2FKqspNImjyGRy5fJjVkilrbPu9-nF-9dp-nM_Kzjudjbm_LljsUZAwAdrs8RLK7iL_jFwAA__8", "2 attachment(s)")</f>
        <v>2 attachment(s)</v>
      </c>
      <c r="Y1485" t="inlineStr">
        <is>
          <t>Bank Transfer</t>
        </is>
      </c>
      <c r="Z1485" t="inlineStr">
        <is>
          <t>Marianne Acevedo Ramirez</t>
        </is>
      </c>
      <c r="AA1485" t="inlineStr">
        <is>
          <t>2549 1367 48</t>
        </is>
      </c>
      <c r="AB1485" t="inlineStr">
        <is>
          <t>BPI</t>
        </is>
      </c>
      <c r="AC1485" t="inlineStr">
        <is>
          <t>473 R Pascual St Brgy Batis San Juan City</t>
        </is>
      </c>
      <c r="AD1485" s="4">
        <v>45968</v>
      </c>
      <c r="AE1485" t="inlineStr">
        <is>
          <t>1st Payment - Nov. 21, 2025
Final Payment - Dec. 5, 2025</t>
        </is>
      </c>
      <c r="AF1485" s="2"/>
      <c r="AG1485" t="inlineStr">
        <is>
          <t>NzQyNTk5MTgyNzQ4MTg3MDM0MTpGNTgxQzA4QS1CRUU1LTQ0ODctOUY4Mi05RDA3MDFDMDYwQjEtMTpjYjVlZTIwYzk4NGQ2ZWNiMmZiZmRlMmVmNjE5ZjU4Yzox</t>
        </is>
      </c>
      <c r="AH1485" t="inlineStr">
        <is>
          <t>Marianne Acevedo Ramirez</t>
        </is>
      </c>
      <c r="AI1485"/>
      <c r="AJ1485" t="inlineStr">
        <is>
          <t>LIQUIDITY PLAN (PAR # 202510310043 / 2025TEG-P0293)
Manpower &gt; Host
Total Budget = Php 80,000.00
Actual Cost = Php 72,300.00
Balance = Php 7,700.00</t>
        </is>
      </c>
      <c r="AK1485"/>
    </row>
    <row r="1486" ht="25.5" customHeight="1">
      <c r="A1486" s="2" t="str">
        <f>=HYPERLINK("https://applink.larksuite.com/client/mini_program/open?appId=cli_9c7cc8a9a9edd105&amp;mode=appCenter&amp;path_pc=pc/pages/requested/index?instanceId=7576598493544861409&amp;source=bitable&amp;path=pages/detail/index?instanceId=7576598493544861409&amp;source=bitable", "202511250151")</f>
        <v>202511250151</v>
      </c>
      <c r="B1486" t="inlineStr">
        <is>
          <t>Approved</t>
        </is>
      </c>
      <c r="C1486" t="inlineStr">
        <is>
          <t>Procurement Order</t>
        </is>
      </c>
      <c r="D1486" s="3">
        <v>45986.744259259256</v>
      </c>
      <c r="E1486" s="3">
        <v>45986.77071759259</v>
      </c>
      <c r="F1486" t="inlineStr">
        <is>
          <t>Fatima Kathleen M. FLores</t>
        </is>
      </c>
      <c r="G1486" t="inlineStr">
        <is>
          <t>Procurement</t>
        </is>
      </c>
      <c r="H1486"/>
      <c r="I1486"/>
      <c r="J1486" t="inlineStr">
        <is>
          <t>Project</t>
        </is>
      </c>
      <c r="K1486" t="inlineStr">
        <is>
          <t>GG - Event Service</t>
        </is>
      </c>
      <c r="L1486" t="inlineStr">
        <is>
          <t>KIC 2025 - Carnival &amp; Mini Battle</t>
        </is>
      </c>
      <c r="M1486" t="inlineStr">
        <is>
          <t>2025TEG-P0301</t>
        </is>
      </c>
      <c r="N1486" t="inlineStr">
        <is>
          <t>Maura Aurel Atilano Yap</t>
        </is>
      </c>
      <c r="O1486" t="inlineStr">
        <is>
          <t>202511070119-Maura Aurel Atilano Yap-费用报销 - 副本 - 副本 - 副本-2025-11-07 09:44:16</t>
        </is>
      </c>
      <c r="P1486" t="inlineStr">
        <is>
          <t>YES</t>
        </is>
      </c>
      <c r="Q1486"/>
      <c r="R1486" t="inlineStr">
        <is>
          <t>NO</t>
        </is>
      </c>
      <c r="S1486" t="inlineStr">
        <is>
          <t>Outsourced Talent / Cosplayer (Kachphrase)</t>
        </is>
      </c>
      <c r="T1486">
        <v>1</v>
      </c>
      <c r="U1486">
        <v>40000</v>
      </c>
      <c r="V1486" t="inlineStr">
        <is>
          <t>PHP</t>
        </is>
      </c>
      <c r="W1486">
        <v>40000</v>
      </c>
      <c r="X1486" s="2" t="str">
        <f>=HYPERLINK("https://www.larksuite.com/approval/admin/previewAttachment?key=PMhBqgJBDATQK1U6laTrX-ZvZhjsAUUQxlXOLrhw-3IacoZ5CpQNwbqiMjQpD3KmEerRViWUlWfv9-M_4jofged6b-dYq6_bduwvC9UYKCd9ArC_n3uRlJL4Oj4BAAD__w", "2 attachment(s)")</f>
        <v>2 attachment(s)</v>
      </c>
      <c r="Y1486" t="inlineStr">
        <is>
          <t>Bank Transfer</t>
        </is>
      </c>
      <c r="Z1486" t="inlineStr">
        <is>
          <t>Katrina Grace Galang</t>
        </is>
      </c>
      <c r="AA1486" t="inlineStr">
        <is>
          <t>8339238155</t>
        </is>
      </c>
      <c r="AB1486" t="inlineStr">
        <is>
          <t>BPI</t>
        </is>
      </c>
      <c r="AC1486" t="inlineStr">
        <is>
          <t>7 Ascalon St., BF Resort Village, Brgy. Talon Dos, Las Pinas City</t>
        </is>
      </c>
      <c r="AD1486" s="4">
        <v>45978</v>
      </c>
      <c r="AE1486" t="inlineStr">
        <is>
          <t>1st Payment - Nov. 28, 2025
Final Payment - Dec. 12, 2025</t>
        </is>
      </c>
      <c r="AF1486" s="2"/>
      <c r="AG1486" t="inlineStr">
        <is>
          <t>NzQyNTk5MTgyNzQ4MTg3MDM0MTpFN0MyNEZGQy0zNzE5LTQyNDMtQTJDQi1GM0JDRTdGMzFFRjYtMTowNDU4YmFmOTZkMDczM2E2MDI5NTExMWVmOGMyOTA2YTox</t>
        </is>
      </c>
      <c r="AH1486" t="inlineStr">
        <is>
          <t>Katrina Grace Galang</t>
        </is>
      </c>
      <c r="AI1486"/>
      <c r="AJ1486" t="inlineStr">
        <is>
          <t>LIQUIDITY PLAN (PAR # 202511060038 / 2025TEG-P0301) VER 6
1108 COST ESTIMATE TAB &gt; CARNIVAL - SHOOTING GALLERY &gt; 
OUTDOORS &gt; Princess Frost Treats &gt;
Princess Frost Cosplayer (8 hrs)
Total Budget = Php 90,000.00
Actual Cost = Php 40,000.00
Balance = Php 50,000.00</t>
        </is>
      </c>
      <c r="AK1486"/>
    </row>
    <row r="1487" ht="25.5" customHeight="1">
      <c r="A1487" s="2" t="str">
        <f>=HYPERLINK("https://applink.larksuite.com/client/mini_program/open?appId=cli_9c7cc8a9a9edd105&amp;mode=appCenter&amp;path_pc=pc/pages/requested/index?instanceId=7576603016636141282&amp;source=bitable&amp;path=pages/detail/index?instanceId=7576603016636141282&amp;source=bitable", "202511250155")</f>
        <v>202511250155</v>
      </c>
      <c r="B1487" t="inlineStr">
        <is>
          <t>Approved</t>
        </is>
      </c>
      <c r="C1487" t="inlineStr">
        <is>
          <t>Procurement Order</t>
        </is>
      </c>
      <c r="D1487" s="3">
        <v>45986.75644675926</v>
      </c>
      <c r="E1487" s="3">
        <v>45986.771516203706</v>
      </c>
      <c r="F1487" t="inlineStr">
        <is>
          <t>Fatima Kathleen M. FLores</t>
        </is>
      </c>
      <c r="G1487" t="inlineStr">
        <is>
          <t>Procurement</t>
        </is>
      </c>
      <c r="H1487"/>
      <c r="I1487"/>
      <c r="J1487" t="inlineStr">
        <is>
          <t>Project</t>
        </is>
      </c>
      <c r="K1487" t="inlineStr">
        <is>
          <t>GG - Event Service</t>
        </is>
      </c>
      <c r="L1487" t="inlineStr">
        <is>
          <t>KIC 2025 - Carnival &amp; Mini Battle</t>
        </is>
      </c>
      <c r="M1487" t="inlineStr">
        <is>
          <t>2025TEG-P0301</t>
        </is>
      </c>
      <c r="N1487" t="inlineStr">
        <is>
          <t>Maura Aurel Atilano Yap</t>
        </is>
      </c>
      <c r="O1487" t="inlineStr">
        <is>
          <t>202511070119-Maura Aurel Atilano Yap-费用报销 - 副本 - 副本 - 副本-2025-11-07 09:44:16</t>
        </is>
      </c>
      <c r="P1487" t="inlineStr">
        <is>
          <t>YES</t>
        </is>
      </c>
      <c r="Q1487"/>
      <c r="R1487" t="inlineStr">
        <is>
          <t>NO</t>
        </is>
      </c>
      <c r="S1487" t="inlineStr">
        <is>
          <t>Outsourced Talent / Cosplayer (Mizaka Aya)</t>
        </is>
      </c>
      <c r="T1487">
        <v>1</v>
      </c>
      <c r="U1487">
        <v>16000</v>
      </c>
      <c r="V1487" t="inlineStr">
        <is>
          <t>PHP</t>
        </is>
      </c>
      <c r="W1487">
        <v>16000</v>
      </c>
      <c r="X1487" s="2" t="str">
        <f>=HYPERLINK("https://www.larksuite.com/approval/admin/previewAttachment?key=PMgxCgJBDAXQK_2fZPMnXsbGZZDFsREVi5xdsLB9OYgcGz0LUbQCW5sy4WCmJ4M2rK0pFUR59r7m-Vj3GLe53lOf-Tz6db3M_cGtZAZ5hA8APP3dFRFVGfg5vgEAAP__", "2 attachment(s)")</f>
        <v>2 attachment(s)</v>
      </c>
      <c r="Y1487" t="inlineStr">
        <is>
          <t>Bank Transfer</t>
        </is>
      </c>
      <c r="Z1487" t="inlineStr">
        <is>
          <t>Athenielle Marie Pargas</t>
        </is>
      </c>
      <c r="AA1487" t="inlineStr">
        <is>
          <t>3169426448</t>
        </is>
      </c>
      <c r="AB1487" t="inlineStr">
        <is>
          <t>BPI</t>
        </is>
      </c>
      <c r="AC1487" t="inlineStr">
        <is>
          <t>Blk 7 Lot 8 Tanguile St. Adelina 3 Sto Tomas Biñan Laguna</t>
        </is>
      </c>
      <c r="AD1487" s="4">
        <v>45978</v>
      </c>
      <c r="AE1487" t="inlineStr">
        <is>
          <t>100% Full  Payment - Dec. 12, 2025</t>
        </is>
      </c>
      <c r="AF1487" s="2"/>
      <c r="AG1487" t="inlineStr">
        <is>
          <t>NzQyNTk5MTgyNzQ4MTg3MDM0MTpGQkZFNTU0Ni1EQ0JDLTQzQUQtQjlERC03NTI2RkYyREY3QTMtMToxMTg4MDI1OWMxMjkxMDJmM2JmOGVjOTgxNTI4MDI2Zjox</t>
        </is>
      </c>
      <c r="AH1487" t="inlineStr">
        <is>
          <t>Athenielle Marie Pargas</t>
        </is>
      </c>
      <c r="AI1487"/>
      <c r="AJ1487" t="inlineStr">
        <is>
          <t>LIQUIDITY PLAN (PAR # 202511060038 / 2025TEG-P0301) VER 6
1108 COST ESTIMATE TAB &gt; CARNIVAL - SHOOTING GALLERY &gt; 
OUTDOORS &gt; Princess Frost Treats &gt;
Princess Frost Cosplayer (8 hrs)
Total Remaining Budget = Php 50,000.00
Actual Cost = Php 16,000.00
Balance = Php 34,000.00</t>
        </is>
      </c>
      <c r="AK1487"/>
    </row>
    <row r="1488" ht="25.5" customHeight="1">
      <c r="A1488" s="2" t="str">
        <f>=HYPERLINK("https://applink.larksuite.com/client/mini_program/open?appId=cli_9c7cc8a9a9edd105&amp;mode=appCenter&amp;path_pc=pc/pages/requested/index?instanceId=7576612649568325346&amp;source=bitable&amp;path=pages/detail/index?instanceId=7576612649568325346&amp;source=bitable", "202511250172")</f>
        <v>202511250172</v>
      </c>
      <c r="B1488" t="inlineStr">
        <is>
          <t>Approved</t>
        </is>
      </c>
      <c r="C1488" t="inlineStr">
        <is>
          <t>Procurement Order</t>
        </is>
      </c>
      <c r="D1488" s="3">
        <v>45986.78240740741</v>
      </c>
      <c r="E1488" s="3">
        <v>45986.79048611111</v>
      </c>
      <c r="F1488" t="inlineStr">
        <is>
          <t>Fatima Kathleen M. FLores</t>
        </is>
      </c>
      <c r="G1488" t="inlineStr">
        <is>
          <t>Procurement</t>
        </is>
      </c>
      <c r="H1488"/>
      <c r="I1488"/>
      <c r="J1488" t="inlineStr">
        <is>
          <t>Project</t>
        </is>
      </c>
      <c r="K1488" t="inlineStr">
        <is>
          <t>GG - Event Service</t>
        </is>
      </c>
      <c r="L1488" t="inlineStr">
        <is>
          <t>KIC 2025 - Carnival &amp; Mini Battle</t>
        </is>
      </c>
      <c r="M1488" t="inlineStr">
        <is>
          <t>2025TEG-P0301</t>
        </is>
      </c>
      <c r="N1488" t="inlineStr">
        <is>
          <t>Maura Aurel Atilano Yap</t>
        </is>
      </c>
      <c r="O1488" t="inlineStr">
        <is>
          <t>202511070119-Maura Aurel Atilano Yap-费用报销 - 副本 - 副本 - 副本-2025-11-07 09:44:16</t>
        </is>
      </c>
      <c r="P1488" t="inlineStr">
        <is>
          <t>YES</t>
        </is>
      </c>
      <c r="Q1488"/>
      <c r="R1488" t="inlineStr">
        <is>
          <t>NO</t>
        </is>
      </c>
      <c r="S1488" t="inlineStr">
        <is>
          <t>Outsourced Talent / Cosplayer (Kolenchii)</t>
        </is>
      </c>
      <c r="T1488">
        <v>1</v>
      </c>
      <c r="U1488">
        <v>16000</v>
      </c>
      <c r="V1488" t="inlineStr">
        <is>
          <t>PHP</t>
        </is>
      </c>
      <c r="W1488">
        <v>16000</v>
      </c>
      <c r="X1488" s="2" t="str">
        <f>=HYPERLINK("https://www.larksuite.com/approval/admin/previewAttachment?key=PMg7jsJAEATQK1V_pnpqL7OJRxYyIkIYCPrsSASkj9PAOSwopMwF6xpFmjM1OMNHJNvbqoSyCva67f863udrPrWux9oe6POy7etuQ-WOisyYAOzv51GZKTHxdXwCAAD__w", "2 attachment(s)")</f>
        <v>2 attachment(s)</v>
      </c>
      <c r="Y1488" t="inlineStr">
        <is>
          <t>Bank Transfer</t>
        </is>
      </c>
      <c r="Z1488" t="inlineStr">
        <is>
          <t>Kolen Kris Cabresos</t>
        </is>
      </c>
      <c r="AA1488" t="inlineStr">
        <is>
          <t>00-067-049-6685</t>
        </is>
      </c>
      <c r="AB1488" t="inlineStr">
        <is>
          <t>BDO</t>
        </is>
      </c>
      <c r="AC1488" t="inlineStr">
        <is>
          <t>46 G.Roxas, Manresa, Quezon City</t>
        </is>
      </c>
      <c r="AD1488" s="4">
        <v>45975</v>
      </c>
      <c r="AE1488" t="inlineStr">
        <is>
          <t>100% Full Payment - Dec. 12, 2025</t>
        </is>
      </c>
      <c r="AF1488" s="2"/>
      <c r="AG1488" t="inlineStr">
        <is>
          <t>NzQyNTk5MTgyNzQ4MTg3MDM0MToyNjRDNkIwQS1CMTU1LTRERkUtQkQ5OS1GQkI5Q0NCNUM5MkUtMTo2MGM1YmUyNGNlNjBlMWRiNDZkYzkyZWNkODZkZGE2Yzox</t>
        </is>
      </c>
      <c r="AH1488" t="inlineStr">
        <is>
          <t>Kolen Kris Cabresos</t>
        </is>
      </c>
      <c r="AI1488"/>
      <c r="AJ1488" t="inlineStr">
        <is>
          <t>LIQUIDITY PLAN (PAR # 202511060038 / 2025TEG-P0301) VER 6
1108 COST ESTIMATE TAB &gt; CARNIVAL - SHOOTING GALLERY &gt; 
YELLOW STUDIO &gt; Merch Redemption Booth &gt;
Dolia Cosplayer (8 hrs)
Total Remaining Budget = Php 18,000.00
Actual Cost = Php 16,000.00
Balance = Php 2,000.00</t>
        </is>
      </c>
      <c r="AK1488"/>
    </row>
    <row r="1489" ht="25.5" customHeight="1">
      <c r="A1489" s="2" t="str">
        <f>=HYPERLINK("https://applink.larksuite.com/client/mini_program/open?appId=cli_9c7cc8a9a9edd105&amp;mode=appCenter&amp;path_pc=pc/pages/requested/index?instanceId=7576611541198343899&amp;source=bitable&amp;path=pages/detail/index?instanceId=7576611541198343899&amp;source=bitable", "202511250169")</f>
        <v>202511250169</v>
      </c>
      <c r="B1489" t="inlineStr">
        <is>
          <t>Approved</t>
        </is>
      </c>
      <c r="C1489" t="inlineStr">
        <is>
          <t>Procurement Order</t>
        </is>
      </c>
      <c r="D1489" s="3">
        <v>45986.7794212963</v>
      </c>
      <c r="E1489" s="3">
        <v>45986.79148148148</v>
      </c>
      <c r="F1489" t="inlineStr">
        <is>
          <t>Fatima Kathleen M. FLores</t>
        </is>
      </c>
      <c r="G1489" t="inlineStr">
        <is>
          <t>Procurement</t>
        </is>
      </c>
      <c r="H1489"/>
      <c r="I1489"/>
      <c r="J1489" t="inlineStr">
        <is>
          <t>Project</t>
        </is>
      </c>
      <c r="K1489" t="inlineStr">
        <is>
          <t>GG - Event Service</t>
        </is>
      </c>
      <c r="L1489" t="inlineStr">
        <is>
          <t>KIC 2025 - Carnival &amp; Mini Battle</t>
        </is>
      </c>
      <c r="M1489" t="inlineStr">
        <is>
          <t>2025TEG-P0301</t>
        </is>
      </c>
      <c r="N1489" t="inlineStr">
        <is>
          <t>Maura Aurel Atilano Yap</t>
        </is>
      </c>
      <c r="O1489" t="inlineStr">
        <is>
          <t>202511070119-Maura Aurel Atilano Yap-费用报销 - 副本 - 副本 - 副本-2025-11-07 09:44:16</t>
        </is>
      </c>
      <c r="P1489" t="inlineStr">
        <is>
          <t>YES</t>
        </is>
      </c>
      <c r="Q1489"/>
      <c r="R1489" t="inlineStr">
        <is>
          <t>NO</t>
        </is>
      </c>
      <c r="S1489" t="inlineStr">
        <is>
          <t>Outsourced Talent / Cosplayer (Yuumo)</t>
        </is>
      </c>
      <c r="T1489">
        <v>1</v>
      </c>
      <c r="U1489">
        <v>72000</v>
      </c>
      <c r="V1489" t="inlineStr">
        <is>
          <t>PHP</t>
        </is>
      </c>
      <c r="W1489">
        <v>72000</v>
      </c>
      <c r="X1489" s="2" t="str">
        <f>=HYPERLINK("https://www.larksuite.com/approval/admin/previewAttachment?key=PMg5DkIxEAPQK40zzjjmMjR8RewNEkuRsyNR0L4aiBodWQ4azYGlriqgE_BI5rBXW5AcgrLWdpt76NV95en80f3yzvU8Hub2QLdaCyWZIyKw-3uKpF2Mn8c3AAD__w", "2 attachment(s)")</f>
        <v>2 attachment(s)</v>
      </c>
      <c r="Y1489" t="inlineStr">
        <is>
          <t>Bank Transfer</t>
        </is>
      </c>
      <c r="Z1489" t="inlineStr">
        <is>
          <t>Erika Bautista</t>
        </is>
      </c>
      <c r="AA1489" t="inlineStr">
        <is>
          <t>09294516154</t>
        </is>
      </c>
      <c r="AB1489" t="inlineStr">
        <is>
          <t>GCASH</t>
        </is>
      </c>
      <c r="AC1489" t="inlineStr">
        <is>
          <t>13th ave Cubao, Quezon City</t>
        </is>
      </c>
      <c r="AD1489" s="4">
        <v>45975</v>
      </c>
      <c r="AE1489" t="inlineStr">
        <is>
          <t>1st Payment - Nov. 28, 2025
Final Payment - Dec. 12, 2025</t>
        </is>
      </c>
      <c r="AF1489" s="2"/>
      <c r="AG1489" t="inlineStr">
        <is>
          <t>NzQyNTk5MTgyNzQ4MTg3MDM0MToyMEM2QzVCMS00MjdCLTRDRDYtQUQwNy05NzcyMjJBNTBFQjgtMTo0ZWIwYWVkZjZjZDZkNDBhODk2MDFjNzJlMGNjYWE2Mzox</t>
        </is>
      </c>
      <c r="AH1489" t="inlineStr">
        <is>
          <t>Erika Bautista</t>
        </is>
      </c>
      <c r="AI1489"/>
      <c r="AJ1489" t="inlineStr">
        <is>
          <t>LIQUIDITY PLAN (PAR # 202511060038 / 2025TEG-P0301) VER 6
1108 COST ESTIMATE TAB &gt; CARNIVAL - SHOOTING GALLERY &gt; 
YELLOW STUDIO &gt; Merch Redemption Booth &gt;
Dolia Cosplayer (8 hrs)
Total Budget = Php 90,000.00
Actual Cost = Php 72,000.00
Balance = Php 18,000.00</t>
        </is>
      </c>
      <c r="AK1489"/>
    </row>
    <row r="1490" ht="25.5" customHeight="1">
      <c r="A1490" s="2" t="str">
        <f>=HYPERLINK("https://applink.larksuite.com/client/mini_program/open?appId=cli_9c7cc8a9a9edd105&amp;mode=appCenter&amp;path_pc=pc/pages/requested/index?instanceId=7576615247419543264&amp;source=bitable&amp;path=pages/detail/index?instanceId=7576615247419543264&amp;source=bitable", "202511250175")</f>
        <v>202511250175</v>
      </c>
      <c r="B1490" t="inlineStr">
        <is>
          <t>Approved</t>
        </is>
      </c>
      <c r="C1490" t="inlineStr">
        <is>
          <t>Procurement Order</t>
        </is>
      </c>
      <c r="D1490" s="3">
        <v>45986.78939814815</v>
      </c>
      <c r="E1490" s="3">
        <v>45986.79189814815</v>
      </c>
      <c r="F1490" t="inlineStr">
        <is>
          <t>Fatima Kathleen M. FLores</t>
        </is>
      </c>
      <c r="G1490" t="inlineStr">
        <is>
          <t>Procurement</t>
        </is>
      </c>
      <c r="H1490"/>
      <c r="I1490"/>
      <c r="J1490" t="inlineStr">
        <is>
          <t>Project</t>
        </is>
      </c>
      <c r="K1490" t="inlineStr">
        <is>
          <t>GG - Event Service</t>
        </is>
      </c>
      <c r="L1490" t="inlineStr">
        <is>
          <t>KIC 2025 - Carnival &amp; Mini Battle</t>
        </is>
      </c>
      <c r="M1490" t="inlineStr">
        <is>
          <t>2025TEG-P0301</t>
        </is>
      </c>
      <c r="N1490" t="inlineStr">
        <is>
          <t>Maura Aurel Atilano Yap</t>
        </is>
      </c>
      <c r="O1490" t="inlineStr">
        <is>
          <t>202511070119-Maura Aurel Atilano Yap-费用报销 - 副本 - 副本 - 副本-2025-11-07 09:44:16</t>
        </is>
      </c>
      <c r="P1490" t="inlineStr">
        <is>
          <t>YES</t>
        </is>
      </c>
      <c r="Q1490"/>
      <c r="R1490" t="inlineStr">
        <is>
          <t>NO</t>
        </is>
      </c>
      <c r="S1490" t="inlineStr">
        <is>
          <t>Outsourced Talent / Host (Salvatore)</t>
        </is>
      </c>
      <c r="T1490">
        <v>1</v>
      </c>
      <c r="U1490">
        <v>36000</v>
      </c>
      <c r="V1490" t="inlineStr">
        <is>
          <t>PHP</t>
        </is>
      </c>
      <c r="W1490">
        <v>36000</v>
      </c>
      <c r="X1490" s="2" t="str">
        <f>=HYPERLINK("https://www.larksuite.com/approval/admin/previewAttachment?key=PMgxCsJQEATQK83szt_562VsDEGQpBEFi392wcL21SRqDmY11IwGl4erOEIWeyijtGLRbpjOWtuxX_MwcT5onp-XsN732749OdoRcEo5AfDy97Sk7hJ-jm8AAAD__w", "2 attachment(s)")</f>
        <v>2 attachment(s)</v>
      </c>
      <c r="Y1490" t="inlineStr">
        <is>
          <t>Bank Transfer</t>
        </is>
      </c>
      <c r="Z1490" t="inlineStr">
        <is>
          <t>Rhoemmielle Andray Rivera</t>
        </is>
      </c>
      <c r="AA1490" t="inlineStr">
        <is>
          <t>09456396700</t>
        </is>
      </c>
      <c r="AB1490" t="inlineStr">
        <is>
          <t>GCash</t>
        </is>
      </c>
      <c r="AC1490" t="inlineStr">
        <is>
          <t>2438 Iridium St. Sta. Ana, Manila</t>
        </is>
      </c>
      <c r="AD1490" s="4">
        <v>45976</v>
      </c>
      <c r="AE1490" t="inlineStr">
        <is>
          <t>1st Payment - Nov. 28, 2025
Final Payment - Dec. 12, 2025</t>
        </is>
      </c>
      <c r="AF1490" s="2"/>
      <c r="AG1490" t="inlineStr">
        <is>
          <t>NzQyNTk5MTgyNzQ4MTg3MDM0MTpGMzJCMzFCNi1BMkE2LTQ0M0QtODgyMC00OUEzOEUwNUQ5NDEtMTowNmQzNDZhMzgzYWM4ZjI4YmNiZGU3ZGNkMDM4ZGEyNDox</t>
        </is>
      </c>
      <c r="AH1490" t="inlineStr">
        <is>
          <t>Rhoemmielle Andray Rivera</t>
        </is>
      </c>
      <c r="AI1490"/>
      <c r="AJ1490" t="inlineStr">
        <is>
          <t>LIQUIDITY PLAN (PAR # 202511060038 / 2025TEG-P0301) VER 6
1108 COST ESTIMATE TAB &gt; CARNIVAL - SHOOTING GALLERY &gt; 
MINI-BATTLE BOOTH &gt; Manpower &gt;
Host
Total Budget = Php 103,950.00
Actual Cost = Php 36,000.00
Balance = Php 67,950.00</t>
        </is>
      </c>
      <c r="AK1490"/>
    </row>
    <row r="1491" ht="25.5" customHeight="1">
      <c r="A1491" s="2" t="str">
        <f>=HYPERLINK("https://applink.larksuite.com/client/mini_program/open?appId=cli_9c7cc8a9a9edd105&amp;mode=appCenter&amp;path_pc=pc/pages/requested/index?instanceId=7576617005130747613&amp;source=bitable&amp;path=pages/detail/index?instanceId=7576617005130747613&amp;source=bitable", "202511250176")</f>
        <v>202511250176</v>
      </c>
      <c r="B1491" t="inlineStr">
        <is>
          <t>Approved</t>
        </is>
      </c>
      <c r="C1491" t="inlineStr">
        <is>
          <t>Procurement Order</t>
        </is>
      </c>
      <c r="D1491" s="3">
        <v>45986.79414351852</v>
      </c>
      <c r="E1491" s="3">
        <v>45986.80315972222</v>
      </c>
      <c r="F1491" t="inlineStr">
        <is>
          <t>Fatima Kathleen M. FLores</t>
        </is>
      </c>
      <c r="G1491" t="inlineStr">
        <is>
          <t>Procurement</t>
        </is>
      </c>
      <c r="H1491"/>
      <c r="I1491"/>
      <c r="J1491" t="inlineStr">
        <is>
          <t>Project</t>
        </is>
      </c>
      <c r="K1491" t="inlineStr">
        <is>
          <t>GG - Event Service</t>
        </is>
      </c>
      <c r="L1491" t="inlineStr">
        <is>
          <t>KIC 2025 - Carnival &amp; Mini Battle</t>
        </is>
      </c>
      <c r="M1491" t="inlineStr">
        <is>
          <t>2025TEG-P0301</t>
        </is>
      </c>
      <c r="N1491" t="inlineStr">
        <is>
          <t>Maura Aurel Atilano Yap</t>
        </is>
      </c>
      <c r="O1491" t="inlineStr">
        <is>
          <t>202511070119-Maura Aurel Atilano Yap-费用报销 - 副本 - 副本 - 副本-2025-11-07 09:44:16</t>
        </is>
      </c>
      <c r="P1491" t="inlineStr">
        <is>
          <t>YES</t>
        </is>
      </c>
      <c r="Q1491"/>
      <c r="R1491" t="inlineStr">
        <is>
          <t>NO</t>
        </is>
      </c>
      <c r="S1491" t="inlineStr">
        <is>
          <t>Outsourced Talent / Host (Mlo)</t>
        </is>
      </c>
      <c r="T1491">
        <v>1</v>
      </c>
      <c r="U1491">
        <v>36000</v>
      </c>
      <c r="V1491" t="inlineStr">
        <is>
          <t>PHP</t>
        </is>
      </c>
      <c r="W1491">
        <v>36000</v>
      </c>
      <c r="X1491" s="2" t="str">
        <f>=HYPERLINK("https://www.larksuite.com/approval/admin/previewAttachment?key=PMgxDsJADATAL-3aPu-Zz9AQnWhIg0ho_HYkirSTk8g56FmIohXYGsqkgEGHQklva0oFUZ69vdY97IzPua-xu83j28fzsbY3R8kM8gifAHi73BURVRn4O34BAAD__w", "2 attachment(s)")</f>
        <v>2 attachment(s)</v>
      </c>
      <c r="Y1491" t="inlineStr">
        <is>
          <t>Bank Transfer</t>
        </is>
      </c>
      <c r="Z1491" t="inlineStr">
        <is>
          <t>Polo Pueyo Medina</t>
        </is>
      </c>
      <c r="AA1491" t="inlineStr">
        <is>
          <t>1093 2059 7837</t>
        </is>
      </c>
      <c r="AB1491" t="inlineStr">
        <is>
          <t>Unionbank</t>
        </is>
      </c>
      <c r="AC1491" t="inlineStr">
        <is>
          <t>Phase 8 Block 6 Lot 21 Rambutan Street Carmona Estates, Brgy. Lantic, Carmona, Cavite</t>
        </is>
      </c>
      <c r="AD1491" s="4">
        <v>45976</v>
      </c>
      <c r="AE1491" t="inlineStr">
        <is>
          <t>1st Payment - Nov. 28, 2025
Final Payment - Dec. 12, 2025</t>
        </is>
      </c>
      <c r="AF1491" s="2"/>
      <c r="AG1491" t="inlineStr">
        <is>
          <t>NzQyNTk5MTgyNzQ4MTg3MDM0MTo1OTg5RkFCMi0wNUYwLTQyOUYtODdBMi00QzUyQTJDRkFBRTItMTo0NDBhMDNiNDgyZGQyYWJiNTQ5NDc2ZGQ0MzQxZWE1ODox</t>
        </is>
      </c>
      <c r="AH1491" t="inlineStr">
        <is>
          <t>Polo Pueyo Medina</t>
        </is>
      </c>
      <c r="AI1491"/>
      <c r="AJ1491" t="inlineStr">
        <is>
          <t>LIQUIDITY PLAN (PAR # 202511060038 / 2025TEG-P0301) VER 6
1108 COST ESTIMATE TAB &gt; CARNIVAL - SHOOTING GALLERY &gt; 
MINI-BATTLE BOOTH &gt; Manpower &gt;
Host
Total Remaining Budget = Php 67,950.00
Actual Cost = Php 36,000.00
Balance = Php 31,950.00</t>
        </is>
      </c>
      <c r="AK1491"/>
    </row>
    <row r="1492" ht="25.5" customHeight="1">
      <c r="A1492" s="2" t="str">
        <f>=HYPERLINK("https://applink.larksuite.com/client/mini_program/open?appId=cli_9c7cc8a9a9edd105&amp;mode=appCenter&amp;path_pc=pc/pages/requested/index?instanceId=7576634321113452257&amp;source=bitable&amp;path=pages/detail/index?instanceId=7576634321113452257&amp;source=bitable", "202511250212")</f>
        <v>202511250212</v>
      </c>
      <c r="B1492" t="inlineStr">
        <is>
          <t>Approved</t>
        </is>
      </c>
      <c r="C1492" t="inlineStr">
        <is>
          <t>Procurement Order</t>
        </is>
      </c>
      <c r="D1492" s="3">
        <v>45986.84079861111</v>
      </c>
      <c r="E1492" s="3">
        <v>45987.48048611111</v>
      </c>
      <c r="F1492" t="inlineStr">
        <is>
          <t>Fatima Kathleen M. FLores</t>
        </is>
      </c>
      <c r="G1492" t="inlineStr">
        <is>
          <t>Procurement</t>
        </is>
      </c>
      <c r="H1492"/>
      <c r="I1492"/>
      <c r="J1492" t="inlineStr">
        <is>
          <t>Project</t>
        </is>
      </c>
      <c r="K1492" t="inlineStr">
        <is>
          <t>GG - Event Service</t>
        </is>
      </c>
      <c r="L1492" t="inlineStr">
        <is>
          <t>KIC 2025 -Talents</t>
        </is>
      </c>
      <c r="M1492" t="inlineStr">
        <is>
          <t>2025TEG-P0318</t>
        </is>
      </c>
      <c r="N1492" t="inlineStr">
        <is>
          <t>Carla Andrea Calma Crespo</t>
        </is>
      </c>
      <c r="O1492" t="inlineStr">
        <is>
          <t>202511190125-Carla Andrea Calma Crespo-费用报销 - 副本 - 副本 - 副本-2025-11-19 09:31:36</t>
        </is>
      </c>
      <c r="P1492" t="inlineStr">
        <is>
          <t>YES</t>
        </is>
      </c>
      <c r="Q1492"/>
      <c r="R1492" t="inlineStr">
        <is>
          <t>NO</t>
        </is>
      </c>
      <c r="S1492" t="inlineStr">
        <is>
          <t>Outsourced Talent Caster (Chantelle)</t>
        </is>
      </c>
      <c r="T1492">
        <v>1</v>
      </c>
      <c r="U1492">
        <v>232200</v>
      </c>
      <c r="V1492" t="inlineStr">
        <is>
          <t>PHP</t>
        </is>
      </c>
      <c r="W1492">
        <v>232200</v>
      </c>
      <c r="X1492" s="2" t="str">
        <f>=HYPERLINK("https://www.larksuite.com/approval/admin/previewAttachment?key=PMgxrsJADATQK83YXs_6X-Y3iSJYKRVSgMJnR6KgfTmJnIOehShaga2hTA83kh7DbKitKRVEefZ-Hv-13terTtO623pufd22Y39wlMwgj_AJgH8_d0VEVQa-jk8AAAD__w", "2 attachment(s)")</f>
        <v>2 attachment(s)</v>
      </c>
      <c r="Y1492" t="inlineStr">
        <is>
          <t>Bank Transfer</t>
        </is>
      </c>
      <c r="Z1492" t="inlineStr">
        <is>
          <t>Inna Chantelle B. Hernandez</t>
        </is>
      </c>
      <c r="AA1492" t="inlineStr">
        <is>
          <t>0989517023</t>
        </is>
      </c>
      <c r="AB1492" t="inlineStr">
        <is>
          <t>BPI</t>
        </is>
      </c>
      <c r="AC1492" t="inlineStr">
        <is>
          <t>30L Paseo de Roces Condominium, Chino Roces Ave, Brgy. Pio del Pilar, Makati City</t>
        </is>
      </c>
      <c r="AD1492" s="4">
        <v>45974</v>
      </c>
      <c r="AE1492" t="inlineStr">
        <is>
          <t>1st Payment - Nov. 28, 2025
2nd Payment - Dec. 12, 2025
Final Payment - Dec. 19, 2025</t>
        </is>
      </c>
      <c r="AF1492" s="2"/>
      <c r="AG1492" t="inlineStr">
        <is>
          <t>NzQyNTk5MTgyNzQ4MTg3MDM0MTpBMjJCQzMxRS0yMkU0LTQ1MzktQkRFMi0yQUI1RDhBQUU5NjMtMTo0NzA1ZWZmNGExY2YzNTY1MWNlODM5ZGI0M2IzYTZiYjox</t>
        </is>
      </c>
      <c r="AH1492" t="inlineStr">
        <is>
          <t>Inna Chantelle B. Hernandez</t>
        </is>
      </c>
      <c r="AI1492"/>
      <c r="AJ1492" t="inlineStr">
        <is>
          <t>LIQUIDITY PLAN (PAR # 202511190052 / 2025TEG-P0318)
HOST &amp; CASTERS &gt; CHANTELLE
Total Budget = Php 232,200.00
Actual Cost = Php 232,200.00</t>
        </is>
      </c>
      <c r="AK1492"/>
    </row>
    <row r="1493" ht="25.5" customHeight="1">
      <c r="A1493" s="2" t="str">
        <f>=HYPERLINK("https://applink.larksuite.com/client/mini_program/open?appId=cli_9c7cc8a9a9edd105&amp;mode=appCenter&amp;path_pc=pc/pages/requested/index?instanceId=7576633575215238882&amp;source=bitable&amp;path=pages/detail/index?instanceId=7576633575215238882&amp;source=bitable", "202511250211")</f>
        <v>202511250211</v>
      </c>
      <c r="B1493" t="inlineStr">
        <is>
          <t>Approved</t>
        </is>
      </c>
      <c r="C1493" t="inlineStr">
        <is>
          <t>Procurement Order</t>
        </is>
      </c>
      <c r="D1493" s="3">
        <v>45986.838796296295</v>
      </c>
      <c r="E1493" s="3">
        <v>45987.48097222222</v>
      </c>
      <c r="F1493" t="inlineStr">
        <is>
          <t>Fatima Kathleen M. FLores</t>
        </is>
      </c>
      <c r="G1493" t="inlineStr">
        <is>
          <t>Procurement</t>
        </is>
      </c>
      <c r="H1493"/>
      <c r="I1493"/>
      <c r="J1493" t="inlineStr">
        <is>
          <t>Project</t>
        </is>
      </c>
      <c r="K1493" t="inlineStr">
        <is>
          <t>GG - Event Service</t>
        </is>
      </c>
      <c r="L1493" t="inlineStr">
        <is>
          <t>KIC 2025 -Talents</t>
        </is>
      </c>
      <c r="M1493" t="inlineStr">
        <is>
          <t>2025TEG-P0318</t>
        </is>
      </c>
      <c r="N1493" t="inlineStr">
        <is>
          <t>Carla Andrea Calma Crespo</t>
        </is>
      </c>
      <c r="O1493" t="inlineStr">
        <is>
          <t>202511190124-Carla Andrea Calma Crespo-费用报销 - 副本 - 副本 - 副本-2025-11-19 09:21:28</t>
        </is>
      </c>
      <c r="P1493" t="inlineStr">
        <is>
          <t>YES</t>
        </is>
      </c>
      <c r="Q1493"/>
      <c r="R1493" t="inlineStr">
        <is>
          <t>NO</t>
        </is>
      </c>
      <c r="S1493" t="inlineStr">
        <is>
          <t>Outsourced Talent Caster (Manjean)</t>
        </is>
      </c>
      <c r="T1493">
        <v>1</v>
      </c>
      <c r="U1493">
        <v>87500</v>
      </c>
      <c r="V1493" t="inlineStr">
        <is>
          <t>PHP</t>
        </is>
      </c>
      <c r="W1493">
        <v>87500</v>
      </c>
      <c r="X1493" s="2" t="str">
        <f>=HYPERLINK("https://www.larksuite.com/approval/admin/previewAttachment?key=PMgxCgJRDATQK00ySSbxMja7LIIuCILY_LMLFrav2lCdxhrEmA9sKVVFptItnd3ty5dJA5lYaz-PK08Z_Pn43LlFYL1v27G_LEfuECPYAOzydyoiZirwc3wDAAD__w", "2 attachment(s)")</f>
        <v>2 attachment(s)</v>
      </c>
      <c r="Y1493" t="inlineStr">
        <is>
          <t>Bank Transfer</t>
        </is>
      </c>
      <c r="Z1493" t="inlineStr">
        <is>
          <t>Manjean F. Faldas</t>
        </is>
      </c>
      <c r="AA1493" t="inlineStr">
        <is>
          <t>6086272286</t>
        </is>
      </c>
      <c r="AB1493" t="inlineStr">
        <is>
          <t>BPI Family Savings Bank</t>
        </is>
      </c>
      <c r="AC1493" t="inlineStr">
        <is>
          <t>257 - 259 Galvez Building Unit 317 A. Arnaiz St. Pasay City</t>
        </is>
      </c>
      <c r="AD1493" s="4">
        <v>45988</v>
      </c>
      <c r="AE1493" t="inlineStr">
        <is>
          <t>1st Payment - Nov. 28, 2025
2nd Payment - Dec. 12, 2025
Final Payment - Dec. 19, 2025</t>
        </is>
      </c>
      <c r="AF1493" s="2"/>
      <c r="AG1493" t="inlineStr">
        <is>
          <t>NzQyNTk5MTgyNzQ4MTg3MDM0MTpFRjlDMDY4MC0yRTY1LTRCQjYtOEUyNy1EMzE1NDQ1MEYyMTMtMTo1MWI4NzI2YzgxYzliMWNhNGFmNDU0YzlmZmFkMTJjZDox</t>
        </is>
      </c>
      <c r="AH1493" t="inlineStr">
        <is>
          <t>Manjean F. Faldas</t>
        </is>
      </c>
      <c r="AI1493"/>
      <c r="AJ1493" t="inlineStr">
        <is>
          <t>LIQUIDITY PLAN (PAR # 202511190052 / 2025TEG-P0318)
HOST &amp; CASTERS &gt; MANJEAN
Total Budget = Php 112,500.00
Actual Cost = Php 87,500.00
Balance = Php 25,000.00</t>
        </is>
      </c>
      <c r="AK1493"/>
    </row>
    <row r="1494" ht="25.5" customHeight="1">
      <c r="A1494" s="2" t="str">
        <f>=HYPERLINK("https://applink.larksuite.com/client/mini_program/open?appId=cli_9c7cc8a9a9edd105&amp;mode=appCenter&amp;path_pc=pc/pages/requested/index?instanceId=7576632641705823964&amp;source=bitable&amp;path=pages/detail/index?instanceId=7576632641705823964&amp;source=bitable", "202511250209")</f>
        <v>202511250209</v>
      </c>
      <c r="B1494" t="inlineStr">
        <is>
          <t>Approved</t>
        </is>
      </c>
      <c r="C1494" t="inlineStr">
        <is>
          <t>Procurement Order</t>
        </is>
      </c>
      <c r="D1494" s="3">
        <v>45986.83627314815</v>
      </c>
      <c r="E1494" s="3">
        <v>45987.481782407405</v>
      </c>
      <c r="F1494" t="inlineStr">
        <is>
          <t>Fatima Kathleen M. FLores</t>
        </is>
      </c>
      <c r="G1494" t="inlineStr">
        <is>
          <t>Procurement</t>
        </is>
      </c>
      <c r="H1494"/>
      <c r="I1494"/>
      <c r="J1494" t="inlineStr">
        <is>
          <t>Project</t>
        </is>
      </c>
      <c r="K1494" t="inlineStr">
        <is>
          <t>GG - Event Service</t>
        </is>
      </c>
      <c r="L1494" t="inlineStr">
        <is>
          <t>KIC 2025 -Talents</t>
        </is>
      </c>
      <c r="M1494" t="inlineStr">
        <is>
          <t>2025TEG-P0318</t>
        </is>
      </c>
      <c r="N1494" t="inlineStr">
        <is>
          <t>Carla Andrea Calma Crespo</t>
        </is>
      </c>
      <c r="O1494" t="inlineStr">
        <is>
          <t>202511190122-Carla Andrea Calma Crespo-费用报销 - 副本 - 副本 - 副本-2025-11-19 09:09:32</t>
        </is>
      </c>
      <c r="P1494" t="inlineStr">
        <is>
          <t>YES</t>
        </is>
      </c>
      <c r="Q1494"/>
      <c r="R1494" t="inlineStr">
        <is>
          <t>NO</t>
        </is>
      </c>
      <c r="S1494" t="inlineStr">
        <is>
          <t>Outsourced Talent Caster (Butters)</t>
        </is>
      </c>
      <c r="T1494">
        <v>1</v>
      </c>
      <c r="U1494">
        <v>156900</v>
      </c>
      <c r="V1494" t="inlineStr">
        <is>
          <t>PHP</t>
        </is>
      </c>
      <c r="W1494">
        <v>156900</v>
      </c>
      <c r="X1494" s="2" t="str">
        <f>=HYPERLINK("https://www.larksuite.com/approval/admin/previewAttachment?key=PMgxCgJBDAXQK_0kf_InXsbGZbBZEcRVi5xdsLB9OQ05h0UWWOYFaw1lhidNGNOjku1tUkGmyN72dd4_uL3s_TzuNbnUx_WytoeNkjsUZEwAdvp7iGRVEj_HNwAA__8", "2 attachment(s)")</f>
        <v>2 attachment(s)</v>
      </c>
      <c r="Y1494" t="inlineStr">
        <is>
          <t>Bank Transfer</t>
        </is>
      </c>
      <c r="Z1494" t="inlineStr">
        <is>
          <t>Mark Adrian Jison</t>
        </is>
      </c>
      <c r="AA1494" t="inlineStr">
        <is>
          <t>112302110673</t>
        </is>
      </c>
      <c r="AB1494" t="inlineStr">
        <is>
          <t>Chinabank</t>
        </is>
      </c>
      <c r="AC1494" t="inlineStr">
        <is>
          <t>2019 San Pascual St Malate Manila</t>
        </is>
      </c>
      <c r="AD1494" s="4">
        <v>45974</v>
      </c>
      <c r="AE1494" t="inlineStr">
        <is>
          <t>1st Payment - Nov. 28, 2025
2nd Payment - Dec. 12, 2025
Final Payment - Dec. 19, 2025</t>
        </is>
      </c>
      <c r="AF1494" s="2"/>
      <c r="AG1494" t="inlineStr">
        <is>
          <t>NzQyNTk5MTgyNzQ4MTg3MDM0MTpEQUYxOEJGRS0yRDk3LTQwQzUtQjJGQy1FMDk4NEExN0MyNEQtMTo4ZTkwMjVmYjI2MDI1Y2IzZmUzMzZlY2ZlZTQ5ZDU3MTox</t>
        </is>
      </c>
      <c r="AH1494" t="inlineStr">
        <is>
          <t>Mark Adrian Jison</t>
        </is>
      </c>
      <c r="AI1494"/>
      <c r="AJ1494" t="inlineStr">
        <is>
          <t>LIQUIDITY PLAN (PAR # 202511190052 / 2025TEG-P0318)
HOST &amp; CASTERS &gt; BUTTERS
Total Budget = Php 156,900.00
Actual Cost = Php 156,900.00</t>
        </is>
      </c>
      <c r="AK1494"/>
    </row>
    <row r="1495" ht="25.5" customHeight="1">
      <c r="A1495" s="2" t="str">
        <f>=HYPERLINK("https://applink.larksuite.com/client/mini_program/open?appId=cli_9c7cc8a9a9edd105&amp;mode=appCenter&amp;path_pc=pc/pages/requested/index?instanceId=7576631851414982369&amp;source=bitable&amp;path=pages/detail/index?instanceId=7576631851414982369&amp;source=bitable", "202511250207")</f>
        <v>202511250207</v>
      </c>
      <c r="B1495" t="inlineStr">
        <is>
          <t>Approved</t>
        </is>
      </c>
      <c r="C1495" t="inlineStr">
        <is>
          <t>Procurement Order</t>
        </is>
      </c>
      <c r="D1495" s="3">
        <v>45986.83414351852</v>
      </c>
      <c r="E1495" s="3">
        <v>45987.48233796296</v>
      </c>
      <c r="F1495" t="inlineStr">
        <is>
          <t>Fatima Kathleen M. FLores</t>
        </is>
      </c>
      <c r="G1495" t="inlineStr">
        <is>
          <t>Procurement</t>
        </is>
      </c>
      <c r="H1495"/>
      <c r="I1495"/>
      <c r="J1495" t="inlineStr">
        <is>
          <t>Project</t>
        </is>
      </c>
      <c r="K1495" t="inlineStr">
        <is>
          <t>GG - Event Service</t>
        </is>
      </c>
      <c r="L1495" t="inlineStr">
        <is>
          <t>KIC 2025 -Talents</t>
        </is>
      </c>
      <c r="M1495" t="inlineStr">
        <is>
          <t>2025TEG-P0318</t>
        </is>
      </c>
      <c r="N1495" t="inlineStr">
        <is>
          <t>Carla Andrea Calma Crespo</t>
        </is>
      </c>
      <c r="O1495" t="inlineStr">
        <is>
          <t>202511190089-Carla Andrea Calma Crespo-费用报销 - 副本 - 副本 - 副本-2025-11-19 07:12:16</t>
        </is>
      </c>
      <c r="P1495" t="inlineStr">
        <is>
          <t>YES</t>
        </is>
      </c>
      <c r="Q1495"/>
      <c r="R1495" t="inlineStr">
        <is>
          <t>NO</t>
        </is>
      </c>
      <c r="S1495" t="inlineStr">
        <is>
          <t>Outsourced Talent Caster (Dash)</t>
        </is>
      </c>
      <c r="T1495">
        <v>1</v>
      </c>
      <c r="U1495">
        <v>75150</v>
      </c>
      <c r="V1495" t="inlineStr">
        <is>
          <t>PHP</t>
        </is>
      </c>
      <c r="W1495">
        <v>75150</v>
      </c>
      <c r="X1495" s="2" t="str">
        <f>=HYPERLINK("https://www.larksuite.com/approval/admin/previewAttachment?key=PMgxDsIwDAXQK_nHjn8-l2FpVQEiLIiiDj47EkPXlwOWo8NTFkKTodiZ6RgdgdBonqpWIGUEPWud2_W-6_OdxzL5PB79Vftt2dY3utia0SN8mBkupzsjQsqwv9svAAD__w", "2 attachment(s)")</f>
        <v>2 attachment(s)</v>
      </c>
      <c r="Y1495" t="inlineStr">
        <is>
          <t>Bank Transfer</t>
        </is>
      </c>
      <c r="Z1495" t="inlineStr">
        <is>
          <t>Eugene I. Esteban</t>
        </is>
      </c>
      <c r="AA1495" t="inlineStr">
        <is>
          <t>2000 5182 8177</t>
        </is>
      </c>
      <c r="AB1495" t="inlineStr">
        <is>
          <t>East West</t>
        </is>
      </c>
      <c r="AC1495" t="inlineStr">
        <is>
          <t>131 P. Pablo St. 10th Ave. Caloocan City</t>
        </is>
      </c>
      <c r="AD1495" s="4">
        <v>45974</v>
      </c>
      <c r="AE1495" t="inlineStr">
        <is>
          <t>1st Payment - Nov. 28, 2025
2nd Payment - Dec. 12, 2025
Final Payment - Dec. 19, 2025</t>
        </is>
      </c>
      <c r="AF1495" s="2"/>
      <c r="AG1495" t="inlineStr">
        <is>
          <t>NzQyNTk5MTgyNzQ4MTg3MDM0MTo1NTJEMjVEQi05NjIxLTQ5QkYtOEExMC0wNTBCRTBCRThFMzQtMToyNTA2ZTVjM2FiNmJjNGJkMzUzN2JhMWExZDkwODk1NDox</t>
        </is>
      </c>
      <c r="AH1495" t="inlineStr">
        <is>
          <t>Eugene I. Esteban</t>
        </is>
      </c>
      <c r="AI1495"/>
      <c r="AJ1495" t="inlineStr">
        <is>
          <t>LIQUIDITY PLAN (PAR # 202511190052 / 2025TEG-P0318)
HOST &amp; CASTERS &gt; DASH
Total Budget = Php 75,150.00
Actual Cost = Php 75,150.00</t>
        </is>
      </c>
      <c r="AK1495"/>
    </row>
    <row r="1496" ht="25.5" customHeight="1">
      <c r="A1496" s="2" t="str">
        <f>=HYPERLINK("https://applink.larksuite.com/client/mini_program/open?appId=cli_9c7cc8a9a9edd105&amp;mode=appCenter&amp;path_pc=pc/pages/requested/index?instanceId=7576631050252586719&amp;source=bitable&amp;path=pages/detail/index?instanceId=7576631050252586719&amp;source=bitable", "202511250206")</f>
        <v>202511250206</v>
      </c>
      <c r="B1496" t="inlineStr">
        <is>
          <t>Approved</t>
        </is>
      </c>
      <c r="C1496" t="inlineStr">
        <is>
          <t>Procurement Order</t>
        </is>
      </c>
      <c r="D1496" s="3">
        <v>45986.83199074074</v>
      </c>
      <c r="E1496" s="3">
        <v>45987.482939814814</v>
      </c>
      <c r="F1496" t="inlineStr">
        <is>
          <t>Fatima Kathleen M. FLores</t>
        </is>
      </c>
      <c r="G1496" t="inlineStr">
        <is>
          <t>Procurement</t>
        </is>
      </c>
      <c r="H1496"/>
      <c r="I1496"/>
      <c r="J1496" t="inlineStr">
        <is>
          <t>Project</t>
        </is>
      </c>
      <c r="K1496" t="inlineStr">
        <is>
          <t>GG - Event Service</t>
        </is>
      </c>
      <c r="L1496" t="inlineStr">
        <is>
          <t>KIC 2025 -Talents</t>
        </is>
      </c>
      <c r="M1496" t="inlineStr">
        <is>
          <t>2025TEG-P0318</t>
        </is>
      </c>
      <c r="N1496" t="inlineStr">
        <is>
          <t>Carla Andrea Calma Crespo</t>
        </is>
      </c>
      <c r="O1496" t="inlineStr">
        <is>
          <t>202511190088-Carla Andrea Calma Crespo-费用报销 - 副本 - 副本 - 副本-2025-11-19 07:11:41</t>
        </is>
      </c>
      <c r="P1496" t="inlineStr">
        <is>
          <t>YES</t>
        </is>
      </c>
      <c r="Q1496"/>
      <c r="R1496" t="inlineStr">
        <is>
          <t>NO</t>
        </is>
      </c>
      <c r="S1496" t="inlineStr">
        <is>
          <t>Outsourced Talent Caster (Beebimbapp)</t>
        </is>
      </c>
      <c r="T1496">
        <v>1</v>
      </c>
      <c r="U1496">
        <v>30000</v>
      </c>
      <c r="V1496" t="inlineStr">
        <is>
          <t>PHP</t>
        </is>
      </c>
      <c r="W1496">
        <v>30000</v>
      </c>
      <c r="X1496" s="2" t="str">
        <f>=HYPERLINK("https://www.larksuite.com/approval/admin/previewAttachment?key=PMg9CgIxFATgK828v8nzMja7BC0CgrDY5OyChe1Xg6iR9GpE0xrcSlU5kbC0HCX2tk2pIcprn2veLz4_6XaMnus1174exzzfzJYZ5BE-APD2d1dEdFfg5_gGAAD__w", "2 attachment(s)")</f>
        <v>2 attachment(s)</v>
      </c>
      <c r="Y1496" t="inlineStr">
        <is>
          <t>Bank Transfer</t>
        </is>
      </c>
      <c r="Z1496" t="inlineStr">
        <is>
          <t>Laurise Martinez</t>
        </is>
      </c>
      <c r="AA1496" t="inlineStr">
        <is>
          <t>006980522247</t>
        </is>
      </c>
      <c r="AB1496" t="inlineStr">
        <is>
          <t>BDO</t>
        </is>
      </c>
      <c r="AC1496" t="inlineStr">
        <is>
          <t>203 Monte Carlo Residences Sucat Parañaque</t>
        </is>
      </c>
      <c r="AD1496" s="4">
        <v>45978</v>
      </c>
      <c r="AE1496" t="inlineStr">
        <is>
          <t>1st Payment - Nov. 28, 2025
2nd Payment - Dec. 12, 2025
Final Payment - Dec. 19, 2025</t>
        </is>
      </c>
      <c r="AF1496" s="2"/>
      <c r="AG1496" t="inlineStr">
        <is>
          <t>NzQyNTk5MTgyNzQ4MTg3MDM0MTo4NkFEOEJBQi02NDJBLTQxODAtODZBNS02NENGNzU4MTY1OUQtMTpjMjkwMmU5OTcyMDY4YmNhZmUyMTEzN2EwZWFkMWQ1ZTox</t>
        </is>
      </c>
      <c r="AH1496" t="inlineStr">
        <is>
          <t>Laurise Martinez</t>
        </is>
      </c>
      <c r="AI1496"/>
      <c r="AJ1496" t="inlineStr">
        <is>
          <t>LIQUIDITY PLAN (PAR # 202511190052 / 2025TEG-P0318)
HOST &amp; CASTERS &gt; BEEBIMBAPP
Total Budget = Php 30,000.00
Actual Cost = Php 30,000.00</t>
        </is>
      </c>
      <c r="AK1496"/>
    </row>
    <row r="1497" ht="25.5" customHeight="1">
      <c r="A1497" s="2" t="str">
        <f>=HYPERLINK("https://applink.larksuite.com/client/mini_program/open?appId=cli_9c7cc8a9a9edd105&amp;mode=appCenter&amp;path_pc=pc/pages/requested/index?instanceId=7576630178827226845&amp;source=bitable&amp;path=pages/detail/index?instanceId=7576630178827226845&amp;source=bitable", "202511250204")</f>
        <v>202511250204</v>
      </c>
      <c r="B1497" t="inlineStr">
        <is>
          <t>Approved</t>
        </is>
      </c>
      <c r="C1497" t="inlineStr">
        <is>
          <t>Procurement Order</t>
        </is>
      </c>
      <c r="D1497" s="3">
        <v>45986.8296412037</v>
      </c>
      <c r="E1497" s="3">
        <v>45987.484872685185</v>
      </c>
      <c r="F1497" t="inlineStr">
        <is>
          <t>Fatima Kathleen M. FLores</t>
        </is>
      </c>
      <c r="G1497" t="inlineStr">
        <is>
          <t>Procurement</t>
        </is>
      </c>
      <c r="H1497"/>
      <c r="I1497"/>
      <c r="J1497" t="inlineStr">
        <is>
          <t>Project</t>
        </is>
      </c>
      <c r="K1497" t="inlineStr">
        <is>
          <t>GG - Event Service</t>
        </is>
      </c>
      <c r="L1497" t="inlineStr">
        <is>
          <t>KIC 2025 -Talents</t>
        </is>
      </c>
      <c r="M1497" t="inlineStr">
        <is>
          <t>2025TEG-P0318</t>
        </is>
      </c>
      <c r="N1497" t="inlineStr">
        <is>
          <t>Carla Andrea Calma Crespo</t>
        </is>
      </c>
      <c r="O1497" t="inlineStr">
        <is>
          <t>202511190086-Carla Andrea Calma Crespo-费用报销 - 副本 - 副本 - 副本-2025-11-19 07:10:56</t>
        </is>
      </c>
      <c r="P1497" t="inlineStr">
        <is>
          <t>YES</t>
        </is>
      </c>
      <c r="Q1497"/>
      <c r="R1497" t="inlineStr">
        <is>
          <t>NO</t>
        </is>
      </c>
      <c r="S1497" t="inlineStr">
        <is>
          <t>Outsourced Talent Caster (GG Sphere)</t>
        </is>
      </c>
      <c r="T1497">
        <v>1</v>
      </c>
      <c r="U1497">
        <v>66800</v>
      </c>
      <c r="V1497" t="inlineStr">
        <is>
          <t>PHP</t>
        </is>
      </c>
      <c r="W1497">
        <v>66800</v>
      </c>
      <c r="X1497" s="2" t="str">
        <f>=HYPERLINK("https://www.larksuite.com/approval/admin/previewAttachment?key=PMgxCgJBDAXQK_2fZPITL2PjMrjKgiCIFnN2wcL2ZRFZg56NaFqDS0OZDqrKZJYVY9mi1BDlubZjnh-3_T0aus9j5_ZZr-tlbk-OlhnkEV4AePq7KyK6M_BzfAMAAP__", "2 attachment(s)")</f>
        <v>2 attachment(s)</v>
      </c>
      <c r="Y1497" t="inlineStr">
        <is>
          <t>Bank Transfer</t>
        </is>
      </c>
      <c r="Z1497" t="inlineStr">
        <is>
          <t>Joseph Saratan</t>
        </is>
      </c>
      <c r="AA1497" t="inlineStr">
        <is>
          <t>109321660560</t>
        </is>
      </c>
      <c r="AB1497" t="inlineStr">
        <is>
          <t>Unionbank</t>
        </is>
      </c>
      <c r="AC1497" t="inlineStr">
        <is>
          <t>#11 Ninong Manuel Street, BF Homes Phase 1, Caloocan City</t>
        </is>
      </c>
      <c r="AD1497" s="4">
        <v>45974</v>
      </c>
      <c r="AE1497" t="inlineStr">
        <is>
          <t>1st Payment - Nov. 28, 2025
2nd Payment - Dec. 12, 2025
Final Payment - Dec. 19, 2025</t>
        </is>
      </c>
      <c r="AF1497" s="2"/>
      <c r="AG1497" t="inlineStr">
        <is>
          <t>NzQyNTk5MTgyNzQ4MTg3MDM0MTo0MzI5QjQyNS0zM0M1LTQxMDQtQTFFMy01NTBBQTgxODQzMjYtMTo2MTU2MjdkNDRiMzIzODUzY2IyYzMyYmEyOWFlNmEwNTox</t>
        </is>
      </c>
      <c r="AH1497" t="inlineStr">
        <is>
          <t>Joseph Saratan</t>
        </is>
      </c>
      <c r="AI1497"/>
      <c r="AJ1497" t="inlineStr">
        <is>
          <t>LIQUIDITY PLAN (PAR # 202511190052 / 2025TEG-P0318)
HOST &amp; CASTERS &gt; GGSPHERE
Total Budget = Php 66,800.00
Actual Cost = Php 66,800.00</t>
        </is>
      </c>
      <c r="AK1497"/>
    </row>
    <row r="1498" ht="25.5" customHeight="1">
      <c r="A1498" s="2" t="str">
        <f>=HYPERLINK("https://applink.larksuite.com/client/mini_program/open?appId=cli_9c7cc8a9a9edd105&amp;mode=appCenter&amp;path_pc=pc/pages/requested/index?instanceId=7576629266620813023&amp;source=bitable&amp;path=pages/detail/index?instanceId=7576629266620813023&amp;source=bitable", "202511250203")</f>
        <v>202511250203</v>
      </c>
      <c r="B1498" t="inlineStr">
        <is>
          <t>Approved</t>
        </is>
      </c>
      <c r="C1498" t="inlineStr">
        <is>
          <t>Procurement Order</t>
        </is>
      </c>
      <c r="D1498" s="3">
        <v>45986.8271875</v>
      </c>
      <c r="E1498" s="3">
        <v>45987.485601851855</v>
      </c>
      <c r="F1498" t="inlineStr">
        <is>
          <t>Fatima Kathleen M. FLores</t>
        </is>
      </c>
      <c r="G1498" t="inlineStr">
        <is>
          <t>Procurement</t>
        </is>
      </c>
      <c r="H1498"/>
      <c r="I1498"/>
      <c r="J1498" t="inlineStr">
        <is>
          <t>Project</t>
        </is>
      </c>
      <c r="K1498" t="inlineStr">
        <is>
          <t>GG - Event Service</t>
        </is>
      </c>
      <c r="L1498" t="inlineStr">
        <is>
          <t>KIC 2025 -Talents</t>
        </is>
      </c>
      <c r="M1498" t="inlineStr">
        <is>
          <t>2025TEG-P0318</t>
        </is>
      </c>
      <c r="N1498" t="inlineStr">
        <is>
          <t>Carla Andrea Calma Crespo</t>
        </is>
      </c>
      <c r="O1498" t="inlineStr">
        <is>
          <t>202511190084-Carla Andrea Calma Crespo-费用报销 - 副本 - 副本 - 副本-2025-11-19 07:09:49</t>
        </is>
      </c>
      <c r="P1498" t="inlineStr">
        <is>
          <t>YES</t>
        </is>
      </c>
      <c r="Q1498"/>
      <c r="R1498" t="inlineStr">
        <is>
          <t>NO</t>
        </is>
      </c>
      <c r="S1498" t="inlineStr">
        <is>
          <t>Outsourced Talent Caster (Autolose)</t>
        </is>
      </c>
      <c r="T1498">
        <v>1</v>
      </c>
      <c r="U1498">
        <v>33500</v>
      </c>
      <c r="V1498" t="inlineStr">
        <is>
          <t>PHP</t>
        </is>
      </c>
      <c r="W1498">
        <v>33500</v>
      </c>
      <c r="X1498" s="2" t="str">
        <f>=HYPERLINK("https://www.larksuite.com/approval/admin/previewAttachment?key=PMhBCsJADAXQK_38ZH4mXsZNyyCUgiAoXeTsggu3T9OgOcxViDIWrHOkxKIkYpqD3mzLLKSlq_dz3Zcb6zif2-figavfj23tLxuVJNIjfAKw2989I6JKgZ_jGwAA__8", "2 attachment(s)")</f>
        <v>2 attachment(s)</v>
      </c>
      <c r="Y1498" t="inlineStr">
        <is>
          <t>Bank Transfer</t>
        </is>
      </c>
      <c r="Z1498" t="inlineStr">
        <is>
          <t>Bryan J. Quiazon</t>
        </is>
      </c>
      <c r="AA1498" t="inlineStr">
        <is>
          <t>006781132589</t>
        </is>
      </c>
      <c r="AB1498" t="inlineStr">
        <is>
          <t>BDO</t>
        </is>
      </c>
      <c r="AC1498" t="inlineStr">
        <is>
          <t>29A Schilling St. Phase 8 North Fairview Q.C.</t>
        </is>
      </c>
      <c r="AD1498" s="4">
        <v>45974</v>
      </c>
      <c r="AE1498" t="inlineStr">
        <is>
          <t>1st Payment - Nov. 28, 2025
2nd Payment - Dec. 12, 2025
Final Payment - Dec. 19, 2025</t>
        </is>
      </c>
      <c r="AF1498" s="2"/>
      <c r="AG1498" t="inlineStr">
        <is>
          <t>NzQyNTk5MTgyNzQ4MTg3MDM0MTpCMTMxRTAwMi1GODBELTRGMUMtOTY2Ni1DRTdCODM1QjBFREQtMTplMDRlMDNiNjA2YjgyOGJmNzY3OGVlZDUyMzI0ODBlNTox</t>
        </is>
      </c>
      <c r="AH1498" t="inlineStr">
        <is>
          <t>Bryan J. Quiazon</t>
        </is>
      </c>
      <c r="AI1498"/>
      <c r="AJ1498" t="inlineStr">
        <is>
          <t>LIQUIDITY PLAN (PAR # 202511190052 / 2025TEG-P0318)
HOST &amp; CASTERS &gt; AUTOLOSE
Total Budget = Php 33,500.00
Actual Cost = Php 33,500.00</t>
        </is>
      </c>
      <c r="AK1498"/>
    </row>
    <row r="1499" ht="25.5" customHeight="1">
      <c r="A1499" s="2" t="str">
        <f>=HYPERLINK("https://applink.larksuite.com/client/mini_program/open?appId=cli_9c7cc8a9a9edd105&amp;mode=appCenter&amp;path_pc=pc/pages/requested/index?instanceId=7576626389772685025&amp;source=bitable&amp;path=pages/detail/index?instanceId=7576626389772685025&amp;source=bitable", "202511250200")</f>
        <v>202511250200</v>
      </c>
      <c r="B1499" t="inlineStr">
        <is>
          <t>Approved</t>
        </is>
      </c>
      <c r="C1499" t="inlineStr">
        <is>
          <t>Procurement Order</t>
        </is>
      </c>
      <c r="D1499" s="3">
        <v>45986.81943287037</v>
      </c>
      <c r="E1499" s="3">
        <v>45987.48856481481</v>
      </c>
      <c r="F1499" t="inlineStr">
        <is>
          <t>Fatima Kathleen M. FLores</t>
        </is>
      </c>
      <c r="G1499" t="inlineStr">
        <is>
          <t>Procurement</t>
        </is>
      </c>
      <c r="H1499"/>
      <c r="I1499"/>
      <c r="J1499" t="inlineStr">
        <is>
          <t>Project</t>
        </is>
      </c>
      <c r="K1499" t="inlineStr">
        <is>
          <t>GG - Event Service</t>
        </is>
      </c>
      <c r="L1499" t="inlineStr">
        <is>
          <t>KIC 2025 -Talents</t>
        </is>
      </c>
      <c r="M1499" t="inlineStr">
        <is>
          <t>2025TEG-P0318</t>
        </is>
      </c>
      <c r="N1499" t="inlineStr">
        <is>
          <t>Carla Andrea Calma Crespo</t>
        </is>
      </c>
      <c r="O1499" t="inlineStr">
        <is>
          <t>202511190072-Carla Andrea Calma Crespo-费用报销 - 副本 - 副本 - 副本-2025-11-19 07:00:02</t>
        </is>
      </c>
      <c r="P1499" t="inlineStr">
        <is>
          <t>YES</t>
        </is>
      </c>
      <c r="Q1499"/>
      <c r="R1499" t="inlineStr">
        <is>
          <t>NO</t>
        </is>
      </c>
      <c r="S1499" t="inlineStr">
        <is>
          <t>Outsourced Talent Caster (Osiris)</t>
        </is>
      </c>
      <c r="T1499">
        <v>1</v>
      </c>
      <c r="U1499">
        <v>58450</v>
      </c>
      <c r="V1499" t="inlineStr">
        <is>
          <t>PHP</t>
        </is>
      </c>
      <c r="W1499">
        <v>58450</v>
      </c>
      <c r="X1499" s="2" t="str">
        <f>=HYPERLINK("https://www.larksuite.com/approval/admin/previewAttachment?key=PMi7DcJgDATglc7Ps1mGJr8iGiqUQArPjkRB-2UJskIsG96iDRkGMzWtmtSsgMboCNmg0HLWc7_r-b74OZbzuDbhnI9tXy-Jpipo7lYA5PZ3o7t3p-Pn-AYAAP__", "2 attachment(s)")</f>
        <v>2 attachment(s)</v>
      </c>
      <c r="Y1499" t="inlineStr">
        <is>
          <t>Bank Transfer</t>
        </is>
      </c>
      <c r="Z1499" t="inlineStr">
        <is>
          <t>Rogyn Raphael S. Manansala</t>
        </is>
      </c>
      <c r="AA1499" t="inlineStr">
        <is>
          <t>1096 6002 4240</t>
        </is>
      </c>
      <c r="AB1499" t="inlineStr">
        <is>
          <t>Unionbank</t>
        </is>
      </c>
      <c r="AC1499" t="inlineStr">
        <is>
          <t>Blk 5 Lot 2 Daisy St. Ferretville Subdivision, Brgy. San Roque, Rizal, Antipolo</t>
        </is>
      </c>
      <c r="AD1499" s="4">
        <v>45974</v>
      </c>
      <c r="AE1499" t="inlineStr">
        <is>
          <t>1st Payment - Nov. 28, 2025
2nd Payment - Dec. 12, 2025
Final Payment - Dec. 19, 2025</t>
        </is>
      </c>
      <c r="AF1499" s="2"/>
      <c r="AG1499" t="inlineStr">
        <is>
          <t>NzQyNTk5MTgyNzQ4MTg3MDM0MTo1RDE3RjBFRi04M0IwLTRDQUItOEMzMi0yRjlENzk1QTlGRjItMTphZmVhZjBkZjYyZWJiNDI1NWVmMTMxM2JhNDg5YjIyNzox</t>
        </is>
      </c>
      <c r="AH1499" t="inlineStr">
        <is>
          <t>Rogyn Raphael S. Manansala</t>
        </is>
      </c>
      <c r="AI1499"/>
      <c r="AJ1499" t="inlineStr">
        <is>
          <t>LIQUIDITY PLAN (PAR # 202511190052 / 2025TEG-P0318)
HOST &amp; CASTERS &gt; OSIRIS
Total Budget = Php 58,450.00
Actual Cost = Php 58,450.00</t>
        </is>
      </c>
      <c r="AK1499"/>
    </row>
    <row r="1500" ht="25.5" customHeight="1">
      <c r="A1500" s="2" t="str">
        <f>=HYPERLINK("https://applink.larksuite.com/client/mini_program/open?appId=cli_9c7cc8a9a9edd105&amp;mode=appCenter&amp;path_pc=pc/pages/requested/index?instanceId=7576625332275433181&amp;source=bitable&amp;path=pages/detail/index?instanceId=7576625332275433181&amp;source=bitable", "202511250198")</f>
        <v>202511250198</v>
      </c>
      <c r="B1500" t="inlineStr">
        <is>
          <t>Approved</t>
        </is>
      </c>
      <c r="C1500" t="inlineStr">
        <is>
          <t>Procurement Order</t>
        </is>
      </c>
      <c r="D1500" s="3">
        <v>45986.81657407407</v>
      </c>
      <c r="E1500" s="3">
        <v>45987.48902777778</v>
      </c>
      <c r="F1500" t="inlineStr">
        <is>
          <t>Fatima Kathleen M. FLores</t>
        </is>
      </c>
      <c r="G1500" t="inlineStr">
        <is>
          <t>Procurement</t>
        </is>
      </c>
      <c r="H1500"/>
      <c r="I1500"/>
      <c r="J1500" t="inlineStr">
        <is>
          <t>Project</t>
        </is>
      </c>
      <c r="K1500" t="inlineStr">
        <is>
          <t>GG - Event Service</t>
        </is>
      </c>
      <c r="L1500" t="inlineStr">
        <is>
          <t>KIC 2025 -Talents</t>
        </is>
      </c>
      <c r="M1500" t="inlineStr">
        <is>
          <t>2025TEG-P0318</t>
        </is>
      </c>
      <c r="N1500" t="inlineStr">
        <is>
          <t>Carla Andrea Calma Crespo</t>
        </is>
      </c>
      <c r="O1500" t="inlineStr">
        <is>
          <t>202511190072-Carla Andrea Calma Crespo-费用报销 - 副本 - 副本 - 副本-2025-11-19 07:00:02</t>
        </is>
      </c>
      <c r="P1500" t="inlineStr">
        <is>
          <t>YES</t>
        </is>
      </c>
      <c r="Q1500"/>
      <c r="R1500" t="inlineStr">
        <is>
          <t>NO</t>
        </is>
      </c>
      <c r="S1500" t="inlineStr">
        <is>
          <t>Outsourced Talent Caster (Shinboo)</t>
        </is>
      </c>
      <c r="T1500">
        <v>1</v>
      </c>
      <c r="U1500">
        <v>117000</v>
      </c>
      <c r="V1500" t="inlineStr">
        <is>
          <t>PHP</t>
        </is>
      </c>
      <c r="W1500">
        <v>117000</v>
      </c>
      <c r="X1500" s="2" t="str">
        <f>=HYPERLINK("https://www.larksuite.com/approval/admin/previewAttachment?key=PMhBCsIwEAXQK_0_M5mf8TJuUopYhIIQ6iJnF1y4fdmJ7I2ehShagUtNmdbczdTCnZ3LFqWCKM-1vfZ7PT_zsuOaxzjnOdZ8jH17s5XMII_wDoC3v7sioioDP8c3AAD__w", "2 attachment(s)")</f>
        <v>2 attachment(s)</v>
      </c>
      <c r="Y1500" t="inlineStr">
        <is>
          <t>Bank Transfer</t>
        </is>
      </c>
      <c r="Z1500" t="inlineStr">
        <is>
          <t>SHIN BOO C PONFERRADA</t>
        </is>
      </c>
      <c r="AA1500" t="inlineStr">
        <is>
          <t>4359 4142 05</t>
        </is>
      </c>
      <c r="AB1500" t="inlineStr">
        <is>
          <t>BPI</t>
        </is>
      </c>
      <c r="AC1500" t="inlineStr">
        <is>
          <t>44H 20th Avenue, Brgy. San Roque, Quezon City.</t>
        </is>
      </c>
      <c r="AD1500" s="4">
        <v>45974</v>
      </c>
      <c r="AE1500" t="inlineStr">
        <is>
          <t>1st Payment - Nov. 28, 2025
2nd Payment - Dec. 12, 2025
Final Payment - Dec. 19, 2025</t>
        </is>
      </c>
      <c r="AF1500" s="2"/>
      <c r="AG1500" t="inlineStr">
        <is>
          <t>NzQyNTk5MTgyNzQ4MTg3MDM0MTo3QzlBNjNGOC0xM0RCLTQ5RjMtOEQ2OS0zQkU1QTNEQkEwOEMtMTo2MDhlNDhjNDQ5YWUzZTE4YmFkM2QwMjhhYTUzYTI2YTox</t>
        </is>
      </c>
      <c r="AH1500" t="inlineStr">
        <is>
          <t>SHIN BOO C PONFERRADA</t>
        </is>
      </c>
      <c r="AI1500"/>
      <c r="AJ1500" t="inlineStr">
        <is>
          <t>LIQUIDITY PLAN (PAR # 202511190052 / 2025TEG-P0318)
HOST &amp; CASTERS &gt; SHINBOO
Total Budget = Php 117,000.00
Actual Cost = Php 117,000.00</t>
        </is>
      </c>
      <c r="AK1500"/>
    </row>
    <row r="1501" ht="25.5" customHeight="1">
      <c r="A1501" s="2" t="str">
        <f>=HYPERLINK("https://applink.larksuite.com/client/mini_program/open?appId=cli_9c7cc8a9a9edd105&amp;mode=appCenter&amp;path_pc=pc/pages/requested/index?instanceId=7576624336233058017&amp;source=bitable&amp;path=pages/detail/index?instanceId=7576624336233058017&amp;source=bitable", "202511250196")</f>
        <v>202511250196</v>
      </c>
      <c r="B1501" t="inlineStr">
        <is>
          <t>Approved</t>
        </is>
      </c>
      <c r="C1501" t="inlineStr">
        <is>
          <t>Procurement Order</t>
        </is>
      </c>
      <c r="D1501" s="3">
        <v>45986.81390046296</v>
      </c>
      <c r="E1501" s="3">
        <v>45987.48945601852</v>
      </c>
      <c r="F1501" t="inlineStr">
        <is>
          <t>Fatima Kathleen M. FLores</t>
        </is>
      </c>
      <c r="G1501" t="inlineStr">
        <is>
          <t>Procurement</t>
        </is>
      </c>
      <c r="H1501"/>
      <c r="I1501"/>
      <c r="J1501" t="inlineStr">
        <is>
          <t>Project</t>
        </is>
      </c>
      <c r="K1501" t="inlineStr">
        <is>
          <t>GG - Event Service</t>
        </is>
      </c>
      <c r="L1501" t="inlineStr">
        <is>
          <t>KIC 2025 -Talents</t>
        </is>
      </c>
      <c r="M1501" t="inlineStr">
        <is>
          <t>2025TEG-P0318</t>
        </is>
      </c>
      <c r="N1501" t="inlineStr">
        <is>
          <t>Carla Andrea Calma Crespo</t>
        </is>
      </c>
      <c r="O1501" t="inlineStr">
        <is>
          <t>202511190072-Carla Andrea Calma Crespo-费用报销 - 副本 - 副本 - 副本-2025-11-19 07:00:02</t>
        </is>
      </c>
      <c r="P1501" t="inlineStr">
        <is>
          <t>YES</t>
        </is>
      </c>
      <c r="Q1501"/>
      <c r="R1501" t="inlineStr">
        <is>
          <t>NO</t>
        </is>
      </c>
      <c r="S1501" t="inlineStr">
        <is>
          <t>Outsourced Talent Caster (Yasumeow)</t>
        </is>
      </c>
      <c r="T1501">
        <v>1</v>
      </c>
      <c r="U1501">
        <v>110000</v>
      </c>
      <c r="V1501" t="inlineStr">
        <is>
          <t>PHP</t>
        </is>
      </c>
      <c r="W1501">
        <v>110000</v>
      </c>
      <c r="X1501" s="2" t="str">
        <f>=HYPERLINK("https://www.larksuite.com/approval/admin/previewAttachment?key=PMg9CkJBDATgK00y2czGy9i4PAT1IQj-FDm7YGH75TTkHMYsRJkXrDWU6UGmkxgTpvY2qSATs9dtO5peo_hZ-_26X97s5_m0rYeNkjvECE4Advg7FRFVGfg5vgEAAP__", "2 attachment(s)")</f>
        <v>2 attachment(s)</v>
      </c>
      <c r="Y1501" t="inlineStr">
        <is>
          <t>Bank Transfer</t>
        </is>
      </c>
      <c r="Z1501" t="inlineStr">
        <is>
          <t>Lhea Lei Sulit</t>
        </is>
      </c>
      <c r="AA1501" t="inlineStr">
        <is>
          <t>005560206211</t>
        </is>
      </c>
      <c r="AB1501" t="inlineStr">
        <is>
          <t>BDO</t>
        </is>
      </c>
      <c r="AC1501" t="inlineStr">
        <is>
          <t>249 Purok 3, Pulong Tamo, San Ildefonso, Bulacan</t>
        </is>
      </c>
      <c r="AD1501" s="4">
        <v>45974</v>
      </c>
      <c r="AE1501" t="inlineStr">
        <is>
          <t>1st Payment - Nov. 28, 2025
2nd Payment - Dec. 12, 2025
Final Payment - Dec. 19, 2025</t>
        </is>
      </c>
      <c r="AF1501" s="2"/>
      <c r="AG1501" t="inlineStr">
        <is>
          <t>NzQyNTk5MTgyNzQ4MTg3MDM0MTpFODM3NEFCQy05MzRELTQxNzMtQTQ5OS1DNjM2MTVENDY2Q0UtMTo1NjY2YzViNTc5MzhlMTI4N2UwYjYwMzRmN2U0MWY5Mjox</t>
        </is>
      </c>
      <c r="AH1501" t="inlineStr">
        <is>
          <t>Lhea Lei Sulit</t>
        </is>
      </c>
      <c r="AI1501"/>
      <c r="AJ1501" t="inlineStr">
        <is>
          <t>LIQUIDITY PLAN (PAR # 202511190052 / 2025TEG-P0318)
HOST &amp; CASTERS &gt; YASUMEOW
Total Budget = Php 110,000.00
Actual Cost = Php 110,000.00</t>
        </is>
      </c>
      <c r="AK1501"/>
    </row>
    <row r="1502" ht="25.5" customHeight="1">
      <c r="A1502" s="2" t="str">
        <f>=HYPERLINK("https://applink.larksuite.com/client/mini_program/open?appId=cli_9c7cc8a9a9edd105&amp;mode=appCenter&amp;path_pc=pc/pages/requested/index?instanceId=7576623238868930270&amp;source=bitable&amp;path=pages/detail/index?instanceId=7576623238868930270&amp;source=bitable", "202511250194")</f>
        <v>202511250194</v>
      </c>
      <c r="B1502" t="inlineStr">
        <is>
          <t>Approved</t>
        </is>
      </c>
      <c r="C1502" t="inlineStr">
        <is>
          <t>Procurement Order</t>
        </is>
      </c>
      <c r="D1502" s="3">
        <v>45986.8109375</v>
      </c>
      <c r="E1502" s="3">
        <v>45987.49025462963</v>
      </c>
      <c r="F1502" t="inlineStr">
        <is>
          <t>Fatima Kathleen M. FLores</t>
        </is>
      </c>
      <c r="G1502" t="inlineStr">
        <is>
          <t>Procurement</t>
        </is>
      </c>
      <c r="H1502"/>
      <c r="I1502"/>
      <c r="J1502" t="inlineStr">
        <is>
          <t>Project</t>
        </is>
      </c>
      <c r="K1502" t="inlineStr">
        <is>
          <t>GG - Event Service</t>
        </is>
      </c>
      <c r="L1502" t="inlineStr">
        <is>
          <t>KIC 2025 -Talents</t>
        </is>
      </c>
      <c r="M1502" t="inlineStr">
        <is>
          <t>2025TEG-P0318</t>
        </is>
      </c>
      <c r="N1502" t="inlineStr">
        <is>
          <t>Carla Andrea Calma Crespo</t>
        </is>
      </c>
      <c r="O1502" t="inlineStr">
        <is>
          <t>202511190072-Carla Andrea Calma Crespo-费用报销 - 副本 - 副本 - 副本-2025-11-19 07:00:02</t>
        </is>
      </c>
      <c r="P1502" t="inlineStr">
        <is>
          <t>YES</t>
        </is>
      </c>
      <c r="Q1502"/>
      <c r="R1502" t="inlineStr">
        <is>
          <t>NO</t>
        </is>
      </c>
      <c r="S1502" t="inlineStr">
        <is>
          <t>Outsourced Talent Caster (OSX)</t>
        </is>
      </c>
      <c r="T1502">
        <v>1</v>
      </c>
      <c r="U1502">
        <v>133880</v>
      </c>
      <c r="V1502" t="inlineStr">
        <is>
          <t>PHP</t>
        </is>
      </c>
      <c r="W1502">
        <v>133880</v>
      </c>
      <c r="X1502" s="2" t="str">
        <f>=HYPERLINK("https://www.larksuite.com/approval/admin/previewAttachment?key=PMg7CsJgEATgK80-Z9fL2CT8WKgEhKDFnl2wsP2yBFkhlg1v0YYMg5lqalVZbVBidIRsUGg5-2Ndy-N-fNbx3rf1PGPO27b2l0RTFTR3KwBy-bvR3bvT8XN8AwAA__8", "2 attachment(s)")</f>
        <v>2 attachment(s)</v>
      </c>
      <c r="Y1502" t="inlineStr">
        <is>
          <t>Bank Transfer</t>
        </is>
      </c>
      <c r="Z1502" t="inlineStr">
        <is>
          <t>Francis Joses Cantero</t>
        </is>
      </c>
      <c r="AA1502" t="inlineStr">
        <is>
          <t>109327122609</t>
        </is>
      </c>
      <c r="AB1502" t="inlineStr">
        <is>
          <t>Unionbank</t>
        </is>
      </c>
      <c r="AC1502" t="inlineStr">
        <is>
          <t>351 Captain Henry Javier, Brgy Oranbo, Pasig</t>
        </is>
      </c>
      <c r="AD1502" s="4">
        <v>45974</v>
      </c>
      <c r="AE1502" t="inlineStr">
        <is>
          <t>1st Payment - Nov. 28, 2025
2nd Payment - Dec. 12, 2025
Final Payment - Dec. 19, 2025</t>
        </is>
      </c>
      <c r="AF1502" s="2"/>
      <c r="AG1502" t="inlineStr">
        <is>
          <t>NzQyNTk5MTgyNzQ4MTg3MDM0MTpFOTBDQjNFMC0zRjhBLTRFRkItODU0RC1EQzcwMjZDQ0U0NzAtMTphYjBkMjEzZGViMzY3OTY5NWVlOTQ4NzczOTlmMWIwYzox</t>
        </is>
      </c>
      <c r="AH1502" t="inlineStr">
        <is>
          <t>Francis Joses Cantero</t>
        </is>
      </c>
      <c r="AI1502"/>
      <c r="AJ1502" t="inlineStr">
        <is>
          <t>LIQUIDITY PLAN (PAR # 202511190052 / 2025TEG-P0318)
HOST &amp; CASTERS &gt; OSX
Total Budget = Php 133,800.00
Actual Cost = Php 133,800.00</t>
        </is>
      </c>
      <c r="AK1502"/>
    </row>
    <row r="1503" ht="25.5" customHeight="1">
      <c r="A1503" s="2" t="str">
        <f>=HYPERLINK("https://applink.larksuite.com/client/mini_program/open?appId=cli_9c7cc8a9a9edd105&amp;mode=appCenter&amp;path_pc=pc/pages/requested/index?instanceId=7576870065551806178&amp;source=bitable&amp;path=pages/detail/index?instanceId=7576870065551806178&amp;source=bitable", "202511260019")</f>
        <v>202511260019</v>
      </c>
      <c r="B1503" t="inlineStr">
        <is>
          <t>Approved</t>
        </is>
      </c>
      <c r="C1503" t="inlineStr">
        <is>
          <t>Procurement Order</t>
        </is>
      </c>
      <c r="D1503" s="3">
        <v>45987.47608796296</v>
      </c>
      <c r="E1503" s="3">
        <v>45987.505833333336</v>
      </c>
      <c r="F1503" t="inlineStr">
        <is>
          <t>Fatima Kathleen M. FLores</t>
        </is>
      </c>
      <c r="G1503" t="inlineStr">
        <is>
          <t>Procurement</t>
        </is>
      </c>
      <c r="H1503"/>
      <c r="I1503"/>
      <c r="J1503" t="inlineStr">
        <is>
          <t>Project</t>
        </is>
      </c>
      <c r="K1503" t="inlineStr">
        <is>
          <t>GG - Event Service</t>
        </is>
      </c>
      <c r="L1503" t="inlineStr">
        <is>
          <t>KIC 2025 - Carnival &amp; Mini Battle</t>
        </is>
      </c>
      <c r="M1503" t="inlineStr">
        <is>
          <t>2025TEG-P0301</t>
        </is>
      </c>
      <c r="N1503" t="inlineStr">
        <is>
          <t>Maura Aurel Atilano Yap</t>
        </is>
      </c>
      <c r="O1503" t="inlineStr">
        <is>
          <t>202511160005-Maura Aurel Atilano Yap-费用报销 - 副本 - 副本 - 副本-2025-11-16 15:06:52</t>
        </is>
      </c>
      <c r="P1503" t="inlineStr">
        <is>
          <t>NO</t>
        </is>
      </c>
      <c r="Q1503"/>
      <c r="R1503" t="inlineStr">
        <is>
          <t>NO</t>
        </is>
      </c>
      <c r="S1503" t="inlineStr">
        <is>
          <t>Ice Cream Cart Rental (9 days)</t>
        </is>
      </c>
      <c r="T1503">
        <v>1</v>
      </c>
      <c r="U1503">
        <v>9000</v>
      </c>
      <c r="V1503" t="inlineStr">
        <is>
          <t>PHP</t>
        </is>
      </c>
      <c r="W1503">
        <v>9000</v>
      </c>
      <c r="X1503" s="2"/>
      <c r="Y1503" t="inlineStr">
        <is>
          <t>Bank Transfer</t>
        </is>
      </c>
      <c r="Z1503" t="inlineStr">
        <is>
          <t>Archie Espiritu</t>
        </is>
      </c>
      <c r="AA1503" t="inlineStr">
        <is>
          <t>140702030524</t>
        </is>
      </c>
      <c r="AB1503" t="inlineStr">
        <is>
          <t>Chinabank</t>
        </is>
      </c>
      <c r="AC1503" t="inlineStr">
        <is>
          <t>Fireweed &amp; Evergreen Ave, Evergreen Executive Village, Bagumbong, North Caloocan</t>
        </is>
      </c>
      <c r="AD1503" s="4">
        <v>45975</v>
      </c>
      <c r="AE1503" t="inlineStr">
        <is>
          <t>100% Full Payment</t>
        </is>
      </c>
      <c r="AF1503" s="2"/>
      <c r="AG1503" t="inlineStr">
        <is>
          <t>NzQyNTk5MTgyNzQ4MTg3MDM0MTpDRUVCQUEzRi03QjYxLTQ5MjEtOTY4Ri02QzNFMkEwNkY4NDctMTpjMTNjMjM2NmQwZjAzZjhlNWZiMDE2NmRmODk4NjUxZjox</t>
        </is>
      </c>
      <c r="AH1503" t="inlineStr">
        <is>
          <t>Inspire &amp; Top Rank Food Delivery Services</t>
        </is>
      </c>
      <c r="AI1503"/>
      <c r="AJ1503" t="inlineStr">
        <is>
          <t>LIQUIDITY PLAN (PAR # 202511060038 / 2025TEG-P0301)
1108 COST ESTIMATE TAB &gt; YELLOW STUDIO &gt; 
CARNIVAL - SHOOTING GALLERY &gt; OUTDOORS &gt;
Princess Frost Treats &gt;
Sorbetes Rental w/ Sorbetero
Sorbetes Skinning
Total Remaining Budget = Php 52,500.00
Actual Cost = Php 9,500.00
Balance = Php 43,000.00</t>
        </is>
      </c>
      <c r="AK1503"/>
    </row>
    <row r="1504" ht="25.5" customHeight="1">
      <c r="A1504" s="2" t="str">
        <f>=HYPERLINK("https://applink.larksuite.com/client/mini_program/open?appId=cli_9c7cc8a9a9edd105&amp;mode=appCenter&amp;path_pc=pc/pages/requested/index?instanceId=7576870065551806178&amp;source=bitable&amp;path=pages/detail/index?instanceId=7576870065551806178&amp;source=bitable", "202511260019")</f>
        <v>202511260019</v>
      </c>
      <c r="B1504" t="inlineStr">
        <is>
          <t>Approved</t>
        </is>
      </c>
      <c r="C1504" t="inlineStr">
        <is>
          <t>Procurement Order</t>
        </is>
      </c>
      <c r="D1504" s="3">
        <v>45987.47608796296</v>
      </c>
      <c r="E1504" s="3">
        <v>45987.505833333336</v>
      </c>
      <c r="F1504" t="inlineStr">
        <is>
          <t>Fatima Kathleen M. FLores</t>
        </is>
      </c>
      <c r="G1504" t="inlineStr">
        <is>
          <t>Procurement</t>
        </is>
      </c>
      <c r="H1504"/>
      <c r="I1504"/>
      <c r="J1504" t="inlineStr">
        <is>
          <t>Project</t>
        </is>
      </c>
      <c r="K1504" t="inlineStr">
        <is>
          <t>GG - Event Service</t>
        </is>
      </c>
      <c r="L1504" t="inlineStr">
        <is>
          <t>KIC 2025 - Carnival &amp; Mini Battle</t>
        </is>
      </c>
      <c r="M1504" t="inlineStr">
        <is>
          <t>2025TEG-P0301</t>
        </is>
      </c>
      <c r="N1504" t="inlineStr">
        <is>
          <t>Maura Aurel Atilano Yap</t>
        </is>
      </c>
      <c r="O1504" t="inlineStr">
        <is>
          <t>202511160005-Maura Aurel Atilano Yap-费用报销 - 副本 - 副本 - 副本-2025-11-16 15:06:52</t>
        </is>
      </c>
      <c r="P1504" t="inlineStr">
        <is>
          <t>NO</t>
        </is>
      </c>
      <c r="Q1504"/>
      <c r="R1504" t="inlineStr">
        <is>
          <t>NO</t>
        </is>
      </c>
      <c r="S1504" t="inlineStr">
        <is>
          <t>Tarpaulin Print (Cart Customization)</t>
        </is>
      </c>
      <c r="T1504">
        <v>1</v>
      </c>
      <c r="U1504">
        <v>500</v>
      </c>
      <c r="V1504" t="inlineStr">
        <is>
          <t>PHP</t>
        </is>
      </c>
      <c r="W1504">
        <v>500</v>
      </c>
      <c r="X1504" s="2" t="str">
        <f>=HYPERLINK("https://www.larksuite.com/approval/admin/previewAttachment?key=PMgxCgJBDAXQK_0_k-QnXsbGZdBiF0FcbHJ2wcL2RRKRzhkFK44CW65IAeHuTASVPZpSQdSM3vZ1fZz1Pp47jg89t9Xn_ba2F700BjTNZgLg5e9TZlYVhp_zGwAA__8", "2 attachment(s)")</f>
        <v>2 attachment(s)</v>
      </c>
      <c r="Y1504"/>
      <c r="Z1504"/>
      <c r="AA1504"/>
      <c r="AB1504"/>
      <c r="AC1504"/>
      <c r="AD1504" s="4"/>
      <c r="AE1504"/>
      <c r="AF1504" s="2"/>
      <c r="AG1504" t="inlineStr">
        <is>
          <t>NzQyNTk5MTgyNzQ4MTg3MDM0MTpDRUVCQUEzRi03QjYxLTQ5MjEtOTY4Ri02QzNFMkEwNkY4NDctMjoyZDY4MjNiODY2MzUxOTZlMjFhMWMxYjFiMDNhMjhlMDox</t>
        </is>
      </c>
      <c r="AH1504"/>
      <c r="AI1504"/>
      <c r="AJ1504" t="inlineStr">
        <is>
          <t>LIQUIDITY PLAN (PAR # 202511060038 / 2025TEG-P0301)
1108 COST ESTIMATE TAB &gt; YELLOW STUDIO &gt; 
CARNIVAL - SHOOTING GALLERY &gt; OUTDOORS &gt;
Princess Frost Treats &gt;
Sorbetes Rental w/ Sorbetero
Sorbetes Skinning
Total Remaining Budget = Php 52,500.00
Actual Cost = Php 9,500.00
Balance = Php 43,000.00</t>
        </is>
      </c>
      <c r="AK1504"/>
    </row>
    <row r="1505" ht="25.5" customHeight="1">
      <c r="A1505" s="2" t="str">
        <f>=HYPERLINK("https://applink.larksuite.com/client/mini_program/open?appId=cli_9c7cc8a9a9edd105&amp;mode=appCenter&amp;path_pc=pc/pages/requested/index?instanceId=7575041636468543196&amp;source=bitable&amp;path=pages/detail/index?instanceId=7575041636468543196&amp;source=bitable", "202511210033")</f>
        <v>202511210033</v>
      </c>
      <c r="B1505" t="inlineStr">
        <is>
          <t>Approved</t>
        </is>
      </c>
      <c r="C1505" t="inlineStr">
        <is>
          <t>Procurement Order</t>
        </is>
      </c>
      <c r="D1505" s="3">
        <v>45982.548842592594</v>
      </c>
      <c r="E1505" s="3">
        <v>45987.870104166665</v>
      </c>
      <c r="F1505" t="inlineStr">
        <is>
          <t>Fatima Kathleen M. FLores</t>
        </is>
      </c>
      <c r="G1505" t="inlineStr">
        <is>
          <t>Procurement</t>
        </is>
      </c>
      <c r="H1505"/>
      <c r="I1505"/>
      <c r="J1505" t="inlineStr">
        <is>
          <t>Project</t>
        </is>
      </c>
      <c r="K1505" t="inlineStr">
        <is>
          <t>PDEI - Event Service</t>
        </is>
      </c>
      <c r="L1505" t="inlineStr">
        <is>
          <t>BPI Bankers Cup 2</t>
        </is>
      </c>
      <c r="M1505" t="inlineStr">
        <is>
          <t>2025TEG-P0272</t>
        </is>
      </c>
      <c r="N1505" t="inlineStr">
        <is>
          <t>Kervin</t>
        </is>
      </c>
      <c r="O1505" t="inlineStr">
        <is>
          <t>202511060044-Kervin-费用报销 - 副本 - 副本 - 副本-2025-11-06 04:30:53</t>
        </is>
      </c>
      <c r="P1505" t="inlineStr">
        <is>
          <t>YES</t>
        </is>
      </c>
      <c r="Q1505"/>
      <c r="R1505" t="inlineStr">
        <is>
          <t>YES</t>
        </is>
      </c>
      <c r="S1505" t="inlineStr">
        <is>
          <t>Outsourced Logistics Associate</t>
        </is>
      </c>
      <c r="T1505">
        <v>1</v>
      </c>
      <c r="U1505">
        <v>3300</v>
      </c>
      <c r="V1505" t="inlineStr">
        <is>
          <t>PHP</t>
        </is>
      </c>
      <c r="W1505">
        <v>3300</v>
      </c>
      <c r="X1505" s="2" t="str">
        <f>=HYPERLINK("https://www.larksuite.com/approval/admin/previewAttachment?key=PMgxDsJQDAPQK9k__vEPl2FpVTHAhIAuOTsSA-vLReSajCyoOApsT0-IGalcU8HKHk27YDqy98dxRXzA7Txd24u-9_u2HfuTszwGHFIsALz8PSypKoWf4xsAAP__", "2 attachment(s)")</f>
        <v>2 attachment(s)</v>
      </c>
      <c r="Y1505" t="inlineStr">
        <is>
          <t>Bank Transfer</t>
        </is>
      </c>
      <c r="Z1505" t="inlineStr">
        <is>
          <t>Eroll Jhon Mark Duenas</t>
        </is>
      </c>
      <c r="AA1505" t="inlineStr">
        <is>
          <t>09163381297</t>
        </is>
      </c>
      <c r="AB1505" t="inlineStr">
        <is>
          <t>GCash</t>
        </is>
      </c>
      <c r="AC1505" t="inlineStr">
        <is>
          <t>Blk 1 J Lot 30 Ph 3 E-1 Dagat - dagatan Caloocan City</t>
        </is>
      </c>
      <c r="AD1505" s="4">
        <v>45974</v>
      </c>
      <c r="AE1505" t="inlineStr">
        <is>
          <t>100% Full payment - Nov. 28, 2025</t>
        </is>
      </c>
      <c r="AF1505" s="2"/>
      <c r="AG1505" t="inlineStr">
        <is>
          <t>NzQyNTk5MTgyNzQ4MTg3MDM0MTowODZDQjgxNC0wMzMxLTQ4NEItODA0Qy1CNUQyMzZDQUYwMjctMTo2M2YyYWNlNTQyMWJjYjMxNzUzZjRhYjU0ZWI1ZDcyZTox</t>
        </is>
      </c>
      <c r="AH1505" t="inlineStr">
        <is>
          <t>Eroll Jhon Mark Duenas</t>
        </is>
      </c>
      <c r="AI1505"/>
      <c r="AJ1505" t="inlineStr">
        <is>
          <t>LIQUIDITY PLAN (PAR # 202510230081 / 2025TEG-P0272)
Logistics &gt; Event Logistics Crew
Total Budget = Php 3,000.00
Actual Cost = Php 3,300.00
Balance = (Php 300.00) OVER BUDGET</t>
        </is>
      </c>
      <c r="AK1505"/>
    </row>
    <row r="1506" ht="25.5" customHeight="1">
      <c r="A1506" s="2" t="str">
        <f>=HYPERLINK("https://applink.larksuite.com/client/mini_program/open?appId=cli_9c7cc8a9a9edd105&amp;mode=appCenter&amp;path_pc=pc/pages/requested/index?instanceId=7574034781449522910&amp;source=bitable&amp;path=pages/detail/index?instanceId=7574034781449522910&amp;source=bitable", "202511180091")</f>
        <v>202511180091</v>
      </c>
      <c r="B1506" t="inlineStr">
        <is>
          <t>Approved</t>
        </is>
      </c>
      <c r="C1506" t="inlineStr">
        <is>
          <t>Procurement Order</t>
        </is>
      </c>
      <c r="D1506" s="3">
        <v>45979.83556712963</v>
      </c>
      <c r="E1506" s="3">
        <v>45987.86939814815</v>
      </c>
      <c r="F1506" t="inlineStr">
        <is>
          <t>Fatima Kathleen M. FLores</t>
        </is>
      </c>
      <c r="G1506" t="inlineStr">
        <is>
          <t>Procurement</t>
        </is>
      </c>
      <c r="H1506"/>
      <c r="I1506"/>
      <c r="J1506" t="inlineStr">
        <is>
          <t>Project</t>
        </is>
      </c>
      <c r="K1506" t="inlineStr">
        <is>
          <t>PDEI - Event Service</t>
        </is>
      </c>
      <c r="L1506" t="inlineStr">
        <is>
          <t>BPI Bankers Cup 2</t>
        </is>
      </c>
      <c r="M1506" t="inlineStr">
        <is>
          <t>2025TEG-P0272</t>
        </is>
      </c>
      <c r="N1506" t="inlineStr">
        <is>
          <t>Kervin</t>
        </is>
      </c>
      <c r="O1506" t="inlineStr">
        <is>
          <t>202511060019-Kervin-费用报销 - 副本 - 副本 - 副本-2025-11-06 03:27:31</t>
        </is>
      </c>
      <c r="P1506" t="inlineStr">
        <is>
          <t>YES</t>
        </is>
      </c>
      <c r="Q1506"/>
      <c r="R1506" t="inlineStr">
        <is>
          <t>YES</t>
        </is>
      </c>
      <c r="S1506" t="inlineStr">
        <is>
          <t>Outsourced CG Operator</t>
        </is>
      </c>
      <c r="T1506">
        <v>1</v>
      </c>
      <c r="U1506">
        <v>2000</v>
      </c>
      <c r="V1506" t="inlineStr">
        <is>
          <t>PHP</t>
        </is>
      </c>
      <c r="W1506">
        <v>2000</v>
      </c>
      <c r="X1506" s="2" t="str">
        <f>=HYPERLINK("https://www.larksuite.com/approval/admin/previewAttachment?key=PMgxDsIwFAPQK9n_O3E-l2GhqpCiTojSJWdHYmB9fRB9NGYvqBgFLjcLKQ9K1SKKWLFoF0xnX9ux3-P8zHm8L6dntmudz8e-vdjKEXBKOQDw9ve0pKou_BzfAAAA__8", "2 attachment(s)")</f>
        <v>2 attachment(s)</v>
      </c>
      <c r="Y1506" t="inlineStr">
        <is>
          <t>Bank Transfer</t>
        </is>
      </c>
      <c r="Z1506" t="inlineStr">
        <is>
          <t>Franz Adrian Cruz Abrenica</t>
        </is>
      </c>
      <c r="AA1506" t="inlineStr">
        <is>
          <t>1094 2955 9930</t>
        </is>
      </c>
      <c r="AB1506" t="inlineStr">
        <is>
          <t>Unionbank</t>
        </is>
      </c>
      <c r="AC1506" t="inlineStr">
        <is>
          <t>Block 83 Lot 16 Patricia Homes 8, Magat Salamat Street, Brgy. Concepcion Dos, Marikina City</t>
        </is>
      </c>
      <c r="AD1506" s="4">
        <v>45974</v>
      </c>
      <c r="AE1506" t="inlineStr">
        <is>
          <t>100% Full Payment - Nov. 28, 2025</t>
        </is>
      </c>
      <c r="AF1506" s="2"/>
      <c r="AG1506" t="inlineStr">
        <is>
          <t>NzQyNTk5MTgyNzQ4MTg3MDM0MTo1OEFCRjBENy01QUI2LTQ4OEMtOUZEQS05RTdEMkFERTA3OEEtMTo2MmZjNjZkMDBkMjZkMjc4NmZhNmYyNTljY2I1MzRjMDox</t>
        </is>
      </c>
      <c r="AH1506" t="inlineStr">
        <is>
          <t>Franz Adrian Cruz Abrenica</t>
        </is>
      </c>
      <c r="AI1506"/>
      <c r="AJ1506" t="inlineStr">
        <is>
          <t>No line item in internal CE. Unbudgeted.</t>
        </is>
      </c>
      <c r="AK1506"/>
    </row>
    <row r="1507" ht="25.5" customHeight="1">
      <c r="A1507" s="2" t="str">
        <f>=HYPERLINK("https://applink.larksuite.com/client/mini_program/open?appId=cli_9c7cc8a9a9edd105&amp;mode=appCenter&amp;path_pc=pc/pages/requested/index?instanceId=7574034133018545883&amp;source=bitable&amp;path=pages/detail/index?instanceId=7574034133018545883&amp;source=bitable", "202511180090")</f>
        <v>202511180090</v>
      </c>
      <c r="B1507" t="inlineStr">
        <is>
          <t>Approved</t>
        </is>
      </c>
      <c r="C1507" t="inlineStr">
        <is>
          <t>Procurement Order</t>
        </is>
      </c>
      <c r="D1507" s="3">
        <v>45979.833819444444</v>
      </c>
      <c r="E1507" s="3">
        <v>45987.86885416666</v>
      </c>
      <c r="F1507" t="inlineStr">
        <is>
          <t>Fatima Kathleen M. FLores</t>
        </is>
      </c>
      <c r="G1507" t="inlineStr">
        <is>
          <t>Procurement</t>
        </is>
      </c>
      <c r="H1507"/>
      <c r="I1507"/>
      <c r="J1507" t="inlineStr">
        <is>
          <t>Project</t>
        </is>
      </c>
      <c r="K1507" t="inlineStr">
        <is>
          <t>PDEI - Event Service</t>
        </is>
      </c>
      <c r="L1507" t="inlineStr">
        <is>
          <t>BPI Bankers Cup 2</t>
        </is>
      </c>
      <c r="M1507" t="inlineStr">
        <is>
          <t>2025TEG-P0272</t>
        </is>
      </c>
      <c r="N1507" t="inlineStr">
        <is>
          <t>Kervin</t>
        </is>
      </c>
      <c r="O1507" t="inlineStr">
        <is>
          <t>202511060019-Kervin-费用报销 - 副本 - 副本 - 副本-2025-11-06 03:27:31</t>
        </is>
      </c>
      <c r="P1507" t="inlineStr">
        <is>
          <t>YES</t>
        </is>
      </c>
      <c r="Q1507"/>
      <c r="R1507" t="inlineStr">
        <is>
          <t>YES</t>
        </is>
      </c>
      <c r="S1507" t="inlineStr">
        <is>
          <t>Outsourced Game Observer</t>
        </is>
      </c>
      <c r="T1507">
        <v>1</v>
      </c>
      <c r="U1507">
        <v>1500</v>
      </c>
      <c r="V1507" t="inlineStr">
        <is>
          <t>PHP</t>
        </is>
      </c>
      <c r="W1507">
        <v>1500</v>
      </c>
      <c r="X1507" s="2" t="str">
        <f>=HYPERLINK("https://www.larksuite.com/approval/admin/previewAttachment?key=PMg7DgIxDATQK83Ek9jmMjSsVrBSaBCfFD47EgXtG0GM6LSRULIlWN5dMNEMjK4eYdWK7gmn26ht7ufPcVvrfrxne64tZ72ul317sKe3BjfJAgBPfzeXlDmEn-MbAAD__w", "2 attachment(s)")</f>
        <v>2 attachment(s)</v>
      </c>
      <c r="Y1507" t="inlineStr">
        <is>
          <t>Bank Transfer</t>
        </is>
      </c>
      <c r="Z1507" t="inlineStr">
        <is>
          <t>Yencie Edmel Tomas</t>
        </is>
      </c>
      <c r="AA1507" t="inlineStr">
        <is>
          <t>0999 859 8762</t>
        </is>
      </c>
      <c r="AB1507" t="inlineStr">
        <is>
          <t>GCash</t>
        </is>
      </c>
      <c r="AC1507" t="inlineStr">
        <is>
          <t>Blk 15 Lot 17 Purok 3 Central Bicutan Taguig City</t>
        </is>
      </c>
      <c r="AD1507" s="4">
        <v>45974</v>
      </c>
      <c r="AE1507" t="inlineStr">
        <is>
          <t>100% Full Payment - Nov. 28, 2025</t>
        </is>
      </c>
      <c r="AF1507" s="2"/>
      <c r="AG1507" t="inlineStr">
        <is>
          <t>NzQyNTk5MTgyNzQ4MTg3MDM0MToyNjVDREUxRi0zNEJGLTQ5QzYtODdGMC1FMTg2NDhFMkJENjYtMTo5OTliNWZiYWYzYTM3ZDA5M2M1YWNhZDg4OWU2OWExYjox</t>
        </is>
      </c>
      <c r="AH1507" t="inlineStr">
        <is>
          <t>Yencie Edmel Tomas</t>
        </is>
      </c>
      <c r="AI1507"/>
      <c r="AJ1507" t="inlineStr">
        <is>
          <t>No line item in internal CE. Unbudgeted.</t>
        </is>
      </c>
      <c r="AK1507"/>
    </row>
    <row r="1508" ht="25.5" customHeight="1">
      <c r="A1508" s="2" t="str">
        <f>=HYPERLINK("https://applink.larksuite.com/client/mini_program/open?appId=cli_9c7cc8a9a9edd105&amp;mode=appCenter&amp;path_pc=pc/pages/requested/index?instanceId=7576881802518761186&amp;source=bitable&amp;path=pages/detail/index?instanceId=7576881802518761186&amp;source=bitable", "202511260024")</f>
        <v>202511260024</v>
      </c>
      <c r="B1508" t="inlineStr">
        <is>
          <t>Approved</t>
        </is>
      </c>
      <c r="C1508" t="inlineStr">
        <is>
          <t>Procurement Order</t>
        </is>
      </c>
      <c r="D1508" s="3">
        <v>45987.50771990741</v>
      </c>
      <c r="E1508" s="3">
        <v>45987.56622685185</v>
      </c>
      <c r="F1508" t="inlineStr">
        <is>
          <t>Fatima Kathleen M. FLores</t>
        </is>
      </c>
      <c r="G1508" t="inlineStr">
        <is>
          <t>Procurement</t>
        </is>
      </c>
      <c r="H1508"/>
      <c r="I1508"/>
      <c r="J1508" t="inlineStr">
        <is>
          <t>Project</t>
        </is>
      </c>
      <c r="K1508" t="inlineStr">
        <is>
          <t>GG - Event Service</t>
        </is>
      </c>
      <c r="L1508" t="inlineStr">
        <is>
          <t>Mini Battle [Playoffs]</t>
        </is>
      </c>
      <c r="M1508" t="inlineStr">
        <is>
          <t>2025TEG-P0319</t>
        </is>
      </c>
      <c r="N1508" t="inlineStr">
        <is>
          <t>Maura Aurel Atilano Yap</t>
        </is>
      </c>
      <c r="O1508" t="inlineStr">
        <is>
          <t>202511200113-Maura Aurel Atilano Yap-费用报销 - 副本 - 副本 - 副本-2025-11-20 10:55:09</t>
        </is>
      </c>
      <c r="P1508" t="inlineStr">
        <is>
          <t>NO</t>
        </is>
      </c>
      <c r="Q1508"/>
      <c r="R1508" t="inlineStr">
        <is>
          <t>NO</t>
        </is>
      </c>
      <c r="S1508" t="inlineStr">
        <is>
          <t>Outsourced Photography &amp; Videography Team</t>
        </is>
      </c>
      <c r="T1508">
        <v>1</v>
      </c>
      <c r="U1508">
        <v>180000</v>
      </c>
      <c r="V1508" t="inlineStr">
        <is>
          <t>PHP</t>
        </is>
      </c>
      <c r="W1508">
        <v>180000</v>
      </c>
      <c r="X1508" s="2" t="str">
        <f>=HYPERLINK("https://www.larksuite.com/approval/admin/previewAttachment?key=PMgxCgJBDAXQK_0_yeQnXsZml0FZthKFLXJ2wcL2RRKRkxYFL44CW1ORycSYTAWZ0aMpFURZ9H6u-_t6HrK5XeeRax39eWxrf3GWxoDM3RIAb383uXtVOH6ObwAAAP__", "2 attachment(s)")</f>
        <v>2 attachment(s)</v>
      </c>
      <c r="Y1508" t="inlineStr">
        <is>
          <t>Bank Transfer</t>
        </is>
      </c>
      <c r="Z1508" t="inlineStr">
        <is>
          <t>Leo Angelo Zeta Capeding</t>
        </is>
      </c>
      <c r="AA1508" t="inlineStr">
        <is>
          <t>0000023005038</t>
        </is>
      </c>
      <c r="AB1508" t="inlineStr">
        <is>
          <t>Security Bank</t>
        </is>
      </c>
      <c r="AC1508" t="inlineStr">
        <is>
          <t>Unit 5 Purok 6 Paco Manila</t>
        </is>
      </c>
      <c r="AD1508" s="4">
        <v>45989</v>
      </c>
      <c r="AE1508" t="inlineStr">
        <is>
          <t>70% Down Payment upon confirmation
30% Final payment upon completion of services</t>
        </is>
      </c>
      <c r="AF1508" s="2" t="str">
        <f>=HYPERLINK("https://www.larksuite.com/approval/admin/previewAttachment?key=TMgxCsJAFATQK83k786f72VsEhZlSSUKKfbsgpXtkwm5M1Roxa3AlT1l09g6nSKttS1mFpIZWsc57u_rOTP6fp3TY8z1eezjeFEOoVVvjQWAtz8nUQ7Fz_ENAAD__w", "2 attachment(s)")</f>
        <v>2 attachment(s)</v>
      </c>
      <c r="AG1508" t="inlineStr">
        <is>
          <t>NzQyNTk5MTgyNzQ4MTg3MDM0MTo2RDk5QjVENS03OTgxLTRCMDctQjA5OS1BRUMzMTk5MDMxOEEtMTowMzVkMDUxZjI5N2NhYTZiMDBhODdmOGE1ZjdjZDFjNzox</t>
        </is>
      </c>
      <c r="AH1508" t="inlineStr">
        <is>
          <t>TIRADORES MEDIA PRODUCTIONS</t>
        </is>
      </c>
      <c r="AI1508"/>
      <c r="AJ1508" t="inlineStr">
        <is>
          <t>LIQUIDITY PLAN (PAR # 202511190046 / 2025TEG-P0319)
PROJECT PLANNING &gt; DOCUMENTATION TEAM &gt;
Grand Finals &gt; 1 Photographer + 2 Videographer
Total Budget = Php 180,000.00
Actual Cost = Php 180,000.00</t>
        </is>
      </c>
      <c r="AK1508"/>
    </row>
    <row r="1509" ht="25.5" customHeight="1">
      <c r="A1509" s="2" t="str">
        <f>=HYPERLINK("https://applink.larksuite.com/client/mini_program/open?appId=cli_9c7cc8a9a9edd105&amp;mode=appCenter&amp;path_pc=pc/pages/requested/index?instanceId=7576873943072542427&amp;source=bitable&amp;path=pages/detail/index?instanceId=7576873943072542427&amp;source=bitable", "202511260020")</f>
        <v>202511260020</v>
      </c>
      <c r="B1509" t="inlineStr">
        <is>
          <t>Approved</t>
        </is>
      </c>
      <c r="C1509" t="inlineStr">
        <is>
          <t>Procurement Order</t>
        </is>
      </c>
      <c r="D1509" s="3">
        <v>45987.48653935185</v>
      </c>
      <c r="E1509" s="3">
        <v>45987.565254629626</v>
      </c>
      <c r="F1509" t="inlineStr">
        <is>
          <t>Fatima Kathleen M. FLores</t>
        </is>
      </c>
      <c r="G1509" t="inlineStr">
        <is>
          <t>Procurement</t>
        </is>
      </c>
      <c r="H1509"/>
      <c r="I1509"/>
      <c r="J1509" t="inlineStr">
        <is>
          <t>Project</t>
        </is>
      </c>
      <c r="K1509" t="inlineStr">
        <is>
          <t>GG - Event Service</t>
        </is>
      </c>
      <c r="L1509" t="inlineStr">
        <is>
          <t>KIC 2025 - Carnival [Playoffs]</t>
        </is>
      </c>
      <c r="M1509" t="inlineStr">
        <is>
          <t>2025TEG-P0316</t>
        </is>
      </c>
      <c r="N1509" t="inlineStr">
        <is>
          <t>Maura Aurel Atilano Yap</t>
        </is>
      </c>
      <c r="O1509" t="inlineStr">
        <is>
          <t>202511240051-Maura Aurel Atilano Yap-费用报销 - 副本 - 副本 - 副本-2025-11-24 06:43:02</t>
        </is>
      </c>
      <c r="P1509" t="inlineStr">
        <is>
          <t>NO</t>
        </is>
      </c>
      <c r="Q1509"/>
      <c r="R1509" t="inlineStr">
        <is>
          <t>NO</t>
        </is>
      </c>
      <c r="S1509" t="inlineStr">
        <is>
          <t>Outsourced DIY Merchandise Booth (with 685 pcs Tote Bags)</t>
        </is>
      </c>
      <c r="T1509">
        <v>1</v>
      </c>
      <c r="U1509">
        <v>200239.2</v>
      </c>
      <c r="V1509" t="inlineStr">
        <is>
          <t>PHP</t>
        </is>
      </c>
      <c r="W1509">
        <v>200239.2</v>
      </c>
      <c r="X1509" s="2" t="str">
        <f>=HYPERLINK("https://www.larksuite.com/approval/admin/previewAttachment?key=PMgxCsJQEATQK83uzt_542VsDEEiVkIgxT-7YGH7egZ6jqg26EgjloZ6qsyCcjCZWrlCMhSqXtt7v_u4zm3oildOx7HO52PfPjGsTKjImgDi9vcSSbuJn-MbAAD__w", "2 attachment(s)")</f>
        <v>2 attachment(s)</v>
      </c>
      <c r="Y1509" t="inlineStr">
        <is>
          <t>Bank Transfer</t>
        </is>
      </c>
      <c r="Z1509" t="inlineStr">
        <is>
          <t>Sakura Digital Technologies Inc.</t>
        </is>
      </c>
      <c r="AA1509" t="inlineStr">
        <is>
          <t>0002280 29359</t>
        </is>
      </c>
      <c r="AB1509" t="inlineStr">
        <is>
          <t>BDO</t>
        </is>
      </c>
      <c r="AC1509" t="inlineStr">
        <is>
          <t>2F Unit 204 762 Aurora Blvd. Corner Mangga Rd., Kaunlaran, QC</t>
        </is>
      </c>
      <c r="AD1509" s="4">
        <v>45989</v>
      </c>
      <c r="AE1509" t="inlineStr">
        <is>
          <t>50% Down Payment upon confirmation
50% Balance upon completion of services</t>
        </is>
      </c>
      <c r="AF1509" s="2" t="str">
        <f>=HYPERLINK("https://www.larksuite.com/approval/admin/previewAttachment?key=TMgxCsJgDAXgK72X5E_yvIyLpUjFSSh0yNkFJ9cvm8he9BRCNIFTq7LLFY6yFRZWY8MqoVies733u47r3FZdfFmLx5zPx759mO2J0IqgAPD25yTUnv5zfAMAAP__", "3 attachment(s)")</f>
        <v>3 attachment(s)</v>
      </c>
      <c r="AG1509" t="inlineStr">
        <is>
          <t>NzQyNTk5MTgyNzQ4MTg3MDM0MTpFOTZCQTg4NC1ERjA4LTRFODUtQjc0OS1DOEFCQjEwMTM0RTQtMTpmNDE3NmY5YjFlMjUxNmQ2Y2I0NTE4MjFjZjUzZTJkMDox</t>
        </is>
      </c>
      <c r="AH1509" t="inlineStr">
        <is>
          <t>POP UP PRINT MNL</t>
        </is>
      </c>
      <c r="AI1509"/>
      <c r="AJ1509" t="inlineStr">
        <is>
          <t>LIQUIDITY PLAN (PAR # 202511190039 / 2025TEG-P0316)
BOOTHS &gt; GRAND FINALS &gt;
DIY Merch Booth
Total Budget = Php 460,000.00
Actual Cost = Php 200,239.20
Balance = Php 259,760.80</t>
        </is>
      </c>
      <c r="AK1509"/>
    </row>
    <row r="1510" ht="25.5" customHeight="1">
      <c r="A1510" s="2" t="str">
        <f>=HYPERLINK("https://applink.larksuite.com/client/mini_program/open?appId=cli_9c7cc8a9a9edd105&amp;mode=appCenter&amp;path_pc=pc/pages/requested/index?instanceId=7576886796055760608&amp;source=bitable&amp;path=pages/detail/index?instanceId=7576886796055760608&amp;source=bitable", "202511260034")</f>
        <v>202511260034</v>
      </c>
      <c r="B1510" t="inlineStr">
        <is>
          <t>Approved</t>
        </is>
      </c>
      <c r="C1510" t="inlineStr">
        <is>
          <t>Procurement Order</t>
        </is>
      </c>
      <c r="D1510" s="3">
        <v>45987.52116898148</v>
      </c>
      <c r="E1510" s="3">
        <v>45987.63251157408</v>
      </c>
      <c r="F1510" t="inlineStr">
        <is>
          <t>Fatima Kathleen M. FLores</t>
        </is>
      </c>
      <c r="G1510" t="inlineStr">
        <is>
          <t>Procurement</t>
        </is>
      </c>
      <c r="H1510"/>
      <c r="I1510"/>
      <c r="J1510" t="inlineStr">
        <is>
          <t>Project</t>
        </is>
      </c>
      <c r="K1510" t="inlineStr">
        <is>
          <t>GG - Event Service</t>
        </is>
      </c>
      <c r="L1510" t="inlineStr">
        <is>
          <t>KIC 2025 - Playoffs</t>
        </is>
      </c>
      <c r="M1510" t="inlineStr">
        <is>
          <t>2025TEG-P0321</t>
        </is>
      </c>
      <c r="N1510" t="inlineStr">
        <is>
          <t>Carla Andrea Calma Crespo</t>
        </is>
      </c>
      <c r="O1510" t="inlineStr">
        <is>
          <t>202511260023-Carla Andrea Calma Crespo-费用报销 - 副本 - 副本 - 副本-2025-11-26 03:54:30</t>
        </is>
      </c>
      <c r="P1510" t="inlineStr">
        <is>
          <t>YES</t>
        </is>
      </c>
      <c r="Q1510"/>
      <c r="R1510" t="inlineStr">
        <is>
          <t>YES</t>
        </is>
      </c>
      <c r="S1510" t="inlineStr">
        <is>
          <t>Outsourced Stylist (for Chantelle)</t>
        </is>
      </c>
      <c r="T1510">
        <v>1</v>
      </c>
      <c r="U1510">
        <v>12000</v>
      </c>
      <c r="V1510" t="inlineStr">
        <is>
          <t>PHP</t>
        </is>
      </c>
      <c r="W1510">
        <v>12000</v>
      </c>
      <c r="X1510" s="2" t="str">
        <f>=HYPERLINK("https://www.larksuite.com/approval/admin/previewAttachment?key=PMg7CsJgEATgK82-Zna9jI0hiI9KMNV_dsEi7cc2sMuCgxzzgS2V2E0NUSWC6OXLpIFMwbW99yvicD0fsFfj8Frf-23fPlYjdygyowHY5fRQZs4w8Xf8AgAA__8", "2 attachment(s)")</f>
        <v>2 attachment(s)</v>
      </c>
      <c r="Y1510" t="inlineStr">
        <is>
          <t>Bank Transfer</t>
        </is>
      </c>
      <c r="Z1510" t="inlineStr">
        <is>
          <t>Harley A. Grajo</t>
        </is>
      </c>
      <c r="AA1510" t="inlineStr">
        <is>
          <t>001500696054</t>
        </is>
      </c>
      <c r="AB1510" t="inlineStr">
        <is>
          <t>BDO</t>
        </is>
      </c>
      <c r="AC1510" t="inlineStr">
        <is>
          <t>1 San Sotero st. Brgy. San Perfecto, San Juan City</t>
        </is>
      </c>
      <c r="AD1510" s="4">
        <v>45989</v>
      </c>
      <c r="AE1510" t="inlineStr">
        <is>
          <t>100% Full Payment - Nov. 26, 2025</t>
        </is>
      </c>
      <c r="AF1510" s="2"/>
      <c r="AG1510" t="inlineStr">
        <is>
          <t>NzQyNTk5MTgyNzQ4MTg3MDM0MTpCMjZFQzgzQi0xQ0FELTQwRkYtOERFQy1FNUUwMjc3MTBBRUQtMToyNTFkZTQ1MzQ0YTk4YjE0MzEwYWI4NTk0NGUxMWVhNjox</t>
        </is>
      </c>
      <c r="AH1510" t="inlineStr">
        <is>
          <t>Harley A. Grajo</t>
        </is>
      </c>
      <c r="AI1510"/>
      <c r="AJ1510" t="inlineStr">
        <is>
          <t>No line item in internal CE. UNBUDGETED.</t>
        </is>
      </c>
      <c r="AK1510"/>
    </row>
    <row r="1511" ht="25.5" customHeight="1">
      <c r="A1511" s="2" t="str">
        <f>=HYPERLINK("https://applink.larksuite.com/client/mini_program/open?appId=cli_9c7cc8a9a9edd105&amp;mode=appCenter&amp;path_pc=pc/pages/requested/index?instanceId=7576936434771218145&amp;source=bitable&amp;path=pages/detail/index?instanceId=7576936434771218145&amp;source=bitable", "202511260089")</f>
        <v>202511260089</v>
      </c>
      <c r="B1511" t="inlineStr">
        <is>
          <t>Approved</t>
        </is>
      </c>
      <c r="C1511" t="inlineStr">
        <is>
          <t>Procurement Order</t>
        </is>
      </c>
      <c r="D1511" s="3">
        <v>45987.65494212963</v>
      </c>
      <c r="E1511" s="3">
        <v>45987.86740740741</v>
      </c>
      <c r="F1511" t="inlineStr">
        <is>
          <t>Fatima Kathleen M. FLores</t>
        </is>
      </c>
      <c r="G1511" t="inlineStr">
        <is>
          <t>Procurement</t>
        </is>
      </c>
      <c r="H1511"/>
      <c r="I1511"/>
      <c r="J1511" t="inlineStr">
        <is>
          <t>Project</t>
        </is>
      </c>
      <c r="K1511" t="inlineStr">
        <is>
          <t>GG - Event Service</t>
        </is>
      </c>
      <c r="L1511" t="inlineStr">
        <is>
          <t>Mini Battle [Playoffs]</t>
        </is>
      </c>
      <c r="M1511" t="inlineStr">
        <is>
          <t>2025TEG-P0319</t>
        </is>
      </c>
      <c r="N1511" t="inlineStr">
        <is>
          <t>Maura Aurel Atilano Yap</t>
        </is>
      </c>
      <c r="O1511" t="inlineStr">
        <is>
          <t>202511260086-Maura Aurel Atilano Yap-费用报销 - 副本 - 副本 - 副本-2025-11-26 07:32:59</t>
        </is>
      </c>
      <c r="P1511" t="inlineStr">
        <is>
          <t>NO</t>
        </is>
      </c>
      <c r="Q1511"/>
      <c r="R1511" t="inlineStr">
        <is>
          <t>NO</t>
        </is>
      </c>
      <c r="S1511" t="inlineStr">
        <is>
          <t>Skyworth 65” Android Smart LED TV</t>
        </is>
      </c>
      <c r="T1511">
        <v>1</v>
      </c>
      <c r="U1511">
        <v>28500</v>
      </c>
      <c r="V1511" t="inlineStr">
        <is>
          <t>PHP</t>
        </is>
      </c>
      <c r="W1511">
        <v>28500</v>
      </c>
      <c r="X1511" s="2" t="str">
        <f>=HYPERLINK("https://www.larksuite.com/approval/admin/previewAttachment?key=PMgxDsIwFAPQK9n5znc-l2EhqqgoExJlydmRGFhfDiJHZ2RBxVbgcndWpEI2GwfVV1u0C6bDaz6366n9w_3oj-PQPOd632_bfLGXW4NDigGAl7-HJVWl8HN8AwAA__8", "2 attachment(s)")</f>
        <v>2 attachment(s)</v>
      </c>
      <c r="Y1511" t="inlineStr">
        <is>
          <t>Bank Transfer</t>
        </is>
      </c>
      <c r="Z1511" t="inlineStr">
        <is>
          <t>Welcome Home Appliances Binondo Corp.</t>
        </is>
      </c>
      <c r="AA1511" t="inlineStr">
        <is>
          <t>0026 3808 4635</t>
        </is>
      </c>
      <c r="AB1511" t="inlineStr">
        <is>
          <t>BDO</t>
        </is>
      </c>
      <c r="AC1511" t="inlineStr">
        <is>
          <t>229 Wilson St., Greenhills, San Juan City</t>
        </is>
      </c>
      <c r="AD1511" s="4">
        <v>45988</v>
      </c>
      <c r="AE1511" t="inlineStr">
        <is>
          <t>100% Full Payment before delivery</t>
        </is>
      </c>
      <c r="AF1511" s="2" t="str">
        <f>=HYPERLINK("https://www.larksuite.com/approval/admin/previewAttachment?key=TMg9CgIxEAXgK72X-fcyNobFxVgJxmbOLljZfp6Ep1G8oMVRYIeFl7iKRnAwqdajGVEIhkTP53Hden54LnuspXPPft9vx3zRUxxapsoCwMufk6gUl5_jGwAA__8", "2 attachment(s)")</f>
        <v>2 attachment(s)</v>
      </c>
      <c r="AG1511" t="inlineStr">
        <is>
          <t>NzQyNTk5MTgyNzQ4MTg3MDM0MTpCNDY0MjFBQS01MDZCLTQ4REEtODBGQi0wREU1OEM5MkM0MkUtMToxMzc4OGIwYmM0M2NhMTU1NDcwNWEyMDIxMzU4Y2RlMTox</t>
        </is>
      </c>
      <c r="AH1511" t="inlineStr">
        <is>
          <t>Welcome Home Appliances Binondo Corporation</t>
        </is>
      </c>
      <c r="AI1511"/>
      <c r="AJ1511" t="inlineStr">
        <is>
          <t>LIQUIDITY PLAN (PAR # 202511190046 / 2025TEG-P0319)
FABRICATION &gt; GRAND FINALS &gt;
Fabrication &gt; 65" TV
Total Budget = Php 120,000.00
Actual Cost = Php 28,500.00
Balance = Php 91,500.00</t>
        </is>
      </c>
      <c r="AK1511"/>
    </row>
    <row r="1512" ht="25.5" customHeight="1">
      <c r="A1512" s="2" t="str">
        <f>=HYPERLINK("https://applink.larksuite.com/client/mini_program/open?appId=cli_9c7cc8a9a9edd105&amp;mode=appCenter&amp;path_pc=pc/pages/requested/index?instanceId=7576617753872781025&amp;source=bitable&amp;path=pages/detail/index?instanceId=7576617753872781025&amp;source=bitable", "202511250179")</f>
        <v>202511250179</v>
      </c>
      <c r="B1512" t="inlineStr">
        <is>
          <t>Approved</t>
        </is>
      </c>
      <c r="C1512" t="inlineStr">
        <is>
          <t>Procurement Order</t>
        </is>
      </c>
      <c r="D1512" s="3">
        <v>45986.79615740741</v>
      </c>
      <c r="E1512" s="3">
        <v>45988.57729166667</v>
      </c>
      <c r="F1512" t="inlineStr">
        <is>
          <t>Fatima Kathleen M. FLores</t>
        </is>
      </c>
      <c r="G1512" t="inlineStr">
        <is>
          <t>Procurement</t>
        </is>
      </c>
      <c r="H1512"/>
      <c r="I1512"/>
      <c r="J1512" t="inlineStr">
        <is>
          <t>Project</t>
        </is>
      </c>
      <c r="K1512" t="inlineStr">
        <is>
          <t>GG - Event Service</t>
        </is>
      </c>
      <c r="L1512" t="inlineStr">
        <is>
          <t>KIC 2025 - Carnival &amp; Mini Battle</t>
        </is>
      </c>
      <c r="M1512" t="inlineStr">
        <is>
          <t>2025TEG-P0301</t>
        </is>
      </c>
      <c r="N1512" t="inlineStr">
        <is>
          <t>Maura Aurel Atilano Yap</t>
        </is>
      </c>
      <c r="O1512" t="inlineStr">
        <is>
          <t>202511070119-Maura Aurel Atilano Yap-费用报销 - 副本 - 副本 - 副本-2025-11-07 09:44:16</t>
        </is>
      </c>
      <c r="P1512" t="inlineStr">
        <is>
          <t>YES</t>
        </is>
      </c>
      <c r="Q1512"/>
      <c r="R1512" t="inlineStr">
        <is>
          <t>YES</t>
        </is>
      </c>
      <c r="S1512" t="inlineStr">
        <is>
          <t>Outsourced Talent / Host (Mochii)</t>
        </is>
      </c>
      <c r="T1512">
        <v>1</v>
      </c>
      <c r="U1512">
        <v>60000</v>
      </c>
      <c r="V1512" t="inlineStr">
        <is>
          <t>PHP</t>
        </is>
      </c>
      <c r="W1512">
        <v>60000</v>
      </c>
      <c r="X1512" s="2" t="str">
        <f>=HYPERLINK("https://www.larksuite.com/approval/admin/previewAttachment?key=PMgxCgJRDATQK80k-ZnEy9i4LIJoI-5WObtgYfuyiKxFz0Y0rcHRUial5SVTEbbGhlJDlGu2536Fn_Y5Xcfhj4jXHPfbvr25WmaQR3gB4OXvrojozsDP8Q0AAP__", "2 attachment(s)")</f>
        <v>2 attachment(s)</v>
      </c>
      <c r="Y1512" t="inlineStr">
        <is>
          <t>Bank Transfer</t>
        </is>
      </c>
      <c r="Z1512" t="inlineStr">
        <is>
          <t>Michaella Gonzales</t>
        </is>
      </c>
      <c r="AA1512" t="inlineStr">
        <is>
          <t>09167583353</t>
        </is>
      </c>
      <c r="AB1512" t="inlineStr">
        <is>
          <t>GCash</t>
        </is>
      </c>
      <c r="AC1512" t="inlineStr">
        <is>
          <t>1273 Carnation Street, Brgy. Malinta, Valenzuela City</t>
        </is>
      </c>
      <c r="AD1512" s="4">
        <v>45981</v>
      </c>
      <c r="AE1512" t="inlineStr">
        <is>
          <t>1st Payment - Nov. 28, 2025
Final Payment - Dec. 12, 2025</t>
        </is>
      </c>
      <c r="AF1512" s="2"/>
      <c r="AG1512" t="inlineStr">
        <is>
          <t>NzQyNTk5MTgyNzQ4MTg3MDM0MTpFNEYwQkIzMy1DMTJCLTQxMjYtQUM0NC1CRUY0OUQ1MjdBRUYtMTowOTM3Mjk0Y2I4MDBhMzNmZDA4NDI2ZmZjODE5YzcyZjox</t>
        </is>
      </c>
      <c r="AH1512" t="inlineStr">
        <is>
          <t>Michaella Gonzales</t>
        </is>
      </c>
      <c r="AI1512"/>
      <c r="AJ1512" t="inlineStr">
        <is>
          <t>LIQUIDITY PLAN (PAR # 202511060038 / 2025TEG-P0301) VER 6
1108 COST ESTIMATE TAB &gt; CARNIVAL - SHOOTING GALLERY &gt; 
MINI-BATTLE BOOTH &gt; Manpower &gt;
Host
Total Remaining Budget = Php 31,950.00
Actual Cost = Php 60,000.00
Balance = (Php 28,050.00) OVER BUDGET</t>
        </is>
      </c>
      <c r="AK1512"/>
    </row>
    <row r="1513" ht="25.5" customHeight="1">
      <c r="A1513" s="2" t="str">
        <f>=HYPERLINK("https://applink.larksuite.com/client/mini_program/open?appId=cli_9c7cc8a9a9edd105&amp;mode=appCenter&amp;path_pc=pc/pages/requested/index?instanceId=7576618782995566302&amp;source=bitable&amp;path=pages/detail/index?instanceId=7576618782995566302&amp;source=bitable", "202511250182")</f>
        <v>202511250182</v>
      </c>
      <c r="B1513" t="inlineStr">
        <is>
          <t>Approved</t>
        </is>
      </c>
      <c r="C1513" t="inlineStr">
        <is>
          <t>Procurement Order</t>
        </is>
      </c>
      <c r="D1513" s="3">
        <v>45986.79893518519</v>
      </c>
      <c r="E1513" s="3">
        <v>45988.57796296296</v>
      </c>
      <c r="F1513" t="inlineStr">
        <is>
          <t>Fatima Kathleen M. FLores</t>
        </is>
      </c>
      <c r="G1513" t="inlineStr">
        <is>
          <t>Procurement</t>
        </is>
      </c>
      <c r="H1513"/>
      <c r="I1513"/>
      <c r="J1513" t="inlineStr">
        <is>
          <t>Project</t>
        </is>
      </c>
      <c r="K1513" t="inlineStr">
        <is>
          <t>GG - Event Service</t>
        </is>
      </c>
      <c r="L1513" t="inlineStr">
        <is>
          <t>KIC 2025 - Carnival &amp; Mini Battle</t>
        </is>
      </c>
      <c r="M1513" t="inlineStr">
        <is>
          <t>2025TEG-P0301</t>
        </is>
      </c>
      <c r="N1513" t="inlineStr">
        <is>
          <t>Maura Aurel Atilano Yap</t>
        </is>
      </c>
      <c r="O1513" t="inlineStr">
        <is>
          <t>202511070119-Maura Aurel Atilano Yap-费用报销 - 副本 - 副本 - 副本-2025-11-07 09:44:16</t>
        </is>
      </c>
      <c r="P1513" t="inlineStr">
        <is>
          <t>YES</t>
        </is>
      </c>
      <c r="Q1513"/>
      <c r="R1513" t="inlineStr">
        <is>
          <t>YES</t>
        </is>
      </c>
      <c r="S1513" t="inlineStr">
        <is>
          <t>Outsourced Talent / Host (Pica)</t>
        </is>
      </c>
      <c r="T1513">
        <v>1</v>
      </c>
      <c r="U1513">
        <v>48000</v>
      </c>
      <c r="V1513" t="inlineStr">
        <is>
          <t>PHP</t>
        </is>
      </c>
      <c r="W1513">
        <v>48000</v>
      </c>
      <c r="X1513" s="2" t="str">
        <f>=HYPERLINK("https://www.larksuite.com/approval/admin/previewAttachment?key=PMg9CgJBDAXgK738vsTL2DgswmIlLGORswsWtl-WICvEsuEt2pBhMFOKpd0RmQYdHSEbFBpnvY77srgkVtVen32ecz0fx3pLNFVBc7cCILe_G929Ox0_xzcAAP__", "2 attachment(s)")</f>
        <v>2 attachment(s)</v>
      </c>
      <c r="Y1513" t="inlineStr">
        <is>
          <t>Bank Transfer</t>
        </is>
      </c>
      <c r="Z1513" t="inlineStr">
        <is>
          <t>Dannel Picaccio P. Lozano</t>
        </is>
      </c>
      <c r="AA1513" t="inlineStr">
        <is>
          <t>000530406853</t>
        </is>
      </c>
      <c r="AB1513" t="inlineStr">
        <is>
          <t>BDO</t>
        </is>
      </c>
      <c r="AC1513" t="inlineStr">
        <is>
          <t>80 Sulu St. Ayala Alabang Village Muntinlupa City</t>
        </is>
      </c>
      <c r="AD1513" s="4">
        <v>45975</v>
      </c>
      <c r="AE1513" t="inlineStr">
        <is>
          <t>1st Payment - Nov. 28, 2025
Final Payment - Dec. 12, 2025</t>
        </is>
      </c>
      <c r="AF1513" s="2"/>
      <c r="AG1513" t="inlineStr">
        <is>
          <t>NzQyNTk5MTgyNzQ4MTg3MDM0MTpBNERDMUQ1My00QUJFLTRFMTgtOTE5NS04MEYxOUQ3Njg3NUQtMTowOGJmMmUzMTNiNDdkZjBhZDdlNGZlNDc0MTgxZDcwNjox</t>
        </is>
      </c>
      <c r="AH1513" t="inlineStr">
        <is>
          <t>Dannel Picaccio P. Lozano</t>
        </is>
      </c>
      <c r="AI1513"/>
      <c r="AJ1513" t="inlineStr">
        <is>
          <t>LIQUIDITY PLAN (PAR # 202511060038 / 2025TEG-P0301) VER 6
1108 COST ESTIMATE TAB &gt; CARNIVAL - SHOOTING GALLERY &gt; 
MINI-BATTLE BOOTH &gt; Manpower &gt;
Host
Total Remaining Budget = (Php 28,050.00) NEGATIVE
Actual Cost = Php 48,000.00
Balance = (Php 76,050.00) OVER BUDGET</t>
        </is>
      </c>
      <c r="AK1513"/>
    </row>
    <row r="1514" ht="25.5" customHeight="1">
      <c r="A1514" s="2" t="str">
        <f>=HYPERLINK("https://applink.larksuite.com/client/mini_program/open?appId=cli_9c7cc8a9a9edd105&amp;mode=appCenter&amp;path_pc=pc/pages/requested/index?instanceId=7576939706999443165&amp;source=bitable&amp;path=pages/detail/index?instanceId=7576939706999443165&amp;source=bitable", "202511260092")</f>
        <v>202511260092</v>
      </c>
      <c r="B1514" t="inlineStr">
        <is>
          <t>Approved</t>
        </is>
      </c>
      <c r="C1514" t="inlineStr">
        <is>
          <t>Procurement Order</t>
        </is>
      </c>
      <c r="D1514" s="3">
        <v>45987.66376157408</v>
      </c>
      <c r="E1514" s="3">
        <v>45988.527916666666</v>
      </c>
      <c r="F1514" t="inlineStr">
        <is>
          <t>Fatima Kathleen M. FLores</t>
        </is>
      </c>
      <c r="G1514" t="inlineStr">
        <is>
          <t>Procurement</t>
        </is>
      </c>
      <c r="H1514"/>
      <c r="I1514"/>
      <c r="J1514" t="inlineStr">
        <is>
          <t>Project</t>
        </is>
      </c>
      <c r="K1514" t="inlineStr">
        <is>
          <t>GG - Event Service</t>
        </is>
      </c>
      <c r="L1514" t="inlineStr">
        <is>
          <t>KIC 2025 - Playoffs</t>
        </is>
      </c>
      <c r="M1514" t="inlineStr">
        <is>
          <t>2025TEG-P0321</t>
        </is>
      </c>
      <c r="N1514" t="inlineStr">
        <is>
          <t>Carla Andrea Calma Crespo</t>
        </is>
      </c>
      <c r="O1514" t="inlineStr">
        <is>
          <t>202511250033-Carla Andrea Calma Crespo-费用报销 - 副本 - 副本 - 副本-2025-11-25 04:43:37</t>
        </is>
      </c>
      <c r="P1514" t="inlineStr">
        <is>
          <t>NO</t>
        </is>
      </c>
      <c r="Q1514"/>
      <c r="R1514" t="inlineStr">
        <is>
          <t>YES</t>
        </is>
      </c>
      <c r="S1514" t="inlineStr">
        <is>
          <t>Customized Wristbands w/ security cut</t>
        </is>
      </c>
      <c r="T1514">
        <v>200</v>
      </c>
      <c r="U1514">
        <v>5.6</v>
      </c>
      <c r="V1514" t="inlineStr">
        <is>
          <t>PHP</t>
        </is>
      </c>
      <c r="W1514">
        <v>1120</v>
      </c>
      <c r="X1514" s="2" t="str">
        <f>=HYPERLINK("https://www.larksuite.com/approval/admin/previewAttachment?key=PMgxCgIxFATQK83Pn_zJeBmbXRaRjY0oWOTsgoXtqxGo0SPLoKMZsdRVTgtlm8yovtoKyVAotfZ5XO_zwe2jcc7Teb7W-7Yd-zO61RqUZA4Acfl7iqRdxM_xDQAA__8", "2 attachment(s)")</f>
        <v>2 attachment(s)</v>
      </c>
      <c r="Y1514" t="inlineStr">
        <is>
          <t>Bank Transfer</t>
        </is>
      </c>
      <c r="Z1514" t="inlineStr">
        <is>
          <t>CLVISION ENTERPRISE</t>
        </is>
      </c>
      <c r="AA1514" t="inlineStr">
        <is>
          <t>4470 – 0762 - 92</t>
        </is>
      </c>
      <c r="AB1514" t="inlineStr">
        <is>
          <t>BPI</t>
        </is>
      </c>
      <c r="AC1514" t="inlineStr">
        <is>
          <t>6B Kalapati St., Villilia Village, Brgy. Talipapa, Novaliches, QC</t>
        </is>
      </c>
      <c r="AD1514" s="4">
        <v>45989</v>
      </c>
      <c r="AE1514" t="inlineStr">
        <is>
          <t>100% Full Payment before delivery</t>
        </is>
      </c>
      <c r="AF1514" s="2"/>
      <c r="AG1514" t="inlineStr">
        <is>
          <t>NzQyNTk5MTgyNzQ4MTg3MDM0MTpDREMyNEMzRi03RTQ1LTQ2NkQtQjRCNC0zODI0NDc4M0NCRjMtMTozZjg4N2VhY2Q0YjdiM2JhZDcwM2I5Njk4MTE2MDQyMzox</t>
        </is>
      </c>
      <c r="AH1514" t="inlineStr">
        <is>
          <t>CLVISION ENTERPRISE</t>
        </is>
      </c>
      <c r="AI1514"/>
      <c r="AJ1514" t="inlineStr">
        <is>
          <t>No line item in current internal CE. An adjusted CE is still being finalized.</t>
        </is>
      </c>
      <c r="AK1514"/>
    </row>
    <row r="1515" ht="25.5" customHeight="1">
      <c r="A1515" s="2" t="str">
        <f>=HYPERLINK("https://applink.larksuite.com/client/mini_program/open?appId=cli_9c7cc8a9a9edd105&amp;mode=appCenter&amp;path_pc=pc/pages/requested/index?instanceId=7576960331386195678&amp;source=bitable&amp;path=pages/detail/index?instanceId=7576960331386195678&amp;source=bitable", "202511260115")</f>
        <v>202511260115</v>
      </c>
      <c r="B1515" t="inlineStr">
        <is>
          <t>Approved</t>
        </is>
      </c>
      <c r="C1515" t="inlineStr">
        <is>
          <t>Procurement Order</t>
        </is>
      </c>
      <c r="D1515" s="3">
        <v>45987.71934027778</v>
      </c>
      <c r="E1515" s="3">
        <v>45989.75811342592</v>
      </c>
      <c r="F1515" t="inlineStr">
        <is>
          <t>Fatima Kathleen M. FLores</t>
        </is>
      </c>
      <c r="G1515" t="inlineStr">
        <is>
          <t>Procurement</t>
        </is>
      </c>
      <c r="H1515"/>
      <c r="I1515"/>
      <c r="J1515" t="inlineStr">
        <is>
          <t>Project</t>
        </is>
      </c>
      <c r="K1515" t="inlineStr">
        <is>
          <t>PDEI - Event Service</t>
        </is>
      </c>
      <c r="L1515" t="inlineStr">
        <is>
          <t>GTCC 2025: September Arena</t>
        </is>
      </c>
      <c r="M1515" t="inlineStr">
        <is>
          <t>2025TEG-P0236</t>
        </is>
      </c>
      <c r="N1515" t="inlineStr">
        <is>
          <t>Carla Andrea Calma Crespo</t>
        </is>
      </c>
      <c r="O1515" t="inlineStr">
        <is>
          <t>202511130082-Carla Andrea Calma Crespo-费用报销 - 副本 - 副本 - 副本-2025-11-13 10:03:48</t>
        </is>
      </c>
      <c r="P1515" t="inlineStr">
        <is>
          <t>YES</t>
        </is>
      </c>
      <c r="Q1515"/>
      <c r="R1515" t="inlineStr">
        <is>
          <t>YES</t>
        </is>
      </c>
      <c r="S1515" t="inlineStr">
        <is>
          <t>Outsourced Motion Graphics Designer</t>
        </is>
      </c>
      <c r="T1515">
        <v>1</v>
      </c>
      <c r="U1515">
        <v>205520</v>
      </c>
      <c r="V1515" t="inlineStr">
        <is>
          <t>PHP</t>
        </is>
      </c>
      <c r="W1515">
        <v>205520</v>
      </c>
      <c r="X1515" s="2" t="str">
        <f>=HYPERLINK("https://www.larksuite.com/approval/admin/previewAttachment?key=PMhNqsJAEATgK1X_TNfUu8zbOARJFAQhkEWfXXDh9qtpqDksSkiZC9YcLBUiLGaZRnG2t5ECjcFez-3_8MfuL-3Hua6L2ef9tq23DdEdjMyYAOzv58HMlCrxdXwCAAD__w", "2 attachment(s)")</f>
        <v>2 attachment(s)</v>
      </c>
      <c r="Y1515" t="inlineStr">
        <is>
          <t>Bank Transfer</t>
        </is>
      </c>
      <c r="Z1515" t="inlineStr">
        <is>
          <t>Jeric Angelo C. Asinas</t>
        </is>
      </c>
      <c r="AA1515" t="inlineStr">
        <is>
          <t>4519301747</t>
        </is>
      </c>
      <c r="AB1515" t="inlineStr">
        <is>
          <t>BPI</t>
        </is>
      </c>
      <c r="AC1515" t="inlineStr">
        <is>
          <t>#1723 Lirio St. Camarin Brgy. 174 Caloocan City</t>
        </is>
      </c>
      <c r="AD1515" s="4">
        <v>45919</v>
      </c>
      <c r="AE1515" t="inlineStr">
        <is>
          <t>100% Full Payment</t>
        </is>
      </c>
      <c r="AF1515" s="2"/>
      <c r="AG1515" t="inlineStr">
        <is>
          <t>NzQyNTk5MTgyNzQ4MTg3MDM0MTpBOTIyMDcxQy00RkIzLTRGNEUtODc4Qy01NzA3RDM0REQyNTEtMTpiMjFhY2E5YjVhM2QzZmYzMGY0ODViM2UwYWU5MDgyNDox</t>
        </is>
      </c>
      <c r="AH1515" t="inlineStr">
        <is>
          <t>Jeric Angelo C. Asinas</t>
        </is>
      </c>
      <c r="AI1515"/>
      <c r="AJ1515" t="inlineStr">
        <is>
          <t>LIQUIDITY PLAN (PAR # 202508110059 / 2025TEG-P0236)
FINAL 911 - CE INTERNAL &gt; CREATIVE SERVICES &gt;
Creative Assets &gt; Motion Design Package
Total Budget = Php 85,500.00
Actual Cost = Php 205,520.00
Balance = (Php 120,020.00) OVER BUDGET</t>
        </is>
      </c>
      <c r="AK1515"/>
    </row>
    <row r="1516" ht="25.5" customHeight="1">
      <c r="A1516" s="2" t="str">
        <f>=HYPERLINK("https://applink.larksuite.com/client/mini_program/open?appId=cli_9c7cc8a9a9edd105&amp;mode=appCenter&amp;path_pc=pc/pages/requested/index?instanceId=7577025191184699101&amp;source=bitable&amp;path=pages/detail/index?instanceId=7577025191184699101&amp;source=bitable", "202511260172")</f>
        <v>202511260172</v>
      </c>
      <c r="B1516" t="inlineStr">
        <is>
          <t>Approved</t>
        </is>
      </c>
      <c r="C1516" t="inlineStr">
        <is>
          <t>Procurement Order</t>
        </is>
      </c>
      <c r="D1516" s="3">
        <v>45987.89412037037</v>
      </c>
      <c r="E1516" s="3">
        <v>45988.53449074074</v>
      </c>
      <c r="F1516" t="inlineStr">
        <is>
          <t>Fatima Kathleen M. FLores</t>
        </is>
      </c>
      <c r="G1516" t="inlineStr">
        <is>
          <t>Procurement</t>
        </is>
      </c>
      <c r="H1516"/>
      <c r="I1516"/>
      <c r="J1516" t="inlineStr">
        <is>
          <t>Project</t>
        </is>
      </c>
      <c r="K1516" t="inlineStr">
        <is>
          <t>GG - Event Service</t>
        </is>
      </c>
      <c r="L1516" t="inlineStr">
        <is>
          <t>KIC 2025 - Group Stage &amp; Knockouts</t>
        </is>
      </c>
      <c r="M1516" t="inlineStr">
        <is>
          <t>2025TEG-P0286</t>
        </is>
      </c>
      <c r="N1516" t="inlineStr">
        <is>
          <t>Carla Andrea Calma Crespo</t>
        </is>
      </c>
      <c r="O1516" t="inlineStr">
        <is>
          <t>202511100119-Carla Andrea Calma Crespo-费用报销 - 副本 - 副本 - 副本-2025-11-10 10:13:35</t>
        </is>
      </c>
      <c r="P1516" t="inlineStr">
        <is>
          <t>YES</t>
        </is>
      </c>
      <c r="Q1516"/>
      <c r="R1516" t="inlineStr">
        <is>
          <t>YES</t>
        </is>
      </c>
      <c r="S1516" t="inlineStr">
        <is>
          <t>Outsourced Liaison Officer</t>
        </is>
      </c>
      <c r="T1516">
        <v>1</v>
      </c>
      <c r="U1516">
        <v>24750</v>
      </c>
      <c r="V1516" t="inlineStr">
        <is>
          <t>PHP</t>
        </is>
      </c>
      <c r="W1516">
        <v>24750</v>
      </c>
      <c r="X1516" s="2" t="str">
        <f>=HYPERLINK("https://www.larksuite.com/approval/admin/previewAttachment?key=PMg9CkIxEATgK83sTybrZWwMQRBtxAcWe3bB4rXfmMSYSR-FKFqBrZRgySJnjCqCbU2pIMrV67mvy_P4vEzaSH4ffdxve72ZJTPII3wC4OV0V0RUjcDf8QsAAP__", "2 attachment(s)")</f>
        <v>2 attachment(s)</v>
      </c>
      <c r="Y1516" t="inlineStr">
        <is>
          <t>Bank Transfer</t>
        </is>
      </c>
      <c r="Z1516" t="inlineStr">
        <is>
          <t>Manuel Bensig</t>
        </is>
      </c>
      <c r="AA1516" t="inlineStr">
        <is>
          <t>0905 560 7139</t>
        </is>
      </c>
      <c r="AB1516" t="inlineStr">
        <is>
          <t>GCash</t>
        </is>
      </c>
      <c r="AC1516" t="inlineStr">
        <is>
          <t>17 2nd Street A. Marcelo Dalandanan Valenzuela City</t>
        </is>
      </c>
      <c r="AD1516" s="4">
        <v>45970</v>
      </c>
      <c r="AE1516" t="inlineStr">
        <is>
          <t>1st Payment - Nov. 28, 2025
Final Payment - Dec. 5, 2025</t>
        </is>
      </c>
      <c r="AF1516" s="2"/>
      <c r="AG1516" t="inlineStr">
        <is>
          <t>NzQyNTk5MTgyNzQ4MTg3MDM0MToyMzhBNzlCQS0zRDc4LTRGQkUtOEQxOC1EMkNFRUVDNzIwRDktMTo1MmFlYjg3ODA1NGYyN2VlYjUzMTRkMWMyNjc5ZTQxOTox</t>
        </is>
      </c>
      <c r="AH1516" t="inlineStr">
        <is>
          <t>Marjon Bensig</t>
        </is>
      </c>
      <c r="AI1516"/>
      <c r="AJ1516" t="inlineStr">
        <is>
          <t>LIQUIDITY PLAN (PAR # 202510290062 / 2025TEG-P0286)
1108 CE KIC GS+KO TAB &gt; OPERATIONS TEAM &gt;
Hospitality &gt; Liaison Officers - Players
Total Remaining Budget =  (Php 65,850.00) NEGATIVE
Actual Cost = Php 24,750.00
Balance = (Php 90,600.00) OVER BUDGET</t>
        </is>
      </c>
      <c r="AK1516"/>
    </row>
    <row r="1517" ht="25.5" customHeight="1">
      <c r="A1517" s="2" t="str">
        <f>=HYPERLINK("https://applink.larksuite.com/client/mini_program/open?appId=cli_9c7cc8a9a9edd105&amp;mode=appCenter&amp;path_pc=pc/pages/requested/index?instanceId=7576876951340633823&amp;source=bitable&amp;path=pages/detail/index?instanceId=7576876951340633823&amp;source=bitable", "202511260022")</f>
        <v>202511260022</v>
      </c>
      <c r="B1517" t="inlineStr">
        <is>
          <t>Approved</t>
        </is>
      </c>
      <c r="C1517" t="inlineStr">
        <is>
          <t>Procurement Order</t>
        </is>
      </c>
      <c r="D1517" s="3">
        <v>45987.4946412037</v>
      </c>
      <c r="E1517" s="3">
        <v>45988.526770833334</v>
      </c>
      <c r="F1517" t="inlineStr">
        <is>
          <t>Fatima Kathleen M. FLores</t>
        </is>
      </c>
      <c r="G1517" t="inlineStr">
        <is>
          <t>Procurement</t>
        </is>
      </c>
      <c r="H1517"/>
      <c r="I1517"/>
      <c r="J1517" t="inlineStr">
        <is>
          <t>Project</t>
        </is>
      </c>
      <c r="K1517" t="inlineStr">
        <is>
          <t>GG - Event Service</t>
        </is>
      </c>
      <c r="L1517" t="inlineStr">
        <is>
          <t>KIC 2025 - Playoffs</t>
        </is>
      </c>
      <c r="M1517" t="inlineStr">
        <is>
          <t>2025TEG-P0321</t>
        </is>
      </c>
      <c r="N1517" t="inlineStr">
        <is>
          <t>Frances Angelita Arreglado</t>
        </is>
      </c>
      <c r="O1517" t="inlineStr">
        <is>
          <t>202511250078-Carla Andrea Calma Crespo-费用报销 - 副本 - 副本 - 副本-2025-11-25 06:35:41</t>
        </is>
      </c>
      <c r="P1517" t="inlineStr">
        <is>
          <t>NO</t>
        </is>
      </c>
      <c r="Q1517"/>
      <c r="R1517" t="inlineStr">
        <is>
          <t>YES</t>
        </is>
      </c>
      <c r="S1517" t="inlineStr">
        <is>
          <t>Crew and Team Meals (Breakfast, Lunch and Dinner) - (Event Days + Egress)</t>
        </is>
      </c>
      <c r="T1517">
        <v>1480</v>
      </c>
      <c r="U1517">
        <v>130</v>
      </c>
      <c r="V1517" t="inlineStr">
        <is>
          <t>PHP</t>
        </is>
      </c>
      <c r="W1517">
        <v>192400</v>
      </c>
      <c r="X1517" s="2" t="str">
        <f>=HYPERLINK("https://www.larksuite.com/approval/admin/previewAttachment?key=PMg9ikJRDAXgLZ38nmQ2M42Xi6DPRnhikbULFrZfliArxLLhLdqQYTCL2SHmSLNSGx0hGxQaZx37vzzu671vwdfxOGPO62Wvp0RTFTR3KwDy93Oju3en4-v4BAAA__8", "2 attachment(s)")</f>
        <v>2 attachment(s)</v>
      </c>
      <c r="Y1517" t="inlineStr">
        <is>
          <t>Bank Transfer</t>
        </is>
      </c>
      <c r="Z1517" t="inlineStr">
        <is>
          <t>ANTHONY ROBERT CAMAYANG</t>
        </is>
      </c>
      <c r="AA1517" t="inlineStr">
        <is>
          <t>2609349312</t>
        </is>
      </c>
      <c r="AB1517" t="inlineStr">
        <is>
          <t>BPI</t>
        </is>
      </c>
      <c r="AC1517" t="inlineStr">
        <is>
          <t>BLK 1 LOT 1 A3 JENNYS AVE MILLENIUM GARDEN MAYBUNGA 1607 PASIG CITY</t>
        </is>
      </c>
      <c r="AD1517" s="4">
        <v>45990</v>
      </c>
      <c r="AE1517" t="inlineStr">
        <is>
          <t>50% Down Payment upon confirmation
50% Final payment upon completion of services</t>
        </is>
      </c>
      <c r="AF1517" s="2" t="str">
        <f>=HYPERLINK("https://www.larksuite.com/approval/admin/previewAttachment?key=TMg9CgIxEAXgK72X-fcyNoYg6NoIEYs5u2C17edJeBrFC1ocBXZYeIaXURQukkN6NCMKwZDoeaxrqj3ndz0sPsdrW-_7bc03PcWhZaosALycnESluPwdvwAAAP__", "6 attachment(s)")</f>
        <v>6 attachment(s)</v>
      </c>
      <c r="AG1517" t="inlineStr">
        <is>
          <t>NzQyNTk5MTgyNzQ4MTg3MDM0MTo2OEU3ODFFOS0zNjYzLTQ5NTktQjMwNS1EQTRDMzhBQUJGNjktMTpkZmRmNjU2N2NkNjA0MjkxZWQ3YjYyYmE4ZDgyYjcyNDox</t>
        </is>
      </c>
      <c r="AH1517" t="inlineStr">
        <is>
          <t>AJS FOOD CONTRACTING SERVICES</t>
        </is>
      </c>
      <c r="AI1517"/>
      <c r="AJ1517" t="inlineStr">
        <is>
          <t>LIQUIDITY PLAN (PAR # 202511200098 / 2025TEG-P0321)
HOSPITALITY &amp; CONSUMABLES &gt; 
Event Days (Nov 28-30)
Total Budget = Php 118,800.00
Actual Cost = Php 192,400.00
Balance = (Php 73,600.00) OVER BUDGET</t>
        </is>
      </c>
      <c r="AK1517"/>
    </row>
    <row r="1518" ht="25.5" customHeight="1">
      <c r="A1518" s="2" t="str">
        <f>=HYPERLINK("https://applink.larksuite.com/client/mini_program/open?appId=cli_9c7cc8a9a9edd105&amp;mode=appCenter&amp;path_pc=pc/pages/requested/index?instanceId=7576864184772595420&amp;source=bitable&amp;path=pages/detail/index?instanceId=7576864184772595420&amp;source=bitable", "202511260016")</f>
        <v>202511260016</v>
      </c>
      <c r="B1518" t="inlineStr">
        <is>
          <t>Approved</t>
        </is>
      </c>
      <c r="C1518" t="inlineStr">
        <is>
          <t>Procurement Order</t>
        </is>
      </c>
      <c r="D1518" s="3">
        <v>45987.46024305555</v>
      </c>
      <c r="E1518" s="3">
        <v>45988.5740625</v>
      </c>
      <c r="F1518" t="inlineStr">
        <is>
          <t>Fatima Kathleen M. FLores</t>
        </is>
      </c>
      <c r="G1518" t="inlineStr">
        <is>
          <t>Procurement</t>
        </is>
      </c>
      <c r="H1518"/>
      <c r="I1518"/>
      <c r="J1518" t="inlineStr">
        <is>
          <t>Project</t>
        </is>
      </c>
      <c r="K1518" t="inlineStr">
        <is>
          <t>GG - Event Service</t>
        </is>
      </c>
      <c r="L1518" t="inlineStr">
        <is>
          <t>KIC 2025 - Group Stage &amp; Knockouts</t>
        </is>
      </c>
      <c r="M1518" t="inlineStr">
        <is>
          <t>2025TEG-P0286</t>
        </is>
      </c>
      <c r="N1518" t="inlineStr">
        <is>
          <t>Frances Angelita Arreglado</t>
        </is>
      </c>
      <c r="O1518" t="inlineStr">
        <is>
          <t>202511100087-Carla Andrea Calma Crespo-费用报销 - 副本 - 副本 - 副本-2025-11-10 08:33:24;202511100085-Carla Andrea Calma Crespo-费用报销 - 副本 - 副本 - 副本-2025-11-10 08:32:38;202511100083-Carla Andrea Calma Crespo-费用报销 - 副本 - 副本 - 副本-2025-11-10 08:30:41</t>
        </is>
      </c>
      <c r="P1518" t="inlineStr">
        <is>
          <t>NO</t>
        </is>
      </c>
      <c r="Q1518"/>
      <c r="R1518" t="inlineStr">
        <is>
          <t>YES</t>
        </is>
      </c>
      <c r="S1518" t="inlineStr">
        <is>
          <t>Outsourced Safety and Security Team (Nov. 8 to 30, 2025)</t>
        </is>
      </c>
      <c r="T1518">
        <v>1</v>
      </c>
      <c r="U1518">
        <v>476500</v>
      </c>
      <c r="V1518" t="inlineStr">
        <is>
          <t>PHP</t>
        </is>
      </c>
      <c r="W1518">
        <v>476500</v>
      </c>
      <c r="X1518" s="2" t="str">
        <f>=HYPERLINK("https://www.larksuite.com/approval/admin/previewAttachment?key=PMgxDsIwDAXQK307P_4xl2GhiigVEypSBp8diaHri2GI0a1FgmmesFJXjKANSt6z01FeJiVkaqrtPe_n2g-9duRa55xHfZ-PuX2sp9yhRrYBwG6XN5HMDOLv-AUAAP__", "2 attachment(s)")</f>
        <v>2 attachment(s)</v>
      </c>
      <c r="Y1518" t="inlineStr">
        <is>
          <t>Bank Transfer</t>
        </is>
      </c>
      <c r="Z1518" t="inlineStr">
        <is>
          <t>JEROME T. CAPOQUIAN</t>
        </is>
      </c>
      <c r="AA1518" t="inlineStr">
        <is>
          <t>9599094366</t>
        </is>
      </c>
      <c r="AB1518" t="inlineStr">
        <is>
          <t>BPI</t>
        </is>
      </c>
      <c r="AC1518" t="inlineStr">
        <is>
          <t>BLOCK 5 LOT 7 PHASE 2 SHINEVILL MAMBUGAN ANTIPOLO CITY</t>
        </is>
      </c>
      <c r="AD1518" s="4">
        <v>45969</v>
      </c>
      <c r="AE1518" t="inlineStr">
        <is>
          <t>50% Down payment upon confirmation
50% Final payment upon completion of services</t>
        </is>
      </c>
      <c r="AF1518" s="2"/>
      <c r="AG1518" t="inlineStr">
        <is>
          <t>NzQyNTk5MTgyNzQ4MTg3MDM0MToyNzM0QTgyRi1BMTM2LTQzMUEtOERDQy00QThGNjZEOTNBNUYtMTpmODQyMjhhZDdiOTY4OWE0OTlkYWUxMTRlZDJjYjBkZjox</t>
        </is>
      </c>
      <c r="AH1518" t="inlineStr">
        <is>
          <t>JEROME T. CAPOQUIAN</t>
        </is>
      </c>
      <c r="AI1518"/>
      <c r="AJ1518" t="inlineStr">
        <is>
          <t>LIQUIDITY PLAN (PAR # 202510290062 / 2025TEG-P0286)
1108 CE KIC GS+KO TAB &gt; SAFETY &amp; SECURITY &gt;
Safety Officer - starting ingress
Medic - starting rehearsals
Event Marshals - starting rehearsals
Event Marshals - Tournament Days
Total Budget = Php 288,000.00
Actual Cost = Php 476,500.00
Balance = (Php 188,500.00) OVER BUDGET</t>
        </is>
      </c>
      <c r="AK1518"/>
    </row>
    <row r="1519" ht="25.5" customHeight="1">
      <c r="A1519" s="2" t="str">
        <f>=HYPERLINK("https://applink.larksuite.com/client/mini_program/open?appId=cli_9c7cc8a9a9edd105&amp;mode=appCenter&amp;path_pc=pc/pages/requested/index?instanceId=7576587943414959835&amp;source=bitable&amp;path=pages/detail/index?instanceId=7576587943414959835&amp;source=bitable", "202511250140")</f>
        <v>202511250140</v>
      </c>
      <c r="B1519" t="inlineStr">
        <is>
          <t>Approved</t>
        </is>
      </c>
      <c r="C1519" t="inlineStr">
        <is>
          <t>Procurement Order</t>
        </is>
      </c>
      <c r="D1519" s="3">
        <v>45986.71582175926</v>
      </c>
      <c r="E1519" s="3">
        <v>45988.575625</v>
      </c>
      <c r="F1519" t="inlineStr">
        <is>
          <t>Fatima Kathleen M. FLores</t>
        </is>
      </c>
      <c r="G1519" t="inlineStr">
        <is>
          <t>Procurement</t>
        </is>
      </c>
      <c r="H1519"/>
      <c r="I1519"/>
      <c r="J1519" t="inlineStr">
        <is>
          <t>Project</t>
        </is>
      </c>
      <c r="K1519" t="inlineStr">
        <is>
          <t>GG - Event Service</t>
        </is>
      </c>
      <c r="L1519" t="inlineStr">
        <is>
          <t>HOK KIC - Media Day</t>
        </is>
      </c>
      <c r="M1519" t="inlineStr">
        <is>
          <t>2025TEG-P0307</t>
        </is>
      </c>
      <c r="N1519" t="inlineStr">
        <is>
          <t>Frances Angelita Arreglado</t>
        </is>
      </c>
      <c r="O1519" t="inlineStr">
        <is>
          <t>202511180036-Carla Andrea Calma Crespo-费用报销 - 副本 - 副本 - 副本-2025-11-18 05:22:40</t>
        </is>
      </c>
      <c r="P1519" t="inlineStr">
        <is>
          <t>YES</t>
        </is>
      </c>
      <c r="Q1519"/>
      <c r="R1519" t="inlineStr">
        <is>
          <t>YES</t>
        </is>
      </c>
      <c r="S1519" t="inlineStr">
        <is>
          <t>Outsourced Logistics Associate</t>
        </is>
      </c>
      <c r="T1519">
        <v>1</v>
      </c>
      <c r="U1519">
        <v>17500</v>
      </c>
      <c r="V1519" t="inlineStr">
        <is>
          <t>PHP</t>
        </is>
      </c>
      <c r="W1519">
        <v>17500</v>
      </c>
      <c r="X1519" s="2" t="str">
        <f>=HYPERLINK("https://www.larksuite.com/approval/admin/previewAttachment?key=PMgxCgJBDAXQKyWTn_n5XsbGYdFiKmFhi5xdsNj2zXKblR5TBvmQeTM5sygEHEpVZI92UkZnsNc-ntf5qbWRxdDlu8_361hfT3EMYwBRZuaP24MApAn7u_0CAAD__w", "2 attachment(s)")</f>
        <v>2 attachment(s)</v>
      </c>
      <c r="Y1519" t="inlineStr">
        <is>
          <t>Bank Transfer</t>
        </is>
      </c>
      <c r="Z1519" t="inlineStr">
        <is>
          <t>Cristopher Garcia Borja</t>
        </is>
      </c>
      <c r="AA1519" t="inlineStr">
        <is>
          <t>09684415313</t>
        </is>
      </c>
      <c r="AB1519" t="inlineStr">
        <is>
          <t>GCash</t>
        </is>
      </c>
      <c r="AC1519" t="inlineStr">
        <is>
          <t>Blk 1b Extension samatadd tanigue st. Dagat-dagatan Caloocan City</t>
        </is>
      </c>
      <c r="AD1519" s="4">
        <v>45972</v>
      </c>
      <c r="AE1519" t="inlineStr">
        <is>
          <t>100% Full Payment - Nov. 28, 2025</t>
        </is>
      </c>
      <c r="AF1519" s="2"/>
      <c r="AG1519" t="inlineStr">
        <is>
          <t>NzQyNTk5MTgyNzQ4MTg3MDM0MToyMjQ4QjdGRC1CNUExLTQ4RjktOTVDQS1DNDBEMUVENEM1MjctMTpkODgyMDM2MTUxNzhhZTRlOWMzZDc3YzhkY2UxNmJiNjox</t>
        </is>
      </c>
      <c r="AH1519" t="inlineStr">
        <is>
          <t>Cristopher Garcia Borja</t>
        </is>
      </c>
      <c r="AI1519"/>
      <c r="AJ1519" t="inlineStr">
        <is>
          <t>No line item in internal CE. Unbudgeted.</t>
        </is>
      </c>
      <c r="AK1519"/>
    </row>
    <row r="1520" ht="25.5" customHeight="1">
      <c r="A1520" s="2" t="str">
        <f>=HYPERLINK("https://applink.larksuite.com/client/mini_program/open?appId=cli_9c7cc8a9a9edd105&amp;mode=appCenter&amp;path_pc=pc/pages/requested/index?instanceId=7576582839735504605&amp;source=bitable&amp;path=pages/detail/index?instanceId=7576582839735504605&amp;source=bitable", "202511250131")</f>
        <v>202511250131</v>
      </c>
      <c r="B1520" t="inlineStr">
        <is>
          <t>Approved</t>
        </is>
      </c>
      <c r="C1520" t="inlineStr">
        <is>
          <t>Procurement Order</t>
        </is>
      </c>
      <c r="D1520" s="3">
        <v>45986.70207175926</v>
      </c>
      <c r="E1520" s="3">
        <v>45988.567037037035</v>
      </c>
      <c r="F1520" t="inlineStr">
        <is>
          <t>Fatima Kathleen M. FLores</t>
        </is>
      </c>
      <c r="G1520" t="inlineStr">
        <is>
          <t>Procurement</t>
        </is>
      </c>
      <c r="H1520"/>
      <c r="I1520"/>
      <c r="J1520" t="inlineStr">
        <is>
          <t>Project</t>
        </is>
      </c>
      <c r="K1520" t="inlineStr">
        <is>
          <t>GG - Event Service</t>
        </is>
      </c>
      <c r="L1520" t="inlineStr">
        <is>
          <t>KIC 2025 - Group Stage &amp; Knockouts</t>
        </is>
      </c>
      <c r="M1520" t="inlineStr">
        <is>
          <t>2025TEG-P0286</t>
        </is>
      </c>
      <c r="N1520" t="inlineStr">
        <is>
          <t>Frances Angelita Arreglado</t>
        </is>
      </c>
      <c r="O1520" t="inlineStr">
        <is>
          <t>202511200042-Carla Andrea Calma Crespo-费用报销 - 副本 - 副本 - 副本-2025-11-20 06:17:46</t>
        </is>
      </c>
      <c r="P1520" t="inlineStr">
        <is>
          <t>YES</t>
        </is>
      </c>
      <c r="Q1520"/>
      <c r="R1520" t="inlineStr">
        <is>
          <t>YES</t>
        </is>
      </c>
      <c r="S1520" t="inlineStr">
        <is>
          <t>Outsourced Camera Director</t>
        </is>
      </c>
      <c r="T1520">
        <v>1</v>
      </c>
      <c r="U1520">
        <v>95000</v>
      </c>
      <c r="V1520" t="inlineStr">
        <is>
          <t>PHP</t>
        </is>
      </c>
      <c r="W1520">
        <v>95000</v>
      </c>
      <c r="X1520" s="2" t="str">
        <f>=HYPERLINK("https://www.larksuite.com/approval/admin/previewAttachment?key=PMg9CsJAEAXgK735fTNexiYhyKKyIKbbswsWab8sQVaIZcNbtCGLwYzSsqZFwBOxdAnZoNC49tdx3776nHOcNsZ8l67zsR37R6KpCpq7FQC5XW509-50_B2_AAAA__8", "2 attachment(s)")</f>
        <v>2 attachment(s)</v>
      </c>
      <c r="Y1520" t="inlineStr">
        <is>
          <t>Bank Transfer</t>
        </is>
      </c>
      <c r="Z1520" t="inlineStr">
        <is>
          <t>Karl Kristian C. Durante</t>
        </is>
      </c>
      <c r="AA1520" t="inlineStr">
        <is>
          <t>0003 3054 9030</t>
        </is>
      </c>
      <c r="AB1520" t="inlineStr">
        <is>
          <t>BDO</t>
        </is>
      </c>
      <c r="AC1520" t="inlineStr">
        <is>
          <t>21/23 Emerald Street, Marikit Subdivision, Concepcion Uno Marikina City, 1807</t>
        </is>
      </c>
      <c r="AD1520" s="4">
        <v>45980</v>
      </c>
      <c r="AE1520" t="inlineStr">
        <is>
          <t>1st Payment - Nov. 28, 2025
2nd Payment - Dec. 5, 2025
Final Payment - Dec. 12, 2025</t>
        </is>
      </c>
      <c r="AF1520" s="2"/>
      <c r="AG1520" t="inlineStr">
        <is>
          <t>NzQyNTk5MTgyNzQ4MTg3MDM0MTo0QTkzODlCRC01MEQyLTQwMDktODE3RS02RkEyMjhFNzg3OUEtMTpiODg0YjY3Yjc3ZGMxNWJkODRhNzdlZWVjZWY4MTQ4OTox</t>
        </is>
      </c>
      <c r="AH1520" t="inlineStr">
        <is>
          <t>Karl Kristian C. Durante</t>
        </is>
      </c>
      <c r="AI1520"/>
      <c r="AJ1520" t="inlineStr">
        <is>
          <t>No line item in internal CE. Unbudgeted. To be charged to Playoffs CE</t>
        </is>
      </c>
      <c r="AK1520"/>
    </row>
    <row r="1521" ht="25.5" customHeight="1">
      <c r="A1521" s="2" t="str">
        <f>=HYPERLINK("https://applink.larksuite.com/client/mini_program/open?appId=cli_9c7cc8a9a9edd105&amp;mode=appCenter&amp;path_pc=pc/pages/requested/index?instanceId=7576582200951361243&amp;source=bitable&amp;path=pages/detail/index?instanceId=7576582200951361243&amp;source=bitable", "202511250130")</f>
        <v>202511250130</v>
      </c>
      <c r="B1521" t="inlineStr">
        <is>
          <t>Approved</t>
        </is>
      </c>
      <c r="C1521" t="inlineStr">
        <is>
          <t>Procurement Order</t>
        </is>
      </c>
      <c r="D1521" s="3">
        <v>45986.70034722222</v>
      </c>
      <c r="E1521" s="3">
        <v>45988.56592592593</v>
      </c>
      <c r="F1521" t="inlineStr">
        <is>
          <t>Fatima Kathleen M. FLores</t>
        </is>
      </c>
      <c r="G1521" t="inlineStr">
        <is>
          <t>Procurement</t>
        </is>
      </c>
      <c r="H1521"/>
      <c r="I1521"/>
      <c r="J1521" t="inlineStr">
        <is>
          <t>Project</t>
        </is>
      </c>
      <c r="K1521" t="inlineStr">
        <is>
          <t>GG - Event Service</t>
        </is>
      </c>
      <c r="L1521" t="inlineStr">
        <is>
          <t>KIC 2025 - Group Stage &amp; Knockouts</t>
        </is>
      </c>
      <c r="M1521" t="inlineStr">
        <is>
          <t>2025TEG-P0286</t>
        </is>
      </c>
      <c r="N1521" t="inlineStr">
        <is>
          <t>Frances Angelita Arreglado</t>
        </is>
      </c>
      <c r="O1521" t="inlineStr">
        <is>
          <t>202511200041-Carla Andrea Calma Crespo-费用报销 - 副本 - 副本 - 副本-2025-11-20 06:08:59</t>
        </is>
      </c>
      <c r="P1521" t="inlineStr">
        <is>
          <t>YES</t>
        </is>
      </c>
      <c r="Q1521"/>
      <c r="R1521" t="inlineStr">
        <is>
          <t>YES</t>
        </is>
      </c>
      <c r="S1521" t="inlineStr">
        <is>
          <t>Outsourced Hospitality/Utility Assistant</t>
        </is>
      </c>
      <c r="T1521">
        <v>1</v>
      </c>
      <c r="U1521">
        <v>30000</v>
      </c>
      <c r="V1521" t="inlineStr">
        <is>
          <t>PHP</t>
        </is>
      </c>
      <c r="W1521">
        <v>30000</v>
      </c>
      <c r="X1521" s="2" t="str">
        <f>=HYPERLINK("https://www.larksuite.com/approval/admin/previewAttachment?key=PMk5CkJRDAXQLd2MN3EzNj4-IgqCODRZu2jx23OyBFkhlg1v0YYMgxmlCvQvRN1GR8gGhcZZt-1YHtf787LiQ-qb8zqftvWQaKqC5m4FQA67G929Ox1_xzcAAP__", "2 attachment(s)")</f>
        <v>2 attachment(s)</v>
      </c>
      <c r="Y1521" t="inlineStr">
        <is>
          <t>Bank Transfer</t>
        </is>
      </c>
      <c r="Z1521" t="inlineStr">
        <is>
          <t>Marc Kevin Serrano</t>
        </is>
      </c>
      <c r="AA1521" t="inlineStr">
        <is>
          <t>1519218972</t>
        </is>
      </c>
      <c r="AB1521" t="inlineStr">
        <is>
          <t>BPI</t>
        </is>
      </c>
      <c r="AC1521" t="inlineStr">
        <is>
          <t>3 Don Guillermo Street, Barangay Holy Spirit, Commonwealth, Quezon City</t>
        </is>
      </c>
      <c r="AD1521" s="4">
        <v>45969</v>
      </c>
      <c r="AE1521" t="inlineStr">
        <is>
          <t>1st Payment - Nov. 28, 2025
Final Payment - Dec. 12, 2025</t>
        </is>
      </c>
      <c r="AF1521" s="2"/>
      <c r="AG1521" t="inlineStr">
        <is>
          <t>NzQyNTk5MTgyNzQ4MTg3MDM0MToyMEQ1RTgxQy0xNUUwLTQ4RjUtODBCRC01MDQ2MkNFQkQ5RTYtMTphNGM2MDZjMjNmNWVmNDdlYjdhOWQ0OWFmZDQ2YzFjOTox</t>
        </is>
      </c>
      <c r="AH1521" t="inlineStr">
        <is>
          <t>Marc Kevin Serrano</t>
        </is>
      </c>
      <c r="AI1521"/>
      <c r="AJ1521" t="inlineStr">
        <is>
          <t>No line item in internal CE. Unbudgeted</t>
        </is>
      </c>
      <c r="AK1521"/>
    </row>
    <row r="1522" ht="25.5" customHeight="1">
      <c r="A1522" s="2" t="str">
        <f>=HYPERLINK("https://applink.larksuite.com/client/mini_program/open?appId=cli_9c7cc8a9a9edd105&amp;mode=appCenter&amp;path_pc=pc/pages/requested/index?instanceId=7576581549907300063&amp;source=bitable&amp;path=pages/detail/index?instanceId=7576581549907300063&amp;source=bitable", "202511250129")</f>
        <v>202511250129</v>
      </c>
      <c r="B1522" t="inlineStr">
        <is>
          <t>Approved</t>
        </is>
      </c>
      <c r="C1522" t="inlineStr">
        <is>
          <t>Procurement Order</t>
        </is>
      </c>
      <c r="D1522" s="3">
        <v>45986.698599537034</v>
      </c>
      <c r="E1522" s="3">
        <v>45988.564780092594</v>
      </c>
      <c r="F1522" t="inlineStr">
        <is>
          <t>Fatima Kathleen M. FLores</t>
        </is>
      </c>
      <c r="G1522" t="inlineStr">
        <is>
          <t>Procurement</t>
        </is>
      </c>
      <c r="H1522"/>
      <c r="I1522"/>
      <c r="J1522" t="inlineStr">
        <is>
          <t>Project</t>
        </is>
      </c>
      <c r="K1522" t="inlineStr">
        <is>
          <t>GG - Event Service</t>
        </is>
      </c>
      <c r="L1522" t="inlineStr">
        <is>
          <t>KIC 2025 - Group Stage &amp; Knockouts</t>
        </is>
      </c>
      <c r="M1522" t="inlineStr">
        <is>
          <t>2025TEG-P0286</t>
        </is>
      </c>
      <c r="N1522" t="inlineStr">
        <is>
          <t>Frances Angelita Arreglado</t>
        </is>
      </c>
      <c r="O1522" t="inlineStr">
        <is>
          <t>202511200040-Carla Andrea Calma Crespo-费用报销 - 副本 - 副本 - 副本-2025-11-20 06:07:06</t>
        </is>
      </c>
      <c r="P1522" t="inlineStr">
        <is>
          <t>YES</t>
        </is>
      </c>
      <c r="Q1522"/>
      <c r="R1522" t="inlineStr">
        <is>
          <t>YES</t>
        </is>
      </c>
      <c r="S1522" t="inlineStr">
        <is>
          <t>Outsourced Logistics Assistant</t>
        </is>
      </c>
      <c r="T1522">
        <v>1</v>
      </c>
      <c r="U1522">
        <v>30000</v>
      </c>
      <c r="V1522" t="inlineStr">
        <is>
          <t>PHP</t>
        </is>
      </c>
      <c r="W1522">
        <v>30000</v>
      </c>
      <c r="X1522" s="2" t="str">
        <f>=HYPERLINK("https://www.larksuite.com/approval/admin/previewAttachment?key=PMg9CsJAFATgK83b9zM7XsbGsGgRESTRFHt2wSLtV91QPc1LCFkTbDJZ2S1DAh1A-WzTSIFG51zWcV0PPD8Dx5bf7bU_5n6_jeVtKbYGeoR3AHY53RkRUgX-jl8AAAD__w", "2 attachment(s)")</f>
        <v>2 attachment(s)</v>
      </c>
      <c r="Y1522" t="inlineStr">
        <is>
          <t>Bank Transfer</t>
        </is>
      </c>
      <c r="Z1522" t="inlineStr">
        <is>
          <t>Ziegfred Perez Domingo</t>
        </is>
      </c>
      <c r="AA1522" t="inlineStr">
        <is>
          <t>8034 7580 0832</t>
        </is>
      </c>
      <c r="AB1522" t="inlineStr">
        <is>
          <t>Maya Bank, Inc.</t>
        </is>
      </c>
      <c r="AC1522" t="inlineStr">
        <is>
          <t>Block 4 Lot 12 San Lucas Street MWSS Compound Delpan Tondo, Manila</t>
        </is>
      </c>
      <c r="AD1522" s="4">
        <v>45969</v>
      </c>
      <c r="AE1522" t="inlineStr">
        <is>
          <t>1st Payment - Nov. 28, 2025
Final Payment - Dec. 12, 2025</t>
        </is>
      </c>
      <c r="AF1522" s="2"/>
      <c r="AG1522" t="inlineStr">
        <is>
          <t>NzQyNTk5MTgyNzQ4MTg3MDM0MTpCNzRBNjgwMS1ENENDLTQ5RjYtOTYwMi1BMDE4N0U5RUU5NTgtMTpkZGM5OGU2ODI3NGVkZDAzNjBlYzE0OGQ5NzU0OGE0MTox</t>
        </is>
      </c>
      <c r="AH1522" t="inlineStr">
        <is>
          <t>Ziegfred Perez Domingo</t>
        </is>
      </c>
      <c r="AI1522"/>
      <c r="AJ1522" t="inlineStr">
        <is>
          <t>LIQUIDITY PLAN (PAR # 202510290062 / 2025TEG-P0286)
1108 CE KIC GS+KO TAB &gt; OPERATIONS TEAM &gt;
Logistics &gt; Logistics Assistants
Total Remaining Budget = (Php 8,500.00) NEGATIVE
Actual Cost = Php 30,000.00
Balance = (Php 38,500.00) OVER BUDGET</t>
        </is>
      </c>
      <c r="AK1522"/>
    </row>
    <row r="1523" ht="25.5" customHeight="1">
      <c r="A1523" s="2" t="str">
        <f>=HYPERLINK("https://applink.larksuite.com/client/mini_program/open?appId=cli_9c7cc8a9a9edd105&amp;mode=appCenter&amp;path_pc=pc/pages/requested/index?instanceId=7576580219201408738&amp;source=bitable&amp;path=pages/detail/index?instanceId=7576580219201408738&amp;source=bitable", "202511250127")</f>
        <v>202511250127</v>
      </c>
      <c r="B1523" t="inlineStr">
        <is>
          <t>Approved</t>
        </is>
      </c>
      <c r="C1523" t="inlineStr">
        <is>
          <t>Procurement Order</t>
        </is>
      </c>
      <c r="D1523" s="3">
        <v>45986.69501157408</v>
      </c>
      <c r="E1523" s="3">
        <v>45988.56280092592</v>
      </c>
      <c r="F1523" t="inlineStr">
        <is>
          <t>Fatima Kathleen M. FLores</t>
        </is>
      </c>
      <c r="G1523" t="inlineStr">
        <is>
          <t>Procurement</t>
        </is>
      </c>
      <c r="H1523"/>
      <c r="I1523"/>
      <c r="J1523" t="inlineStr">
        <is>
          <t>Project</t>
        </is>
      </c>
      <c r="K1523" t="inlineStr">
        <is>
          <t>GG - Event Service</t>
        </is>
      </c>
      <c r="L1523" t="inlineStr">
        <is>
          <t>KIC 2025 - Group Stage &amp; Knockouts</t>
        </is>
      </c>
      <c r="M1523" t="inlineStr">
        <is>
          <t>2025TEG-P0286</t>
        </is>
      </c>
      <c r="N1523" t="inlineStr">
        <is>
          <t>Frances Angelita Arreglado</t>
        </is>
      </c>
      <c r="O1523" t="inlineStr">
        <is>
          <t>202511200039-Carla Andrea Calma Crespo-费用报销 - 副本 - 副本 - 副本-2025-11-20 06:05:42</t>
        </is>
      </c>
      <c r="P1523" t="inlineStr">
        <is>
          <t>YES</t>
        </is>
      </c>
      <c r="Q1523"/>
      <c r="R1523" t="inlineStr">
        <is>
          <t>YES</t>
        </is>
      </c>
      <c r="S1523" t="inlineStr">
        <is>
          <t>Outsourced Logistics Associates</t>
        </is>
      </c>
      <c r="T1523">
        <v>1</v>
      </c>
      <c r="U1523">
        <v>28500</v>
      </c>
      <c r="V1523" t="inlineStr">
        <is>
          <t>PHP</t>
        </is>
      </c>
      <c r="W1523">
        <v>28500</v>
      </c>
      <c r="X1523" s="2" t="str">
        <f>=HYPERLINK("https://www.larksuite.com/approval/admin/previewAttachment?key=PMg7CoIxEATgK80-ktnxMjaGoKA24m-1ZxcsbL9ZhlnDYgopc8Gag3MU3OSwRDGqvY0UaAz2euzz7dD7E_W8l0at3cf1stfLhugORmYUADv9PZiZ0kz8HN8AAAD__w", "2 attachment(s)")</f>
        <v>2 attachment(s)</v>
      </c>
      <c r="Y1523" t="inlineStr">
        <is>
          <t>Bank Transfer</t>
        </is>
      </c>
      <c r="Z1523" t="inlineStr">
        <is>
          <t>Rizel John Obong</t>
        </is>
      </c>
      <c r="AA1523" t="inlineStr">
        <is>
          <t>09709731174</t>
        </is>
      </c>
      <c r="AB1523" t="inlineStr">
        <is>
          <t>GCash</t>
        </is>
      </c>
      <c r="AC1523" t="inlineStr">
        <is>
          <t>Blk 1j Lot 31 Phase 3 E-1 Dagat Dagatan Caloocan City</t>
        </is>
      </c>
      <c r="AD1523" s="4">
        <v>45966</v>
      </c>
      <c r="AE1523" t="inlineStr">
        <is>
          <t>1st Payment - Nov. 28, 2025
Final Payment - Dec. 5, 2025</t>
        </is>
      </c>
      <c r="AF1523" s="2"/>
      <c r="AG1523" t="inlineStr">
        <is>
          <t>NzQyNTk5MTgyNzQ4MTg3MDM0MTpGMThGQTQ1MC01RkRCLTQyREEtOUZDQi03MUU0MjU5RkM0REMtMTo1ZDc0MmE5NGNmOTE2M2NlOWUwODFiN2ZmNmVmYjE0Yjox</t>
        </is>
      </c>
      <c r="AH1523" t="inlineStr">
        <is>
          <t>Rizel John Obong</t>
        </is>
      </c>
      <c r="AI1523"/>
      <c r="AJ1523" t="inlineStr">
        <is>
          <t>LIQUIDITY PLAN (PAR # 202510290062 / 2025TEG-P0286)
1108 CE KIC GS+KO TAB &gt; OPERATIONS TEAM &gt;
Logistics &gt; Logistics Assistants
Total Remaining Budget = Php 20,000.00
Actual Cost = Php 22,800.00
Balance = (Php 8,500.00) OVER BUDGET</t>
        </is>
      </c>
      <c r="AK1523"/>
    </row>
    <row r="1524" ht="25.5" customHeight="1">
      <c r="A1524" s="2" t="str">
        <f>=HYPERLINK("https://applink.larksuite.com/client/mini_program/open?appId=cli_9c7cc8a9a9edd105&amp;mode=appCenter&amp;path_pc=pc/pages/requested/index?instanceId=7576557774713261794&amp;source=bitable&amp;path=pages/detail/index?instanceId=7576557774713261794&amp;source=bitable", "202511250088")</f>
        <v>202511250088</v>
      </c>
      <c r="B1524" t="inlineStr">
        <is>
          <t>Approved</t>
        </is>
      </c>
      <c r="C1524" t="inlineStr">
        <is>
          <t>Procurement Order</t>
        </is>
      </c>
      <c r="D1524" s="3">
        <v>45986.63452546296</v>
      </c>
      <c r="E1524" s="3">
        <v>45988.56078703704</v>
      </c>
      <c r="F1524" t="inlineStr">
        <is>
          <t>Fatima Kathleen M. FLores</t>
        </is>
      </c>
      <c r="G1524" t="inlineStr">
        <is>
          <t>Procurement</t>
        </is>
      </c>
      <c r="H1524"/>
      <c r="I1524"/>
      <c r="J1524" t="inlineStr">
        <is>
          <t>Project</t>
        </is>
      </c>
      <c r="K1524" t="inlineStr">
        <is>
          <t>GG - Event Service</t>
        </is>
      </c>
      <c r="L1524" t="inlineStr">
        <is>
          <t>KIC 2025 - Group Stage &amp; Knockouts</t>
        </is>
      </c>
      <c r="M1524" t="inlineStr">
        <is>
          <t>2025TEG-P0286</t>
        </is>
      </c>
      <c r="N1524" t="inlineStr">
        <is>
          <t>Frances Angelita Arreglado</t>
        </is>
      </c>
      <c r="O1524" t="inlineStr">
        <is>
          <t>202511120109-Carla Andrea Calma Crespo-费用报销 - 副本 - 副本 - 副本-2025-11-12 09:49:10;202511120110-Carla Andrea Calma Crespo-费用报销 - 副本 - 副本 - 副本-2025-11-12 09:53:03</t>
        </is>
      </c>
      <c r="P1524" t="inlineStr">
        <is>
          <t>YES</t>
        </is>
      </c>
      <c r="Q1524"/>
      <c r="R1524" t="inlineStr">
        <is>
          <t>YES</t>
        </is>
      </c>
      <c r="S1524" t="inlineStr">
        <is>
          <t>Outsourced Producer (PH)</t>
        </is>
      </c>
      <c r="T1524">
        <v>1</v>
      </c>
      <c r="U1524">
        <v>80000</v>
      </c>
      <c r="V1524" t="inlineStr">
        <is>
          <t>PHP</t>
        </is>
      </c>
      <c r="W1524">
        <v>80000</v>
      </c>
      <c r="X1524" s="2" t="str">
        <f>=HYPERLINK("https://www.larksuite.com/approval/admin/previewAttachment?key=PMgxCkJBDATQK2U2k8zGy9j4-YiwiyAIFjm7YGH7csJyBjzLWBhlaIUyQhIFHwkVezSkMkGuPtZ5fazNJ_b6zDU3o9_323m8EKUxTE76NDNc_u4iWZW0n9s3AAD__w", "2 attachment(s)")</f>
        <v>2 attachment(s)</v>
      </c>
      <c r="Y1524" t="inlineStr">
        <is>
          <t>Bank Transfer</t>
        </is>
      </c>
      <c r="Z1524" t="inlineStr">
        <is>
          <t>PAOLO LUIS NAVARRO</t>
        </is>
      </c>
      <c r="AA1524" t="inlineStr">
        <is>
          <t>1669371663</t>
        </is>
      </c>
      <c r="AB1524" t="inlineStr">
        <is>
          <t>BPI</t>
        </is>
      </c>
      <c r="AC1524" t="inlineStr">
        <is>
          <t>Goodwill Homes 1, Quezon City</t>
        </is>
      </c>
      <c r="AD1524" s="4">
        <v>45973</v>
      </c>
      <c r="AE1524" t="inlineStr">
        <is>
          <t>1st Payment - Nov. 28, 2025
2nd Payment - Dec. 12, 2025
Final Payment - Dec. 26, 2025</t>
        </is>
      </c>
      <c r="AF1524" s="2"/>
      <c r="AG1524" t="inlineStr">
        <is>
          <t>NzQyNTk5MTgyNzQ4MTg3MDM0MTo4MkRGMTlCOS0xOTQyLTRENEMtQjk5QS1GRDY0NTdDMjIzOUMtMTplZDlmN2Y1OTFkZjk4MzcyZDg0ZTZkMDk1ZmExY2JmZDox</t>
        </is>
      </c>
      <c r="AH1524" t="inlineStr">
        <is>
          <t>PAOLO LUIS NAVARRO</t>
        </is>
      </c>
      <c r="AI1524"/>
      <c r="AJ1524" t="inlineStr">
        <is>
          <t>LIQUIDITY PLAN (PAR # 202510290062 / 2025TEG-P0286)
1108 CE KIC GS+KO TAB &gt; BROADCAST TEAM &gt;
PH Producer = Php 40,000.00
PH CG Operator = Php 36,000.00
Total Budget = Php 76,000.00
Actual Cost = Php 130,000.00
Balance = (Php 54,000.00) OVER BUDGET</t>
        </is>
      </c>
      <c r="AK1524"/>
    </row>
    <row r="1525" ht="25.5" customHeight="1">
      <c r="A1525" s="2" t="str">
        <f>=HYPERLINK("https://applink.larksuite.com/client/mini_program/open?appId=cli_9c7cc8a9a9edd105&amp;mode=appCenter&amp;path_pc=pc/pages/requested/index?instanceId=7576557774713261794&amp;source=bitable&amp;path=pages/detail/index?instanceId=7576557774713261794&amp;source=bitable", "202511250088")</f>
        <v>202511250088</v>
      </c>
      <c r="B1525" t="inlineStr">
        <is>
          <t>Approved</t>
        </is>
      </c>
      <c r="C1525" t="inlineStr">
        <is>
          <t>Procurement Order</t>
        </is>
      </c>
      <c r="D1525" s="3">
        <v>45986.63452546296</v>
      </c>
      <c r="E1525" s="3">
        <v>45988.56078703704</v>
      </c>
      <c r="F1525" t="inlineStr">
        <is>
          <t>Fatima Kathleen M. FLores</t>
        </is>
      </c>
      <c r="G1525" t="inlineStr">
        <is>
          <t>Procurement</t>
        </is>
      </c>
      <c r="H1525"/>
      <c r="I1525"/>
      <c r="J1525" t="inlineStr">
        <is>
          <t>Project</t>
        </is>
      </c>
      <c r="K1525" t="inlineStr">
        <is>
          <t>GG - Event Service</t>
        </is>
      </c>
      <c r="L1525" t="inlineStr">
        <is>
          <t>KIC 2025 - Group Stage &amp; Knockouts</t>
        </is>
      </c>
      <c r="M1525" t="inlineStr">
        <is>
          <t>2025TEG-P0286</t>
        </is>
      </c>
      <c r="N1525" t="inlineStr">
        <is>
          <t>Frances Angelita Arreglado</t>
        </is>
      </c>
      <c r="O1525" t="inlineStr">
        <is>
          <t>202511120109-Carla Andrea Calma Crespo-费用报销 - 副本 - 副本 - 副本-2025-11-12 09:49:10;202511120110-Carla Andrea Calma Crespo-费用报销 - 副本 - 副本 - 副本-2025-11-12 09:53:03</t>
        </is>
      </c>
      <c r="P1525" t="inlineStr">
        <is>
          <t>YES</t>
        </is>
      </c>
      <c r="Q1525"/>
      <c r="R1525" t="inlineStr">
        <is>
          <t>YES</t>
        </is>
      </c>
      <c r="S1525" t="inlineStr">
        <is>
          <t>Outsourced CG Operator (PH)</t>
        </is>
      </c>
      <c r="T1525">
        <v>1</v>
      </c>
      <c r="U1525">
        <v>50000</v>
      </c>
      <c r="V1525" t="inlineStr">
        <is>
          <t>PHP</t>
        </is>
      </c>
      <c r="W1525">
        <v>50000</v>
      </c>
      <c r="X1525" s="2" t="str">
        <f>=HYPERLINK("https://www.larksuite.com/approval/admin/previewAttachment?key=PMgxCkJBDATQK2U2k8zGy9j4-YiwiyAIFjm7YGH7csJyBjzLWBhlaIUyQhIFHwkVezSkMkGuPtZ5fazNJ_b6zDU3o9_323m8EKUxTE76NDNc_u4iWZW0n-MbAAD__w", "2 attachment(s)")</f>
        <v>2 attachment(s)</v>
      </c>
      <c r="Y1525"/>
      <c r="Z1525"/>
      <c r="AA1525"/>
      <c r="AB1525"/>
      <c r="AC1525"/>
      <c r="AD1525" s="4"/>
      <c r="AE1525"/>
      <c r="AF1525" s="2"/>
      <c r="AG1525" t="inlineStr">
        <is>
          <t>NzQyNTk5MTgyNzQ4MTg3MDM0MTo4MkRGMTlCOS0xOTQyLTRENEMtQjk5QS1GRDY0NTdDMjIzOUMtMjpiYzAyZmNjYmYyOTA4NWUyMDVjNTU3OTc5NGEwYTdkYTox</t>
        </is>
      </c>
      <c r="AH1525"/>
      <c r="AI1525"/>
      <c r="AJ1525" t="inlineStr">
        <is>
          <t>LIQUIDITY PLAN (PAR # 202510290062 / 2025TEG-P0286)
1108 CE KIC GS+KO TAB &gt; BROADCAST TEAM &gt;
PH Producer = Php 40,000.00
PH CG Operator = Php 36,000.00
Total Budget = Php 76,000.00
Actual Cost = Php 130,000.00
Balance = (Php 54,000.00) OVER BUDGET</t>
        </is>
      </c>
      <c r="AK1525"/>
    </row>
    <row r="1526" ht="25.5" customHeight="1">
      <c r="A1526" s="2" t="str">
        <f>=HYPERLINK("https://applink.larksuite.com/client/mini_program/open?appId=cli_9c7cc8a9a9edd105&amp;mode=appCenter&amp;path_pc=pc/pages/requested/index?instanceId=7576579220550274786&amp;source=bitable&amp;path=pages/detail/index?instanceId=7576579220550274786&amp;source=bitable", "202511250126")</f>
        <v>202511250126</v>
      </c>
      <c r="B1526" t="inlineStr">
        <is>
          <t>Approved</t>
        </is>
      </c>
      <c r="C1526" t="inlineStr">
        <is>
          <t>Procurement Order</t>
        </is>
      </c>
      <c r="D1526" s="3">
        <v>45986.69231481481</v>
      </c>
      <c r="E1526" s="3">
        <v>45988.558854166666</v>
      </c>
      <c r="F1526" t="inlineStr">
        <is>
          <t>Fatima Kathleen M. FLores</t>
        </is>
      </c>
      <c r="G1526" t="inlineStr">
        <is>
          <t>Procurement</t>
        </is>
      </c>
      <c r="H1526"/>
      <c r="I1526"/>
      <c r="J1526" t="inlineStr">
        <is>
          <t>Project</t>
        </is>
      </c>
      <c r="K1526" t="inlineStr">
        <is>
          <t>GG - Event Service</t>
        </is>
      </c>
      <c r="L1526" t="inlineStr">
        <is>
          <t>KIC 2025 - Group Stage &amp; Knockouts</t>
        </is>
      </c>
      <c r="M1526" t="inlineStr">
        <is>
          <t>2025TEG-P0286</t>
        </is>
      </c>
      <c r="N1526" t="inlineStr">
        <is>
          <t>Frances Angelita Arreglado</t>
        </is>
      </c>
      <c r="O1526" t="inlineStr">
        <is>
          <t>202511180050-Carla Andrea Calma Crespo-费用报销 - 副本 - 副本 - 副本-2025-11-18 06:15:11</t>
        </is>
      </c>
      <c r="P1526" t="inlineStr">
        <is>
          <t>YES</t>
        </is>
      </c>
      <c r="Q1526"/>
      <c r="R1526" t="inlineStr">
        <is>
          <t>YES</t>
        </is>
      </c>
      <c r="S1526" t="inlineStr">
        <is>
          <t>Outsourced Hotel &amp; Transpo PIC (Players)</t>
        </is>
      </c>
      <c r="T1526">
        <v>1</v>
      </c>
      <c r="U1526">
        <v>45000</v>
      </c>
      <c r="V1526" t="inlineStr">
        <is>
          <t>PHP</t>
        </is>
      </c>
      <c r="W1526">
        <v>45000</v>
      </c>
      <c r="X1526" s="2" t="str">
        <f>=HYPERLINK("https://www.larksuite.com/approval/admin/previewAttachment?key=PMgxDsIwDAXQK3073_4xl2FpVDFQqRIisOTsSAxdX3ZD9rCWBZZ5wZZCGSp3RMBF9Vy-TCrI1LTGsd_pH763cT6Pec7vWPOx7eNlUXKHGtk6ALtd3kSyKom_4xcAAP__", "2 attachment(s)")</f>
        <v>2 attachment(s)</v>
      </c>
      <c r="Y1526" t="inlineStr">
        <is>
          <t>Bank Transfer</t>
        </is>
      </c>
      <c r="Z1526" t="inlineStr">
        <is>
          <t>Jeremiah Montemayor Obial</t>
        </is>
      </c>
      <c r="AA1526" t="inlineStr">
        <is>
          <t>109427684740</t>
        </is>
      </c>
      <c r="AB1526" t="inlineStr">
        <is>
          <t>Unionbank</t>
        </is>
      </c>
      <c r="AC1526" t="inlineStr">
        <is>
          <t>18 Alfa Street North Fairview Park Subdivision</t>
        </is>
      </c>
      <c r="AD1526" s="4">
        <v>45969</v>
      </c>
      <c r="AE1526" t="inlineStr">
        <is>
          <t>1st Payment - Nov. 28, 2025
Final Payment - Dec. 12, 2025</t>
        </is>
      </c>
      <c r="AF1526" s="2"/>
      <c r="AG1526" t="inlineStr">
        <is>
          <t>NzQyNTk5MTgyNzQ4MTg3MDM0MTpGNjBEMzlFQi02MDUxLTQ1RDYtOEEwNC1CMkE2MDYyNDgxRjgtMTo0YjJmOTI5NTdiODBiNjQ3ZjRjZWIzMzYwMjBmOTgyNjox</t>
        </is>
      </c>
      <c r="AH1526" t="inlineStr">
        <is>
          <t>Jeremiah Montemayor Obial</t>
        </is>
      </c>
      <c r="AI1526"/>
      <c r="AJ1526" t="inlineStr">
        <is>
          <t>This is unbudgeted. To be charged to Playoffs CE.</t>
        </is>
      </c>
      <c r="AK1526"/>
    </row>
    <row r="1527" ht="25.5" customHeight="1">
      <c r="A1527" s="2" t="str">
        <f>=HYPERLINK("https://applink.larksuite.com/client/mini_program/open?appId=cli_9c7cc8a9a9edd105&amp;mode=appCenter&amp;path_pc=pc/pages/requested/index?instanceId=7576578515521294049&amp;source=bitable&amp;path=pages/detail/index?instanceId=7576578515521294049&amp;source=bitable", "202511250125")</f>
        <v>202511250125</v>
      </c>
      <c r="B1527" t="inlineStr">
        <is>
          <t>Approved</t>
        </is>
      </c>
      <c r="C1527" t="inlineStr">
        <is>
          <t>Procurement Order</t>
        </is>
      </c>
      <c r="D1527" s="3">
        <v>45986.690416666665</v>
      </c>
      <c r="E1527" s="3">
        <v>45988.55815972222</v>
      </c>
      <c r="F1527" t="inlineStr">
        <is>
          <t>Fatima Kathleen M. FLores</t>
        </is>
      </c>
      <c r="G1527" t="inlineStr">
        <is>
          <t>Procurement</t>
        </is>
      </c>
      <c r="H1527"/>
      <c r="I1527"/>
      <c r="J1527" t="inlineStr">
        <is>
          <t>Project</t>
        </is>
      </c>
      <c r="K1527" t="inlineStr">
        <is>
          <t>GG - Event Service</t>
        </is>
      </c>
      <c r="L1527" t="inlineStr">
        <is>
          <t>KIC 2025 - Group Stage &amp; Knockouts</t>
        </is>
      </c>
      <c r="M1527" t="inlineStr">
        <is>
          <t>2025TEG-P0286</t>
        </is>
      </c>
      <c r="N1527" t="inlineStr">
        <is>
          <t>Frances Angelita Arreglado</t>
        </is>
      </c>
      <c r="O1527" t="inlineStr">
        <is>
          <t>202511180048-Carla Andrea Calma Crespo-费用报销 - 副本 - 副本 - 副本-2025-11-18 06:12:28</t>
        </is>
      </c>
      <c r="P1527" t="inlineStr">
        <is>
          <t>YES</t>
        </is>
      </c>
      <c r="Q1527"/>
      <c r="R1527" t="inlineStr">
        <is>
          <t>YES</t>
        </is>
      </c>
      <c r="S1527" t="inlineStr">
        <is>
          <t>Outsourced Ushers</t>
        </is>
      </c>
      <c r="T1527">
        <v>1</v>
      </c>
      <c r="U1527">
        <v>48600</v>
      </c>
      <c r="V1527" t="inlineStr">
        <is>
          <t>PHP</t>
        </is>
      </c>
      <c r="W1527">
        <v>48600</v>
      </c>
      <c r="X1527" s="2" t="str">
        <f>=HYPERLINK("https://www.larksuite.com/approval/admin/previewAttachment?key=PMg9qgJBEATgK1X1z9T0u8xLXAaVXRNB3KDPLhiYfmMSYyZ9FKJoBbZSIzWTmUarQFRbUyqIcvV2rP8H37trt9txnvc1-3W9rO3JLJlBHuETAP9-7oqIqhH4Oj4BAAD__w", "2 attachment(s)")</f>
        <v>2 attachment(s)</v>
      </c>
      <c r="Y1527" t="inlineStr">
        <is>
          <t>Bank Transfer</t>
        </is>
      </c>
      <c r="Z1527" t="inlineStr">
        <is>
          <t>Marc Kevin Serrano</t>
        </is>
      </c>
      <c r="AA1527" t="inlineStr">
        <is>
          <t>1519218972</t>
        </is>
      </c>
      <c r="AB1527" t="inlineStr">
        <is>
          <t>BPI</t>
        </is>
      </c>
      <c r="AC1527" t="inlineStr">
        <is>
          <t>3 Don Guillermo Street, Barangay Holy Spirit, Commonwealth, Quezon City</t>
        </is>
      </c>
      <c r="AD1527" s="4">
        <v>45975</v>
      </c>
      <c r="AE1527" t="inlineStr">
        <is>
          <t>1st Payment - Nov. 28, 2025
Final Payment - Dec. 5, 2025</t>
        </is>
      </c>
      <c r="AF1527" s="2"/>
      <c r="AG1527" t="inlineStr">
        <is>
          <t>NzQyNTk5MTgyNzQ4MTg3MDM0MTpEMzcwRkNCNC01OTFDLTQ0RDctODQzOS00MkVEMzg5RjRENjgtMTo0MDA3NDBhYzU3OTE5NTRjNTRiYmFmYjA5Yjg4NGQwMDox</t>
        </is>
      </c>
      <c r="AH1527" t="inlineStr">
        <is>
          <t>Marc Kevin Serrano</t>
        </is>
      </c>
      <c r="AI1527"/>
      <c r="AJ1527" t="inlineStr">
        <is>
          <t>This is unbudgeted. To be charged to Playoffs CE.</t>
        </is>
      </c>
      <c r="AK1527"/>
    </row>
    <row r="1528" ht="25.5" customHeight="1">
      <c r="A1528" s="2" t="str">
        <f>=HYPERLINK("https://applink.larksuite.com/client/mini_program/open?appId=cli_9c7cc8a9a9edd105&amp;mode=appCenter&amp;path_pc=pc/pages/requested/index?instanceId=7576573403902037729&amp;source=bitable&amp;path=pages/detail/index?instanceId=7576573403902037729&amp;source=bitable", "202511250118")</f>
        <v>202511250118</v>
      </c>
      <c r="B1528" t="inlineStr">
        <is>
          <t>Approved</t>
        </is>
      </c>
      <c r="C1528" t="inlineStr">
        <is>
          <t>Procurement Order</t>
        </is>
      </c>
      <c r="D1528" s="3">
        <v>45986.67664351852</v>
      </c>
      <c r="E1528" s="3">
        <v>45988.549166666664</v>
      </c>
      <c r="F1528" t="inlineStr">
        <is>
          <t>Fatima Kathleen M. FLores</t>
        </is>
      </c>
      <c r="G1528" t="inlineStr">
        <is>
          <t>Procurement</t>
        </is>
      </c>
      <c r="H1528"/>
      <c r="I1528"/>
      <c r="J1528" t="inlineStr">
        <is>
          <t>Project</t>
        </is>
      </c>
      <c r="K1528" t="inlineStr">
        <is>
          <t>GG - Event Service</t>
        </is>
      </c>
      <c r="L1528" t="inlineStr">
        <is>
          <t>KIC 2025 - Group Stage &amp; Knockouts</t>
        </is>
      </c>
      <c r="M1528" t="inlineStr">
        <is>
          <t>2025TEG-P0286</t>
        </is>
      </c>
      <c r="N1528" t="inlineStr">
        <is>
          <t>Frances Angelita Arreglado</t>
        </is>
      </c>
      <c r="O1528" t="inlineStr">
        <is>
          <t>202511180047-Carla Andrea Calma Crespo-费用报销 - 副本 - 副本 - 副本-2025-11-18 06:10:42</t>
        </is>
      </c>
      <c r="P1528" t="inlineStr">
        <is>
          <t>YES</t>
        </is>
      </c>
      <c r="Q1528"/>
      <c r="R1528" t="inlineStr">
        <is>
          <t>YES</t>
        </is>
      </c>
      <c r="S1528" t="inlineStr">
        <is>
          <t>Outsourced Technical Assistant (Audio)</t>
        </is>
      </c>
      <c r="T1528">
        <v>1</v>
      </c>
      <c r="U1528">
        <v>14400</v>
      </c>
      <c r="V1528" t="inlineStr">
        <is>
          <t>PHP</t>
        </is>
      </c>
      <c r="W1528">
        <v>14400</v>
      </c>
      <c r="X1528" s="2" t="str">
        <f>=HYPERLINK("https://www.larksuite.com/approval/admin/previewAttachment?key=PMgxCgJRDATQK02SSebHy9i4LK4gCILa5OyChe2rZaiVFtVgmzdslKpUENFwhOQ9PiY1ZArNdt_Pbx4f3YJ5rO0hzOt62benZcsdCjIWADv9PUSyu4if4xsAAP__", "2 attachment(s)")</f>
        <v>2 attachment(s)</v>
      </c>
      <c r="Y1528" t="inlineStr">
        <is>
          <t>Bank Transfer</t>
        </is>
      </c>
      <c r="Z1528" t="inlineStr">
        <is>
          <t>John Benigno R. Magat</t>
        </is>
      </c>
      <c r="AA1528" t="inlineStr">
        <is>
          <t>046110005388</t>
        </is>
      </c>
      <c r="AB1528" t="inlineStr">
        <is>
          <t>PSBank</t>
        </is>
      </c>
      <c r="AC1528" t="inlineStr">
        <is>
          <t>228 Grissom st. Brgy Moonwalk Paranaque Metro Manila</t>
        </is>
      </c>
      <c r="AD1528" s="4">
        <v>45976</v>
      </c>
      <c r="AE1528" t="inlineStr">
        <is>
          <t>1st Payment - Nov. 28, 2025
Final Payment - Dec. 5, 2025</t>
        </is>
      </c>
      <c r="AF1528" s="2"/>
      <c r="AG1528" t="inlineStr">
        <is>
          <t>NzQyNTk5MTgyNzQ4MTg3MDM0MTpFRTMwMUI4QS1BMTFDLTQ1RUEtQTc2Qy0wQ0ZFN0I0MTk1NDgtMTozNDQ2NWNlMzFkODk4NjgxMWM5MmM1NTJkNGE2NTVkNzox</t>
        </is>
      </c>
      <c r="AH1528" t="inlineStr">
        <is>
          <t>John Benigno R. Magat</t>
        </is>
      </c>
      <c r="AI1528"/>
      <c r="AJ1528" t="inlineStr">
        <is>
          <t>This is unbudgeted.</t>
        </is>
      </c>
      <c r="AK1528"/>
    </row>
    <row r="1529" ht="25.5" customHeight="1">
      <c r="A1529" s="2" t="str">
        <f>=HYPERLINK("https://applink.larksuite.com/client/mini_program/open?appId=cli_9c7cc8a9a9edd105&amp;mode=appCenter&amp;path_pc=pc/pages/requested/index?instanceId=7576560758339702497&amp;source=bitable&amp;path=pages/detail/index?instanceId=7576560758339702497&amp;source=bitable", "202511250094")</f>
        <v>202511250094</v>
      </c>
      <c r="B1529" t="inlineStr">
        <is>
          <t>Approved</t>
        </is>
      </c>
      <c r="C1529" t="inlineStr">
        <is>
          <t>Procurement Order</t>
        </is>
      </c>
      <c r="D1529" s="3">
        <v>45986.64256944445</v>
      </c>
      <c r="E1529" s="3">
        <v>45988.54738425926</v>
      </c>
      <c r="F1529" t="inlineStr">
        <is>
          <t>Fatima Kathleen M. FLores</t>
        </is>
      </c>
      <c r="G1529" t="inlineStr">
        <is>
          <t>Procurement</t>
        </is>
      </c>
      <c r="H1529"/>
      <c r="I1529"/>
      <c r="J1529" t="inlineStr">
        <is>
          <t>Project</t>
        </is>
      </c>
      <c r="K1529" t="inlineStr">
        <is>
          <t>GG - Event Service</t>
        </is>
      </c>
      <c r="L1529" t="inlineStr">
        <is>
          <t>KIC 2025 - Group Stage &amp; Knockouts</t>
        </is>
      </c>
      <c r="M1529" t="inlineStr">
        <is>
          <t>2025TEG-P0286</t>
        </is>
      </c>
      <c r="N1529" t="inlineStr">
        <is>
          <t>Frances Angelita Arreglado</t>
        </is>
      </c>
      <c r="O1529" t="inlineStr">
        <is>
          <t>202511120112-Carla Andrea Calma Crespo-费用报销 - 副本 - 副本 - 副本-2025-11-12 10:02:43</t>
        </is>
      </c>
      <c r="P1529" t="inlineStr">
        <is>
          <t>YES</t>
        </is>
      </c>
      <c r="Q1529"/>
      <c r="R1529" t="inlineStr">
        <is>
          <t>YES</t>
        </is>
      </c>
      <c r="S1529" t="inlineStr">
        <is>
          <t>Outsourced PH Sound Engineer / Technical Assistant (Audio)</t>
        </is>
      </c>
      <c r="T1529">
        <v>1</v>
      </c>
      <c r="U1529">
        <v>77800</v>
      </c>
      <c r="V1529" t="inlineStr">
        <is>
          <t>PHP</t>
        </is>
      </c>
      <c r="W1529">
        <v>77800</v>
      </c>
      <c r="X1529" s="2" t="str">
        <f>=HYPERLINK("https://www.larksuite.com/approval/admin/previewAttachment?key=PMg5CgJBEAXQK_1af5eXMelmUAZNxC2oswsGk74cghwhlgUv0YI0gxkJxjArQr3Y2kIWKDT2um3n5_e6z3Xf3_YRm9Gvy9zWQ6KoCpq7DQByOtzo7lXp-Dt-AQAA__8", "2 attachment(s)")</f>
        <v>2 attachment(s)</v>
      </c>
      <c r="Y1529" t="inlineStr">
        <is>
          <t>Bank Transfer</t>
        </is>
      </c>
      <c r="Z1529" t="inlineStr">
        <is>
          <t>Joshua Vignesh U Narayan</t>
        </is>
      </c>
      <c r="AA1529" t="inlineStr">
        <is>
          <t>09686047871</t>
        </is>
      </c>
      <c r="AB1529" t="inlineStr">
        <is>
          <t>GCash</t>
        </is>
      </c>
      <c r="AC1529" t="inlineStr">
        <is>
          <t>Celadon Park Condominium, Felix Huertas Rd .Santa Cruz Manila</t>
        </is>
      </c>
      <c r="AD1529" s="4">
        <v>45958</v>
      </c>
      <c r="AE1529" t="inlineStr">
        <is>
          <t>1st Payment - Nov. 28, 2025
2nd Payment - Dec. 12, 2025
Final Payment - Dec. 26, 2025</t>
        </is>
      </c>
      <c r="AF1529" s="2"/>
      <c r="AG1529" t="inlineStr">
        <is>
          <t>NzQyNTk5MTgyNzQ4MTg3MDM0MTozMEY3OThEOC0yN0E2LTQxMUYtODA4OC1CMzg5NTlBQzRCRkItMTowYzQ0NGRiZWMzNzlhNWMwMTE0OGIyNDgwYTYyZGUyZjox</t>
        </is>
      </c>
      <c r="AH1529" t="inlineStr">
        <is>
          <t>Joshua Vignesh U Narayan</t>
        </is>
      </c>
      <c r="AI1529"/>
      <c r="AJ1529" t="inlineStr">
        <is>
          <t>LIQUIDITY PLAN (PAR # 202510290062 / 2025TEG-P0286)
1108 CE KIC GS+KO TAB &gt; BROADCAST TEAM &gt;
Technical Assistant (Audio)
PH Sound Engineer
Total Budget = Php 62,000.00
Actual Cost = Php 77,800.00
Balance = (Php 15,000.00) OVER BUDGET</t>
        </is>
      </c>
      <c r="AK1529"/>
    </row>
    <row r="1530" ht="25.5" customHeight="1">
      <c r="A1530" s="2" t="str">
        <f>=HYPERLINK("https://applink.larksuite.com/client/mini_program/open?appId=cli_9c7cc8a9a9edd105&amp;mode=appCenter&amp;path_pc=pc/pages/requested/index?instanceId=7576521766722342625&amp;source=bitable&amp;path=pages/detail/index?instanceId=7576521766722342625&amp;source=bitable", "202511250039")</f>
        <v>202511250039</v>
      </c>
      <c r="B1530" t="inlineStr">
        <is>
          <t>Approved</t>
        </is>
      </c>
      <c r="C1530" t="inlineStr">
        <is>
          <t>Procurement Order</t>
        </is>
      </c>
      <c r="D1530" s="3">
        <v>45986.53748842593</v>
      </c>
      <c r="E1530" s="3">
        <v>45988.541921296295</v>
      </c>
      <c r="F1530" t="inlineStr">
        <is>
          <t>Fatima Kathleen M. FLores</t>
        </is>
      </c>
      <c r="G1530" t="inlineStr">
        <is>
          <t>Procurement</t>
        </is>
      </c>
      <c r="H1530"/>
      <c r="I1530"/>
      <c r="J1530" t="inlineStr">
        <is>
          <t>Project</t>
        </is>
      </c>
      <c r="K1530" t="inlineStr">
        <is>
          <t>GG - Event Service</t>
        </is>
      </c>
      <c r="L1530" t="inlineStr">
        <is>
          <t>KIC 2025 - Group Stage &amp; Knockouts</t>
        </is>
      </c>
      <c r="M1530" t="inlineStr">
        <is>
          <t>2025TEG-P0286</t>
        </is>
      </c>
      <c r="N1530" t="inlineStr">
        <is>
          <t>Frances Angelita Arreglado</t>
        </is>
      </c>
      <c r="O1530" t="inlineStr">
        <is>
          <t>202511120029-Carla Andrea Calma Crespo-费用报销 - 副本 - 副本 - 副本-2025-11-12 03:33:58</t>
        </is>
      </c>
      <c r="P1530" t="inlineStr">
        <is>
          <t>YES</t>
        </is>
      </c>
      <c r="Q1530"/>
      <c r="R1530" t="inlineStr">
        <is>
          <t>YES</t>
        </is>
      </c>
      <c r="S1530" t="inlineStr">
        <is>
          <t>Outsourced Logistics Associates (Ingress)</t>
        </is>
      </c>
      <c r="T1530">
        <v>1</v>
      </c>
      <c r="U1530">
        <v>22500</v>
      </c>
      <c r="V1530" t="inlineStr">
        <is>
          <t>PHP</t>
        </is>
      </c>
      <c r="W1530">
        <v>22500</v>
      </c>
      <c r="X1530" s="2" t="str">
        <f>=HYPERLINK("https://www.larksuite.com/approval/admin/previewAttachment?key=PMg7jsJgDATgK40f4_m9l9mGKIIIKkRE47MjUdB-tQy1aFGNbPOGjaiim6rkHunlHB-TGjKFZnvs_-R54P5630gc0JzXy749jS13KDJjAbC_n4cys7sSX8cnAAD__w", "2 attachment(s)")</f>
        <v>2 attachment(s)</v>
      </c>
      <c r="Y1530" t="inlineStr">
        <is>
          <t>Bank Transfer</t>
        </is>
      </c>
      <c r="Z1530" t="inlineStr">
        <is>
          <t>Cristopher Garcia Borja</t>
        </is>
      </c>
      <c r="AA1530" t="inlineStr">
        <is>
          <t>09684415313</t>
        </is>
      </c>
      <c r="AB1530" t="inlineStr">
        <is>
          <t>GCash</t>
        </is>
      </c>
      <c r="AC1530" t="inlineStr">
        <is>
          <t>Blk 1b Extension samatadd tanigue st. Dagat-dagatan Caloocan City</t>
        </is>
      </c>
      <c r="AD1530" s="4">
        <v>45969</v>
      </c>
      <c r="AE1530" t="inlineStr">
        <is>
          <t>1st Payment - Nov. 28, 2025
2nd Payment - Dec. 5, 2025
Final Payment - Dec. 12, 2025</t>
        </is>
      </c>
      <c r="AF1530" s="2"/>
      <c r="AG1530" t="inlineStr">
        <is>
          <t>NzQyNTk5MTgyNzQ4MTg3MDM0MTo3NDVGMkQyMS03QkE3LTRBNjktQUJGNy1BM0M1MkQxNkNGRjgtMTpiMTRjNGMzOTAyNzljYzFlYzVhNjZjOTk4ZmQyYTc4MTox</t>
        </is>
      </c>
      <c r="AH1530" t="inlineStr">
        <is>
          <t>Cristopher Garcia Borja</t>
        </is>
      </c>
      <c r="AI1530"/>
      <c r="AJ1530" t="inlineStr">
        <is>
          <t>LIQUIDITY PLAN (PAR # 202510290062 / 2025TEG-P0286)
1108 CE KIC GS+KO TAB &gt; OPERATIONS TEAM &gt;
Logistics &gt;
Runners (Ingress - Main Stage)
Runners (Ingress - Carnival)
Runners (Event Days)
Total Remaining Budget = (Php 69,000.00) NEGATIVE
Actual Cost = Php 82,500.00
Balance = (Php 151,500.00) OVER BUDGET</t>
        </is>
      </c>
      <c r="AK1530"/>
    </row>
    <row r="1531" ht="25.5" customHeight="1">
      <c r="A1531" s="2" t="str">
        <f>=HYPERLINK("https://applink.larksuite.com/client/mini_program/open?appId=cli_9c7cc8a9a9edd105&amp;mode=appCenter&amp;path_pc=pc/pages/requested/index?instanceId=7576521766722342625&amp;source=bitable&amp;path=pages/detail/index?instanceId=7576521766722342625&amp;source=bitable", "202511250039")</f>
        <v>202511250039</v>
      </c>
      <c r="B1531" t="inlineStr">
        <is>
          <t>Approved</t>
        </is>
      </c>
      <c r="C1531" t="inlineStr">
        <is>
          <t>Procurement Order</t>
        </is>
      </c>
      <c r="D1531" s="3">
        <v>45986.53748842593</v>
      </c>
      <c r="E1531" s="3">
        <v>45988.541921296295</v>
      </c>
      <c r="F1531" t="inlineStr">
        <is>
          <t>Fatima Kathleen M. FLores</t>
        </is>
      </c>
      <c r="G1531" t="inlineStr">
        <is>
          <t>Procurement</t>
        </is>
      </c>
      <c r="H1531"/>
      <c r="I1531"/>
      <c r="J1531" t="inlineStr">
        <is>
          <t>Project</t>
        </is>
      </c>
      <c r="K1531" t="inlineStr">
        <is>
          <t>GG - Event Service</t>
        </is>
      </c>
      <c r="L1531" t="inlineStr">
        <is>
          <t>KIC 2025 - Group Stage &amp; Knockouts</t>
        </is>
      </c>
      <c r="M1531" t="inlineStr">
        <is>
          <t>2025TEG-P0286</t>
        </is>
      </c>
      <c r="N1531" t="inlineStr">
        <is>
          <t>Frances Angelita Arreglado</t>
        </is>
      </c>
      <c r="O1531" t="inlineStr">
        <is>
          <t>202511120029-Carla Andrea Calma Crespo-费用报销 - 副本 - 副本 - 副本-2025-11-12 03:33:58</t>
        </is>
      </c>
      <c r="P1531" t="inlineStr">
        <is>
          <t>YES</t>
        </is>
      </c>
      <c r="Q1531"/>
      <c r="R1531" t="inlineStr">
        <is>
          <t>YES</t>
        </is>
      </c>
      <c r="S1531" t="inlineStr">
        <is>
          <t>Outsourced Logistics Associates (Event Days)</t>
        </is>
      </c>
      <c r="T1531">
        <v>1</v>
      </c>
      <c r="U1531">
        <v>60000</v>
      </c>
      <c r="V1531" t="inlineStr">
        <is>
          <t>PHP</t>
        </is>
      </c>
      <c r="W1531">
        <v>60000</v>
      </c>
      <c r="X1531" s="2" t="str">
        <f>=HYPERLINK("https://www.larksuite.com/approval/admin/previewAttachment?key=PMg7igJhEATgK1X1q_7ey2ziMOigkTiY9NkFA9OvFlEr6dWIpjU4SlUaVSUzDyvLsaHUEOWa7bH_Z54H7q_3LRMHNOf1sm9PZssM8ghfAPj3c1dEdFfg6_wEAAD__w", "2 attachment(s)")</f>
        <v>2 attachment(s)</v>
      </c>
      <c r="Y1531"/>
      <c r="Z1531"/>
      <c r="AA1531"/>
      <c r="AB1531"/>
      <c r="AC1531"/>
      <c r="AD1531" s="4"/>
      <c r="AE1531"/>
      <c r="AF1531" s="2"/>
      <c r="AG1531" t="inlineStr">
        <is>
          <t>NzQyNTk5MTgyNzQ4MTg3MDM0MTo3NDVGMkQyMS03QkE3LTRBNjktQUJGNy1BM0M1MkQxNkNGRjgtMjphMmNkNzllMmM2NmFiYjVkMzRhOTlkNmE5Nzc4NGYzYzox</t>
        </is>
      </c>
      <c r="AH1531"/>
      <c r="AI1531"/>
      <c r="AJ1531" t="inlineStr">
        <is>
          <t>LIQUIDITY PLAN (PAR # 202510290062 / 2025TEG-P0286)
1108 CE KIC GS+KO TAB &gt; OPERATIONS TEAM &gt;
Logistics &gt;
Runners (Ingress - Main Stage)
Runners (Ingress - Carnival)
Runners (Event Days)
Total Remaining Budget = (Php 69,000.00) NEGATIVE
Actual Cost = Php 82,500.00
Balance = (Php 151,500.00) OVER BUDGET</t>
        </is>
      </c>
      <c r="AK1531"/>
    </row>
    <row r="1532" ht="25.5" customHeight="1">
      <c r="A1532" s="2" t="str">
        <f>=HYPERLINK("https://applink.larksuite.com/client/mini_program/open?appId=cli_9c7cc8a9a9edd105&amp;mode=appCenter&amp;path_pc=pc/pages/requested/index?instanceId=7576520768612257502&amp;source=bitable&amp;path=pages/detail/index?instanceId=7576520768612257502&amp;source=bitable", "202511250036")</f>
        <v>202511250036</v>
      </c>
      <c r="B1532" t="inlineStr">
        <is>
          <t>Approved</t>
        </is>
      </c>
      <c r="C1532" t="inlineStr">
        <is>
          <t>Procurement Order</t>
        </is>
      </c>
      <c r="D1532" s="3">
        <v>45986.53480324074</v>
      </c>
      <c r="E1532" s="3">
        <v>45988.54006944445</v>
      </c>
      <c r="F1532" t="inlineStr">
        <is>
          <t>Fatima Kathleen M. FLores</t>
        </is>
      </c>
      <c r="G1532" t="inlineStr">
        <is>
          <t>Procurement</t>
        </is>
      </c>
      <c r="H1532"/>
      <c r="I1532"/>
      <c r="J1532" t="inlineStr">
        <is>
          <t>Project</t>
        </is>
      </c>
      <c r="K1532" t="inlineStr">
        <is>
          <t>GG - Event Service</t>
        </is>
      </c>
      <c r="L1532" t="inlineStr">
        <is>
          <t>KIC 2025 - Group Stage &amp; Knockouts</t>
        </is>
      </c>
      <c r="M1532" t="inlineStr">
        <is>
          <t>2025TEG-P0286</t>
        </is>
      </c>
      <c r="N1532" t="inlineStr">
        <is>
          <t>Frances Angelita Arreglado</t>
        </is>
      </c>
      <c r="O1532" t="inlineStr">
        <is>
          <t>202511120029-Carla Andrea Calma Crespo-费用报销 - 副本 - 副本 - 副本-2025-11-12 03:33:58</t>
        </is>
      </c>
      <c r="P1532" t="inlineStr">
        <is>
          <t>YES</t>
        </is>
      </c>
      <c r="Q1532"/>
      <c r="R1532" t="inlineStr">
        <is>
          <t>YES</t>
        </is>
      </c>
      <c r="S1532" t="inlineStr">
        <is>
          <t>Outsourced Logistics Associates (Ingress)</t>
        </is>
      </c>
      <c r="T1532">
        <v>1</v>
      </c>
      <c r="U1532">
        <v>60000</v>
      </c>
      <c r="V1532" t="inlineStr">
        <is>
          <t>PHP</t>
        </is>
      </c>
      <c r="W1532">
        <v>60000</v>
      </c>
      <c r="X1532" s="2" t="str">
        <f>=HYPERLINK("https://www.larksuite.com/approval/admin/previewAttachment?key=PMg9CsJAFATgK828v9nnZWxcggQEQUyw2LMLFrZfDaJG0qsRTWtwKVVpUI2iWSphyxalhigfaz62K3Xm7PP5js-x776O-22bL2bLDPIIHwB4-bsrIror8HN8AwAA__8", "2 attachment(s)")</f>
        <v>2 attachment(s)</v>
      </c>
      <c r="Y1532" t="inlineStr">
        <is>
          <t>Bank Transfer</t>
        </is>
      </c>
      <c r="Z1532" t="inlineStr">
        <is>
          <t>RIC JACA</t>
        </is>
      </c>
      <c r="AA1532" t="inlineStr">
        <is>
          <t>09509516216</t>
        </is>
      </c>
      <c r="AB1532" t="inlineStr">
        <is>
          <t>GCash</t>
        </is>
      </c>
      <c r="AC1532" t="inlineStr">
        <is>
          <t>321 Sitio Langhaya Brgy. Dela Paz Antipolo Rizal</t>
        </is>
      </c>
      <c r="AD1532" s="4">
        <v>45969</v>
      </c>
      <c r="AE1532" t="inlineStr">
        <is>
          <t>1st Payment - Nov. 28, 2025
2nd Payment - Dec. 5, 2025
Final Payment - Dec. 12, 2025</t>
        </is>
      </c>
      <c r="AF1532" s="2"/>
      <c r="AG1532" t="inlineStr">
        <is>
          <t>NzQyNTk5MTgyNzQ4MTg3MDM0MTo4MDlGRDgyQy01QUFDLTRBNkMtOTNDMC1FOTJBMzQxQjU5MUEtMTo4YjlmMDE0OTlmODI5MDE0NzVlMWVmYTIwMDQ3OWZiYzox</t>
        </is>
      </c>
      <c r="AH1532" t="inlineStr">
        <is>
          <t>RIC JACA</t>
        </is>
      </c>
      <c r="AI1532"/>
      <c r="AJ1532" t="inlineStr">
        <is>
          <t>LIQUIDITY PLAN (PAR # 202510290062 / 2025TEG-P0286)
1108 CE KIC GS+KO TAB &gt; OPERATIONS TEAM &gt;
Logistics &gt;
Runners (Ingress - Main Stage)
Runners (Ingress - Carnival)
Runners (Event Days)
Total Remaining Budget = Php 51,000.00
Actual Cost = Php 120,000.00
Balance = (Php 69,000.00) OVER BUDGET</t>
        </is>
      </c>
      <c r="AK1532"/>
    </row>
    <row r="1533" ht="25.5" customHeight="1">
      <c r="A1533" s="2" t="str">
        <f>=HYPERLINK("https://applink.larksuite.com/client/mini_program/open?appId=cli_9c7cc8a9a9edd105&amp;mode=appCenter&amp;path_pc=pc/pages/requested/index?instanceId=7576520768612257502&amp;source=bitable&amp;path=pages/detail/index?instanceId=7576520768612257502&amp;source=bitable", "202511250036")</f>
        <v>202511250036</v>
      </c>
      <c r="B1533" t="inlineStr">
        <is>
          <t>Approved</t>
        </is>
      </c>
      <c r="C1533" t="inlineStr">
        <is>
          <t>Procurement Order</t>
        </is>
      </c>
      <c r="D1533" s="3">
        <v>45986.53480324074</v>
      </c>
      <c r="E1533" s="3">
        <v>45988.54006944445</v>
      </c>
      <c r="F1533" t="inlineStr">
        <is>
          <t>Fatima Kathleen M. FLores</t>
        </is>
      </c>
      <c r="G1533" t="inlineStr">
        <is>
          <t>Procurement</t>
        </is>
      </c>
      <c r="H1533"/>
      <c r="I1533"/>
      <c r="J1533" t="inlineStr">
        <is>
          <t>Project</t>
        </is>
      </c>
      <c r="K1533" t="inlineStr">
        <is>
          <t>GG - Event Service</t>
        </is>
      </c>
      <c r="L1533" t="inlineStr">
        <is>
          <t>KIC 2025 - Group Stage &amp; Knockouts</t>
        </is>
      </c>
      <c r="M1533" t="inlineStr">
        <is>
          <t>2025TEG-P0286</t>
        </is>
      </c>
      <c r="N1533" t="inlineStr">
        <is>
          <t>Frances Angelita Arreglado</t>
        </is>
      </c>
      <c r="O1533" t="inlineStr">
        <is>
          <t>202511120029-Carla Andrea Calma Crespo-费用报销 - 副本 - 副本 - 副本-2025-11-12 03:33:58</t>
        </is>
      </c>
      <c r="P1533" t="inlineStr">
        <is>
          <t>YES</t>
        </is>
      </c>
      <c r="Q1533"/>
      <c r="R1533" t="inlineStr">
        <is>
          <t>YES</t>
        </is>
      </c>
      <c r="S1533" t="inlineStr">
        <is>
          <t>Outsourced Logistics Associates (Event Days)</t>
        </is>
      </c>
      <c r="T1533">
        <v>1</v>
      </c>
      <c r="U1533">
        <v>60000</v>
      </c>
      <c r="V1533" t="inlineStr">
        <is>
          <t>PHP</t>
        </is>
      </c>
      <c r="W1533">
        <v>60000</v>
      </c>
      <c r="X1533" s="2" t="str">
        <f>=HYPERLINK("https://www.larksuite.com/approval/admin/previewAttachment?key=PMg9CsJAFATgK828v9nnZWxcggQEQUyw2LMLFrZfDaJG0qsRTWtwKVVpUI2iWSphyxalhigfaz62K3Xm7PP5js-x776O-22bL2bLDPIIHwB4-bsrIror8HN-AwAA__8", "2 attachment(s)")</f>
        <v>2 attachment(s)</v>
      </c>
      <c r="Y1533"/>
      <c r="Z1533"/>
      <c r="AA1533"/>
      <c r="AB1533"/>
      <c r="AC1533"/>
      <c r="AD1533" s="4"/>
      <c r="AE1533"/>
      <c r="AF1533" s="2"/>
      <c r="AG1533" t="inlineStr">
        <is>
          <t>NzQyNTk5MTgyNzQ4MTg3MDM0MTo4MDlGRDgyQy01QUFDLTRBNkMtOTNDMC1FOTJBMzQxQjU5MUEtMjowZTA0MmViNDFjNDk3MjBlYWQ0NDE4ZGFjYzBkZTdjODox</t>
        </is>
      </c>
      <c r="AH1533"/>
      <c r="AI1533"/>
      <c r="AJ1533" t="inlineStr">
        <is>
          <t>LIQUIDITY PLAN (PAR # 202510290062 / 2025TEG-P0286)
1108 CE KIC GS+KO TAB &gt; OPERATIONS TEAM &gt;
Logistics &gt;
Runners (Ingress - Main Stage)
Runners (Ingress - Carnival)
Runners (Event Days)
Total Remaining Budget = Php 51,000.00
Actual Cost = Php 120,000.00
Balance = (Php 69,000.00) OVER BUDGET</t>
        </is>
      </c>
      <c r="AK1533"/>
    </row>
    <row r="1534" ht="25.5" customHeight="1">
      <c r="A1534" s="2" t="str">
        <f>=HYPERLINK("https://applink.larksuite.com/client/mini_program/open?appId=cli_9c7cc8a9a9edd105&amp;mode=appCenter&amp;path_pc=pc/pages/requested/index?instanceId=7576517243924680413&amp;source=bitable&amp;path=pages/detail/index?instanceId=7576517243924680413&amp;source=bitable", "202511250030")</f>
        <v>202511250030</v>
      </c>
      <c r="B1534" t="inlineStr">
        <is>
          <t>Approved</t>
        </is>
      </c>
      <c r="C1534" t="inlineStr">
        <is>
          <t>Procurement Order</t>
        </is>
      </c>
      <c r="D1534" s="3">
        <v>45986.525300925925</v>
      </c>
      <c r="E1534" s="3">
        <v>45988.53741898148</v>
      </c>
      <c r="F1534" t="inlineStr">
        <is>
          <t>Fatima Kathleen M. FLores</t>
        </is>
      </c>
      <c r="G1534" t="inlineStr">
        <is>
          <t>Procurement</t>
        </is>
      </c>
      <c r="H1534"/>
      <c r="I1534"/>
      <c r="J1534" t="inlineStr">
        <is>
          <t>Project</t>
        </is>
      </c>
      <c r="K1534" t="inlineStr">
        <is>
          <t>GG - Event Service</t>
        </is>
      </c>
      <c r="L1534" t="inlineStr">
        <is>
          <t>KIC 2025 - Group Stage &amp; Knockouts</t>
        </is>
      </c>
      <c r="M1534" t="inlineStr">
        <is>
          <t>2025TEG-P0286</t>
        </is>
      </c>
      <c r="N1534" t="inlineStr">
        <is>
          <t>Frances Angelita Arreglado</t>
        </is>
      </c>
      <c r="O1534" t="inlineStr">
        <is>
          <t>202511120025-Carla Andrea Calma Crespo-费用报销 - 副本 - 副本 - 副本-2025-11-12 03:22:01</t>
        </is>
      </c>
      <c r="P1534" t="inlineStr">
        <is>
          <t>YES</t>
        </is>
      </c>
      <c r="Q1534"/>
      <c r="R1534" t="inlineStr">
        <is>
          <t>YES</t>
        </is>
      </c>
      <c r="S1534" t="inlineStr">
        <is>
          <t>Outsourced Statsman</t>
        </is>
      </c>
      <c r="T1534">
        <v>1</v>
      </c>
      <c r="U1534">
        <v>35000</v>
      </c>
      <c r="V1534" t="inlineStr">
        <is>
          <t>PHP</t>
        </is>
      </c>
      <c r="W1534">
        <v>35000</v>
      </c>
      <c r="X1534" s="2" t="str">
        <f>=HYPERLINK("https://www.larksuite.com/approval/admin/previewAttachment?key=PMgxCsJQEATQK83szt_562VsDEEi2gix-mcXLGxfTaLmYFZDzWhwebgGHcoO1YSYKxbthumca3vuVzNex2EMxMnPY5332769OdoRcEo5AfDy97Sk7hJ-jm8AAAD__w", "2 attachment(s)")</f>
        <v>2 attachment(s)</v>
      </c>
      <c r="Y1534" t="inlineStr">
        <is>
          <t>Bank Transfer</t>
        </is>
      </c>
      <c r="Z1534" t="inlineStr">
        <is>
          <t>Alvin Roxas Fellizar</t>
        </is>
      </c>
      <c r="AA1534" t="inlineStr">
        <is>
          <t>1094 3083 3213</t>
        </is>
      </c>
      <c r="AB1534" t="inlineStr">
        <is>
          <t>Unionbank</t>
        </is>
      </c>
      <c r="AC1534" t="inlineStr">
        <is>
          <t>35k Villa-villa St. New Lower Bicutan, Taguig</t>
        </is>
      </c>
      <c r="AD1534" s="4">
        <v>45975</v>
      </c>
      <c r="AE1534" t="inlineStr">
        <is>
          <t>1st Payment - Nov. 28, 2025
Final Payment - Dec. 5, 2025</t>
        </is>
      </c>
      <c r="AF1534" s="2"/>
      <c r="AG1534" t="inlineStr">
        <is>
          <t>NzQyNTk5MTgyNzQ4MTg3MDM0MTo0QjdBQjE4NS1DNzMwLTRDRTYtOEMzNy03NzVCQ0Q4QTM5MEYtMTpiODZhMTdkODJjNTIxN2I1MWVjMTkxMzZkZmQyNjcxNTox</t>
        </is>
      </c>
      <c r="AH1534" t="inlineStr">
        <is>
          <t>Alvin Roxas Fellizar</t>
        </is>
      </c>
      <c r="AI1534"/>
      <c r="AJ1534" t="inlineStr">
        <is>
          <t>LIQUIDITY PLAN (PAR # 202510290062 / 2025TEG-P0286)
1108 CE KIC GS+KO TAB &gt; BROADCAST TEAM &gt;
Statsman
Total Budget = Php 30,000.00
Actual Cost = Php 35,000.00
Balance = (Php 5,000.00) OVER BUDGET</t>
        </is>
      </c>
      <c r="AK1534"/>
    </row>
    <row r="1535" ht="25.5" customHeight="1">
      <c r="A1535" s="2" t="str">
        <f>=HYPERLINK("https://applink.larksuite.com/client/mini_program/open?appId=cli_9c7cc8a9a9edd105&amp;mode=appCenter&amp;path_pc=pc/pages/requested/index?instanceId=7576243328316903136&amp;source=bitable&amp;path=pages/detail/index?instanceId=7576243328316903136&amp;source=bitable", "202511240111")</f>
        <v>202511240111</v>
      </c>
      <c r="B1535" t="inlineStr">
        <is>
          <t>Approved</t>
        </is>
      </c>
      <c r="C1535" t="inlineStr">
        <is>
          <t>Procurement Order</t>
        </is>
      </c>
      <c r="D1535" s="3">
        <v>45985.787152777775</v>
      </c>
      <c r="E1535" s="3">
        <v>45988.53597222222</v>
      </c>
      <c r="F1535" t="inlineStr">
        <is>
          <t>Fatima Kathleen M. FLores</t>
        </is>
      </c>
      <c r="G1535" t="inlineStr">
        <is>
          <t>Procurement</t>
        </is>
      </c>
      <c r="H1535"/>
      <c r="I1535"/>
      <c r="J1535" t="inlineStr">
        <is>
          <t>Project</t>
        </is>
      </c>
      <c r="K1535" t="inlineStr">
        <is>
          <t>GG - Event Service</t>
        </is>
      </c>
      <c r="L1535" t="inlineStr">
        <is>
          <t>KIC 2025 - Group Stage &amp; Knockouts</t>
        </is>
      </c>
      <c r="M1535" t="inlineStr">
        <is>
          <t>2025TEG-P0286</t>
        </is>
      </c>
      <c r="N1535" t="inlineStr">
        <is>
          <t>Frances Angelita Arreglado</t>
        </is>
      </c>
      <c r="O1535" t="inlineStr">
        <is>
          <t>202511110017-Carla Andrea Calma Crespo-费用报销 - 副本 - 副本 - 副本-2025-11-11 03:03:55</t>
        </is>
      </c>
      <c r="P1535" t="inlineStr">
        <is>
          <t>YES</t>
        </is>
      </c>
      <c r="Q1535"/>
      <c r="R1535" t="inlineStr">
        <is>
          <t>YES</t>
        </is>
      </c>
      <c r="S1535" t="inlineStr">
        <is>
          <t>Outsourced Road Manager (For FIL Talents)</t>
        </is>
      </c>
      <c r="T1535">
        <v>1</v>
      </c>
      <c r="U1535">
        <v>33400</v>
      </c>
      <c r="V1535" t="inlineStr">
        <is>
          <t>PHP</t>
        </is>
      </c>
      <c r="W1535">
        <v>33400</v>
      </c>
      <c r="X1535" s="2" t="str">
        <f>=HYPERLINK("https://www.larksuite.com/approval/admin/previewAttachment?key=PMgxCgJBDAXQK_3kZ5L5XsZml0HEAUHYLmcXLGxfTkPOYUwhZC5Y16j0IH3SUqAx29uqhLLi7HOv-xjX0j72S1x4P_t6HOv82FC5oxjBCcBuf2dFhJSBn-MbAAD__w", "2 attachment(s)")</f>
        <v>2 attachment(s)</v>
      </c>
      <c r="Y1535" t="inlineStr">
        <is>
          <t>Bank Transfer</t>
        </is>
      </c>
      <c r="Z1535" t="inlineStr">
        <is>
          <t>Ana Carmina Sucayan</t>
        </is>
      </c>
      <c r="AA1535" t="inlineStr">
        <is>
          <t>109324955047</t>
        </is>
      </c>
      <c r="AB1535" t="inlineStr">
        <is>
          <t>Unionbank</t>
        </is>
      </c>
      <c r="AC1535" t="inlineStr">
        <is>
          <t>Apitong St. Bernarty Subdivision, Brgy, Bagbag, Novaliches, Quezon City</t>
        </is>
      </c>
      <c r="AD1535" s="4">
        <v>45968</v>
      </c>
      <c r="AE1535" t="inlineStr">
        <is>
          <t>1st Payment - Nov. 28, 2025
Final Payment - Dec. 12, 2025</t>
        </is>
      </c>
      <c r="AF1535" s="2"/>
      <c r="AG1535" t="inlineStr">
        <is>
          <t>NzQyNTk5MTgyNzQ4MTg3MDM0MTpFRkJBNzk1Qy1BQ0NFLTQyRDYtQUFCRi00MkJDQzg0MTU3MTgtMToyODg5YWJlZjg5YmM2MTQ3OGMxZTcyNzkzYWNlZmJhNjox</t>
        </is>
      </c>
      <c r="AH1535" t="inlineStr">
        <is>
          <t>Ana Carmina Sucayan</t>
        </is>
      </c>
      <c r="AI1535"/>
      <c r="AJ1535" t="inlineStr">
        <is>
          <t>LIQUIDITY PLAN (PAR # 202510290062 / 2025TEG-P0286)
1108 CE KIC GS+KO TAB &gt; OPERATIONS TEAM &gt;
Talent Management &gt; Road Manager
Total Budget = Php 25,000.00
Actual Cost = Php 33,400.00
Balance = (Php 8,400.00) OVER BUDGET</t>
        </is>
      </c>
      <c r="AK1535"/>
    </row>
    <row r="1536" ht="25.5" customHeight="1">
      <c r="A1536" s="2" t="str">
        <f>=HYPERLINK("https://applink.larksuite.com/client/mini_program/open?appId=cli_9c7cc8a9a9edd105&amp;mode=appCenter&amp;path_pc=pc/pages/requested/index?instanceId=7577253515492396765&amp;source=bitable&amp;path=pages/detail/index?instanceId=7577253515492396765&amp;source=bitable", "202511270057")</f>
        <v>202511270057</v>
      </c>
      <c r="B1536" t="inlineStr">
        <is>
          <t>Approved</t>
        </is>
      </c>
      <c r="C1536" t="inlineStr">
        <is>
          <t>Procurement Order</t>
        </is>
      </c>
      <c r="D1536" s="3">
        <v>45988.509409722225</v>
      </c>
      <c r="E1536" s="3">
        <v>46007.584131944444</v>
      </c>
      <c r="F1536" t="inlineStr">
        <is>
          <t>Fatima Kathleen M. FLores</t>
        </is>
      </c>
      <c r="G1536" t="inlineStr">
        <is>
          <t>Procurement</t>
        </is>
      </c>
      <c r="H1536"/>
      <c r="I1536"/>
      <c r="J1536" t="inlineStr">
        <is>
          <t>GAE</t>
        </is>
      </c>
      <c r="K1536"/>
      <c r="L1536"/>
      <c r="M1536"/>
      <c r="N1536"/>
      <c r="O1536" t="inlineStr">
        <is>
          <t>202511260017-Rachel Anne Aquino-费用报销 - 副本 - 副本 - 副本-2025-11-26 03:17:18</t>
        </is>
      </c>
      <c r="P1536"/>
      <c r="Q1536" t="inlineStr">
        <is>
          <t>Mineski PH</t>
        </is>
      </c>
      <c r="R1536"/>
      <c r="S1536" t="inlineStr">
        <is>
          <t>Google Workspace Subscription / Business Standard Edition - 143 users Renewal (36 months)</t>
        </is>
      </c>
      <c r="T1536">
        <v>1</v>
      </c>
      <c r="U1536">
        <v>80720.64</v>
      </c>
      <c r="V1536" t="inlineStr">
        <is>
          <t>USD</t>
        </is>
      </c>
      <c r="W1536">
        <v>80720.64</v>
      </c>
      <c r="X1536" s="2" t="str">
        <f>=HYPERLINK("https://www.larksuite.com/approval/admin/previewAttachment?key=PMg9CsJAFATgK828v9nnZWwMwSIBQcja7NkFC9uvBlEj6dWIpjW4lJKlJzPavEuVyxalhigfazv3OzXzmGHXcb78M9b1fOzbm9kygzzCBwDe_u6KiO4K_BzfAAAA__8", "2 attachment(s)")</f>
        <v>2 attachment(s)</v>
      </c>
      <c r="Y1536" t="inlineStr">
        <is>
          <t>Bank Transfer</t>
        </is>
      </c>
      <c r="Z1536" t="inlineStr">
        <is>
          <t>Kollab Inc.</t>
        </is>
      </c>
      <c r="AA1536" t="inlineStr">
        <is>
          <t>0018-6000-1959</t>
        </is>
      </c>
      <c r="AB1536" t="inlineStr">
        <is>
          <t>UnionBank of the Philippines</t>
        </is>
      </c>
      <c r="AC1536" t="inlineStr">
        <is>
          <t>G/F, Unit 18, BSA Twin Towers, Bank Drive, Ortigas Center Mandaluyong City</t>
        </is>
      </c>
      <c r="AD1536" s="4">
        <v>45625</v>
      </c>
      <c r="AE1536" t="inlineStr">
        <is>
          <t>Coverage: Nov. 29 to Nov. 28, 2028
Monthly Billing</t>
        </is>
      </c>
      <c r="AF1536" s="2"/>
      <c r="AG1536" t="inlineStr">
        <is>
          <t>NzQyNTk5MTgyNzQ4MTg3MDM0MTo2NjM2OTZCNi03N0U4LTQ3NUMtOENFRS00QjBERjJCM0RFMjgtMToyZDU4OWViZWQ5YTQxYjA5MGY2Mzk1NGQ5NDM5ODZiZDox</t>
        </is>
      </c>
      <c r="AH1536" t="inlineStr">
        <is>
          <t>Kollab Inc.</t>
        </is>
      </c>
      <c r="AI1536"/>
      <c r="AJ1536"/>
      <c r="AK1536"/>
    </row>
    <row r="1537" ht="25.5" customHeight="1">
      <c r="A1537" s="2" t="str">
        <f>=HYPERLINK("https://applink.larksuite.com/client/mini_program/open?appId=cli_9c7cc8a9a9edd105&amp;mode=appCenter&amp;path_pc=pc/pages/requested/index?instanceId=7577249082868010717&amp;source=bitable&amp;path=pages/detail/index?instanceId=7577249082868010717&amp;source=bitable", "202511270051")</f>
        <v>202511270051</v>
      </c>
      <c r="B1537" t="inlineStr">
        <is>
          <t>Approved</t>
        </is>
      </c>
      <c r="C1537" t="inlineStr">
        <is>
          <t>Procurement Order</t>
        </is>
      </c>
      <c r="D1537" s="3">
        <v>45988.497465277775</v>
      </c>
      <c r="E1537" s="3">
        <v>45988.5984375</v>
      </c>
      <c r="F1537" t="inlineStr">
        <is>
          <t>Fatima Kathleen M. FLores</t>
        </is>
      </c>
      <c r="G1537" t="inlineStr">
        <is>
          <t>Procurement</t>
        </is>
      </c>
      <c r="H1537"/>
      <c r="I1537"/>
      <c r="J1537" t="inlineStr">
        <is>
          <t>Project</t>
        </is>
      </c>
      <c r="K1537" t="inlineStr">
        <is>
          <t>GG - Event Service</t>
        </is>
      </c>
      <c r="L1537" t="inlineStr">
        <is>
          <t>KIC 2025 - Playoffs</t>
        </is>
      </c>
      <c r="M1537" t="inlineStr">
        <is>
          <t>2025TEG-P0321</t>
        </is>
      </c>
      <c r="N1537" t="inlineStr">
        <is>
          <t>Carla Andrea Calma Crespo</t>
        </is>
      </c>
      <c r="O1537" t="inlineStr">
        <is>
          <t>202511260177-Carla Andrea Calma Crespo-费用报销 - 副本 - 副本 - 副本-2025-11-26 15:59:54</t>
        </is>
      </c>
      <c r="P1537" t="inlineStr">
        <is>
          <t>NO</t>
        </is>
      </c>
      <c r="Q1537"/>
      <c r="R1537" t="inlineStr">
        <is>
          <t>YES</t>
        </is>
      </c>
      <c r="S1537" t="inlineStr">
        <is>
          <t>Roller Blinds (Black Out) - 55x84</t>
        </is>
      </c>
      <c r="T1537">
        <v>4</v>
      </c>
      <c r="U1537">
        <v>6900</v>
      </c>
      <c r="V1537" t="inlineStr">
        <is>
          <t>PHP</t>
        </is>
      </c>
      <c r="W1537">
        <v>27600</v>
      </c>
      <c r="X1537" s="2"/>
      <c r="Y1537" t="inlineStr">
        <is>
          <t>Bank Transfer</t>
        </is>
      </c>
      <c r="Z1537" t="inlineStr">
        <is>
          <t>ARIEL F. ALVAREZ</t>
        </is>
      </c>
      <c r="AA1537" t="inlineStr">
        <is>
          <t>010520133749</t>
        </is>
      </c>
      <c r="AB1537" t="inlineStr">
        <is>
          <t>BDO</t>
        </is>
      </c>
      <c r="AC1537" t="inlineStr">
        <is>
          <t>51 Libis St., Kaybiten, San Gabriel, Santa Maria Bulacan</t>
        </is>
      </c>
      <c r="AD1537" s="4">
        <v>45988</v>
      </c>
      <c r="AE1537" t="inlineStr">
        <is>
          <t>50% Down payment upon confirmation
50% Final payment upon completion of installation</t>
        </is>
      </c>
      <c r="AF1537" s="2" t="str">
        <f>=HYPERLINK("https://www.larksuite.com/approval/admin/previewAttachment?key=TMg5qgJREAXQLd1bc_3N_KSbh-CQiC0GtXbRyOxwoogop0bDmtLgpGeKNUoqCkQyR4aZ_aHW7Nf1L8fztT1uOHtelvocp23td0ZpwNrN2AD49_MkujT0-3gHAAD__w", "2 attachment(s)")</f>
        <v>2 attachment(s)</v>
      </c>
      <c r="AG1537" t="inlineStr">
        <is>
          <t>NzQyNTk5MTgyNzQ4MTg3MDM0MTpENzFEN0EwNS00QzJBLTRDMTItOTAzNy04RjE1NDRDREZEODYtMTpiOWY3ODEwZGNjZjI2OWNhMjQ2MTc1NGIzZTRiYzI0Nzox</t>
        </is>
      </c>
      <c r="AH1537" t="inlineStr">
        <is>
          <t>4 A'S KOREAN BLINDS WINDOW BLINDS INSTALLATION SERVICES</t>
        </is>
      </c>
      <c r="AI1537"/>
      <c r="AJ1537" t="inlineStr">
        <is>
          <t>No line item in internal CE. Unbudgeted</t>
        </is>
      </c>
      <c r="AK1537"/>
    </row>
    <row r="1538" ht="25.5" customHeight="1">
      <c r="A1538" s="2" t="str">
        <f>=HYPERLINK("https://applink.larksuite.com/client/mini_program/open?appId=cli_9c7cc8a9a9edd105&amp;mode=appCenter&amp;path_pc=pc/pages/requested/index?instanceId=7577249082868010717&amp;source=bitable&amp;path=pages/detail/index?instanceId=7577249082868010717&amp;source=bitable", "202511270051")</f>
        <v>202511270051</v>
      </c>
      <c r="B1538" t="inlineStr">
        <is>
          <t>Approved</t>
        </is>
      </c>
      <c r="C1538" t="inlineStr">
        <is>
          <t>Procurement Order</t>
        </is>
      </c>
      <c r="D1538" s="3">
        <v>45988.497465277775</v>
      </c>
      <c r="E1538" s="3">
        <v>45988.5984375</v>
      </c>
      <c r="F1538" t="inlineStr">
        <is>
          <t>Fatima Kathleen M. FLores</t>
        </is>
      </c>
      <c r="G1538" t="inlineStr">
        <is>
          <t>Procurement</t>
        </is>
      </c>
      <c r="H1538"/>
      <c r="I1538"/>
      <c r="J1538" t="inlineStr">
        <is>
          <t>Project</t>
        </is>
      </c>
      <c r="K1538" t="inlineStr">
        <is>
          <t>GG - Event Service</t>
        </is>
      </c>
      <c r="L1538" t="inlineStr">
        <is>
          <t>KIC 2025 - Playoffs</t>
        </is>
      </c>
      <c r="M1538" t="inlineStr">
        <is>
          <t>2025TEG-P0321</t>
        </is>
      </c>
      <c r="N1538" t="inlineStr">
        <is>
          <t>Carla Andrea Calma Crespo</t>
        </is>
      </c>
      <c r="O1538" t="inlineStr">
        <is>
          <t>202511260177-Carla Andrea Calma Crespo-费用报销 - 副本 - 副本 - 副本-2025-11-26 15:59:54</t>
        </is>
      </c>
      <c r="P1538" t="inlineStr">
        <is>
          <t>NO</t>
        </is>
      </c>
      <c r="Q1538"/>
      <c r="R1538" t="inlineStr">
        <is>
          <t>YES</t>
        </is>
      </c>
      <c r="S1538" t="inlineStr">
        <is>
          <t>Roller Blinds (Black Out) - 36x84</t>
        </is>
      </c>
      <c r="T1538">
        <v>6</v>
      </c>
      <c r="U1538">
        <v>4391.6666</v>
      </c>
      <c r="V1538" t="inlineStr">
        <is>
          <t>PHP</t>
        </is>
      </c>
      <c r="W1538">
        <v>26350</v>
      </c>
      <c r="X1538" s="2"/>
      <c r="Y1538"/>
      <c r="Z1538"/>
      <c r="AA1538"/>
      <c r="AB1538"/>
      <c r="AC1538"/>
      <c r="AD1538" s="4"/>
      <c r="AE1538"/>
      <c r="AF1538" s="2"/>
      <c r="AG1538" t="inlineStr">
        <is>
          <t>NzQyNTk5MTgyNzQ4MTg3MDM0MTpENzFEN0EwNS00QzJBLTRDMTItOTAzNy04RjE1NDRDREZEODYtMjo5YmRmNTg5OWM5Zjg1OTlmZTg5YzE1YjY3M2VjMjc2Yzox</t>
        </is>
      </c>
      <c r="AH1538"/>
      <c r="AI1538"/>
      <c r="AJ1538" t="inlineStr">
        <is>
          <t>No line item in internal CE. Unbudgeted</t>
        </is>
      </c>
      <c r="AK1538"/>
    </row>
    <row r="1539" ht="25.5" customHeight="1">
      <c r="A1539" s="2" t="str">
        <f>=HYPERLINK("https://applink.larksuite.com/client/mini_program/open?appId=cli_9c7cc8a9a9edd105&amp;mode=appCenter&amp;path_pc=pc/pages/requested/index?instanceId=7577249082868010717&amp;source=bitable&amp;path=pages/detail/index?instanceId=7577249082868010717&amp;source=bitable", "202511270051")</f>
        <v>202511270051</v>
      </c>
      <c r="B1539" t="inlineStr">
        <is>
          <t>Approved</t>
        </is>
      </c>
      <c r="C1539" t="inlineStr">
        <is>
          <t>Procurement Order</t>
        </is>
      </c>
      <c r="D1539" s="3">
        <v>45988.497465277775</v>
      </c>
      <c r="E1539" s="3">
        <v>45988.5984375</v>
      </c>
      <c r="F1539" t="inlineStr">
        <is>
          <t>Fatima Kathleen M. FLores</t>
        </is>
      </c>
      <c r="G1539" t="inlineStr">
        <is>
          <t>Procurement</t>
        </is>
      </c>
      <c r="H1539"/>
      <c r="I1539"/>
      <c r="J1539" t="inlineStr">
        <is>
          <t>Project</t>
        </is>
      </c>
      <c r="K1539" t="inlineStr">
        <is>
          <t>GG - Event Service</t>
        </is>
      </c>
      <c r="L1539" t="inlineStr">
        <is>
          <t>KIC 2025 - Playoffs</t>
        </is>
      </c>
      <c r="M1539" t="inlineStr">
        <is>
          <t>2025TEG-P0321</t>
        </is>
      </c>
      <c r="N1539" t="inlineStr">
        <is>
          <t>Carla Andrea Calma Crespo</t>
        </is>
      </c>
      <c r="O1539" t="inlineStr">
        <is>
          <t>202511260177-Carla Andrea Calma Crespo-费用报销 - 副本 - 副本 - 副本-2025-11-26 15:59:54</t>
        </is>
      </c>
      <c r="P1539" t="inlineStr">
        <is>
          <t>NO</t>
        </is>
      </c>
      <c r="Q1539"/>
      <c r="R1539" t="inlineStr">
        <is>
          <t>YES</t>
        </is>
      </c>
      <c r="S1539" t="inlineStr">
        <is>
          <t>Installation and Delivery</t>
        </is>
      </c>
      <c r="T1539">
        <v>1</v>
      </c>
      <c r="U1539">
        <v>5000</v>
      </c>
      <c r="V1539" t="inlineStr">
        <is>
          <t>PHP</t>
        </is>
      </c>
      <c r="W1539">
        <v>5000</v>
      </c>
      <c r="X1539" s="2" t="str">
        <f>=HYPERLINK("https://www.larksuite.com/approval/admin/previewAttachment?key=PMg5qgJREAXQLd0ab9XfzE-6eQgOidhiUGsXDcwOJ0uQFWLZ8BZtyDBI9UZpZUFA4egI2R9azX5d_3o8X9vjhnPwsizmOG1rv0s0VUFztwIgf783unt3Or6v7wAAAP__", "2 attachment(s)")</f>
        <v>2 attachment(s)</v>
      </c>
      <c r="Y1539"/>
      <c r="Z1539"/>
      <c r="AA1539"/>
      <c r="AB1539"/>
      <c r="AC1539"/>
      <c r="AD1539" s="4"/>
      <c r="AE1539"/>
      <c r="AF1539" s="2"/>
      <c r="AG1539" t="inlineStr">
        <is>
          <t>NzQyNTk5MTgyNzQ4MTg3MDM0MTpENzFEN0EwNS00QzJBLTRDMTItOTAzNy04RjE1NDRDREZEODYtMzozNDA4YzA3NmFhZDU5ZjUzNjdjYzgxZTlmMWVjMDNiNDox</t>
        </is>
      </c>
      <c r="AH1539"/>
      <c r="AI1539"/>
      <c r="AJ1539" t="inlineStr">
        <is>
          <t>No line item in internal CE. Unbudgeted</t>
        </is>
      </c>
      <c r="AK1539"/>
    </row>
    <row r="1540" ht="25.5" customHeight="1">
      <c r="A1540" s="2" t="str">
        <f>=HYPERLINK("https://applink.larksuite.com/client/mini_program/open?appId=cli_9c7cc8a9a9edd105&amp;mode=appCenter&amp;path_pc=pc/pages/requested/index?instanceId=7577249082868010717&amp;source=bitable&amp;path=pages/detail/index?instanceId=7577249082868010717&amp;source=bitable", "202511270051")</f>
        <v>202511270051</v>
      </c>
      <c r="B1540" t="inlineStr">
        <is>
          <t>Approved</t>
        </is>
      </c>
      <c r="C1540" t="inlineStr">
        <is>
          <t>Procurement Order</t>
        </is>
      </c>
      <c r="D1540" s="3">
        <v>45988.497465277775</v>
      </c>
      <c r="E1540" s="3">
        <v>45988.5984375</v>
      </c>
      <c r="F1540" t="inlineStr">
        <is>
          <t>Fatima Kathleen M. FLores</t>
        </is>
      </c>
      <c r="G1540" t="inlineStr">
        <is>
          <t>Procurement</t>
        </is>
      </c>
      <c r="H1540"/>
      <c r="I1540"/>
      <c r="J1540" t="inlineStr">
        <is>
          <t>Project</t>
        </is>
      </c>
      <c r="K1540" t="inlineStr">
        <is>
          <t>GG - Event Service</t>
        </is>
      </c>
      <c r="L1540" t="inlineStr">
        <is>
          <t>KIC 2025 - Playoffs</t>
        </is>
      </c>
      <c r="M1540" t="inlineStr">
        <is>
          <t>2025TEG-P0321</t>
        </is>
      </c>
      <c r="N1540" t="inlineStr">
        <is>
          <t>Carla Andrea Calma Crespo</t>
        </is>
      </c>
      <c r="O1540" t="inlineStr">
        <is>
          <t>202511260177-Carla Andrea Calma Crespo-费用报销 - 副本 - 副本 - 副本-2025-11-26 15:59:54</t>
        </is>
      </c>
      <c r="P1540" t="inlineStr">
        <is>
          <t>NO</t>
        </is>
      </c>
      <c r="Q1540"/>
      <c r="R1540" t="inlineStr">
        <is>
          <t>YES</t>
        </is>
      </c>
      <c r="S1540" t="inlineStr">
        <is>
          <t>Discount</t>
        </is>
      </c>
      <c r="T1540">
        <v>1</v>
      </c>
      <c r="U1540">
        <v>-3950</v>
      </c>
      <c r="V1540" t="inlineStr">
        <is>
          <t>PHP</t>
        </is>
      </c>
      <c r="W1540">
        <v>-3950</v>
      </c>
      <c r="X1540" s="2"/>
      <c r="Y1540"/>
      <c r="Z1540"/>
      <c r="AA1540"/>
      <c r="AB1540"/>
      <c r="AC1540"/>
      <c r="AD1540" s="4"/>
      <c r="AE1540"/>
      <c r="AF1540" s="2"/>
      <c r="AG1540" t="inlineStr">
        <is>
          <t>NzQyNTk5MTgyNzQ4MTg3MDM0MTpENzFEN0EwNS00QzJBLTRDMTItOTAzNy04RjE1NDRDREZEODYtNDo4Y2JkYmY5YzllODVkZTEyM2ZlODc0ZGYyZjdkNGNjNDox</t>
        </is>
      </c>
      <c r="AH1540"/>
      <c r="AI1540"/>
      <c r="AJ1540" t="inlineStr">
        <is>
          <t>No line item in internal CE. Unbudgeted</t>
        </is>
      </c>
      <c r="AK1540"/>
    </row>
    <row r="1541" ht="25.5" customHeight="1">
      <c r="A1541" s="2" t="str">
        <f>=HYPERLINK("https://applink.larksuite.com/client/mini_program/open?appId=cli_9c7cc8a9a9edd105&amp;mode=appCenter&amp;path_pc=pc/pages/requested/index?instanceId=7577241677627215586&amp;source=bitable&amp;path=pages/detail/index?instanceId=7577241677627215586&amp;source=bitable", "202511270047")</f>
        <v>202511270047</v>
      </c>
      <c r="B1541" t="inlineStr">
        <is>
          <t>Approved</t>
        </is>
      </c>
      <c r="C1541" t="inlineStr">
        <is>
          <t>Procurement Order</t>
        </is>
      </c>
      <c r="D1541" s="3">
        <v>45988.47751157408</v>
      </c>
      <c r="E1541" s="3">
        <v>45989.50141203704</v>
      </c>
      <c r="F1541" t="inlineStr">
        <is>
          <t>Fatima Kathleen M. FLores</t>
        </is>
      </c>
      <c r="G1541" t="inlineStr">
        <is>
          <t>Procurement</t>
        </is>
      </c>
      <c r="H1541"/>
      <c r="I1541"/>
      <c r="J1541" t="inlineStr">
        <is>
          <t>Project</t>
        </is>
      </c>
      <c r="K1541" t="inlineStr">
        <is>
          <t>GG - Event Service</t>
        </is>
      </c>
      <c r="L1541" t="inlineStr">
        <is>
          <t>HOK Philippine Kings League - Fall Season Addendum</t>
        </is>
      </c>
      <c r="M1541" t="inlineStr">
        <is>
          <t>2025TEG-P0261</t>
        </is>
      </c>
      <c r="N1541" t="inlineStr">
        <is>
          <t>Carla Andrea Calma Crespo</t>
        </is>
      </c>
      <c r="O1541" t="inlineStr">
        <is>
          <t>202511200078-Carla Andrea Calma Crespo-费用报销 - 副本 - 副本 - 副本-2025-11-20 07:46:38</t>
        </is>
      </c>
      <c r="P1541" t="inlineStr">
        <is>
          <t>NO</t>
        </is>
      </c>
      <c r="Q1541"/>
      <c r="R1541" t="inlineStr">
        <is>
          <t>YES</t>
        </is>
      </c>
      <c r="S1541" t="inlineStr">
        <is>
          <t>Studio Rental (Orange Room) - Sept. 5 to Oct. 5, 2025</t>
        </is>
      </c>
      <c r="T1541">
        <v>15</v>
      </c>
      <c r="U1541">
        <v>13440</v>
      </c>
      <c r="V1541" t="inlineStr">
        <is>
          <t>PHP</t>
        </is>
      </c>
      <c r="W1541">
        <v>201600</v>
      </c>
      <c r="X1541" s="2" t="str">
        <f>=HYPERLINK("https://www.larksuite.com/approval/admin/previewAttachment?key=PMhBqgJBDATQK1Wlk1TnX-ZvZmgUZkAQZTY5u-DC7ctJ5AyOLHjRCmyFZM6U0mSMmNnWlAqixuz9XP9HvOqq69we67i79fu2rf3JKJlBw31MAPz7-ZC7V6Xj6_gEAAD__w", "2 attachment(s)")</f>
        <v>2 attachment(s)</v>
      </c>
      <c r="Y1541" t="inlineStr">
        <is>
          <t>Bank Transfer</t>
        </is>
      </c>
      <c r="Z1541" t="inlineStr">
        <is>
          <t>SHOOTINGALLERY STUDIOS CORP</t>
        </is>
      </c>
      <c r="AA1541" t="inlineStr">
        <is>
          <t>4831-0020-48</t>
        </is>
      </c>
      <c r="AB1541" t="inlineStr">
        <is>
          <t>BPI</t>
        </is>
      </c>
      <c r="AC1541" t="inlineStr">
        <is>
          <t>1196 Pablo Ocampo Ave. Ext. Cor. Zapote St., Brgy. Sta. Cruz, Makati City</t>
        </is>
      </c>
      <c r="AD1541" s="4">
        <v>45894</v>
      </c>
      <c r="AE1541" t="inlineStr">
        <is>
          <t>100% Full Payment</t>
        </is>
      </c>
      <c r="AF1541" s="2"/>
      <c r="AG1541" t="inlineStr">
        <is>
          <t>NzQyNTk5MTgyNzQ4MTg3MDM0MTo5OURENTAzMC1CMEFGLTRDQjItODNCNy03RDM1NEVEMzY2MzktMTo2NjRkZTVmMDMwMDg2Y2E1MmIzNTBjZmU2OTZlNjQ4Mjox</t>
        </is>
      </c>
      <c r="AH1541" t="inlineStr">
        <is>
          <t>SHOOTINGALLERY STUDIOS CORP</t>
        </is>
      </c>
      <c r="AI1541"/>
      <c r="AJ1541" t="inlineStr">
        <is>
          <t>LIQUIDITY PLAN (PAR # 202510090087 / 2025TEG-P0261)
REGULAR SEASON &gt; Venue &amp; Stage &gt;
VENUE/STUDIO &gt;
Orange Room
(Player Holding Room)
Utility Charges (electricity, waste management, maintenance)
Total Budget = Php 240,000.00
Actual Cost = Php 311,588.93
Balance = (Php 71,588.93) OVER BUDGET</t>
        </is>
      </c>
      <c r="AK1541"/>
    </row>
    <row r="1542" ht="25.5" customHeight="1">
      <c r="A1542" s="2" t="str">
        <f>=HYPERLINK("https://applink.larksuite.com/client/mini_program/open?appId=cli_9c7cc8a9a9edd105&amp;mode=appCenter&amp;path_pc=pc/pages/requested/index?instanceId=7577241677627215586&amp;source=bitable&amp;path=pages/detail/index?instanceId=7577241677627215586&amp;source=bitable", "202511270047")</f>
        <v>202511270047</v>
      </c>
      <c r="B1542" t="inlineStr">
        <is>
          <t>Approved</t>
        </is>
      </c>
      <c r="C1542" t="inlineStr">
        <is>
          <t>Procurement Order</t>
        </is>
      </c>
      <c r="D1542" s="3">
        <v>45988.47751157408</v>
      </c>
      <c r="E1542" s="3">
        <v>45989.50141203704</v>
      </c>
      <c r="F1542" t="inlineStr">
        <is>
          <t>Fatima Kathleen M. FLores</t>
        </is>
      </c>
      <c r="G1542" t="inlineStr">
        <is>
          <t>Procurement</t>
        </is>
      </c>
      <c r="H1542"/>
      <c r="I1542"/>
      <c r="J1542" t="inlineStr">
        <is>
          <t>Project</t>
        </is>
      </c>
      <c r="K1542" t="inlineStr">
        <is>
          <t>GG - Event Service</t>
        </is>
      </c>
      <c r="L1542" t="inlineStr">
        <is>
          <t>HOK Philippine Kings League - Fall Season Addendum</t>
        </is>
      </c>
      <c r="M1542" t="inlineStr">
        <is>
          <t>2025TEG-P0261</t>
        </is>
      </c>
      <c r="N1542" t="inlineStr">
        <is>
          <t>Carla Andrea Calma Crespo</t>
        </is>
      </c>
      <c r="O1542" t="inlineStr">
        <is>
          <t>202511200078-Carla Andrea Calma Crespo-费用报销 - 副本 - 副本 - 副本-2025-11-20 07:46:38</t>
        </is>
      </c>
      <c r="P1542" t="inlineStr">
        <is>
          <t>NO</t>
        </is>
      </c>
      <c r="Q1542"/>
      <c r="R1542" t="inlineStr">
        <is>
          <t>YES</t>
        </is>
      </c>
      <c r="S1542" t="inlineStr">
        <is>
          <t>Electricity Bill (Aug. 25 to Sept. 10, 2025)</t>
        </is>
      </c>
      <c r="T1542">
        <v>1</v>
      </c>
      <c r="U1542">
        <v>102508.31</v>
      </c>
      <c r="V1542" t="inlineStr">
        <is>
          <t>PHP</t>
        </is>
      </c>
      <c r="W1542">
        <v>102508.31</v>
      </c>
      <c r="X1542" s="2" t="str">
        <f>=HYPERLINK("https://www.larksuite.com/approval/admin/previewAttachment?key=PMhLqsJgDAXgLeXkdZK7mTtp-VFoQRClk6xdcOD0y4JkBSxbvKEtGAapjiRTqYioHB2QLQStZj_X_xGvvvo6t8c67q7zvm1rfyKaqkJztxIR_P3c6O7d6fJ1fAIAAP__", "1 attachment(s)")</f>
        <v>1 attachment(s)</v>
      </c>
      <c r="Y1542"/>
      <c r="Z1542"/>
      <c r="AA1542"/>
      <c r="AB1542"/>
      <c r="AC1542"/>
      <c r="AD1542" s="4"/>
      <c r="AE1542"/>
      <c r="AF1542" s="2"/>
      <c r="AG1542" t="inlineStr">
        <is>
          <t>NzQyNTk5MTgyNzQ4MTg3MDM0MTo5OURENTAzMC1CMEFGLTRDQjItODNCNy03RDM1NEVEMzY2MzktMjpjMzgwYThlMWI0MjNlMDZmNzRlNTdlMWExYWIyZmRhMzox</t>
        </is>
      </c>
      <c r="AH1542"/>
      <c r="AI1542"/>
      <c r="AJ1542" t="inlineStr">
        <is>
          <t>LIQUIDITY PLAN (PAR # 202510090087 / 2025TEG-P0261)
REGULAR SEASON &gt; Venue &amp; Stage &gt;
VENUE/STUDIO &gt;
Orange Room
(Player Holding Room)
Utility Charges (electricity, waste management, maintenance)
Total Budget = Php 240,000.00
Actual Cost = Php 311,588.93
Balance = (Php 71,588.93) OVER BUDGET</t>
        </is>
      </c>
      <c r="AK1542"/>
    </row>
    <row r="1543" ht="25.5" customHeight="1">
      <c r="A1543" s="2" t="str">
        <f>=HYPERLINK("https://applink.larksuite.com/client/mini_program/open?appId=cli_9c7cc8a9a9edd105&amp;mode=appCenter&amp;path_pc=pc/pages/requested/index?instanceId=7577241677627215586&amp;source=bitable&amp;path=pages/detail/index?instanceId=7577241677627215586&amp;source=bitable", "202511270047")</f>
        <v>202511270047</v>
      </c>
      <c r="B1543" t="inlineStr">
        <is>
          <t>Approved</t>
        </is>
      </c>
      <c r="C1543" t="inlineStr">
        <is>
          <t>Procurement Order</t>
        </is>
      </c>
      <c r="D1543" s="3">
        <v>45988.47751157408</v>
      </c>
      <c r="E1543" s="3">
        <v>45989.50141203704</v>
      </c>
      <c r="F1543" t="inlineStr">
        <is>
          <t>Fatima Kathleen M. FLores</t>
        </is>
      </c>
      <c r="G1543" t="inlineStr">
        <is>
          <t>Procurement</t>
        </is>
      </c>
      <c r="H1543"/>
      <c r="I1543"/>
      <c r="J1543" t="inlineStr">
        <is>
          <t>Project</t>
        </is>
      </c>
      <c r="K1543" t="inlineStr">
        <is>
          <t>GG - Event Service</t>
        </is>
      </c>
      <c r="L1543" t="inlineStr">
        <is>
          <t>HOK Philippine Kings League - Fall Season Addendum</t>
        </is>
      </c>
      <c r="M1543" t="inlineStr">
        <is>
          <t>2025TEG-P0261</t>
        </is>
      </c>
      <c r="N1543" t="inlineStr">
        <is>
          <t>Carla Andrea Calma Crespo</t>
        </is>
      </c>
      <c r="O1543" t="inlineStr">
        <is>
          <t>202511200078-Carla Andrea Calma Crespo-费用报销 - 副本 - 副本 - 副本-2025-11-20 07:46:38</t>
        </is>
      </c>
      <c r="P1543" t="inlineStr">
        <is>
          <t>NO</t>
        </is>
      </c>
      <c r="Q1543"/>
      <c r="R1543" t="inlineStr">
        <is>
          <t>YES</t>
        </is>
      </c>
      <c r="S1543" t="inlineStr">
        <is>
          <t>Water Bill (Aug. 25 to Sept. 4, 2025)</t>
        </is>
      </c>
      <c r="T1543">
        <v>1</v>
      </c>
      <c r="U1543">
        <v>1480.62</v>
      </c>
      <c r="V1543" t="inlineStr">
        <is>
          <t>PHP</t>
        </is>
      </c>
      <c r="W1543">
        <v>1480.62</v>
      </c>
      <c r="X1543" s="2" t="str">
        <f>=HYPERLINK("https://www.larksuite.com/approval/admin/previewAttachment?key=PMhLqsJgDAXgLeXkdZK7mTtp-VFoQRClk6xdcOD0y4JkBSxbvKEtGAapjiRTqYioHB2QLQStZj_X_xGvvvo6t8c67q7zvm1rfyKaqkJztxIR_P3c6O7d6fJ1_QQAAP__", "1 attachment(s)")</f>
        <v>1 attachment(s)</v>
      </c>
      <c r="Y1543"/>
      <c r="Z1543"/>
      <c r="AA1543"/>
      <c r="AB1543"/>
      <c r="AC1543"/>
      <c r="AD1543" s="4"/>
      <c r="AE1543"/>
      <c r="AF1543" s="2"/>
      <c r="AG1543" t="inlineStr">
        <is>
          <t>NzQyNTk5MTgyNzQ4MTg3MDM0MTo5OURENTAzMC1CMEFGLTRDQjItODNCNy03RDM1NEVEMzY2MzktMzozNWEzNTQxYzgyYjZhODYwZjBlZDQ5M2FjNjcwOTNlNDox</t>
        </is>
      </c>
      <c r="AH1543"/>
      <c r="AI1543"/>
      <c r="AJ1543" t="inlineStr">
        <is>
          <t>LIQUIDITY PLAN (PAR # 202510090087 / 2025TEG-P0261)
REGULAR SEASON &gt; Venue &amp; Stage &gt;
VENUE/STUDIO &gt;
Orange Room
(Player Holding Room)
Utility Charges (electricity, waste management, maintenance)
Total Budget = Php 240,000.00
Actual Cost = Php 311,588.93
Balance = (Php 71,588.93) OVER BUDGET</t>
        </is>
      </c>
      <c r="AK1543"/>
    </row>
    <row r="1544" ht="25.5" customHeight="1">
      <c r="A1544" s="2" t="str">
        <f>=HYPERLINK("https://applink.larksuite.com/client/mini_program/open?appId=cli_9c7cc8a9a9edd105&amp;mode=appCenter&amp;path_pc=pc/pages/requested/index?instanceId=7577241677627215586&amp;source=bitable&amp;path=pages/detail/index?instanceId=7577241677627215586&amp;source=bitable", "202511270047")</f>
        <v>202511270047</v>
      </c>
      <c r="B1544" t="inlineStr">
        <is>
          <t>Approved</t>
        </is>
      </c>
      <c r="C1544" t="inlineStr">
        <is>
          <t>Procurement Order</t>
        </is>
      </c>
      <c r="D1544" s="3">
        <v>45988.47751157408</v>
      </c>
      <c r="E1544" s="3">
        <v>45989.50141203704</v>
      </c>
      <c r="F1544" t="inlineStr">
        <is>
          <t>Fatima Kathleen M. FLores</t>
        </is>
      </c>
      <c r="G1544" t="inlineStr">
        <is>
          <t>Procurement</t>
        </is>
      </c>
      <c r="H1544"/>
      <c r="I1544"/>
      <c r="J1544" t="inlineStr">
        <is>
          <t>Project</t>
        </is>
      </c>
      <c r="K1544" t="inlineStr">
        <is>
          <t>GG - Event Service</t>
        </is>
      </c>
      <c r="L1544" t="inlineStr">
        <is>
          <t>HOK Philippine Kings League - Fall Season Addendum</t>
        </is>
      </c>
      <c r="M1544" t="inlineStr">
        <is>
          <t>2025TEG-P0261</t>
        </is>
      </c>
      <c r="N1544" t="inlineStr">
        <is>
          <t>Carla Andrea Calma Crespo</t>
        </is>
      </c>
      <c r="O1544" t="inlineStr">
        <is>
          <t>202511200078-Carla Andrea Calma Crespo-费用报销 - 副本 - 副本 - 副本-2025-11-20 07:46:38</t>
        </is>
      </c>
      <c r="P1544" t="inlineStr">
        <is>
          <t>NO</t>
        </is>
      </c>
      <c r="Q1544"/>
      <c r="R1544" t="inlineStr">
        <is>
          <t>YES</t>
        </is>
      </c>
      <c r="S1544" t="inlineStr">
        <is>
          <t>Garbage Fees (Aug. 25 to Oct. 6, 2025)</t>
        </is>
      </c>
      <c r="T1544">
        <v>2</v>
      </c>
      <c r="U1544">
        <v>3000</v>
      </c>
      <c r="V1544" t="inlineStr">
        <is>
          <t>PHP</t>
        </is>
      </c>
      <c r="W1544">
        <v>6000</v>
      </c>
      <c r="X1544" s="2" t="str">
        <f>=HYPERLINK("https://www.larksuite.com/approval/admin/previewAttachment?key=PMhLqsJgDAXgLeXkdZK7mTtp-VFoQRClk6xdcOD0y4JkBSxbvKEtGAapjiRTqYioHB2QLQStZj_X_xGvvvo6t8c67q7zvm1rfyKaqkJztxIR_P3c6O7d6fJ1-wQAAP__", "2 attachment(s)")</f>
        <v>2 attachment(s)</v>
      </c>
      <c r="Y1544"/>
      <c r="Z1544"/>
      <c r="AA1544"/>
      <c r="AB1544"/>
      <c r="AC1544"/>
      <c r="AD1544" s="4"/>
      <c r="AE1544"/>
      <c r="AF1544" s="2"/>
      <c r="AG1544" t="inlineStr">
        <is>
          <t>NzQyNTk5MTgyNzQ4MTg3MDM0MTo5OURENTAzMC1CMEFGLTRDQjItODNCNy03RDM1NEVEMzY2MzktNDoyNTdkMDc5YjEwYWI5MmMxZWUwMWZhODY2MGQwOGM5ODox</t>
        </is>
      </c>
      <c r="AH1544"/>
      <c r="AI1544"/>
      <c r="AJ1544" t="inlineStr">
        <is>
          <t>LIQUIDITY PLAN (PAR # 202510090087 / 2025TEG-P0261)
REGULAR SEASON &gt; Venue &amp; Stage &gt;
VENUE/STUDIO &gt;
Orange Room
(Player Holding Room)
Utility Charges (electricity, waste management, maintenance)
Total Budget = Php 240,000.00
Actual Cost = Php 311,588.93
Balance = (Php 71,588.93) OVER BUDGET</t>
        </is>
      </c>
      <c r="AK1544"/>
    </row>
    <row r="1545" ht="25.5" customHeight="1">
      <c r="A1545" s="2" t="str">
        <f>=HYPERLINK("https://applink.larksuite.com/client/mini_program/open?appId=cli_9c7cc8a9a9edd105&amp;mode=appCenter&amp;path_pc=pc/pages/requested/index?instanceId=7577330348758027997&amp;source=bitable&amp;path=pages/detail/index?instanceId=7577330348758027997&amp;source=bitable", "202511270139")</f>
        <v>202511270139</v>
      </c>
      <c r="B1545" t="inlineStr">
        <is>
          <t>Approved</t>
        </is>
      </c>
      <c r="C1545" t="inlineStr">
        <is>
          <t>Procurement Order</t>
        </is>
      </c>
      <c r="D1545" s="3">
        <v>45988.716458333336</v>
      </c>
      <c r="E1545" s="3">
        <v>45988.768645833334</v>
      </c>
      <c r="F1545" t="inlineStr">
        <is>
          <t>Fatima Kathleen M. FLores</t>
        </is>
      </c>
      <c r="G1545" t="inlineStr">
        <is>
          <t>Procurement</t>
        </is>
      </c>
      <c r="H1545"/>
      <c r="I1545"/>
      <c r="J1545" t="inlineStr">
        <is>
          <t>Project</t>
        </is>
      </c>
      <c r="K1545" t="inlineStr">
        <is>
          <t>GG - Event Service</t>
        </is>
      </c>
      <c r="L1545" t="inlineStr">
        <is>
          <t>KIC 2025 - Playoffs</t>
        </is>
      </c>
      <c r="M1545" t="inlineStr">
        <is>
          <t>2025TEG-P0321</t>
        </is>
      </c>
      <c r="N1545" t="inlineStr">
        <is>
          <t>Carla Andrea Calma Crespo</t>
        </is>
      </c>
      <c r="O1545" t="inlineStr">
        <is>
          <t>202511240089-Carla Andrea Calma Crespo-费用报销 - 副本 - 副本 - 副本-2025-11-24 09:17:40</t>
        </is>
      </c>
      <c r="P1545" t="inlineStr">
        <is>
          <t>NO</t>
        </is>
      </c>
      <c r="Q1545"/>
      <c r="R1545" t="inlineStr">
        <is>
          <t>NO</t>
        </is>
      </c>
      <c r="S1545" t="inlineStr">
        <is>
          <t>Fabrication of Main Stage, Casters Area and Holding Area</t>
        </is>
      </c>
      <c r="T1545">
        <v>1</v>
      </c>
      <c r="U1545">
        <v>1950000</v>
      </c>
      <c r="V1545" t="inlineStr">
        <is>
          <t>PHP</t>
        </is>
      </c>
      <c r="W1545">
        <v>1950000</v>
      </c>
      <c r="X1545" s="2" t="str">
        <f>=HYPERLINK("https://www.larksuite.com/approval/admin/previewAttachment?key=PMg9CgIxFATgK837SeaNl7FxCWpUBFGwyNkFi22_XoZezaILKXPBFhsZgchiKzglLl9GCjRGre0-jtNv1_fl-dB3TEytz_k0tpc10R2MzCgAdtg9mJlST_wdvwAAAP__", "2 attachment(s)")</f>
        <v>2 attachment(s)</v>
      </c>
      <c r="Y1545" t="inlineStr">
        <is>
          <t>Bank Transfer</t>
        </is>
      </c>
      <c r="Z1545" t="inlineStr">
        <is>
          <t>STAGE ONE EVENT SERVICES CORP.</t>
        </is>
      </c>
      <c r="AA1545" t="inlineStr">
        <is>
          <t>0124 0800 3549</t>
        </is>
      </c>
      <c r="AB1545" t="inlineStr">
        <is>
          <t>BDO</t>
        </is>
      </c>
      <c r="AC1545" t="inlineStr">
        <is>
          <t>Kamagong St. cor. Ipil St. Hillcrest Village, Brgy. 173 Camarin, Caloocan</t>
        </is>
      </c>
      <c r="AD1545" s="4">
        <v>45985</v>
      </c>
      <c r="AE1545" t="inlineStr">
        <is>
          <t>70% Down Payment upon confirmation
30% Final payment - 30 days upon completion of services</t>
        </is>
      </c>
      <c r="AF1545" s="2"/>
      <c r="AG1545" t="inlineStr">
        <is>
          <t>NzQyNTk5MTgyNzQ4MTg3MDM0MTo0MjNEMUM3MS1CRkU1LTQ3QzItODFBNC04NTcyRjBDRjExOUQtMTo4YTBiZjJkN2I5ZTdiNjM5ZTU4ZjE1MjlhYTZjMWU0YTox</t>
        </is>
      </c>
      <c r="AH1545" t="inlineStr">
        <is>
          <t>STAGE ONE EVENT SERVICES CORP.</t>
        </is>
      </c>
      <c r="AI1545"/>
      <c r="AJ1545" t="inlineStr">
        <is>
          <t>LIQUIDITY PLAN (PAR # 202511200098 / 2025TEG-P0321)
ON-GROUND EXECUTIONS &gt; STAGING &amp; FABRICATION &gt;
Main Stage &gt; R 44 - 50
Off-Stage Fabrication &gt; R 53 - 58
Total Budget = Php 2,053,000.00
Actual Cost = Php 1,950,000.00
Balance = Php 103,000.00</t>
        </is>
      </c>
      <c r="AK1545"/>
    </row>
    <row r="1546" ht="25.5" customHeight="1">
      <c r="A1546" s="2" t="str">
        <f>=HYPERLINK("https://applink.larksuite.com/client/mini_program/open?appId=cli_9c7cc8a9a9edd105&amp;mode=appCenter&amp;path_pc=pc/pages/requested/index?instanceId=7577319550329343711&amp;source=bitable&amp;path=pages/detail/index?instanceId=7577319550329343711&amp;source=bitable", "202511270124")</f>
        <v>202511270124</v>
      </c>
      <c r="B1546" t="inlineStr">
        <is>
          <t>Approved</t>
        </is>
      </c>
      <c r="C1546" t="inlineStr">
        <is>
          <t>Procurement Order</t>
        </is>
      </c>
      <c r="D1546" s="3">
        <v>45988.68736111111</v>
      </c>
      <c r="E1546" s="3">
        <v>45989.448229166665</v>
      </c>
      <c r="F1546" t="inlineStr">
        <is>
          <t>Fatima Kathleen M. FLores</t>
        </is>
      </c>
      <c r="G1546" t="inlineStr">
        <is>
          <t>Procurement</t>
        </is>
      </c>
      <c r="H1546"/>
      <c r="I1546"/>
      <c r="J1546" t="inlineStr">
        <is>
          <t>Project</t>
        </is>
      </c>
      <c r="K1546" t="inlineStr">
        <is>
          <t>GG - Event Service</t>
        </is>
      </c>
      <c r="L1546" t="inlineStr">
        <is>
          <t>KIC 2025 - Playoffs</t>
        </is>
      </c>
      <c r="M1546" t="inlineStr">
        <is>
          <t>2025TEG-P0321</t>
        </is>
      </c>
      <c r="N1546" t="inlineStr">
        <is>
          <t>Carla Andrea Calma Crespo</t>
        </is>
      </c>
      <c r="O1546" t="inlineStr">
        <is>
          <t>202511230004-Carla Andrea Calma Crespo-费用报销 - 副本 - 副本 - 副本-2025-11-23 07:17:31</t>
        </is>
      </c>
      <c r="P1546" t="inlineStr">
        <is>
          <t>NO</t>
        </is>
      </c>
      <c r="Q1546"/>
      <c r="R1546" t="inlineStr">
        <is>
          <t>YES</t>
        </is>
      </c>
      <c r="S1546" t="inlineStr">
        <is>
          <t>Rental of Monoblock Chairs with Black cover (Media Day - Nov. 24, 2025)</t>
        </is>
      </c>
      <c r="T1546">
        <v>30</v>
      </c>
      <c r="U1546">
        <v>30</v>
      </c>
      <c r="V1546" t="inlineStr">
        <is>
          <t>PHP</t>
        </is>
      </c>
      <c r="W1546">
        <v>900</v>
      </c>
      <c r="X1546" s="2"/>
      <c r="Y1546" t="inlineStr">
        <is>
          <t>Bank Transfer</t>
        </is>
      </c>
      <c r="Z1546" t="inlineStr">
        <is>
          <t>SPE Events Management And Services Party Needs Rental</t>
        </is>
      </c>
      <c r="AA1546" t="inlineStr">
        <is>
          <t>141102017588</t>
        </is>
      </c>
      <c r="AB1546" t="inlineStr">
        <is>
          <t>China Bank Corporation</t>
        </is>
      </c>
      <c r="AC1546" t="inlineStr">
        <is>
          <t>10A St. Benedict. Paradise Village, Sangandaan, QC</t>
        </is>
      </c>
      <c r="AD1546" s="4">
        <v>45985</v>
      </c>
      <c r="AE1546" t="inlineStr">
        <is>
          <t>50% Down payment upon confirmation
50% balance upon completion of services</t>
        </is>
      </c>
      <c r="AF1546" s="2"/>
      <c r="AG1546" t="inlineStr">
        <is>
          <t>NzQyNTk5MTgyNzQ4MTg3MDM0MToyNjNBMEEwOS1DRjUxLTQ3QTctQjhGQS1GRjU4QjQwQTY2RDctMToyZmU3ZmQyZGQyY2NlN2JiMjFhYWNhYTRiOGRhNWJhNTox</t>
        </is>
      </c>
      <c r="AH1546" t="inlineStr">
        <is>
          <t>SPE Events Management And Services Party Needs Rental</t>
        </is>
      </c>
      <c r="AI1546"/>
      <c r="AJ1546" t="inlineStr">
        <is>
          <t>LIQUIDITY PLAN (PAR # 202511200098 / 2025TEG-P0321)
ON-GROUND EXECUTIONS &gt; MISCELLANEOUS &gt;
For Rent &gt; 
Lifetime Tables (w/ cover)
Monobloc Chairs (w/ cover)
Audience Chairs (Steel Chair)
Stancions/ Barricades
Window-type Aircon (for MCR)
Total Budget = Php 185,600.00
Actual Cost = Php 388,223.00
Balance = (Php 202,623.00) OVER BUDGET</t>
        </is>
      </c>
      <c r="AK1546"/>
    </row>
    <row r="1547" ht="25.5" customHeight="1">
      <c r="A1547" s="2" t="str">
        <f>=HYPERLINK("https://applink.larksuite.com/client/mini_program/open?appId=cli_9c7cc8a9a9edd105&amp;mode=appCenter&amp;path_pc=pc/pages/requested/index?instanceId=7577319550329343711&amp;source=bitable&amp;path=pages/detail/index?instanceId=7577319550329343711&amp;source=bitable", "202511270124")</f>
        <v>202511270124</v>
      </c>
      <c r="B1547" t="inlineStr">
        <is>
          <t>Approved</t>
        </is>
      </c>
      <c r="C1547" t="inlineStr">
        <is>
          <t>Procurement Order</t>
        </is>
      </c>
      <c r="D1547" s="3">
        <v>45988.68736111111</v>
      </c>
      <c r="E1547" s="3">
        <v>45989.448229166665</v>
      </c>
      <c r="F1547" t="inlineStr">
        <is>
          <t>Fatima Kathleen M. FLores</t>
        </is>
      </c>
      <c r="G1547" t="inlineStr">
        <is>
          <t>Procurement</t>
        </is>
      </c>
      <c r="H1547"/>
      <c r="I1547"/>
      <c r="J1547" t="inlineStr">
        <is>
          <t>Project</t>
        </is>
      </c>
      <c r="K1547" t="inlineStr">
        <is>
          <t>GG - Event Service</t>
        </is>
      </c>
      <c r="L1547" t="inlineStr">
        <is>
          <t>KIC 2025 - Playoffs</t>
        </is>
      </c>
      <c r="M1547" t="inlineStr">
        <is>
          <t>2025TEG-P0321</t>
        </is>
      </c>
      <c r="N1547" t="inlineStr">
        <is>
          <t>Carla Andrea Calma Crespo</t>
        </is>
      </c>
      <c r="O1547" t="inlineStr">
        <is>
          <t>202511230004-Carla Andrea Calma Crespo-费用报销 - 副本 - 副本 - 副本-2025-11-23 07:17:31</t>
        </is>
      </c>
      <c r="P1547" t="inlineStr">
        <is>
          <t>NO</t>
        </is>
      </c>
      <c r="Q1547"/>
      <c r="R1547" t="inlineStr">
        <is>
          <t>YES</t>
        </is>
      </c>
      <c r="S1547" t="inlineStr">
        <is>
          <t>Delivery Fee</t>
        </is>
      </c>
      <c r="T1547">
        <v>1</v>
      </c>
      <c r="U1547">
        <v>723</v>
      </c>
      <c r="V1547" t="inlineStr">
        <is>
          <t>PHP</t>
        </is>
      </c>
      <c r="W1547">
        <v>723</v>
      </c>
      <c r="X1547" s="2" t="str">
        <f>=HYPERLINK("https://www.larksuite.com/approval/admin/previewAttachment?key=PMg7CgJBEATQK1VNdU9NexkTl8UPiiCsazBnFwxMXx9EH0n1QhRbgdNpi5UJtVLI5GyTdsG0xlzu63G_XnYl3uv2fIzPbW7n07q8mOXWYEVoAODh73JEVPXAz_kNAAD__w", "2 attachment(s)")</f>
        <v>2 attachment(s)</v>
      </c>
      <c r="Y1547"/>
      <c r="Z1547"/>
      <c r="AA1547"/>
      <c r="AB1547"/>
      <c r="AC1547"/>
      <c r="AD1547" s="4"/>
      <c r="AE1547"/>
      <c r="AF1547" s="2"/>
      <c r="AG1547" t="inlineStr">
        <is>
          <t>NzQyNTk5MTgyNzQ4MTg3MDM0MToyNjNBMEEwOS1DRjUxLTQ3QTctQjhGQS1GRjU4QjQwQTY2RDctMjplOTY0NDZmYjYwYjhhODM1ZTQ5NzU3ZmQ2MmQzNWIwOTox</t>
        </is>
      </c>
      <c r="AH1547"/>
      <c r="AI1547"/>
      <c r="AJ1547" t="inlineStr">
        <is>
          <t>LIQUIDITY PLAN (PAR # 202511200098 / 2025TEG-P0321)
ON-GROUND EXECUTIONS &gt; MISCELLANEOUS &gt;
For Rent &gt; 
Lifetime Tables (w/ cover)
Monobloc Chairs (w/ cover)
Audience Chairs (Steel Chair)
Stancions/ Barricades
Window-type Aircon (for MCR)
Total Budget = Php 185,600.00
Actual Cost = Php 388,223.00
Balance = (Php 202,623.00) OVER BUDGET</t>
        </is>
      </c>
      <c r="AK1547"/>
    </row>
    <row r="1548" ht="25.5" customHeight="1">
      <c r="A1548" s="2" t="str">
        <f>=HYPERLINK("https://applink.larksuite.com/client/mini_program/open?appId=cli_9c7cc8a9a9edd105&amp;mode=appCenter&amp;path_pc=pc/pages/requested/index?instanceId=7577319550329343711&amp;source=bitable&amp;path=pages/detail/index?instanceId=7577319550329343711&amp;source=bitable", "202511270124")</f>
        <v>202511270124</v>
      </c>
      <c r="B1548" t="inlineStr">
        <is>
          <t>Approved</t>
        </is>
      </c>
      <c r="C1548" t="inlineStr">
        <is>
          <t>Procurement Order</t>
        </is>
      </c>
      <c r="D1548" s="3">
        <v>45988.68736111111</v>
      </c>
      <c r="E1548" s="3">
        <v>45989.448229166665</v>
      </c>
      <c r="F1548" t="inlineStr">
        <is>
          <t>Fatima Kathleen M. FLores</t>
        </is>
      </c>
      <c r="G1548" t="inlineStr">
        <is>
          <t>Procurement</t>
        </is>
      </c>
      <c r="H1548"/>
      <c r="I1548"/>
      <c r="J1548" t="inlineStr">
        <is>
          <t>Project</t>
        </is>
      </c>
      <c r="K1548" t="inlineStr">
        <is>
          <t>GG - Event Service</t>
        </is>
      </c>
      <c r="L1548" t="inlineStr">
        <is>
          <t>KIC 2025 - Playoffs</t>
        </is>
      </c>
      <c r="M1548" t="inlineStr">
        <is>
          <t>2025TEG-P0321</t>
        </is>
      </c>
      <c r="N1548" t="inlineStr">
        <is>
          <t>Carla Andrea Calma Crespo</t>
        </is>
      </c>
      <c r="O1548" t="inlineStr">
        <is>
          <t>202511230004-Carla Andrea Calma Crespo-费用报销 - 副本 - 副本 - 副本-2025-11-23 07:17:31</t>
        </is>
      </c>
      <c r="P1548" t="inlineStr">
        <is>
          <t>NO</t>
        </is>
      </c>
      <c r="Q1548"/>
      <c r="R1548" t="inlineStr">
        <is>
          <t>YES</t>
        </is>
      </c>
      <c r="S1548" t="inlineStr">
        <is>
          <t>Rental of Monoblock Chairs w/ covers (Nov. 25 to 30 / 6 days)</t>
        </is>
      </c>
      <c r="T1548">
        <v>320</v>
      </c>
      <c r="U1548">
        <v>180</v>
      </c>
      <c r="V1548" t="inlineStr">
        <is>
          <t>PHP</t>
        </is>
      </c>
      <c r="W1548">
        <v>57600</v>
      </c>
      <c r="X1548" s="2"/>
      <c r="Y1548"/>
      <c r="Z1548"/>
      <c r="AA1548"/>
      <c r="AB1548"/>
      <c r="AC1548"/>
      <c r="AD1548" s="4"/>
      <c r="AE1548"/>
      <c r="AF1548" s="2"/>
      <c r="AG1548" t="inlineStr">
        <is>
          <t>NzQyNTk5MTgyNzQ4MTg3MDM0MToyNjNBMEEwOS1DRjUxLTQ3QTctQjhGQS1GRjU4QjQwQTY2RDctMzphOGM1ZWMxZmM5YTc0ZmEzMmFkZDkyM2UwYWQ4YTVmZDox</t>
        </is>
      </c>
      <c r="AH1548"/>
      <c r="AI1548"/>
      <c r="AJ1548" t="inlineStr">
        <is>
          <t>LIQUIDITY PLAN (PAR # 202511200098 / 2025TEG-P0321)
ON-GROUND EXECUTIONS &gt; MISCELLANEOUS &gt;
For Rent &gt; 
Lifetime Tables (w/ cover)
Monobloc Chairs (w/ cover)
Audience Chairs (Steel Chair)
Stancions/ Barricades
Window-type Aircon (for MCR)
Total Budget = Php 185,600.00
Actual Cost = Php 388,223.00
Balance = (Php 202,623.00) OVER BUDGET</t>
        </is>
      </c>
      <c r="AK1548"/>
    </row>
    <row r="1549" ht="25.5" customHeight="1">
      <c r="A1549" s="2" t="str">
        <f>=HYPERLINK("https://applink.larksuite.com/client/mini_program/open?appId=cli_9c7cc8a9a9edd105&amp;mode=appCenter&amp;path_pc=pc/pages/requested/index?instanceId=7577319550329343711&amp;source=bitable&amp;path=pages/detail/index?instanceId=7577319550329343711&amp;source=bitable", "202511270124")</f>
        <v>202511270124</v>
      </c>
      <c r="B1549" t="inlineStr">
        <is>
          <t>Approved</t>
        </is>
      </c>
      <c r="C1549" t="inlineStr">
        <is>
          <t>Procurement Order</t>
        </is>
      </c>
      <c r="D1549" s="3">
        <v>45988.68736111111</v>
      </c>
      <c r="E1549" s="3">
        <v>45989.448229166665</v>
      </c>
      <c r="F1549" t="inlineStr">
        <is>
          <t>Fatima Kathleen M. FLores</t>
        </is>
      </c>
      <c r="G1549" t="inlineStr">
        <is>
          <t>Procurement</t>
        </is>
      </c>
      <c r="H1549"/>
      <c r="I1549"/>
      <c r="J1549" t="inlineStr">
        <is>
          <t>Project</t>
        </is>
      </c>
      <c r="K1549" t="inlineStr">
        <is>
          <t>GG - Event Service</t>
        </is>
      </c>
      <c r="L1549" t="inlineStr">
        <is>
          <t>KIC 2025 - Playoffs</t>
        </is>
      </c>
      <c r="M1549" t="inlineStr">
        <is>
          <t>2025TEG-P0321</t>
        </is>
      </c>
      <c r="N1549" t="inlineStr">
        <is>
          <t>Carla Andrea Calma Crespo</t>
        </is>
      </c>
      <c r="O1549" t="inlineStr">
        <is>
          <t>202511230004-Carla Andrea Calma Crespo-费用报销 - 副本 - 副本 - 副本-2025-11-23 07:17:31</t>
        </is>
      </c>
      <c r="P1549" t="inlineStr">
        <is>
          <t>NO</t>
        </is>
      </c>
      <c r="Q1549"/>
      <c r="R1549" t="inlineStr">
        <is>
          <t>YES</t>
        </is>
      </c>
      <c r="S1549" t="inlineStr">
        <is>
          <t>Rental of Folding Chairs (Nov. 25 to 30 / 6 days)</t>
        </is>
      </c>
      <c r="T1549">
        <v>250</v>
      </c>
      <c r="U1549">
        <v>480</v>
      </c>
      <c r="V1549" t="inlineStr">
        <is>
          <t>PHP</t>
        </is>
      </c>
      <c r="W1549">
        <v>120000</v>
      </c>
      <c r="X1549" s="2"/>
      <c r="Y1549"/>
      <c r="Z1549"/>
      <c r="AA1549"/>
      <c r="AB1549"/>
      <c r="AC1549"/>
      <c r="AD1549" s="4"/>
      <c r="AE1549"/>
      <c r="AF1549" s="2"/>
      <c r="AG1549" t="inlineStr">
        <is>
          <t>NzQyNTk5MTgyNzQ4MTg3MDM0MToyNjNBMEEwOS1DRjUxLTQ3QTctQjhGQS1GRjU4QjQwQTY2RDctNDo0OGJjZWUzMGU2ZmFkOGU4M2I2YjkwNTAxZTQ1YWZhODox</t>
        </is>
      </c>
      <c r="AH1549"/>
      <c r="AI1549"/>
      <c r="AJ1549" t="inlineStr">
        <is>
          <t>LIQUIDITY PLAN (PAR # 202511200098 / 2025TEG-P0321)
ON-GROUND EXECUTIONS &gt; MISCELLANEOUS &gt;
For Rent &gt; 
Lifetime Tables (w/ cover)
Monobloc Chairs (w/ cover)
Audience Chairs (Steel Chair)
Stancions/ Barricades
Window-type Aircon (for MCR)
Total Budget = Php 185,600.00
Actual Cost = Php 388,223.00
Balance = (Php 202,623.00) OVER BUDGET</t>
        </is>
      </c>
      <c r="AK1549"/>
    </row>
    <row r="1550" ht="25.5" customHeight="1">
      <c r="A1550" s="2" t="str">
        <f>=HYPERLINK("https://applink.larksuite.com/client/mini_program/open?appId=cli_9c7cc8a9a9edd105&amp;mode=appCenter&amp;path_pc=pc/pages/requested/index?instanceId=7577319550329343711&amp;source=bitable&amp;path=pages/detail/index?instanceId=7577319550329343711&amp;source=bitable", "202511270124")</f>
        <v>202511270124</v>
      </c>
      <c r="B1550" t="inlineStr">
        <is>
          <t>Approved</t>
        </is>
      </c>
      <c r="C1550" t="inlineStr">
        <is>
          <t>Procurement Order</t>
        </is>
      </c>
      <c r="D1550" s="3">
        <v>45988.68736111111</v>
      </c>
      <c r="E1550" s="3">
        <v>45989.448229166665</v>
      </c>
      <c r="F1550" t="inlineStr">
        <is>
          <t>Fatima Kathleen M. FLores</t>
        </is>
      </c>
      <c r="G1550" t="inlineStr">
        <is>
          <t>Procurement</t>
        </is>
      </c>
      <c r="H1550"/>
      <c r="I1550"/>
      <c r="J1550" t="inlineStr">
        <is>
          <t>Project</t>
        </is>
      </c>
      <c r="K1550" t="inlineStr">
        <is>
          <t>GG - Event Service</t>
        </is>
      </c>
      <c r="L1550" t="inlineStr">
        <is>
          <t>KIC 2025 - Playoffs</t>
        </is>
      </c>
      <c r="M1550" t="inlineStr">
        <is>
          <t>2025TEG-P0321</t>
        </is>
      </c>
      <c r="N1550" t="inlineStr">
        <is>
          <t>Carla Andrea Calma Crespo</t>
        </is>
      </c>
      <c r="O1550" t="inlineStr">
        <is>
          <t>202511230004-Carla Andrea Calma Crespo-费用报销 - 副本 - 副本 - 副本-2025-11-23 07:17:31</t>
        </is>
      </c>
      <c r="P1550" t="inlineStr">
        <is>
          <t>NO</t>
        </is>
      </c>
      <c r="Q1550"/>
      <c r="R1550" t="inlineStr">
        <is>
          <t>YES</t>
        </is>
      </c>
      <c r="S1550" t="inlineStr">
        <is>
          <t>Rental of Stanchions (Nov. 25 to 30 / 6 days)</t>
        </is>
      </c>
      <c r="T1550">
        <v>20</v>
      </c>
      <c r="U1550">
        <v>2250</v>
      </c>
      <c r="V1550" t="inlineStr">
        <is>
          <t>PHP</t>
        </is>
      </c>
      <c r="W1550">
        <v>45000</v>
      </c>
      <c r="X1550" s="2"/>
      <c r="Y1550"/>
      <c r="Z1550"/>
      <c r="AA1550"/>
      <c r="AB1550"/>
      <c r="AC1550"/>
      <c r="AD1550" s="4"/>
      <c r="AE1550"/>
      <c r="AF1550" s="2"/>
      <c r="AG1550" t="inlineStr">
        <is>
          <t>NzQyNTk5MTgyNzQ4MTg3MDM0MToyNjNBMEEwOS1DRjUxLTQ3QTctQjhGQS1GRjU4QjQwQTY2RDctNTo3NmNhZDEzODI2NDI2M2NlN2ZmNWUyODlhODQwMmI2Yzox</t>
        </is>
      </c>
      <c r="AH1550"/>
      <c r="AI1550"/>
      <c r="AJ1550" t="inlineStr">
        <is>
          <t>LIQUIDITY PLAN (PAR # 202511200098 / 2025TEG-P0321)
ON-GROUND EXECUTIONS &gt; MISCELLANEOUS &gt;
For Rent &gt; 
Lifetime Tables (w/ cover)
Monobloc Chairs (w/ cover)
Audience Chairs (Steel Chair)
Stancions/ Barricades
Window-type Aircon (for MCR)
Total Budget = Php 185,600.00
Actual Cost = Php 388,223.00
Balance = (Php 202,623.00) OVER BUDGET</t>
        </is>
      </c>
      <c r="AK1550"/>
    </row>
    <row r="1551" ht="25.5" customHeight="1">
      <c r="A1551" s="2" t="str">
        <f>=HYPERLINK("https://applink.larksuite.com/client/mini_program/open?appId=cli_9c7cc8a9a9edd105&amp;mode=appCenter&amp;path_pc=pc/pages/requested/index?instanceId=7577319550329343711&amp;source=bitable&amp;path=pages/detail/index?instanceId=7577319550329343711&amp;source=bitable", "202511270124")</f>
        <v>202511270124</v>
      </c>
      <c r="B1551" t="inlineStr">
        <is>
          <t>Approved</t>
        </is>
      </c>
      <c r="C1551" t="inlineStr">
        <is>
          <t>Procurement Order</t>
        </is>
      </c>
      <c r="D1551" s="3">
        <v>45988.68736111111</v>
      </c>
      <c r="E1551" s="3">
        <v>45989.448229166665</v>
      </c>
      <c r="F1551" t="inlineStr">
        <is>
          <t>Fatima Kathleen M. FLores</t>
        </is>
      </c>
      <c r="G1551" t="inlineStr">
        <is>
          <t>Procurement</t>
        </is>
      </c>
      <c r="H1551"/>
      <c r="I1551"/>
      <c r="J1551" t="inlineStr">
        <is>
          <t>Project</t>
        </is>
      </c>
      <c r="K1551" t="inlineStr">
        <is>
          <t>GG - Event Service</t>
        </is>
      </c>
      <c r="L1551" t="inlineStr">
        <is>
          <t>KIC 2025 - Playoffs</t>
        </is>
      </c>
      <c r="M1551" t="inlineStr">
        <is>
          <t>2025TEG-P0321</t>
        </is>
      </c>
      <c r="N1551" t="inlineStr">
        <is>
          <t>Carla Andrea Calma Crespo</t>
        </is>
      </c>
      <c r="O1551" t="inlineStr">
        <is>
          <t>202511230004-Carla Andrea Calma Crespo-费用报销 - 副本 - 副本 - 副本-2025-11-23 07:17:31</t>
        </is>
      </c>
      <c r="P1551" t="inlineStr">
        <is>
          <t>NO</t>
        </is>
      </c>
      <c r="Q1551"/>
      <c r="R1551" t="inlineStr">
        <is>
          <t>YES</t>
        </is>
      </c>
      <c r="S1551" t="inlineStr">
        <is>
          <t>Rental of Lifetime Tables (Nov. 25 to 30 / 6 days)</t>
        </is>
      </c>
      <c r="T1551">
        <v>20</v>
      </c>
      <c r="U1551">
        <v>1500</v>
      </c>
      <c r="V1551" t="inlineStr">
        <is>
          <t>PHP</t>
        </is>
      </c>
      <c r="W1551">
        <v>30000</v>
      </c>
      <c r="X1551" s="2"/>
      <c r="Y1551"/>
      <c r="Z1551"/>
      <c r="AA1551"/>
      <c r="AB1551"/>
      <c r="AC1551"/>
      <c r="AD1551" s="4"/>
      <c r="AE1551"/>
      <c r="AF1551" s="2"/>
      <c r="AG1551" t="inlineStr">
        <is>
          <t>NzQyNTk5MTgyNzQ4MTg3MDM0MToyNjNBMEEwOS1DRjUxLTQ3QTctQjhGQS1GRjU4QjQwQTY2RDctNjozYTMwZTI3ZWU4OGYzYzcwOGRhMjQ3Yjg4ZmEzODMyYjox</t>
        </is>
      </c>
      <c r="AH1551"/>
      <c r="AI1551"/>
      <c r="AJ1551" t="inlineStr">
        <is>
          <t>LIQUIDITY PLAN (PAR # 202511200098 / 2025TEG-P0321)
ON-GROUND EXECUTIONS &gt; MISCELLANEOUS &gt;
For Rent &gt; 
Lifetime Tables (w/ cover)
Monobloc Chairs (w/ cover)
Audience Chairs (Steel Chair)
Stancions/ Barricades
Window-type Aircon (for MCR)
Total Budget = Php 185,600.00
Actual Cost = Php 388,223.00
Balance = (Php 202,623.00) OVER BUDGET</t>
        </is>
      </c>
      <c r="AK1551"/>
    </row>
    <row r="1552" ht="25.5" customHeight="1">
      <c r="A1552" s="2" t="str">
        <f>=HYPERLINK("https://applink.larksuite.com/client/mini_program/open?appId=cli_9c7cc8a9a9edd105&amp;mode=appCenter&amp;path_pc=pc/pages/requested/index?instanceId=7577319550329343711&amp;source=bitable&amp;path=pages/detail/index?instanceId=7577319550329343711&amp;source=bitable", "202511270124")</f>
        <v>202511270124</v>
      </c>
      <c r="B1552" t="inlineStr">
        <is>
          <t>Approved</t>
        </is>
      </c>
      <c r="C1552" t="inlineStr">
        <is>
          <t>Procurement Order</t>
        </is>
      </c>
      <c r="D1552" s="3">
        <v>45988.68736111111</v>
      </c>
      <c r="E1552" s="3">
        <v>45989.448229166665</v>
      </c>
      <c r="F1552" t="inlineStr">
        <is>
          <t>Fatima Kathleen M. FLores</t>
        </is>
      </c>
      <c r="G1552" t="inlineStr">
        <is>
          <t>Procurement</t>
        </is>
      </c>
      <c r="H1552"/>
      <c r="I1552"/>
      <c r="J1552" t="inlineStr">
        <is>
          <t>Project</t>
        </is>
      </c>
      <c r="K1552" t="inlineStr">
        <is>
          <t>GG - Event Service</t>
        </is>
      </c>
      <c r="L1552" t="inlineStr">
        <is>
          <t>KIC 2025 - Playoffs</t>
        </is>
      </c>
      <c r="M1552" t="inlineStr">
        <is>
          <t>2025TEG-P0321</t>
        </is>
      </c>
      <c r="N1552" t="inlineStr">
        <is>
          <t>Carla Andrea Calma Crespo</t>
        </is>
      </c>
      <c r="O1552" t="inlineStr">
        <is>
          <t>202511230004-Carla Andrea Calma Crespo-费用报销 - 副本 - 副本 - 副本-2025-11-23 07:17:31</t>
        </is>
      </c>
      <c r="P1552" t="inlineStr">
        <is>
          <t>NO</t>
        </is>
      </c>
      <c r="Q1552"/>
      <c r="R1552" t="inlineStr">
        <is>
          <t>YES</t>
        </is>
      </c>
      <c r="S1552" t="inlineStr">
        <is>
          <t>Delivery Fee</t>
        </is>
      </c>
      <c r="T1552">
        <v>1</v>
      </c>
      <c r="U1552">
        <v>4000</v>
      </c>
      <c r="V1552" t="inlineStr">
        <is>
          <t>PHP</t>
        </is>
      </c>
      <c r="W1552">
        <v>4000</v>
      </c>
      <c r="X1552" s="2" t="str">
        <f>=HYPERLINK("https://www.larksuite.com/approval/admin/previewAttachment?key=PMg7CgJBEATQK1VNdU9NexkTl8UPiiCsazBnFwxMXx9EH0n1QhRbgdNpi5UJtVLI5GyTdsG0xlzu63G_XnYl3uv2fIzPbW7n07q8mOXWYEVoAODh73JEVPXAz_s3AAD__w", "1 attachment(s)")</f>
        <v>1 attachment(s)</v>
      </c>
      <c r="Y1552"/>
      <c r="Z1552"/>
      <c r="AA1552"/>
      <c r="AB1552"/>
      <c r="AC1552"/>
      <c r="AD1552" s="4"/>
      <c r="AE1552"/>
      <c r="AF1552" s="2"/>
      <c r="AG1552" t="inlineStr">
        <is>
          <t>NzQyNTk5MTgyNzQ4MTg3MDM0MToyNjNBMEEwOS1DRjUxLTQ3QTctQjhGQS1GRjU4QjQwQTY2RDctNzoyYTNjNWVjYTRjYjU5NTllNmQ1NWVhNTQ2OGUwNTUzNzox</t>
        </is>
      </c>
      <c r="AH1552"/>
      <c r="AI1552"/>
      <c r="AJ1552" t="inlineStr">
        <is>
          <t>LIQUIDITY PLAN (PAR # 202511200098 / 2025TEG-P0321)
ON-GROUND EXECUTIONS &gt; MISCELLANEOUS &gt;
For Rent &gt; 
Lifetime Tables (w/ cover)
Monobloc Chairs (w/ cover)
Audience Chairs (Steel Chair)
Stancions/ Barricades
Window-type Aircon (for MCR)
Total Budget = Php 185,600.00
Actual Cost = Php 388,223.00
Balance = (Php 202,623.00) OVER BUDGET</t>
        </is>
      </c>
      <c r="AK1552"/>
    </row>
    <row r="1553" ht="25.5" customHeight="1">
      <c r="A1553" s="2" t="str">
        <f>=HYPERLINK("https://applink.larksuite.com/client/mini_program/open?appId=cli_9c7cc8a9a9edd105&amp;mode=appCenter&amp;path_pc=pc/pages/requested/index?instanceId=7577319550329343711&amp;source=bitable&amp;path=pages/detail/index?instanceId=7577319550329343711&amp;source=bitable", "202511270124")</f>
        <v>202511270124</v>
      </c>
      <c r="B1553" t="inlineStr">
        <is>
          <t>Approved</t>
        </is>
      </c>
      <c r="C1553" t="inlineStr">
        <is>
          <t>Procurement Order</t>
        </is>
      </c>
      <c r="D1553" s="3">
        <v>45988.68736111111</v>
      </c>
      <c r="E1553" s="3">
        <v>45989.448229166665</v>
      </c>
      <c r="F1553" t="inlineStr">
        <is>
          <t>Fatima Kathleen M. FLores</t>
        </is>
      </c>
      <c r="G1553" t="inlineStr">
        <is>
          <t>Procurement</t>
        </is>
      </c>
      <c r="H1553"/>
      <c r="I1553"/>
      <c r="J1553" t="inlineStr">
        <is>
          <t>Project</t>
        </is>
      </c>
      <c r="K1553" t="inlineStr">
        <is>
          <t>GG - Event Service</t>
        </is>
      </c>
      <c r="L1553" t="inlineStr">
        <is>
          <t>KIC 2025 - Playoffs</t>
        </is>
      </c>
      <c r="M1553" t="inlineStr">
        <is>
          <t>2025TEG-P0321</t>
        </is>
      </c>
      <c r="N1553" t="inlineStr">
        <is>
          <t>Carla Andrea Calma Crespo</t>
        </is>
      </c>
      <c r="O1553" t="inlineStr">
        <is>
          <t>202511230004-Carla Andrea Calma Crespo-费用报销 - 副本 - 副本 - 副本-2025-11-23 07:17:31</t>
        </is>
      </c>
      <c r="P1553" t="inlineStr">
        <is>
          <t>NO</t>
        </is>
      </c>
      <c r="Q1553"/>
      <c r="R1553" t="inlineStr">
        <is>
          <t>YES</t>
        </is>
      </c>
      <c r="S1553" t="inlineStr">
        <is>
          <t>Rental of Window-type Air Conditioner (Nov. 25 to 30 / 6 days)</t>
        </is>
      </c>
      <c r="T1553">
        <v>6</v>
      </c>
      <c r="U1553">
        <v>21000</v>
      </c>
      <c r="V1553" t="inlineStr">
        <is>
          <t>PHP</t>
        </is>
      </c>
      <c r="W1553">
        <v>126000</v>
      </c>
      <c r="X1553" s="2"/>
      <c r="Y1553"/>
      <c r="Z1553"/>
      <c r="AA1553"/>
      <c r="AB1553"/>
      <c r="AC1553"/>
      <c r="AD1553" s="4"/>
      <c r="AE1553"/>
      <c r="AF1553" s="2"/>
      <c r="AG1553" t="inlineStr">
        <is>
          <t>NzQyNTk5MTgyNzQ4MTg3MDM0MToyNjNBMEEwOS1DRjUxLTQ3QTctQjhGQS1GRjU4QjQwQTY2RDctODoyN2E3NzY3YzdjMDEwMTVkOGI0Zjk1ODZmZWU1NWNlMzox</t>
        </is>
      </c>
      <c r="AH1553"/>
      <c r="AI1553"/>
      <c r="AJ1553" t="inlineStr">
        <is>
          <t>LIQUIDITY PLAN (PAR # 202511200098 / 2025TEG-P0321)
ON-GROUND EXECUTIONS &gt; MISCELLANEOUS &gt;
For Rent &gt; 
Lifetime Tables (w/ cover)
Monobloc Chairs (w/ cover)
Audience Chairs (Steel Chair)
Stancions/ Barricades
Window-type Aircon (for MCR)
Total Budget = Php 185,600.00
Actual Cost = Php 388,223.00
Balance = (Php 202,623.00) OVER BUDGET</t>
        </is>
      </c>
      <c r="AK1553"/>
    </row>
    <row r="1554" ht="25.5" customHeight="1">
      <c r="A1554" s="2" t="str">
        <f>=HYPERLINK("https://applink.larksuite.com/client/mini_program/open?appId=cli_9c7cc8a9a9edd105&amp;mode=appCenter&amp;path_pc=pc/pages/requested/index?instanceId=7577319550329343711&amp;source=bitable&amp;path=pages/detail/index?instanceId=7577319550329343711&amp;source=bitable", "202511270124")</f>
        <v>202511270124</v>
      </c>
      <c r="B1554" t="inlineStr">
        <is>
          <t>Approved</t>
        </is>
      </c>
      <c r="C1554" t="inlineStr">
        <is>
          <t>Procurement Order</t>
        </is>
      </c>
      <c r="D1554" s="3">
        <v>45988.68736111111</v>
      </c>
      <c r="E1554" s="3">
        <v>45989.448229166665</v>
      </c>
      <c r="F1554" t="inlineStr">
        <is>
          <t>Fatima Kathleen M. FLores</t>
        </is>
      </c>
      <c r="G1554" t="inlineStr">
        <is>
          <t>Procurement</t>
        </is>
      </c>
      <c r="H1554"/>
      <c r="I1554"/>
      <c r="J1554" t="inlineStr">
        <is>
          <t>Project</t>
        </is>
      </c>
      <c r="K1554" t="inlineStr">
        <is>
          <t>GG - Event Service</t>
        </is>
      </c>
      <c r="L1554" t="inlineStr">
        <is>
          <t>KIC 2025 - Playoffs</t>
        </is>
      </c>
      <c r="M1554" t="inlineStr">
        <is>
          <t>2025TEG-P0321</t>
        </is>
      </c>
      <c r="N1554" t="inlineStr">
        <is>
          <t>Carla Andrea Calma Crespo</t>
        </is>
      </c>
      <c r="O1554" t="inlineStr">
        <is>
          <t>202511230004-Carla Andrea Calma Crespo-费用报销 - 副本 - 副本 - 副本-2025-11-23 07:17:31</t>
        </is>
      </c>
      <c r="P1554" t="inlineStr">
        <is>
          <t>NO</t>
        </is>
      </c>
      <c r="Q1554"/>
      <c r="R1554" t="inlineStr">
        <is>
          <t>YES</t>
        </is>
      </c>
      <c r="S1554" t="inlineStr">
        <is>
          <t>Delivery Fee</t>
        </is>
      </c>
      <c r="T1554">
        <v>1</v>
      </c>
      <c r="U1554">
        <v>4000</v>
      </c>
      <c r="V1554" t="inlineStr">
        <is>
          <t>PHP</t>
        </is>
      </c>
      <c r="W1554">
        <v>4000</v>
      </c>
      <c r="X1554" s="2" t="str">
        <f>=HYPERLINK("https://www.larksuite.com/approval/admin/previewAttachment?key=PMg9CgJRDATgK828JG8SL2PjsviDIgjrWuTsgoXtN5OYGbRZ8OIosBWSsSJgo8xNZI-mVBBl2ct9Pe7Xy26B97o9H_m59XY-rcuLURoDMndLADz83eTuVdPx8_wGAAD__w", "2 attachment(s)")</f>
        <v>2 attachment(s)</v>
      </c>
      <c r="Y1554"/>
      <c r="Z1554"/>
      <c r="AA1554"/>
      <c r="AB1554"/>
      <c r="AC1554"/>
      <c r="AD1554" s="4"/>
      <c r="AE1554"/>
      <c r="AF1554" s="2"/>
      <c r="AG1554" t="inlineStr">
        <is>
          <t>NzQyNTk5MTgyNzQ4MTg3MDM0MToyNjNBMEEwOS1DRjUxLTQ3QTctQjhGQS1GRjU4QjQwQTY2RDctOTo3NGEzMTRlMDI2ZmRhOTNmNTUwYmRkMWFmOTIwM2U3MDox</t>
        </is>
      </c>
      <c r="AH1554"/>
      <c r="AI1554"/>
      <c r="AJ1554" t="inlineStr">
        <is>
          <t>LIQUIDITY PLAN (PAR # 202511200098 / 2025TEG-P0321)
ON-GROUND EXECUTIONS &gt; MISCELLANEOUS &gt;
For Rent &gt; 
Lifetime Tables (w/ cover)
Monobloc Chairs (w/ cover)
Audience Chairs (Steel Chair)
Stancions/ Barricades
Window-type Aircon (for MCR)
Total Budget = Php 185,600.00
Actual Cost = Php 388,223.00
Balance = (Php 202,623.00) OVER BUDGET</t>
        </is>
      </c>
      <c r="AK1554"/>
    </row>
    <row r="1555" ht="25.5" customHeight="1">
      <c r="A1555" s="2" t="str">
        <f>=HYPERLINK("https://applink.larksuite.com/client/mini_program/open?appId=cli_9c7cc8a9a9edd105&amp;mode=appCenter&amp;path_pc=pc/pages/requested/index?instanceId=7577307296846368481&amp;source=bitable&amp;path=pages/detail/index?instanceId=7577307296846368481&amp;source=bitable", "202511270105")</f>
        <v>202511270105</v>
      </c>
      <c r="B1555" t="inlineStr">
        <is>
          <t>Approved</t>
        </is>
      </c>
      <c r="C1555" t="inlineStr">
        <is>
          <t>Procurement Order</t>
        </is>
      </c>
      <c r="D1555" s="3">
        <v>45988.654340277775</v>
      </c>
      <c r="E1555" s="3">
        <v>45992.631516203706</v>
      </c>
      <c r="F1555" t="inlineStr">
        <is>
          <t>Fatima Kathleen M. FLores</t>
        </is>
      </c>
      <c r="G1555" t="inlineStr">
        <is>
          <t>Procurement</t>
        </is>
      </c>
      <c r="H1555"/>
      <c r="I1555"/>
      <c r="J1555" t="inlineStr">
        <is>
          <t>Project</t>
        </is>
      </c>
      <c r="K1555" t="inlineStr">
        <is>
          <t>PDEI - Event Service</t>
        </is>
      </c>
      <c r="L1555" t="inlineStr">
        <is>
          <t>ADDENDUM ISP x BP Caravan 2025</t>
        </is>
      </c>
      <c r="M1555" t="inlineStr">
        <is>
          <t>2025TEG-P0304</t>
        </is>
      </c>
      <c r="N1555" t="inlineStr">
        <is>
          <t>Ronelle Kylene Chaneco Lim</t>
        </is>
      </c>
      <c r="O1555" t="inlineStr">
        <is>
          <t>202511140024-Ronelle Kylene Chaneco Lim-费用报销 - 副本 - 副本 - 副本-2025-11-14 03:41:15</t>
        </is>
      </c>
      <c r="P1555" t="inlineStr">
        <is>
          <t>NO</t>
        </is>
      </c>
      <c r="Q1555"/>
      <c r="R1555" t="inlineStr">
        <is>
          <t>YES</t>
        </is>
      </c>
      <c r="S1555" t="inlineStr">
        <is>
          <t>Hotel Accommodation (Cebu and Davao / Oct. 10 to 13 &amp; Oct. 17 to 20, 2025)</t>
        </is>
      </c>
      <c r="T1555">
        <v>1</v>
      </c>
      <c r="U1555">
        <v>30600</v>
      </c>
      <c r="V1555" t="inlineStr">
        <is>
          <t>PHP</t>
        </is>
      </c>
      <c r="W1555">
        <v>30600</v>
      </c>
      <c r="X1555" s="2" t="str">
        <f>=HYPERLINK("https://www.larksuite.com/approval/admin/previewAttachment?key=PMgxDsIwDAXQK_0fO_42l2FpVEFpJyRUhpwdiaHriyQiOy0KXmwFTnXJoFaRHhbpydkmpYIoyzmO9X5uz9P2bQeX8Tq-8_NY1vFmL7UGmbslAN4uN7l7VTj-jl8AAAD__w", "2 attachment(s)")</f>
        <v>2 attachment(s)</v>
      </c>
      <c r="Y1555" t="inlineStr">
        <is>
          <t>Bank Transfer</t>
        </is>
      </c>
      <c r="Z1555" t="inlineStr">
        <is>
          <t>EXPLORER EXPRESS TRAVEL CORP.</t>
        </is>
      </c>
      <c r="AA1555" t="inlineStr">
        <is>
          <t>000006097380-0</t>
        </is>
      </c>
      <c r="AB1555" t="inlineStr">
        <is>
          <t>Security Bank</t>
        </is>
      </c>
      <c r="AC1555" t="inlineStr">
        <is>
          <t>24 Mauban St., San Jose, Brgy 127, Caloocan City</t>
        </is>
      </c>
      <c r="AD1555" s="4">
        <v>45940</v>
      </c>
      <c r="AE1555" t="inlineStr">
        <is>
          <t>100% Full Payment</t>
        </is>
      </c>
      <c r="AF1555" s="2" t="str">
        <f>=HYPERLINK("https://www.larksuite.com/approval/admin/previewAttachment?key=TMgxDsIwDAXQK_0fO982l2FpVEFpJyRUhpwdianrUxLKTlPBi63AGT3CEK2ULlN6crbJiEIwLOc41vu5PU_btx1cxuv4zs9jWcebShO8ujsLAG8XJ1Fpsr_jFwAA__8", "1 attachment(s)")</f>
        <v>1 attachment(s)</v>
      </c>
      <c r="AG1555" t="inlineStr">
        <is>
          <t>NzQyNTk5MTgyNzQ4MTg3MDM0MTpDNURCMEVERi05QUQzLTQ0RDAtQTFGMi1ERTU3QUY1NTBGNzMtMTplZjM4MjY5YTU4YTM1MDY2MWQ0YWFiMDU3NmY2YmIyNTox</t>
        </is>
      </c>
      <c r="AH1555" t="inlineStr">
        <is>
          <t>EXPLORER EXPRESS TRAVEL CORP.</t>
        </is>
      </c>
      <c r="AI1555"/>
      <c r="AJ1555" t="inlineStr">
        <is>
          <t>LIQUIDITY PLAN (PAR # 202511060107 / 2025TEG-P0304)
Addendum V2 TAB &gt; Logistics &gt; 
Logistics and Mobility (Client Accomodations)
Total Budget = Php 30,560.00
Actual Cost = Php 30,600.00
Balance = (Php 40.00) OVER BUDGET</t>
        </is>
      </c>
      <c r="AK1555"/>
    </row>
    <row r="1556" ht="25.5" customHeight="1">
      <c r="A1556" s="2" t="str">
        <f>=HYPERLINK("https://applink.larksuite.com/client/mini_program/open?appId=cli_9c7cc8a9a9edd105&amp;mode=appCenter&amp;path_pc=pc/pages/requested/index?instanceId=7577357494222065373&amp;source=bitable&amp;path=pages/detail/index?instanceId=7577357494222065373&amp;source=bitable", "202511270171")</f>
        <v>202511270171</v>
      </c>
      <c r="B1556" t="inlineStr">
        <is>
          <t>Approved</t>
        </is>
      </c>
      <c r="C1556" t="inlineStr">
        <is>
          <t>Procurement Order</t>
        </is>
      </c>
      <c r="D1556" s="3">
        <v>45988.789606481485</v>
      </c>
      <c r="E1556" s="3">
        <v>45989.505162037036</v>
      </c>
      <c r="F1556" t="inlineStr">
        <is>
          <t>Fatima Kathleen M. FLores</t>
        </is>
      </c>
      <c r="G1556" t="inlineStr">
        <is>
          <t>Procurement</t>
        </is>
      </c>
      <c r="H1556"/>
      <c r="I1556"/>
      <c r="J1556" t="inlineStr">
        <is>
          <t>Project</t>
        </is>
      </c>
      <c r="K1556" t="inlineStr">
        <is>
          <t>GG - Event Service</t>
        </is>
      </c>
      <c r="L1556" t="inlineStr">
        <is>
          <t>KIC 2025 - SB19 Tech and Security Rider (Playoffs)</t>
        </is>
      </c>
      <c r="M1556" t="inlineStr">
        <is>
          <t>2025TEG-P0325</t>
        </is>
      </c>
      <c r="N1556" t="inlineStr">
        <is>
          <t>Carla Andrea Calma Crespo</t>
        </is>
      </c>
      <c r="O1556" t="inlineStr">
        <is>
          <t>202511270138-Carla Andrea Calma Crespo-费用报销 - 副本 - 副本 - 副本-2025-11-27 09:10:53</t>
        </is>
      </c>
      <c r="P1556" t="inlineStr">
        <is>
          <t>NO</t>
        </is>
      </c>
      <c r="Q1556"/>
      <c r="R1556" t="inlineStr">
        <is>
          <t>NO</t>
        </is>
      </c>
      <c r="S1556" t="inlineStr">
        <is>
          <t>Rental of Barricade System</t>
        </is>
      </c>
      <c r="T1556">
        <v>1</v>
      </c>
      <c r="U1556">
        <v>145600</v>
      </c>
      <c r="V1556" t="inlineStr">
        <is>
          <t>PHP</t>
        </is>
      </c>
      <c r="W1556">
        <v>145600</v>
      </c>
      <c r="X1556" s="2" t="str">
        <f>=HYPERLINK("https://www.larksuite.com/approval/admin/previewAttachment?key=PMhBDoJQDATQK03b-X9aL-MGQjQBNgZ2PbuJC7dvpmHmsJgFlnnBWkOKIRbdHXOEor1NKsgU2euxPZfL9-R15P0-93Pv-7Vs68dGyR0KMhKAPf4eIlk1iZ_jGwAA__8", "2 attachment(s)")</f>
        <v>2 attachment(s)</v>
      </c>
      <c r="Y1556" t="inlineStr">
        <is>
          <t>Bank Transfer</t>
        </is>
      </c>
      <c r="Z1556" t="inlineStr">
        <is>
          <t>HIFI BLITZ AUDIO &amp; LIGHTING DESIGNS, INC.</t>
        </is>
      </c>
      <c r="AA1556" t="inlineStr">
        <is>
          <t>1408-00-00033-1</t>
        </is>
      </c>
      <c r="AB1556" t="inlineStr">
        <is>
          <t>CHINA BANKING CORPORATION</t>
        </is>
      </c>
      <c r="AC1556" t="inlineStr">
        <is>
          <t>295 B 10th Ave. cor. 6th St., East Grace Park, Caloocan City</t>
        </is>
      </c>
      <c r="AD1556" s="4">
        <v>45991</v>
      </c>
      <c r="AE1556" t="inlineStr">
        <is>
          <t>75% Down payment upon confirmation
25% Final payment upon completion of services</t>
        </is>
      </c>
      <c r="AF1556" s="2" t="str">
        <f>=HYPERLINK("https://www.larksuite.com/approval/admin/previewAttachment?key=TMg7DoIAEATQK83sf72MDYRoAjQGuj27iZXtiyKinBoNa0qDk56pntYmIgjX1JFhZiOZWrMe23O5ZC-7jrrf537uc7-Wbf0wSgPWbsYGwMefk-jS0J_jGwAA__8", "2 attachment(s)")</f>
        <v>2 attachment(s)</v>
      </c>
      <c r="AG1556" t="inlineStr">
        <is>
          <t>NzQyNTk5MTgyNzQ4MTg3MDM0MTowMjE2Nzc4RC0zRDU5LTQzQ0YtOTVCOC1DNTc5QkRGNEREQkItMTo5NTY3MDRmZDkwZmVjMzVlNjczMTg5N2E1M2EzMzFjMTox</t>
        </is>
      </c>
      <c r="AH1556" t="inlineStr">
        <is>
          <t>HIFI BLITZ AUDIO &amp; LIGHTING DESIGNS, INC.</t>
        </is>
      </c>
      <c r="AI1556"/>
      <c r="AJ1556" t="inlineStr">
        <is>
          <t>LIQUIDITY PLAN (PAR # 202511270039 / 2025TEG-P0325)
SECURITY RIDER &gt; BARRICADES &gt;
Crash Barricade Rental (4x4)
Total Budget = Php 256,000.00
Actual Cost = Php 145,600.00
Balance = Php 110,400.00</t>
        </is>
      </c>
      <c r="AK1556"/>
    </row>
    <row r="1557" ht="25.5" customHeight="1">
      <c r="A1557" s="2" t="str">
        <f>=HYPERLINK("https://applink.larksuite.com/client/mini_program/open?appId=cli_9c7cc8a9a9edd105&amp;mode=appCenter&amp;path_pc=pc/pages/requested/index?instanceId=7577340370258824929&amp;source=bitable&amp;path=pages/detail/index?instanceId=7577340370258824929&amp;source=bitable", "202511270155")</f>
        <v>202511270155</v>
      </c>
      <c r="B1557" t="inlineStr">
        <is>
          <t>Approved</t>
        </is>
      </c>
      <c r="C1557" t="inlineStr">
        <is>
          <t>Procurement Order</t>
        </is>
      </c>
      <c r="D1557" s="3">
        <v>45988.74346064815</v>
      </c>
      <c r="E1557" s="3">
        <v>45989.44200231481</v>
      </c>
      <c r="F1557" t="inlineStr">
        <is>
          <t>Fatima Kathleen M. FLores</t>
        </is>
      </c>
      <c r="G1557" t="inlineStr">
        <is>
          <t>Procurement</t>
        </is>
      </c>
      <c r="H1557"/>
      <c r="I1557"/>
      <c r="J1557" t="inlineStr">
        <is>
          <t>Project</t>
        </is>
      </c>
      <c r="K1557" t="inlineStr">
        <is>
          <t>GG - Event Service</t>
        </is>
      </c>
      <c r="L1557" t="inlineStr">
        <is>
          <t>KIC 2025 - Playoffs</t>
        </is>
      </c>
      <c r="M1557" t="inlineStr">
        <is>
          <t>2025TEG-P0321</t>
        </is>
      </c>
      <c r="N1557" t="inlineStr">
        <is>
          <t>Carla Andrea Calma Crespo</t>
        </is>
      </c>
      <c r="O1557" t="inlineStr">
        <is>
          <t>202511240108-Carla Andrea Calma Crespo-费用报销 - 副本 - 副本 - 副本-2025-11-24 10:31:04</t>
        </is>
      </c>
      <c r="P1557" t="inlineStr">
        <is>
          <t>NO</t>
        </is>
      </c>
      <c r="Q1557"/>
      <c r="R1557" t="inlineStr">
        <is>
          <t>YES</t>
        </is>
      </c>
      <c r="S1557" t="inlineStr">
        <is>
          <t>Outsourced Camera Crew (with equipment)</t>
        </is>
      </c>
      <c r="T1557">
        <v>1</v>
      </c>
      <c r="U1557">
        <v>563440</v>
      </c>
      <c r="V1557" t="inlineStr">
        <is>
          <t>PHP</t>
        </is>
      </c>
      <c r="W1557">
        <v>563440</v>
      </c>
      <c r="X1557" s="2" t="str">
        <f>=HYPERLINK("https://www.larksuite.com/approval/admin/previewAttachment?key=PMi7DQJBDATQlsa_HZtmSFidIHCEOEHg2pEISN9KwcoQWwUv0YIMgzSHERqZ6qU1OkIWKLSc3cd1W5zZj-5-B1-fOe-3Yz8liqqguVsCkMvfje5etRw_xzcAAP__", "2 attachment(s)")</f>
        <v>2 attachment(s)</v>
      </c>
      <c r="Y1557" t="inlineStr">
        <is>
          <t>Bank Transfer</t>
        </is>
      </c>
      <c r="Z1557" t="inlineStr">
        <is>
          <t>Ryan Matias</t>
        </is>
      </c>
      <c r="AA1557" t="inlineStr">
        <is>
          <t>1996 2285 79</t>
        </is>
      </c>
      <c r="AB1557" t="inlineStr">
        <is>
          <t>BPI</t>
        </is>
      </c>
      <c r="AC1557" t="inlineStr">
        <is>
          <t>Kingsville, Antipolo</t>
        </is>
      </c>
      <c r="AD1557" s="4">
        <v>45980</v>
      </c>
      <c r="AE1557" t="inlineStr">
        <is>
          <t>50% Down Payment upon confirmation
50% balance - 30 days upon completion of services</t>
        </is>
      </c>
      <c r="AF1557" s="2"/>
      <c r="AG1557" t="inlineStr">
        <is>
          <t>NzQyNTk5MTgyNzQ4MTg3MDM0MTo1OUY4NTZDQS02QjU5LTQ0NTAtOEU2Qi1EMThENkU3M0Y2RUYtMToyZjEwNTY5ZWE5MjI5MjAzZDRlNjhmMjAyZmE3ZGQxNDox</t>
        </is>
      </c>
      <c r="AH1557" t="inlineStr">
        <is>
          <t>RY MATIAS PHOTO &amp; VIDEO SERVICES</t>
        </is>
      </c>
      <c r="AI1557"/>
      <c r="AJ1557" t="inlineStr">
        <is>
          <t>LIQUIDITY PLAN (PAR # 202511200098 / 2025TEG-P0321)
LABOR COST (PH MANPOWER) &gt; BROADCAST TEAM &gt;
Cameraman Master
Cameraman Sub Master
Cameraman Ronin (Gimbal) - Operator + Equipment
Drone Operator - Licensed
Asisstant Cemaraman 1
Total Budget = Php 540,000.00
Actual Cost = Php 563,440.00
Balance = (Php 23,440.00) OVER BUDGET</t>
        </is>
      </c>
      <c r="AK1557"/>
    </row>
    <row r="1558" ht="25.5" customHeight="1">
      <c r="A1558" s="2" t="str">
        <f>=HYPERLINK("https://applink.larksuite.com/client/mini_program/open?appId=cli_9c7cc8a9a9edd105&amp;mode=appCenter&amp;path_pc=pc/pages/requested/index?instanceId=7577350285232787169&amp;source=bitable&amp;path=pages/detail/index?instanceId=7577350285232787169&amp;source=bitable", "202511270166")</f>
        <v>202511270166</v>
      </c>
      <c r="B1558" t="inlineStr">
        <is>
          <t>Approved</t>
        </is>
      </c>
      <c r="C1558" t="inlineStr">
        <is>
          <t>Procurement Order</t>
        </is>
      </c>
      <c r="D1558" s="3">
        <v>45988.77018518518</v>
      </c>
      <c r="E1558" s="3">
        <v>45989.442777777775</v>
      </c>
      <c r="F1558" t="inlineStr">
        <is>
          <t>Fatima Kathleen M. FLores</t>
        </is>
      </c>
      <c r="G1558" t="inlineStr">
        <is>
          <t>Procurement</t>
        </is>
      </c>
      <c r="H1558"/>
      <c r="I1558"/>
      <c r="J1558" t="inlineStr">
        <is>
          <t>Project</t>
        </is>
      </c>
      <c r="K1558" t="inlineStr">
        <is>
          <t>GG - Event Service</t>
        </is>
      </c>
      <c r="L1558" t="inlineStr">
        <is>
          <t>KIC 2025 - Playoffs</t>
        </is>
      </c>
      <c r="M1558" t="inlineStr">
        <is>
          <t>2025TEG-P0321</t>
        </is>
      </c>
      <c r="N1558" t="inlineStr">
        <is>
          <t>Carla Andrea Calma Crespo</t>
        </is>
      </c>
      <c r="O1558" t="inlineStr">
        <is>
          <t>202511270018-Carla Andrea Calma Crespo-费用报销 - 副本 - 副本 - 副本-2025-11-27 01:53:45</t>
        </is>
      </c>
      <c r="P1558" t="inlineStr">
        <is>
          <t>NO</t>
        </is>
      </c>
      <c r="Q1558"/>
      <c r="R1558" t="inlineStr">
        <is>
          <t>YES</t>
        </is>
      </c>
      <c r="S1558" t="inlineStr">
        <is>
          <t>Belden® DataTwist® Industrial Cable Category-6 4 Twisted Pairs Shielded Outdoor F/UTP 23 AWG Solid Bare Copper Conductors</t>
        </is>
      </c>
      <c r="T1558">
        <v>1</v>
      </c>
      <c r="U1558">
        <v>18000</v>
      </c>
      <c r="V1558" t="inlineStr">
        <is>
          <t>PHP</t>
        </is>
      </c>
      <c r="W1558">
        <v>18000</v>
      </c>
      <c r="X1558" s="2"/>
      <c r="Y1558" t="inlineStr">
        <is>
          <t>Bank Transfer</t>
        </is>
      </c>
      <c r="Z1558" t="inlineStr">
        <is>
          <t>Sytec Corporation</t>
        </is>
      </c>
      <c r="AA1558" t="inlineStr">
        <is>
          <t>1893189505370</t>
        </is>
      </c>
      <c r="AB1558" t="inlineStr">
        <is>
          <t>Metrobank</t>
        </is>
      </c>
      <c r="AC1558" t="inlineStr">
        <is>
          <t>23 K-J corner K-8 Streets, East Kamias, Quezon City</t>
        </is>
      </c>
      <c r="AD1558" s="4">
        <v>45988</v>
      </c>
      <c r="AE1558" t="inlineStr">
        <is>
          <t>100% Full Payment before delivery</t>
        </is>
      </c>
      <c r="AF1558" s="2"/>
      <c r="AG1558" t="inlineStr">
        <is>
          <t>NzQyNTk5MTgyNzQ4MTg3MDM0MTo0MEY4MkRDNy0wOEIwLTQzNTQtOUYwRC1FREQ0NzNGNTBBNTAtMTo2NmYwYzA3YzlhYTNiOGRlZGM2MGFiNjAxNzI3OWU2Mzox</t>
        </is>
      </c>
      <c r="AH1558" t="inlineStr">
        <is>
          <t>Sytec Corporation</t>
        </is>
      </c>
      <c r="AI1558"/>
      <c r="AJ1558" t="inlineStr">
        <is>
          <t>To be charged to a running / adjusted internal CE.</t>
        </is>
      </c>
      <c r="AK1558"/>
    </row>
    <row r="1559" ht="25.5" customHeight="1">
      <c r="A1559" s="2" t="str">
        <f>=HYPERLINK("https://applink.larksuite.com/client/mini_program/open?appId=cli_9c7cc8a9a9edd105&amp;mode=appCenter&amp;path_pc=pc/pages/requested/index?instanceId=7577350285232787169&amp;source=bitable&amp;path=pages/detail/index?instanceId=7577350285232787169&amp;source=bitable", "202511270166")</f>
        <v>202511270166</v>
      </c>
      <c r="B1559" t="inlineStr">
        <is>
          <t>Approved</t>
        </is>
      </c>
      <c r="C1559" t="inlineStr">
        <is>
          <t>Procurement Order</t>
        </is>
      </c>
      <c r="D1559" s="3">
        <v>45988.77018518518</v>
      </c>
      <c r="E1559" s="3">
        <v>45989.442777777775</v>
      </c>
      <c r="F1559" t="inlineStr">
        <is>
          <t>Fatima Kathleen M. FLores</t>
        </is>
      </c>
      <c r="G1559" t="inlineStr">
        <is>
          <t>Procurement</t>
        </is>
      </c>
      <c r="H1559"/>
      <c r="I1559"/>
      <c r="J1559" t="inlineStr">
        <is>
          <t>Project</t>
        </is>
      </c>
      <c r="K1559" t="inlineStr">
        <is>
          <t>GG - Event Service</t>
        </is>
      </c>
      <c r="L1559" t="inlineStr">
        <is>
          <t>KIC 2025 - Playoffs</t>
        </is>
      </c>
      <c r="M1559" t="inlineStr">
        <is>
          <t>2025TEG-P0321</t>
        </is>
      </c>
      <c r="N1559" t="inlineStr">
        <is>
          <t>Carla Andrea Calma Crespo</t>
        </is>
      </c>
      <c r="O1559" t="inlineStr">
        <is>
          <t>202511270018-Carla Andrea Calma Crespo-费用报销 - 副本 - 副本 - 副本-2025-11-27 01:53:45</t>
        </is>
      </c>
      <c r="P1559" t="inlineStr">
        <is>
          <t>NO</t>
        </is>
      </c>
      <c r="Q1559"/>
      <c r="R1559" t="inlineStr">
        <is>
          <t>YES</t>
        </is>
      </c>
      <c r="S1559" t="inlineStr">
        <is>
          <t>Datwyler RJ-45 Module Plug Cat6A Shielded With Rubber Boot</t>
        </is>
      </c>
      <c r="T1559">
        <v>50</v>
      </c>
      <c r="U1559">
        <v>180</v>
      </c>
      <c r="V1559" t="inlineStr">
        <is>
          <t>PHP</t>
        </is>
      </c>
      <c r="W1559">
        <v>9000</v>
      </c>
      <c r="X1559" s="2" t="str">
        <f>=HYPERLINK("https://www.larksuite.com/approval/admin/previewAttachment?key=PMg9CsJAEAXgK703P_tmvIyNYTGClRCSYs8uWNh-o4hRSR-NaFqDSyl5wirNTSWOXrYoNUR5re097-drP-exU6HI61rH8zG3D7NlBnmEFwDe_u6KiO4R-Dm_AQAA__8", "2 attachment(s)")</f>
        <v>2 attachment(s)</v>
      </c>
      <c r="Y1559"/>
      <c r="Z1559"/>
      <c r="AA1559"/>
      <c r="AB1559"/>
      <c r="AC1559"/>
      <c r="AD1559" s="4"/>
      <c r="AE1559"/>
      <c r="AF1559" s="2"/>
      <c r="AG1559" t="inlineStr">
        <is>
          <t>NzQyNTk5MTgyNzQ4MTg3MDM0MTo0MEY4MkRDNy0wOEIwLTQzNTQtOUYwRC1FREQ0NzNGNTBBNTAtMjpiZmNlNDIyZGUwZjg4NzI0MTRlZDNlZGQ0ZjgxMmQ1Njox</t>
        </is>
      </c>
      <c r="AH1559"/>
      <c r="AI1559"/>
      <c r="AJ1559" t="inlineStr">
        <is>
          <t>To be charged to a running / adjusted internal CE.</t>
        </is>
      </c>
      <c r="AK1559"/>
    </row>
    <row r="1560" ht="25.5" customHeight="1">
      <c r="A1560" s="2" t="str">
        <f>=HYPERLINK("https://applink.larksuite.com/client/mini_program/open?appId=cli_9c7cc8a9a9edd105&amp;mode=appCenter&amp;path_pc=pc/pages/requested/index?instanceId=7577639675230342881&amp;source=bitable&amp;path=pages/detail/index?instanceId=7577639675230342881&amp;source=bitable", "202511280028")</f>
        <v>202511280028</v>
      </c>
      <c r="B1560" t="inlineStr">
        <is>
          <t>Approved</t>
        </is>
      </c>
      <c r="C1560" t="inlineStr">
        <is>
          <t>Procurement Order</t>
        </is>
      </c>
      <c r="D1560" s="3">
        <v>45989.55003472222</v>
      </c>
      <c r="E1560" s="3">
        <v>45989.68482638889</v>
      </c>
      <c r="F1560" t="inlineStr">
        <is>
          <t>Fatima Kathleen M. FLores</t>
        </is>
      </c>
      <c r="G1560" t="inlineStr">
        <is>
          <t>Procurement</t>
        </is>
      </c>
      <c r="H1560"/>
      <c r="I1560"/>
      <c r="J1560" t="inlineStr">
        <is>
          <t>Project</t>
        </is>
      </c>
      <c r="K1560" t="inlineStr">
        <is>
          <t>GG - Event Service</t>
        </is>
      </c>
      <c r="L1560" t="inlineStr">
        <is>
          <t>KIC 2025 - SB19 Tech and Security Rider (Playoffs)</t>
        </is>
      </c>
      <c r="M1560" t="inlineStr">
        <is>
          <t>2025TEG-P0325</t>
        </is>
      </c>
      <c r="N1560" t="inlineStr">
        <is>
          <t>Carla Andrea Calma Crespo</t>
        </is>
      </c>
      <c r="O1560" t="inlineStr">
        <is>
          <t>202511270147-Carla Andrea Calma Crespo-费用报销 - 副本 - 副本 - 副本-2025-11-27 09:24:08</t>
        </is>
      </c>
      <c r="P1560" t="inlineStr">
        <is>
          <t>NO</t>
        </is>
      </c>
      <c r="Q1560"/>
      <c r="R1560" t="inlineStr">
        <is>
          <t>NO</t>
        </is>
      </c>
      <c r="S1560" t="inlineStr">
        <is>
          <t>Outsourced Transportation Services (4 vehicles / Nov. 30, 2025)</t>
        </is>
      </c>
      <c r="T1560">
        <v>1</v>
      </c>
      <c r="U1560">
        <v>64771.84</v>
      </c>
      <c r="V1560" t="inlineStr">
        <is>
          <t>PHP</t>
        </is>
      </c>
      <c r="W1560">
        <v>64771.84</v>
      </c>
      <c r="X1560" s="2" t="str">
        <f>=HYPERLINK("https://www.larksuite.com/approval/admin/previewAttachment?key=PMgxCgIwDAXQK_3kp_mJl3GxFBU6iW49u-Dg-rIMWcOYjWjzhh0NKdmp4QTDq-z4MakhE-vMva7cMvKNuTkfz3U-99uaLxstd4gRLAB2-TsVEd0Z-Dm-AQAA__8", "2 attachment(s)")</f>
        <v>2 attachment(s)</v>
      </c>
      <c r="Y1560" t="inlineStr">
        <is>
          <t>Bank Transfer</t>
        </is>
      </c>
      <c r="Z1560" t="inlineStr">
        <is>
          <t>AKMT TRANSPORT SERVICE OPC</t>
        </is>
      </c>
      <c r="AA1560" t="inlineStr">
        <is>
          <t>00063-0812-780</t>
        </is>
      </c>
      <c r="AB1560" t="inlineStr">
        <is>
          <t>BDO</t>
        </is>
      </c>
      <c r="AC1560" t="inlineStr">
        <is>
          <t>Phase 1 2 Saint Francis Maries Village 2, Mayamot, Antipolo</t>
        </is>
      </c>
      <c r="AD1560" s="4">
        <v>45991</v>
      </c>
      <c r="AE1560" t="inlineStr">
        <is>
          <t>50% Down Payment upon confirmation
50% Balance upon completion of services</t>
        </is>
      </c>
      <c r="AF1560" s="2" t="str">
        <f>=HYPERLINK("https://www.larksuite.com/approval/admin/previewAttachment?key=TMg7CgIwEATQK81kNvvxMjaGoEIq0W7PLljZPk_Cc1JesOIosGNGuMpjDkE2MtmjGVEIhrLX2VedoPTGOlqP5-7P_bbXi55yWE0zFgBe_pxEpVw_xzcAAP__", "3 attachment(s)")</f>
        <v>3 attachment(s)</v>
      </c>
      <c r="AG1560" t="inlineStr">
        <is>
          <t>NzQyNTk5MTgyNzQ4MTg3MDM0MTo2NEE5M0VBMS1CNjc5LTRFQ0UtODlDMS1CRjQ0QUQ1Q0UwNjAtMToyNDYyZWI1Njg4ZTA5YWMzOGVlNWU0MTI2YmU2MjNlYTox</t>
        </is>
      </c>
      <c r="AH1560" t="inlineStr">
        <is>
          <t>AKMT TRANSPORT SERVICE OPC</t>
        </is>
      </c>
      <c r="AI1560"/>
      <c r="AJ1560" t="inlineStr">
        <is>
          <t>LIQUIDITY PLAN (PAR # 202511270039 / 2025TEG-P0325)
SECURITY RIDER &gt; TRANSPORTATION &gt;
Van Rental for SB19 &amp; Entourage - Includes gas and toll fees
Total Budget = Php 72,000.00
Actual Cost = Php 64,771.84
Balance = Php 7,228.16</t>
        </is>
      </c>
      <c r="AK1560"/>
    </row>
    <row r="1561" ht="25.5" customHeight="1">
      <c r="A1561" s="2" t="str">
        <f>=HYPERLINK("https://applink.larksuite.com/client/mini_program/open?appId=cli_9c7cc8a9a9edd105&amp;mode=appCenter&amp;path_pc=pc/pages/requested/index?instanceId=7577352851999985371&amp;source=bitable&amp;path=pages/detail/index?instanceId=7577352851999985371&amp;source=bitable", "202511270167")</f>
        <v>202511270167</v>
      </c>
      <c r="B1561" t="inlineStr">
        <is>
          <t>Approved</t>
        </is>
      </c>
      <c r="C1561" t="inlineStr">
        <is>
          <t>Procurement Order</t>
        </is>
      </c>
      <c r="D1561" s="3">
        <v>45988.777094907404</v>
      </c>
      <c r="E1561" s="3">
        <v>45992.62663194445</v>
      </c>
      <c r="F1561" t="inlineStr">
        <is>
          <t>Fatima Kathleen M. FLores</t>
        </is>
      </c>
      <c r="G1561" t="inlineStr">
        <is>
          <t>Procurement</t>
        </is>
      </c>
      <c r="H1561"/>
      <c r="I1561"/>
      <c r="J1561" t="inlineStr">
        <is>
          <t>Project</t>
        </is>
      </c>
      <c r="K1561" t="inlineStr">
        <is>
          <t>PDEI - Event Service</t>
        </is>
      </c>
      <c r="L1561" t="inlineStr">
        <is>
          <t>MPL PH S16 - Playoffs</t>
        </is>
      </c>
      <c r="M1561" t="inlineStr">
        <is>
          <t>2025TEG-P0215</t>
        </is>
      </c>
      <c r="N1561" t="inlineStr">
        <is>
          <t>Katherine Denise Lee Sy</t>
        </is>
      </c>
      <c r="O1561" t="inlineStr">
        <is>
          <t>202511190003-Katherine Denise Lee Sy-费用报销 - 副本 - 副本 - 副本-2025-11-19 01:31:46</t>
        </is>
      </c>
      <c r="P1561" t="inlineStr">
        <is>
          <t>NO</t>
        </is>
      </c>
      <c r="Q1561"/>
      <c r="R1561" t="inlineStr">
        <is>
          <t>YES</t>
        </is>
      </c>
      <c r="S1561" t="inlineStr">
        <is>
          <t>Logistics Services (Egress)  (Oct. 26 &amp; 27, 2025)</t>
        </is>
      </c>
      <c r="T1561">
        <v>1</v>
      </c>
      <c r="U1561">
        <v>41960</v>
      </c>
      <c r="V1561" t="inlineStr">
        <is>
          <t>PHP</t>
        </is>
      </c>
      <c r="W1561">
        <v>41960</v>
      </c>
      <c r="X1561" s="2" t="str">
        <f>=HYPERLINK("https://www.larksuite.com/approval/admin/previewAttachment?key=PMgxCoIxDAXgK700SV-el3Gx_IjQSeyWswsOrt8sw6w0n0LIhmDNJD1HpUlSpdN6tJECjV699nVfnqdUH5y9X3X6PB_XeluKY4Ae4QXAbn93RoQ0Az_HNwAA__8", "3 attachment(s)")</f>
        <v>3 attachment(s)</v>
      </c>
      <c r="Y1561" t="inlineStr">
        <is>
          <t>Bank Transfer</t>
        </is>
      </c>
      <c r="Z1561" t="inlineStr">
        <is>
          <t>Truckrentalph Transport Logistics Inc</t>
        </is>
      </c>
      <c r="AA1561" t="inlineStr">
        <is>
          <t>121-700-001-557</t>
        </is>
      </c>
      <c r="AB1561" t="inlineStr">
        <is>
          <t>Chinabank</t>
        </is>
      </c>
      <c r="AC1561" t="inlineStr">
        <is>
          <t>3878 Daffodil St., Sun Valley Parañaque</t>
        </is>
      </c>
      <c r="AD1561" s="4">
        <v>45956</v>
      </c>
      <c r="AE1561" t="inlineStr">
        <is>
          <t>100% Full Payment upon completion of services</t>
        </is>
      </c>
      <c r="AF1561" s="2"/>
      <c r="AG1561" t="inlineStr">
        <is>
          <t>NzQyNTk5MTgyNzQ4MTg3MDM0MToyRUI3RTU1OC00NTNELTRENjktOUIzNi03QkE0NEZCMjgzNEUtMTo5ZDJiMGRlNGZjZWRjYjlmODRhODBlYzFkMDhjODQyYzox</t>
        </is>
      </c>
      <c r="AH1561" t="inlineStr">
        <is>
          <t>Truckrentalph Transport Logistics Inc.</t>
        </is>
      </c>
      <c r="AI1561"/>
      <c r="AJ1561" t="inlineStr">
        <is>
          <t>LIQUIDITY PLAN (PAR # 202509020094 / 2025TEG-P0215)
1.1 Logistic Production &gt; 
INGRESS  &amp; EGRESS Mobilization (from MET)
Total Budget = Php 30,000.00
Actual Cost = Php 41,960.00
Balance = (Php 11,960.00) OVER BUDGET</t>
        </is>
      </c>
      <c r="AK1561"/>
    </row>
    <row r="1562" ht="25.5" customHeight="1">
      <c r="A1562" s="2" t="str">
        <f>=HYPERLINK("https://applink.larksuite.com/client/mini_program/open?appId=cli_9c7cc8a9a9edd105&amp;mode=appCenter&amp;path_pc=pc/pages/requested/index?instanceId=7577699519911956190&amp;source=bitable&amp;path=pages/detail/index?instanceId=7577699519911956190&amp;source=bitable", "202511280073")</f>
        <v>202511280073</v>
      </c>
      <c r="B1562" t="inlineStr">
        <is>
          <t>Approved</t>
        </is>
      </c>
      <c r="C1562" t="inlineStr">
        <is>
          <t>Procurement Order</t>
        </is>
      </c>
      <c r="D1562" s="3">
        <v>45989.71129629629</v>
      </c>
      <c r="E1562" s="3">
        <v>45989.80915509259</v>
      </c>
      <c r="F1562" t="inlineStr">
        <is>
          <t>Fatima Kathleen M. FLores</t>
        </is>
      </c>
      <c r="G1562" t="inlineStr">
        <is>
          <t>Procurement</t>
        </is>
      </c>
      <c r="H1562"/>
      <c r="I1562"/>
      <c r="J1562" t="inlineStr">
        <is>
          <t>Project</t>
        </is>
      </c>
      <c r="K1562" t="inlineStr">
        <is>
          <t>GG - Event Service</t>
        </is>
      </c>
      <c r="L1562" t="inlineStr">
        <is>
          <t>KIC 2025 - Playoffs</t>
        </is>
      </c>
      <c r="M1562" t="inlineStr">
        <is>
          <t>2025TEG-P0321</t>
        </is>
      </c>
      <c r="N1562" t="inlineStr">
        <is>
          <t>Randy Vince Fernandez Apura</t>
        </is>
      </c>
      <c r="O1562" t="inlineStr">
        <is>
          <t>202511280067-Randy Vince Fernandez Apura-费用报销 - 副本 - 副本 - 副本-2025-11-28 08:37:09</t>
        </is>
      </c>
      <c r="P1562" t="inlineStr">
        <is>
          <t>NO</t>
        </is>
      </c>
      <c r="Q1562"/>
      <c r="R1562" t="inlineStr">
        <is>
          <t>YES</t>
        </is>
      </c>
      <c r="S1562" t="inlineStr">
        <is>
          <t>Egress - Gate Pass Fee (APEX)</t>
        </is>
      </c>
      <c r="T1562">
        <v>1</v>
      </c>
      <c r="U1562">
        <v>9000</v>
      </c>
      <c r="V1562" t="inlineStr">
        <is>
          <t>PHP</t>
        </is>
      </c>
      <c r="W1562">
        <v>9000</v>
      </c>
      <c r="X1562" s="2" t="str">
        <f>=HYPERLINK("https://www.larksuite.com/approval/admin/previewAttachment?key=PMgxCgIxFATQK838_PzJeBmbXRYVtBHMNjm7YGH7ahA1OlsZaYbBpS6V3WmT7kVjxaJkiGpj7c_jOvN-zpgb5-s4H7E-t-3Y3-xWBNQy2wDAy9-bMtOuxM_xDQAA__8", "2 attachment(s)")</f>
        <v>2 attachment(s)</v>
      </c>
      <c r="Y1562" t="inlineStr">
        <is>
          <t>Bank Transfer</t>
        </is>
      </c>
      <c r="Z1562" t="inlineStr">
        <is>
          <t>ASEANA BUSINESS PARK ESTATE ASSOCIATION INC.</t>
        </is>
      </c>
      <c r="AA1562" t="inlineStr">
        <is>
          <t>9871-0000-31</t>
        </is>
      </c>
      <c r="AB1562" t="inlineStr">
        <is>
          <t>BPI</t>
        </is>
      </c>
      <c r="AC1562" t="inlineStr">
        <is>
          <t>3F Aseana Business Center, Aseana PowerStation Bldg</t>
        </is>
      </c>
      <c r="AD1562" s="4">
        <v>45989</v>
      </c>
      <c r="AE1562" t="inlineStr">
        <is>
          <t>100% Full payment</t>
        </is>
      </c>
      <c r="AF1562" s="2"/>
      <c r="AG1562" t="inlineStr">
        <is>
          <t>NzQyNTk5MTgyNzQ4MTg3MDM0MTpDQ0Y5M0M5OC00RTA4LTQzRUUtQjcyRS02MzBENDA0QzIwQkItMTpmZDJhODJjN2EyOWY3MGY1OWQ5MDdkNDIwMjRkZDY1ZTox</t>
        </is>
      </c>
      <c r="AH1562" t="inlineStr">
        <is>
          <t>ASEANA BUSINESS PARK ESTATE ASSOCIATION INC.</t>
        </is>
      </c>
      <c r="AI1562"/>
      <c r="AJ1562" t="inlineStr">
        <is>
          <t>LIQUIDITY PLAN (PAR # 202511200098 / 2025TEG-P0321)
PLAYOFFS &gt; PERMITS &amp; LICENSES &gt;
Local Government Permits &gt; Road Use/Trucking Permit - ASEANA City
Total Remaining Budget = Php 15,500.00
Actual Cost = Php 21,000.00
Balance = (Php 5,500.00) OVER BUDGET</t>
        </is>
      </c>
      <c r="AK1562"/>
    </row>
    <row r="1563" ht="25.5" customHeight="1">
      <c r="A1563" s="2" t="str">
        <f>=HYPERLINK("https://applink.larksuite.com/client/mini_program/open?appId=cli_9c7cc8a9a9edd105&amp;mode=appCenter&amp;path_pc=pc/pages/requested/index?instanceId=7577699519911956190&amp;source=bitable&amp;path=pages/detail/index?instanceId=7577699519911956190&amp;source=bitable", "202511280073")</f>
        <v>202511280073</v>
      </c>
      <c r="B1563" t="inlineStr">
        <is>
          <t>Approved</t>
        </is>
      </c>
      <c r="C1563" t="inlineStr">
        <is>
          <t>Procurement Order</t>
        </is>
      </c>
      <c r="D1563" s="3">
        <v>45989.71129629629</v>
      </c>
      <c r="E1563" s="3">
        <v>45989.80915509259</v>
      </c>
      <c r="F1563" t="inlineStr">
        <is>
          <t>Fatima Kathleen M. FLores</t>
        </is>
      </c>
      <c r="G1563" t="inlineStr">
        <is>
          <t>Procurement</t>
        </is>
      </c>
      <c r="H1563"/>
      <c r="I1563"/>
      <c r="J1563" t="inlineStr">
        <is>
          <t>Project</t>
        </is>
      </c>
      <c r="K1563" t="inlineStr">
        <is>
          <t>GG - Event Service</t>
        </is>
      </c>
      <c r="L1563" t="inlineStr">
        <is>
          <t>KIC 2025 - Playoffs</t>
        </is>
      </c>
      <c r="M1563" t="inlineStr">
        <is>
          <t>2025TEG-P0321</t>
        </is>
      </c>
      <c r="N1563" t="inlineStr">
        <is>
          <t>Randy Vince Fernandez Apura</t>
        </is>
      </c>
      <c r="O1563" t="inlineStr">
        <is>
          <t>202511280067-Randy Vince Fernandez Apura-费用报销 - 副本 - 副本 - 副本-2025-11-28 08:37:09</t>
        </is>
      </c>
      <c r="P1563" t="inlineStr">
        <is>
          <t>NO</t>
        </is>
      </c>
      <c r="Q1563"/>
      <c r="R1563" t="inlineStr">
        <is>
          <t>YES</t>
        </is>
      </c>
      <c r="S1563" t="inlineStr">
        <is>
          <t>Egress - Gate Pass Fee (Stage One)</t>
        </is>
      </c>
      <c r="T1563">
        <v>1</v>
      </c>
      <c r="U1563">
        <v>7500</v>
      </c>
      <c r="V1563" t="inlineStr">
        <is>
          <t>PHP</t>
        </is>
      </c>
      <c r="W1563">
        <v>7500</v>
      </c>
      <c r="X1563" s="2" t="str">
        <f>=HYPERLINK("https://www.larksuite.com/approval/admin/previewAttachment?key=PMgxCgIxFATQK838_PzJeBmbXRYVtBHMNjm7YGH7ahA1OlsZaYbBpS6V3WmT7kVjxaJkiGpj7c_jOvN-zpgb5-s4H7E-t-3Y3-xWBNQy2wDAy9-bMtOuxM_5DQAA__8", "1 attachment(s)")</f>
        <v>1 attachment(s)</v>
      </c>
      <c r="Y1563"/>
      <c r="Z1563"/>
      <c r="AA1563"/>
      <c r="AB1563"/>
      <c r="AC1563"/>
      <c r="AD1563" s="4"/>
      <c r="AE1563"/>
      <c r="AF1563" s="2"/>
      <c r="AG1563" t="inlineStr">
        <is>
          <t>NzQyNTk5MTgyNzQ4MTg3MDM0MTpDQ0Y5M0M5OC00RTA4LTQzRUUtQjcyRS02MzBENDA0QzIwQkItMjo5MDNiN2NlODA5NjY3OGQwMWQyNzZlMjY1YzRlZWE1Yzox</t>
        </is>
      </c>
      <c r="AH1563"/>
      <c r="AI1563"/>
      <c r="AJ1563" t="inlineStr">
        <is>
          <t>LIQUIDITY PLAN (PAR # 202511200098 / 2025TEG-P0321)
PLAYOFFS &gt; PERMITS &amp; LICENSES &gt;
Local Government Permits &gt; Road Use/Trucking Permit - ASEANA City
Total Remaining Budget = Php 15,500.00
Actual Cost = Php 21,000.00
Balance = (Php 5,500.00) OVER BUDGET</t>
        </is>
      </c>
      <c r="AK1563"/>
    </row>
    <row r="1564" ht="25.5" customHeight="1">
      <c r="A1564" s="2" t="str">
        <f>=HYPERLINK("https://applink.larksuite.com/client/mini_program/open?appId=cli_9c7cc8a9a9edd105&amp;mode=appCenter&amp;path_pc=pc/pages/requested/index?instanceId=7577699519911956190&amp;source=bitable&amp;path=pages/detail/index?instanceId=7577699519911956190&amp;source=bitable", "202511280073")</f>
        <v>202511280073</v>
      </c>
      <c r="B1564" t="inlineStr">
        <is>
          <t>Approved</t>
        </is>
      </c>
      <c r="C1564" t="inlineStr">
        <is>
          <t>Procurement Order</t>
        </is>
      </c>
      <c r="D1564" s="3">
        <v>45989.71129629629</v>
      </c>
      <c r="E1564" s="3">
        <v>45989.80915509259</v>
      </c>
      <c r="F1564" t="inlineStr">
        <is>
          <t>Fatima Kathleen M. FLores</t>
        </is>
      </c>
      <c r="G1564" t="inlineStr">
        <is>
          <t>Procurement</t>
        </is>
      </c>
      <c r="H1564"/>
      <c r="I1564"/>
      <c r="J1564" t="inlineStr">
        <is>
          <t>Project</t>
        </is>
      </c>
      <c r="K1564" t="inlineStr">
        <is>
          <t>GG - Event Service</t>
        </is>
      </c>
      <c r="L1564" t="inlineStr">
        <is>
          <t>KIC 2025 - Playoffs</t>
        </is>
      </c>
      <c r="M1564" t="inlineStr">
        <is>
          <t>2025TEG-P0321</t>
        </is>
      </c>
      <c r="N1564" t="inlineStr">
        <is>
          <t>Randy Vince Fernandez Apura</t>
        </is>
      </c>
      <c r="O1564" t="inlineStr">
        <is>
          <t>202511280067-Randy Vince Fernandez Apura-费用报销 - 副本 - 副本 - 副本-2025-11-28 08:37:09</t>
        </is>
      </c>
      <c r="P1564" t="inlineStr">
        <is>
          <t>NO</t>
        </is>
      </c>
      <c r="Q1564"/>
      <c r="R1564" t="inlineStr">
        <is>
          <t>YES</t>
        </is>
      </c>
      <c r="S1564" t="inlineStr">
        <is>
          <t>Egress - Gate Pass Fee (Techno)</t>
        </is>
      </c>
      <c r="T1564">
        <v>1</v>
      </c>
      <c r="U1564">
        <v>4500</v>
      </c>
      <c r="V1564" t="inlineStr">
        <is>
          <t>PHP</t>
        </is>
      </c>
      <c r="W1564">
        <v>4500</v>
      </c>
      <c r="X1564" s="2" t="str">
        <f>=HYPERLINK("https://www.larksuite.com/approval/admin/previewAttachment?key=PMgxCgIxFATQK838_PzJeBmbXRYVtBHMNjm7YGH7ahA1OlsZaYbBpS6V3WmT7kVjxaJkiGpj7c_jOvN-zpgb5-s4H7E-t-3Y3-xWBNQy2wDAy9-bMtOuxM_jGwAA__8", "1 attachment(s)")</f>
        <v>1 attachment(s)</v>
      </c>
      <c r="Y1564"/>
      <c r="Z1564"/>
      <c r="AA1564"/>
      <c r="AB1564"/>
      <c r="AC1564"/>
      <c r="AD1564" s="4"/>
      <c r="AE1564"/>
      <c r="AF1564" s="2"/>
      <c r="AG1564" t="inlineStr">
        <is>
          <t>NzQyNTk5MTgyNzQ4MTg3MDM0MTpDQ0Y5M0M5OC00RTA4LTQzRUUtQjcyRS02MzBENDA0QzIwQkItMzo3YzkzZDdhNWE3YWQ0OWRkNjI1OWVlMTQzMGM2YTViNDox</t>
        </is>
      </c>
      <c r="AH1564"/>
      <c r="AI1564"/>
      <c r="AJ1564" t="inlineStr">
        <is>
          <t>LIQUIDITY PLAN (PAR # 202511200098 / 2025TEG-P0321)
PLAYOFFS &gt; PERMITS &amp; LICENSES &gt;
Local Government Permits &gt; Road Use/Trucking Permit - ASEANA City
Total Remaining Budget = Php 15,500.00
Actual Cost = Php 21,000.00
Balance = (Php 5,500.00) OVER BUDGET</t>
        </is>
      </c>
      <c r="AK1564"/>
    </row>
    <row r="1565" ht="25.5" customHeight="1">
      <c r="A1565" s="2" t="str">
        <f>=HYPERLINK("https://applink.larksuite.com/client/mini_program/open?appId=cli_9c7cc8a9a9edd105&amp;mode=appCenter&amp;path_pc=pc/pages/requested/index?instanceId=7577714965520371424&amp;source=bitable&amp;path=pages/detail/index?instanceId=7577714965520371424&amp;source=bitable", "202511280085")</f>
        <v>202511280085</v>
      </c>
      <c r="B1565" t="inlineStr">
        <is>
          <t>Approved</t>
        </is>
      </c>
      <c r="C1565" t="inlineStr">
        <is>
          <t>Procurement Order</t>
        </is>
      </c>
      <c r="D1565" s="3">
        <v>45989.75292824074</v>
      </c>
      <c r="E1565" s="3">
        <v>45989.80950231481</v>
      </c>
      <c r="F1565" t="inlineStr">
        <is>
          <t>Fatima Kathleen M. FLores</t>
        </is>
      </c>
      <c r="G1565" t="inlineStr">
        <is>
          <t>Procurement</t>
        </is>
      </c>
      <c r="H1565"/>
      <c r="I1565"/>
      <c r="J1565" t="inlineStr">
        <is>
          <t>CAPEX</t>
        </is>
      </c>
      <c r="K1565"/>
      <c r="L1565"/>
      <c r="M1565"/>
      <c r="N1565"/>
      <c r="O1565" t="inlineStr">
        <is>
          <t>202511120085-Carla Andrea Calma Crespo-费用报销 - 副本 - 副本 - 副本-2025-11-12 08:39:59</t>
        </is>
      </c>
      <c r="P1565"/>
      <c r="Q1565" t="inlineStr">
        <is>
          <t>Mineski PH</t>
        </is>
      </c>
      <c r="R1565"/>
      <c r="S1565" t="inlineStr">
        <is>
          <t>Skyworth 65” Android Smart LED TV</t>
        </is>
      </c>
      <c r="T1565">
        <v>1</v>
      </c>
      <c r="U1565">
        <v>28500</v>
      </c>
      <c r="V1565" t="inlineStr">
        <is>
          <t>PHP</t>
        </is>
      </c>
      <c r="W1565">
        <v>28500</v>
      </c>
      <c r="X1565" s="2" t="str">
        <f>=HYPERLINK("https://www.larksuite.com/approval/admin/previewAttachment?key=PMgxDsIwFAPQK9n_O3E-l2FpVSEKXRBlytmRGFhfH0QfjdkLKkaB0802Vb21QJoKzZi0C6ZzzPW5XZd3PPbD5-cA9_M-z9uyrS-2cgScUg4AvPw9LamqCz_HNwAA__8", "2 attachment(s)")</f>
        <v>2 attachment(s)</v>
      </c>
      <c r="Y1565" t="inlineStr">
        <is>
          <t>Bank Transfer</t>
        </is>
      </c>
      <c r="Z1565" t="inlineStr">
        <is>
          <t>Welcome Home Appliances Binondo Corp.</t>
        </is>
      </c>
      <c r="AA1565" t="inlineStr">
        <is>
          <t>0026 3808 4635</t>
        </is>
      </c>
      <c r="AB1565" t="inlineStr">
        <is>
          <t>BDO</t>
        </is>
      </c>
      <c r="AC1565" t="inlineStr">
        <is>
          <t>229 Wilson St., Greenhills, San Juan City</t>
        </is>
      </c>
      <c r="AD1565" s="4">
        <v>45988</v>
      </c>
      <c r="AE1565" t="inlineStr">
        <is>
          <t>100% Full Payment before delivery</t>
        </is>
      </c>
      <c r="AF1565" s="2" t="str">
        <f>=HYPERLINK("https://www.larksuite.com/approval/admin/previewAttachment?key=TMixDcJQDATQle6-_X02y9AkihCBNIhQeXYkKtoXSUROWhS8OApsTUn0ijkHTPThPZpSQZRlr8_turzHYz90fg5wP-993pZtfTHSAl7TnQWAlz8nUWlhP8c3AAD__w", "2 attachment(s)")</f>
        <v>2 attachment(s)</v>
      </c>
      <c r="AG1565" t="inlineStr">
        <is>
          <t>NzQyNTk5MTgyNzQ4MTg3MDM0MTpFMTVGNzFEQi05NEExLTQ1RkEtQjY1MS1DOEQyMDQxQUM3MjktMTplYTJjMjI0ODRlODNmZWMyNGFlYTg5NTFjNTc4YTE1Njox</t>
        </is>
      </c>
      <c r="AH1565" t="inlineStr">
        <is>
          <t>Welcome Home Appliances Binondo Corporation</t>
        </is>
      </c>
      <c r="AI1565"/>
      <c r="AJ1565"/>
      <c r="AK1565"/>
    </row>
    <row r="1566" ht="25.5" customHeight="1">
      <c r="A1566" s="2" t="str">
        <f>=HYPERLINK("https://applink.larksuite.com/client/mini_program/open?appId=cli_9c7cc8a9a9edd105&amp;mode=appCenter&amp;path_pc=pc/pages/requested/index?instanceId=7578362304249466592&amp;source=bitable&amp;path=pages/detail/index?instanceId=7578362304249466592&amp;source=bitable", "202511300007")</f>
        <v>202511300007</v>
      </c>
      <c r="B1566" t="inlineStr">
        <is>
          <t>Approved</t>
        </is>
      </c>
      <c r="C1566" t="inlineStr">
        <is>
          <t>Procurement Order</t>
        </is>
      </c>
      <c r="D1566" s="3">
        <v>45991.49737268518</v>
      </c>
      <c r="E1566" s="3">
        <v>45992.45763888889</v>
      </c>
      <c r="F1566" t="inlineStr">
        <is>
          <t>Fatima Kathleen M. FLores</t>
        </is>
      </c>
      <c r="G1566" t="inlineStr">
        <is>
          <t>Procurement</t>
        </is>
      </c>
      <c r="H1566"/>
      <c r="I1566"/>
      <c r="J1566" t="inlineStr">
        <is>
          <t>Project</t>
        </is>
      </c>
      <c r="K1566" t="inlineStr">
        <is>
          <t>GG - Event Service</t>
        </is>
      </c>
      <c r="L1566" t="inlineStr">
        <is>
          <t>KIC 2025 - Playoffs</t>
        </is>
      </c>
      <c r="M1566" t="inlineStr">
        <is>
          <t>2025TEG-P0321</t>
        </is>
      </c>
      <c r="N1566" t="inlineStr">
        <is>
          <t>Carla Andrea Calma Crespo</t>
        </is>
      </c>
      <c r="O1566" t="inlineStr">
        <is>
          <t>202511280097-Carla Andrea Calma Crespo-费用报销 - 副本 - 副本 - 副本-2025-11-28 12:19:25</t>
        </is>
      </c>
      <c r="P1566" t="inlineStr">
        <is>
          <t>YES</t>
        </is>
      </c>
      <c r="Q1566"/>
      <c r="R1566" t="inlineStr">
        <is>
          <t>YES</t>
        </is>
      </c>
      <c r="S1566" t="inlineStr">
        <is>
          <t>Outsourced HMUA (Players)</t>
        </is>
      </c>
      <c r="T1566">
        <v>1</v>
      </c>
      <c r="U1566">
        <v>43200</v>
      </c>
      <c r="V1566" t="inlineStr">
        <is>
          <t>PHP</t>
        </is>
      </c>
      <c r="W1566">
        <v>43200</v>
      </c>
      <c r="X1566" s="2"/>
      <c r="Y1566" t="inlineStr">
        <is>
          <t>Bank Transfer</t>
        </is>
      </c>
      <c r="Z1566" t="inlineStr">
        <is>
          <t>R-June Eniceo</t>
        </is>
      </c>
      <c r="AA1566" t="inlineStr">
        <is>
          <t>018452020505</t>
        </is>
      </c>
      <c r="AB1566" t="inlineStr">
        <is>
          <t>GoTyme Bank</t>
        </is>
      </c>
      <c r="AC1566" t="inlineStr">
        <is>
          <t>Celestino Compound Brgy Dalig Antipolo city</t>
        </is>
      </c>
      <c r="AD1566" s="4">
        <v>45991</v>
      </c>
      <c r="AE1566" t="inlineStr">
        <is>
          <t>1st Payment - Dec 1, 2025
Final Payment - Dec. 5, 2025</t>
        </is>
      </c>
      <c r="AF1566" s="2"/>
      <c r="AG1566" t="inlineStr">
        <is>
          <t>NzQyNTk5MTgyNzQ4MTg3MDM0MTo5MUIyRDU1Qy1CMDc4LTQ4MDAtQTMxMi00OUI1OTY1ODc1RDUtMTpkZTQ2YjBmNDYzNDczNmU0MDNmNWEzMjk5ZTBhODIzMjox</t>
        </is>
      </c>
      <c r="AH1566" t="inlineStr">
        <is>
          <t>R-June Eniceo</t>
        </is>
      </c>
      <c r="AI1566"/>
      <c r="AJ1566" t="inlineStr">
        <is>
          <t>Tagged as over budget. To be charged to an updated running internal CE for playoffs.</t>
        </is>
      </c>
      <c r="AK1566"/>
    </row>
    <row r="1567" ht="25.5" customHeight="1">
      <c r="A1567" s="2" t="str">
        <f>=HYPERLINK("https://applink.larksuite.com/client/mini_program/open?appId=cli_9c7cc8a9a9edd105&amp;mode=appCenter&amp;path_pc=pc/pages/requested/index?instanceId=7578362304249466592&amp;source=bitable&amp;path=pages/detail/index?instanceId=7578362304249466592&amp;source=bitable", "202511300007")</f>
        <v>202511300007</v>
      </c>
      <c r="B1567" t="inlineStr">
        <is>
          <t>Approved</t>
        </is>
      </c>
      <c r="C1567" t="inlineStr">
        <is>
          <t>Procurement Order</t>
        </is>
      </c>
      <c r="D1567" s="3">
        <v>45991.49737268518</v>
      </c>
      <c r="E1567" s="3">
        <v>45992.45763888889</v>
      </c>
      <c r="F1567" t="inlineStr">
        <is>
          <t>Fatima Kathleen M. FLores</t>
        </is>
      </c>
      <c r="G1567" t="inlineStr">
        <is>
          <t>Procurement</t>
        </is>
      </c>
      <c r="H1567"/>
      <c r="I1567"/>
      <c r="J1567" t="inlineStr">
        <is>
          <t>Project</t>
        </is>
      </c>
      <c r="K1567" t="inlineStr">
        <is>
          <t>GG - Event Service</t>
        </is>
      </c>
      <c r="L1567" t="inlineStr">
        <is>
          <t>KIC 2025 - Playoffs</t>
        </is>
      </c>
      <c r="M1567" t="inlineStr">
        <is>
          <t>2025TEG-P0321</t>
        </is>
      </c>
      <c r="N1567" t="inlineStr">
        <is>
          <t>Carla Andrea Calma Crespo</t>
        </is>
      </c>
      <c r="O1567" t="inlineStr">
        <is>
          <t>202511280097-Carla Andrea Calma Crespo-费用报销 - 副本 - 副本 - 副本-2025-11-28 12:19:25</t>
        </is>
      </c>
      <c r="P1567" t="inlineStr">
        <is>
          <t>YES</t>
        </is>
      </c>
      <c r="Q1567"/>
      <c r="R1567" t="inlineStr">
        <is>
          <t>YES</t>
        </is>
      </c>
      <c r="S1567" t="inlineStr">
        <is>
          <t>Rental of Make-up Chairs (2 chairs for 3 days)</t>
        </is>
      </c>
      <c r="T1567">
        <v>1</v>
      </c>
      <c r="U1567">
        <v>3170</v>
      </c>
      <c r="V1567" t="inlineStr">
        <is>
          <t>PHP</t>
        </is>
      </c>
      <c r="W1567">
        <v>3170</v>
      </c>
      <c r="X1567" s="2" t="str">
        <f>=HYPERLINK("https://www.larksuite.com/approval/admin/previewAttachment?key=PMhBCgIxDAXQK_0kv_mNl3FjGUQrCKI4i55dcDHbl92QvVlkgWVesKWmHukBOouZrXz5MqkgU_Q1Htt5tvfXdXvucw7s9_W5XrbxslZyh4KMDsBOh4dIViXxd_sFAAD__w", "2 attachment(s)")</f>
        <v>2 attachment(s)</v>
      </c>
      <c r="Y1567"/>
      <c r="Z1567"/>
      <c r="AA1567"/>
      <c r="AB1567"/>
      <c r="AC1567"/>
      <c r="AD1567" s="4"/>
      <c r="AE1567"/>
      <c r="AF1567" s="2"/>
      <c r="AG1567" t="inlineStr">
        <is>
          <t>NzQyNTk5MTgyNzQ4MTg3MDM0MTo5MUIyRDU1Qy1CMDc4LTQ4MDAtQTMxMi00OUI1OTY1ODc1RDUtMjoyZWVkY2MzN2Q5NmYwYWI1MGQzZWQ4ZmQyMTBhZGM2Yjox</t>
        </is>
      </c>
      <c r="AH1567"/>
      <c r="AI1567"/>
      <c r="AJ1567" t="inlineStr">
        <is>
          <t>Tagged as over budget. To be charged to an updated running internal CE for playoffs.</t>
        </is>
      </c>
      <c r="AK1567"/>
    </row>
    <row r="1568" ht="25.5" customHeight="1">
      <c r="A1568" s="2" t="str">
        <f>=HYPERLINK("https://applink.larksuite.com/client/mini_program/open?appId=cli_9c7cc8a9a9edd105&amp;mode=appCenter&amp;path_pc=pc/pages/requested/index?instanceId=7578363005767814878&amp;source=bitable&amp;path=pages/detail/index?instanceId=7578363005767814878&amp;source=bitable", "202511300008")</f>
        <v>202511300008</v>
      </c>
      <c r="B1568" t="inlineStr">
        <is>
          <t>Approved</t>
        </is>
      </c>
      <c r="C1568" t="inlineStr">
        <is>
          <t>Procurement Order</t>
        </is>
      </c>
      <c r="D1568" s="3">
        <v>45991.49925925926</v>
      </c>
      <c r="E1568" s="3">
        <v>45992.46140046296</v>
      </c>
      <c r="F1568" t="inlineStr">
        <is>
          <t>Fatima Kathleen M. FLores</t>
        </is>
      </c>
      <c r="G1568" t="inlineStr">
        <is>
          <t>Procurement</t>
        </is>
      </c>
      <c r="H1568"/>
      <c r="I1568"/>
      <c r="J1568" t="inlineStr">
        <is>
          <t>Project</t>
        </is>
      </c>
      <c r="K1568" t="inlineStr">
        <is>
          <t>GG - Event Service</t>
        </is>
      </c>
      <c r="L1568" t="inlineStr">
        <is>
          <t>KIC 2025 - Playoffs</t>
        </is>
      </c>
      <c r="M1568" t="inlineStr">
        <is>
          <t>2025TEG-P0321</t>
        </is>
      </c>
      <c r="N1568" t="inlineStr">
        <is>
          <t>Carla Andrea Calma Crespo</t>
        </is>
      </c>
      <c r="O1568" t="inlineStr">
        <is>
          <t>202511280098-Carla Andrea Calma Crespo-费用报销 - 副本 - 副本 - 副本-2025-11-28 12:21:38</t>
        </is>
      </c>
      <c r="P1568" t="inlineStr">
        <is>
          <t>YES</t>
        </is>
      </c>
      <c r="Q1568"/>
      <c r="R1568" t="inlineStr">
        <is>
          <t>YES</t>
        </is>
      </c>
      <c r="S1568" t="inlineStr">
        <is>
          <t>Outsourced HMUA (Linger)</t>
        </is>
      </c>
      <c r="T1568">
        <v>1</v>
      </c>
      <c r="U1568">
        <v>21500</v>
      </c>
      <c r="V1568" t="inlineStr">
        <is>
          <t>PHP</t>
        </is>
      </c>
      <c r="W1568">
        <v>21500</v>
      </c>
      <c r="X1568" s="2" t="str">
        <f>=HYPERLINK("https://www.larksuite.com/approval/admin/previewAttachment?key=PMg9ikJRDAXgLZ38nmQ2M42Xh6DXRtDXZO2Che2XJcgKsWx4izZkGCxLA4LJEi_W6AjZoNBq1j7-b3o_9_thAe-9znldL8d6SjRVQXO3AiB_Pze6e3c6vo5PAAAA__8", "2 attachment(s)")</f>
        <v>2 attachment(s)</v>
      </c>
      <c r="Y1568" t="inlineStr">
        <is>
          <t>Bank Transfer</t>
        </is>
      </c>
      <c r="Z1568" t="inlineStr">
        <is>
          <t>John Paul Saenz</t>
        </is>
      </c>
      <c r="AA1568" t="inlineStr">
        <is>
          <t>09461499745</t>
        </is>
      </c>
      <c r="AB1568" t="inlineStr">
        <is>
          <t>GCash</t>
        </is>
      </c>
      <c r="AC1568" t="inlineStr">
        <is>
          <t>Amaya II Tanza, Cavite</t>
        </is>
      </c>
      <c r="AD1568" s="4">
        <v>45991</v>
      </c>
      <c r="AE1568" t="inlineStr">
        <is>
          <t>1st Payment - Dec 1, 2025
Final Payment - Dec. 5, 2025</t>
        </is>
      </c>
      <c r="AF1568" s="2"/>
      <c r="AG1568" t="inlineStr">
        <is>
          <t>NzQyNTk5MTgyNzQ4MTg3MDM0MTpBNkZGN0RFMS1BRjQzLTQ1REItQThCOS1EMjlEOUM5ODU0MTItMTozY2IzODU2ZWMyM2MyNWM2YjEyNmQ1NzlhMmY0YjcxMTox</t>
        </is>
      </c>
      <c r="AH1568" t="inlineStr">
        <is>
          <t>John Paul Saenz</t>
        </is>
      </c>
      <c r="AI1568"/>
      <c r="AJ1568" t="inlineStr">
        <is>
          <t>Tagged as over budget. To be charged to an updated running internal CE for playoffs.</t>
        </is>
      </c>
      <c r="AK1568"/>
    </row>
    <row r="1569" ht="25.5" customHeight="1">
      <c r="A1569" s="2" t="str">
        <f>=HYPERLINK("https://applink.larksuite.com/client/mini_program/open?appId=cli_9c7cc8a9a9edd105&amp;mode=appCenter&amp;path_pc=pc/pages/requested/index?instanceId=7578245429322583778&amp;source=bitable&amp;path=pages/detail/index?instanceId=7578245429322583778&amp;source=bitable", "202511290023")</f>
        <v>202511290023</v>
      </c>
      <c r="B1569" t="inlineStr">
        <is>
          <t>Approved</t>
        </is>
      </c>
      <c r="C1569" t="inlineStr">
        <is>
          <t>Procurement Order</t>
        </is>
      </c>
      <c r="D1569" s="3">
        <v>45991.18241898148</v>
      </c>
      <c r="E1569" s="3">
        <v>45992.612349537034</v>
      </c>
      <c r="F1569" t="inlineStr">
        <is>
          <t>Fatima Kathleen M. FLores</t>
        </is>
      </c>
      <c r="G1569" t="inlineStr">
        <is>
          <t>Procurement</t>
        </is>
      </c>
      <c r="H1569"/>
      <c r="I1569"/>
      <c r="J1569" t="inlineStr">
        <is>
          <t>Project</t>
        </is>
      </c>
      <c r="K1569" t="inlineStr">
        <is>
          <t>GG - Event Service</t>
        </is>
      </c>
      <c r="L1569" t="inlineStr">
        <is>
          <t>KIC 2025 - Playoffs</t>
        </is>
      </c>
      <c r="M1569" t="inlineStr">
        <is>
          <t>2025TEG-P0321</t>
        </is>
      </c>
      <c r="N1569" t="inlineStr">
        <is>
          <t>Jessica Jane Lor Felicilda</t>
        </is>
      </c>
      <c r="O1569" t="inlineStr">
        <is>
          <t>202511290022-Jessica Jane Lor Felicilda-费用报销 - 副本 - 副本 - 副本-2025-11-29 19:05:19</t>
        </is>
      </c>
      <c r="P1569" t="inlineStr">
        <is>
          <t>NO</t>
        </is>
      </c>
      <c r="Q1569"/>
      <c r="R1569" t="inlineStr">
        <is>
          <t>YES</t>
        </is>
      </c>
      <c r="S1569" t="inlineStr">
        <is>
          <t>Cryo Jet Machine</t>
        </is>
      </c>
      <c r="T1569">
        <v>4</v>
      </c>
      <c r="U1569">
        <v>6000</v>
      </c>
      <c r="V1569" t="inlineStr">
        <is>
          <t>PHP</t>
        </is>
      </c>
      <c r="W1569">
        <v>24000</v>
      </c>
      <c r="X1569" s="2"/>
      <c r="Y1569" t="inlineStr">
        <is>
          <t>Bank Transfer</t>
        </is>
      </c>
      <c r="Z1569" t="inlineStr">
        <is>
          <t>Edmund Lupena</t>
        </is>
      </c>
      <c r="AA1569" t="inlineStr">
        <is>
          <t>4299 0840 06</t>
        </is>
      </c>
      <c r="AB1569" t="inlineStr">
        <is>
          <t>BPI</t>
        </is>
      </c>
      <c r="AC1569" t="inlineStr">
        <is>
          <t>Bacoor, Cavite</t>
        </is>
      </c>
      <c r="AD1569" s="4">
        <v>45991</v>
      </c>
      <c r="AE1569" t="inlineStr">
        <is>
          <t>100% Full Payment - Dec. 1, 2025</t>
        </is>
      </c>
      <c r="AF1569" s="2" t="str">
        <f>=HYPERLINK("https://www.larksuite.com/approval/admin/previewAttachment?key=TMgxjsJQDATQK83Y_vZ4L7MNUQQFaZASGp8diYr2pYjUomcjmtbg1CpZrLB2syWv0tiwqlEs12zP_f-KxwG-ETounTHn_bZvL6Y8Eb0i2AD49-MkWp7-dXwCAAD__w", "3 attachment(s)")</f>
        <v>3 attachment(s)</v>
      </c>
      <c r="AG1569" t="inlineStr">
        <is>
          <t>NzQyNTk5MTgyNzQ4MTg3MDM0MTo1MEJCRTdDNC00NkJDLTQ2NTktODcwMi0xMTUyMTI0NUQwNjgtMTpjZjNjNWU0OGQzYzQxZTg3Yzk5NGEwNTZhZDc1ODM3ODox</t>
        </is>
      </c>
      <c r="AH1569" t="inlineStr">
        <is>
          <t>FUNKCIRCUIT EVENTS ORGANIZING SERVICES</t>
        </is>
      </c>
      <c r="AI1569"/>
      <c r="AJ1569" t="inlineStr">
        <is>
          <t>Charged to a running Internal CE</t>
        </is>
      </c>
      <c r="AK1569"/>
    </row>
    <row r="1570" ht="25.5" customHeight="1">
      <c r="A1570" s="2" t="str">
        <f>=HYPERLINK("https://applink.larksuite.com/client/mini_program/open?appId=cli_9c7cc8a9a9edd105&amp;mode=appCenter&amp;path_pc=pc/pages/requested/index?instanceId=7578245429322583778&amp;source=bitable&amp;path=pages/detail/index?instanceId=7578245429322583778&amp;source=bitable", "202511290023")</f>
        <v>202511290023</v>
      </c>
      <c r="B1570" t="inlineStr">
        <is>
          <t>Approved</t>
        </is>
      </c>
      <c r="C1570" t="inlineStr">
        <is>
          <t>Procurement Order</t>
        </is>
      </c>
      <c r="D1570" s="3">
        <v>45991.18241898148</v>
      </c>
      <c r="E1570" s="3">
        <v>45992.612349537034</v>
      </c>
      <c r="F1570" t="inlineStr">
        <is>
          <t>Fatima Kathleen M. FLores</t>
        </is>
      </c>
      <c r="G1570" t="inlineStr">
        <is>
          <t>Procurement</t>
        </is>
      </c>
      <c r="H1570"/>
      <c r="I1570"/>
      <c r="J1570" t="inlineStr">
        <is>
          <t>Project</t>
        </is>
      </c>
      <c r="K1570" t="inlineStr">
        <is>
          <t>GG - Event Service</t>
        </is>
      </c>
      <c r="L1570" t="inlineStr">
        <is>
          <t>KIC 2025 - Playoffs</t>
        </is>
      </c>
      <c r="M1570" t="inlineStr">
        <is>
          <t>2025TEG-P0321</t>
        </is>
      </c>
      <c r="N1570" t="inlineStr">
        <is>
          <t>Jessica Jane Lor Felicilda</t>
        </is>
      </c>
      <c r="O1570" t="inlineStr">
        <is>
          <t>202511290022-Jessica Jane Lor Felicilda-费用报销 - 副本 - 副本 - 副本-2025-11-29 19:05:19</t>
        </is>
      </c>
      <c r="P1570" t="inlineStr">
        <is>
          <t>NO</t>
        </is>
      </c>
      <c r="Q1570"/>
      <c r="R1570" t="inlineStr">
        <is>
          <t>YES</t>
        </is>
      </c>
      <c r="S1570" t="inlineStr">
        <is>
          <t>Confetti Blizzard Machine</t>
        </is>
      </c>
      <c r="T1570">
        <v>2</v>
      </c>
      <c r="U1570">
        <v>12000</v>
      </c>
      <c r="V1570" t="inlineStr">
        <is>
          <t>PHP</t>
        </is>
      </c>
      <c r="W1570">
        <v>24000</v>
      </c>
      <c r="X1570" s="2"/>
      <c r="Y1570"/>
      <c r="Z1570"/>
      <c r="AA1570"/>
      <c r="AB1570"/>
      <c r="AC1570"/>
      <c r="AD1570" s="4"/>
      <c r="AE1570"/>
      <c r="AF1570" s="2"/>
      <c r="AG1570" t="inlineStr">
        <is>
          <t>NzQyNTk5MTgyNzQ4MTg3MDM0MTo1MEJCRTdDNC00NkJDLTQ2NTktODcwMi0xMTUyMTI0NUQwNjgtMjo0MTVlNGUyYzM3MTkwMmI1NTAxMjMyZTk0MmUwOWJkYzox</t>
        </is>
      </c>
      <c r="AH1570"/>
      <c r="AI1570"/>
      <c r="AJ1570" t="inlineStr">
        <is>
          <t>Charged to a running Internal CE</t>
        </is>
      </c>
      <c r="AK1570"/>
    </row>
    <row r="1571" ht="25.5" customHeight="1">
      <c r="A1571" s="2" t="str">
        <f>=HYPERLINK("https://applink.larksuite.com/client/mini_program/open?appId=cli_9c7cc8a9a9edd105&amp;mode=appCenter&amp;path_pc=pc/pages/requested/index?instanceId=7578245429322583778&amp;source=bitable&amp;path=pages/detail/index?instanceId=7578245429322583778&amp;source=bitable", "202511290023")</f>
        <v>202511290023</v>
      </c>
      <c r="B1571" t="inlineStr">
        <is>
          <t>Approved</t>
        </is>
      </c>
      <c r="C1571" t="inlineStr">
        <is>
          <t>Procurement Order</t>
        </is>
      </c>
      <c r="D1571" s="3">
        <v>45991.18241898148</v>
      </c>
      <c r="E1571" s="3">
        <v>45992.612349537034</v>
      </c>
      <c r="F1571" t="inlineStr">
        <is>
          <t>Fatima Kathleen M. FLores</t>
        </is>
      </c>
      <c r="G1571" t="inlineStr">
        <is>
          <t>Procurement</t>
        </is>
      </c>
      <c r="H1571"/>
      <c r="I1571"/>
      <c r="J1571" t="inlineStr">
        <is>
          <t>Project</t>
        </is>
      </c>
      <c r="K1571" t="inlineStr">
        <is>
          <t>GG - Event Service</t>
        </is>
      </c>
      <c r="L1571" t="inlineStr">
        <is>
          <t>KIC 2025 - Playoffs</t>
        </is>
      </c>
      <c r="M1571" t="inlineStr">
        <is>
          <t>2025TEG-P0321</t>
        </is>
      </c>
      <c r="N1571" t="inlineStr">
        <is>
          <t>Jessica Jane Lor Felicilda</t>
        </is>
      </c>
      <c r="O1571" t="inlineStr">
        <is>
          <t>202511290022-Jessica Jane Lor Felicilda-费用报销 - 副本 - 副本 - 副本-2025-11-29 19:05:19</t>
        </is>
      </c>
      <c r="P1571" t="inlineStr">
        <is>
          <t>NO</t>
        </is>
      </c>
      <c r="Q1571"/>
      <c r="R1571" t="inlineStr">
        <is>
          <t>YES</t>
        </is>
      </c>
      <c r="S1571" t="inlineStr">
        <is>
          <t>Additional Gold Metallic Foil Confetti (per kg)</t>
        </is>
      </c>
      <c r="T1571">
        <v>2</v>
      </c>
      <c r="U1571">
        <v>5000</v>
      </c>
      <c r="V1571" t="inlineStr">
        <is>
          <t>PHP</t>
        </is>
      </c>
      <c r="W1571">
        <v>10000</v>
      </c>
      <c r="X1571" s="2" t="str">
        <f>=HYPERLINK("https://www.larksuite.com/approval/admin/previewAttachment?key=PMgxjsJQDATQK43t8R97L7MNUQQFaZASGp8diYL2rTKsSovVYJs3bJQqZ9I73LNCqvExqSFT1GzP_f_i44C9wTquOjnn_bZvL8uWOxRkFAD7-3mIZPcivu6fAAAA__8", "2 attachment(s)")</f>
        <v>2 attachment(s)</v>
      </c>
      <c r="Y1571"/>
      <c r="Z1571"/>
      <c r="AA1571"/>
      <c r="AB1571"/>
      <c r="AC1571"/>
      <c r="AD1571" s="4"/>
      <c r="AE1571"/>
      <c r="AF1571" s="2"/>
      <c r="AG1571" t="inlineStr">
        <is>
          <t>NzQyNTk5MTgyNzQ4MTg3MDM0MTo1MEJCRTdDNC00NkJDLTQ2NTktODcwMi0xMTUyMTI0NUQwNjgtMzpjYmU1NWM4MmZhYjI3NzQ3Njc4MmI5MzhlNDgxZjFhMzox</t>
        </is>
      </c>
      <c r="AH1571"/>
      <c r="AI1571"/>
      <c r="AJ1571" t="inlineStr">
        <is>
          <t>Charged to a running Internal CE</t>
        </is>
      </c>
      <c r="AK1571"/>
    </row>
    <row r="1572" ht="25.5" customHeight="1">
      <c r="A1572" s="2" t="str">
        <f>=HYPERLINK("https://applink.larksuite.com/client/mini_program/open?appId=cli_9c7cc8a9a9edd105&amp;mode=appCenter&amp;path_pc=pc/pages/requested/index?instanceId=7578808007882968795&amp;source=bitable&amp;path=pages/detail/index?instanceId=7578808007882968795&amp;source=bitable", "202512010117")</f>
        <v>202512010117</v>
      </c>
      <c r="B1572" t="inlineStr">
        <is>
          <t>Approved</t>
        </is>
      </c>
      <c r="C1572" t="inlineStr">
        <is>
          <t>Procurement Order</t>
        </is>
      </c>
      <c r="D1572" s="3">
        <v>45992.69844907407</v>
      </c>
      <c r="E1572" s="3">
        <v>45993.707233796296</v>
      </c>
      <c r="F1572" t="inlineStr">
        <is>
          <t>Fatima Kathleen M. FLores</t>
        </is>
      </c>
      <c r="G1572" t="inlineStr">
        <is>
          <t>Procurement</t>
        </is>
      </c>
      <c r="H1572"/>
      <c r="I1572"/>
      <c r="J1572" t="inlineStr">
        <is>
          <t>Project</t>
        </is>
      </c>
      <c r="K1572" t="inlineStr">
        <is>
          <t>GG - Event Service</t>
        </is>
      </c>
      <c r="L1572" t="inlineStr">
        <is>
          <t>KIC 2025 - Group Stage &amp; Knockouts</t>
        </is>
      </c>
      <c r="M1572" t="inlineStr">
        <is>
          <t>2025TEG-P0286</t>
        </is>
      </c>
      <c r="N1572" t="inlineStr">
        <is>
          <t>Frances Angelita Arreglado</t>
        </is>
      </c>
      <c r="O1572" t="inlineStr">
        <is>
          <t>202511080043-Frances Angelita Arreglado-费用报销 - 副本 - 副本 - 副本-2025-11-08 07:14:19</t>
        </is>
      </c>
      <c r="P1572" t="inlineStr">
        <is>
          <t>YES</t>
        </is>
      </c>
      <c r="Q1572"/>
      <c r="R1572" t="inlineStr">
        <is>
          <t>NO</t>
        </is>
      </c>
      <c r="S1572" t="inlineStr">
        <is>
          <t>Outsourced Referee</t>
        </is>
      </c>
      <c r="T1572">
        <v>1</v>
      </c>
      <c r="U1572">
        <v>21450</v>
      </c>
      <c r="V1572" t="inlineStr">
        <is>
          <t>PHP</t>
        </is>
      </c>
      <c r="W1572">
        <v>21450</v>
      </c>
      <c r="X1572" s="2" t="str">
        <f>=HYPERLINK("https://www.larksuite.com/approval/admin/previewAttachment?key=PMg7DgIxEAPQK3kyTuzhMjSsIgTaCvErcnYkim3fcGC4R44CK1ohlrpsGJDdaljVV1shFRRKr22f55nx-dLvyf3G-3O9rpe5PaKXWoOSTAOI0-EpklWD-Dt-AQAA__8", "2 attachment(s)")</f>
        <v>2 attachment(s)</v>
      </c>
      <c r="Y1572" t="inlineStr">
        <is>
          <t>Bank Transfer</t>
        </is>
      </c>
      <c r="Z1572" t="inlineStr">
        <is>
          <t>Harell Jhomar De Jesus</t>
        </is>
      </c>
      <c r="AA1572" t="inlineStr">
        <is>
          <t>1093 2714 4084</t>
        </is>
      </c>
      <c r="AB1572" t="inlineStr">
        <is>
          <t>Union Bank of the Philippines</t>
        </is>
      </c>
      <c r="AC1572" t="inlineStr">
        <is>
          <t>Sitio Gitna, San Isidro, Batangas City, Batangas</t>
        </is>
      </c>
      <c r="AD1572" s="4">
        <v>45968</v>
      </c>
      <c r="AE1572" t="inlineStr">
        <is>
          <t>100% Full Payment - Dec. 5, 2025</t>
        </is>
      </c>
      <c r="AF1572" s="2"/>
      <c r="AG1572" t="inlineStr">
        <is>
          <t>NzQyNTk5MTgyNzQ4MTg3MDM0MTpERTU1OUZGNy03OEZDLTRCMTEtODY4Ri00RjE3NDA5QUI5NzQtMTphZjA0MGIxZDg3ZWNlZGI5NWVhYjJhYmMzOTEwOTcwNzox</t>
        </is>
      </c>
      <c r="AH1572" t="inlineStr">
        <is>
          <t>Harell Jhomar De Jesus</t>
        </is>
      </c>
      <c r="AI1572"/>
      <c r="AJ1572" t="inlineStr">
        <is>
          <t>LIQUIDITY PLAN (PAR # 202510290062 / 2025TEG-P0286)
1108 CE KIC GS+KO TAB &gt; OPERATIONS TEAM &gt;
League Operations &gt; Referee 1
Total Budget = Php 21,600.00
Actual Cost = Php 21,450.00
Balance = Php 150.00</t>
        </is>
      </c>
      <c r="AK1572"/>
    </row>
    <row r="1573" ht="25.5" customHeight="1">
      <c r="A1573" s="2" t="str">
        <f>=HYPERLINK("https://applink.larksuite.com/client/mini_program/open?appId=cli_9c7cc8a9a9edd105&amp;mode=appCenter&amp;path_pc=pc/pages/requested/index?instanceId=7578810372975611617&amp;source=bitable&amp;path=pages/detail/index?instanceId=7578810372975611617&amp;source=bitable", "202512010125")</f>
        <v>202512010125</v>
      </c>
      <c r="B1573" t="inlineStr">
        <is>
          <t>Approved</t>
        </is>
      </c>
      <c r="C1573" t="inlineStr">
        <is>
          <t>Procurement Order</t>
        </is>
      </c>
      <c r="D1573" s="3">
        <v>45992.70482638889</v>
      </c>
      <c r="E1573" s="3">
        <v>45993.708020833335</v>
      </c>
      <c r="F1573" t="inlineStr">
        <is>
          <t>Fatima Kathleen M. FLores</t>
        </is>
      </c>
      <c r="G1573" t="inlineStr">
        <is>
          <t>Procurement</t>
        </is>
      </c>
      <c r="H1573"/>
      <c r="I1573"/>
      <c r="J1573" t="inlineStr">
        <is>
          <t>Project</t>
        </is>
      </c>
      <c r="K1573" t="inlineStr">
        <is>
          <t>GG - Event Service</t>
        </is>
      </c>
      <c r="L1573" t="inlineStr">
        <is>
          <t>KIC 2025 - Group Stage &amp; Knockouts</t>
        </is>
      </c>
      <c r="M1573" t="inlineStr">
        <is>
          <t>2025TEG-P0286</t>
        </is>
      </c>
      <c r="N1573" t="inlineStr">
        <is>
          <t>Frances Angelita Arreglado</t>
        </is>
      </c>
      <c r="O1573" t="inlineStr">
        <is>
          <t>202511080043-Frances Angelita Arreglado-费用报销 - 副本 - 副本 - 副本-2025-11-08 07:14:19</t>
        </is>
      </c>
      <c r="P1573" t="inlineStr">
        <is>
          <t>YES</t>
        </is>
      </c>
      <c r="Q1573"/>
      <c r="R1573" t="inlineStr">
        <is>
          <t>NO</t>
        </is>
      </c>
      <c r="S1573" t="inlineStr">
        <is>
          <t>Outsourced Referee</t>
        </is>
      </c>
      <c r="T1573">
        <v>1</v>
      </c>
      <c r="U1573">
        <v>21450</v>
      </c>
      <c r="V1573" t="inlineStr">
        <is>
          <t>PHP</t>
        </is>
      </c>
      <c r="W1573">
        <v>21450</v>
      </c>
      <c r="X1573" s="2" t="str">
        <f>=HYPERLINK("https://www.larksuite.com/approval/admin/previewAttachment?key=PMixDcJQDATQle5sf5_NMjREEUKBBhHS_NmRKNK-LCJr0LMRTWtwaqiKcFlrJJnUtEmpIcprLs_1uo3PsX1fRz_2aLe532_r8uZomUEe4QWAl9NdEdGdgb_jFwAA__8", "2 attachment(s)")</f>
        <v>2 attachment(s)</v>
      </c>
      <c r="Y1573" t="inlineStr">
        <is>
          <t>Bank Transfer</t>
        </is>
      </c>
      <c r="Z1573" t="inlineStr">
        <is>
          <t>Brian Angelo Rollo</t>
        </is>
      </c>
      <c r="AA1573" t="inlineStr">
        <is>
          <t>09667960353</t>
        </is>
      </c>
      <c r="AB1573" t="inlineStr">
        <is>
          <t>GCash</t>
        </is>
      </c>
      <c r="AC1573" t="inlineStr">
        <is>
          <t>51-B 17th Avenue, Cubao, Quezon City</t>
        </is>
      </c>
      <c r="AD1573" s="4">
        <v>45968</v>
      </c>
      <c r="AE1573" t="inlineStr">
        <is>
          <t>100% Full Payment - Dec. 5, 2025</t>
        </is>
      </c>
      <c r="AF1573" s="2"/>
      <c r="AG1573" t="inlineStr">
        <is>
          <t>NzQyNTk5MTgyNzQ4MTg3MDM0MToxMjRCNEM3QS1FQzBFLTQ5RDUtOTI0Qy0yNEEyMjY1MkU2N0ItMTowODA2NTVkZjUwMDVjMWYxOGZjM2U5OTBhNWYzZTUzYzox</t>
        </is>
      </c>
      <c r="AH1573" t="inlineStr">
        <is>
          <t>Brian Angelo Rollo</t>
        </is>
      </c>
      <c r="AI1573"/>
      <c r="AJ1573" t="inlineStr">
        <is>
          <t>LIQUIDITY PLAN (PAR # 202510290062 / 2025TEG-P0286)
1108 CE KIC GS+KO TAB &gt; OPERATIONS TEAM &gt;
League Operations &gt; Referee 4
Total Budget = Php 21,600.00
Actual Cost = Php 21,450.00
Balance = Php 150.00</t>
        </is>
      </c>
      <c r="AK1573"/>
    </row>
    <row r="1574" ht="25.5" customHeight="1">
      <c r="A1574" s="2" t="str">
        <f>=HYPERLINK("https://applink.larksuite.com/client/mini_program/open?appId=cli_9c7cc8a9a9edd105&amp;mode=appCenter&amp;path_pc=pc/pages/requested/index?instanceId=7578809612741119707&amp;source=bitable&amp;path=pages/detail/index?instanceId=7578809612741119707&amp;source=bitable", "202512010123")</f>
        <v>202512010123</v>
      </c>
      <c r="B1574" t="inlineStr">
        <is>
          <t>Approved</t>
        </is>
      </c>
      <c r="C1574" t="inlineStr">
        <is>
          <t>Procurement Order</t>
        </is>
      </c>
      <c r="D1574" s="3">
        <v>45992.70277777778</v>
      </c>
      <c r="E1574" s="3">
        <v>45993.70854166667</v>
      </c>
      <c r="F1574" t="inlineStr">
        <is>
          <t>Fatima Kathleen M. FLores</t>
        </is>
      </c>
      <c r="G1574" t="inlineStr">
        <is>
          <t>Procurement</t>
        </is>
      </c>
      <c r="H1574"/>
      <c r="I1574"/>
      <c r="J1574" t="inlineStr">
        <is>
          <t>Project</t>
        </is>
      </c>
      <c r="K1574" t="inlineStr">
        <is>
          <t>GG - Event Service</t>
        </is>
      </c>
      <c r="L1574" t="inlineStr">
        <is>
          <t>KIC 2025 - Group Stage &amp; Knockouts</t>
        </is>
      </c>
      <c r="M1574" t="inlineStr">
        <is>
          <t>2025TEG-P0286</t>
        </is>
      </c>
      <c r="N1574" t="inlineStr">
        <is>
          <t>Frances Angelita Arreglado</t>
        </is>
      </c>
      <c r="O1574" t="inlineStr">
        <is>
          <t>202511080043-Frances Angelita Arreglado-费用报销 - 副本 - 副本 - 副本-2025-11-08 07:14:19</t>
        </is>
      </c>
      <c r="P1574" t="inlineStr">
        <is>
          <t>YES</t>
        </is>
      </c>
      <c r="Q1574"/>
      <c r="R1574" t="inlineStr">
        <is>
          <t>NO</t>
        </is>
      </c>
      <c r="S1574" t="inlineStr">
        <is>
          <t>Outsourced Referee</t>
        </is>
      </c>
      <c r="T1574">
        <v>1</v>
      </c>
      <c r="U1574">
        <v>21450</v>
      </c>
      <c r="V1574" t="inlineStr">
        <is>
          <t>PHP</t>
        </is>
      </c>
      <c r="W1574">
        <v>21450</v>
      </c>
      <c r="X1574" s="2" t="str">
        <f>=HYPERLINK("https://www.larksuite.com/approval/admin/previewAttachment?key=PMgxCkIxEATQK83sbjI7Xsbmf4IgVoJokbMLFrZvNjF7MKdRZhjcGuqGJ0NF0oJ2bEqGqOx9PtZVjE_fj3d45ULt1-1Y55PDioCyKhsAL39PVZU9Cz_HNwAA__8", "2 attachment(s)")</f>
        <v>2 attachment(s)</v>
      </c>
      <c r="Y1574" t="inlineStr">
        <is>
          <t>Bank Transfer</t>
        </is>
      </c>
      <c r="Z1574" t="inlineStr">
        <is>
          <t>Jairard Proverbs Palon</t>
        </is>
      </c>
      <c r="AA1574" t="inlineStr">
        <is>
          <t>09367382717</t>
        </is>
      </c>
      <c r="AB1574" t="inlineStr">
        <is>
          <t>GCash</t>
        </is>
      </c>
      <c r="AC1574" t="inlineStr">
        <is>
          <t>Block 3 Lot 8, Cowslip St. Lancaster Residences, Alapan 2-A, Imus City, Cavite</t>
        </is>
      </c>
      <c r="AD1574" s="4">
        <v>45968</v>
      </c>
      <c r="AE1574" t="inlineStr">
        <is>
          <t>100% Full Payment - Dec. 5, 2025</t>
        </is>
      </c>
      <c r="AF1574" s="2"/>
      <c r="AG1574" t="inlineStr">
        <is>
          <t>NzQyNTk5MTgyNzQ4MTg3MDM0MTpBRTYzQjhGNy0xM0E0LTQ5Q0ItODdBOC1FRUFFRUIzNDQ3RkQtMTplODMzM2JlNzI4OGRkY2MwOTFmOWY4M2FkYjFiYTEwODox</t>
        </is>
      </c>
      <c r="AH1574" t="inlineStr">
        <is>
          <t>Jairard Proverbs Palon</t>
        </is>
      </c>
      <c r="AI1574"/>
      <c r="AJ1574" t="inlineStr">
        <is>
          <t>LIQUIDITY PLAN (PAR # 202510290062 / 2025TEG-P0286)
1108 CE KIC GS+KO TAB &gt; OPERATIONS TEAM &gt;
League Operations &gt; Referee 3
Total Budget = Php 21,600.00
Actual Cost = Php 21,450.00
Balance = Php 150.00</t>
        </is>
      </c>
      <c r="AK1574"/>
    </row>
    <row r="1575" ht="25.5" customHeight="1">
      <c r="A1575" s="2" t="str">
        <f>=HYPERLINK("https://applink.larksuite.com/client/mini_program/open?appId=cli_9c7cc8a9a9edd105&amp;mode=appCenter&amp;path_pc=pc/pages/requested/index?instanceId=7578808908874026722&amp;source=bitable&amp;path=pages/detail/index?instanceId=7578808908874026722&amp;source=bitable", "202512010120")</f>
        <v>202512010120</v>
      </c>
      <c r="B1575" t="inlineStr">
        <is>
          <t>Approved</t>
        </is>
      </c>
      <c r="C1575" t="inlineStr">
        <is>
          <t>Procurement Order</t>
        </is>
      </c>
      <c r="D1575" s="3">
        <v>45992.70087962963</v>
      </c>
      <c r="E1575" s="3">
        <v>45993.70927083334</v>
      </c>
      <c r="F1575" t="inlineStr">
        <is>
          <t>Fatima Kathleen M. FLores</t>
        </is>
      </c>
      <c r="G1575" t="inlineStr">
        <is>
          <t>Procurement</t>
        </is>
      </c>
      <c r="H1575"/>
      <c r="I1575"/>
      <c r="J1575" t="inlineStr">
        <is>
          <t>Project</t>
        </is>
      </c>
      <c r="K1575" t="inlineStr">
        <is>
          <t>GG - Event Service</t>
        </is>
      </c>
      <c r="L1575" t="inlineStr">
        <is>
          <t>KIC 2025 - Group Stage &amp; Knockouts</t>
        </is>
      </c>
      <c r="M1575" t="inlineStr">
        <is>
          <t>2025TEG-P0286</t>
        </is>
      </c>
      <c r="N1575" t="inlineStr">
        <is>
          <t>Frances Angelita Arreglado</t>
        </is>
      </c>
      <c r="O1575" t="inlineStr">
        <is>
          <t>202511080043-Frances Angelita Arreglado-费用报销 - 副本 - 副本 - 副本-2025-11-08 07:14:19</t>
        </is>
      </c>
      <c r="P1575" t="inlineStr">
        <is>
          <t>YES</t>
        </is>
      </c>
      <c r="Q1575"/>
      <c r="R1575" t="inlineStr">
        <is>
          <t>NO</t>
        </is>
      </c>
      <c r="S1575" t="inlineStr">
        <is>
          <t>Outsourced Referee</t>
        </is>
      </c>
      <c r="T1575">
        <v>1</v>
      </c>
      <c r="U1575">
        <v>21450</v>
      </c>
      <c r="V1575" t="inlineStr">
        <is>
          <t>PHP</t>
        </is>
      </c>
      <c r="W1575">
        <v>21450</v>
      </c>
      <c r="X1575" s="2" t="str">
        <f>=HYPERLINK("https://www.larksuite.com/approval/admin/previewAttachment?key=PMhBCsJQDATQK03y08zEy7jxU0QsFESti5xdcOH2pQypxUYWoswL1lwoQQWJAU-6t7eRBRqHem7rOfy9aZ-f437Yfnv263pZ58OWojs4IoYA2OnvgxFRlYGf4xsAAP__", "2 attachment(s)")</f>
        <v>2 attachment(s)</v>
      </c>
      <c r="Y1575" t="inlineStr">
        <is>
          <t>Bank Transfer</t>
        </is>
      </c>
      <c r="Z1575" t="inlineStr">
        <is>
          <t>Michael Joseph T. Ibarra</t>
        </is>
      </c>
      <c r="AA1575" t="inlineStr">
        <is>
          <t>09471275542</t>
        </is>
      </c>
      <c r="AB1575" t="inlineStr">
        <is>
          <t>GCash</t>
        </is>
      </c>
      <c r="AC1575" t="inlineStr">
        <is>
          <t>Block 4 Lot 15 Kasoy Street. Palmera Homes Phase 1-A. Brgy Sta Monica, Novaliches, Quezon City</t>
        </is>
      </c>
      <c r="AD1575" s="4">
        <v>45968</v>
      </c>
      <c r="AE1575" t="inlineStr">
        <is>
          <t>100% Full Payment - Dec. 5, 2025</t>
        </is>
      </c>
      <c r="AF1575" s="2"/>
      <c r="AG1575" t="inlineStr">
        <is>
          <t>NzQyNTk5MTgyNzQ4MTg3MDM0MTo0RjVGRDg0Ny1DRTY1LTRBOTEtQjI3RC1GQzM5QzI3QkMyQzctMTo0YTU2M2NhZmI5OWY0NjcxZmIxNWY5OTFmNWRhZmU0ODox</t>
        </is>
      </c>
      <c r="AH1575" t="inlineStr">
        <is>
          <t>Michael Joseph T. Ibarra</t>
        </is>
      </c>
      <c r="AI1575"/>
      <c r="AJ1575" t="inlineStr">
        <is>
          <t>LIQUIDITY PLAN (PAR # 202510290062 / 2025TEG-P0286)
1108 CE KIC GS+KO TAB &gt; OPERATIONS TEAM &gt;
League Operations &gt; Referee 2
Total Budget = Php 21,600.00
Actual Cost = Php 21,450.00
Balance = Php 150.00</t>
        </is>
      </c>
      <c r="AK1575"/>
    </row>
    <row r="1576" ht="25.5" customHeight="1">
      <c r="A1576" s="2" t="str">
        <f>=HYPERLINK("https://applink.larksuite.com/client/mini_program/open?appId=cli_9c7cc8a9a9edd105&amp;mode=appCenter&amp;path_pc=pc/pages/requested/index?instanceId=7578826631305793244&amp;source=bitable&amp;path=pages/detail/index?instanceId=7578826631305793244&amp;source=bitable", "202512010138")</f>
        <v>202512010138</v>
      </c>
      <c r="B1576" t="inlineStr">
        <is>
          <t>Approved</t>
        </is>
      </c>
      <c r="C1576" t="inlineStr">
        <is>
          <t>Procurement Order</t>
        </is>
      </c>
      <c r="D1576" s="3">
        <v>45992.74863425926</v>
      </c>
      <c r="E1576" s="3">
        <v>45993.724282407406</v>
      </c>
      <c r="F1576" t="inlineStr">
        <is>
          <t>Fatima Kathleen M. FLores</t>
        </is>
      </c>
      <c r="G1576" t="inlineStr">
        <is>
          <t>Procurement</t>
        </is>
      </c>
      <c r="H1576"/>
      <c r="I1576"/>
      <c r="J1576" t="inlineStr">
        <is>
          <t>Project</t>
        </is>
      </c>
      <c r="K1576" t="inlineStr">
        <is>
          <t>PDEI - Game Marketing</t>
        </is>
      </c>
      <c r="L1576" t="inlineStr">
        <is>
          <t>RO3 Pioneer GvG Closed Testing</t>
        </is>
      </c>
      <c r="M1576" t="inlineStr">
        <is>
          <t>2025TEG-P0290</t>
        </is>
      </c>
      <c r="N1576" t="inlineStr">
        <is>
          <t>Ronelle Kylene Chaneco Lim</t>
        </is>
      </c>
      <c r="O1576" t="inlineStr">
        <is>
          <t>202511100050-Ronelle Kylene Chaneco Lim-费用报销 - 副本 - 副本 - 副本-2025-11-10 05:07:06</t>
        </is>
      </c>
      <c r="P1576" t="inlineStr">
        <is>
          <t>YES</t>
        </is>
      </c>
      <c r="Q1576"/>
      <c r="R1576" t="inlineStr">
        <is>
          <t>NO</t>
        </is>
      </c>
      <c r="S1576" t="inlineStr">
        <is>
          <t>Outsourced Event Documentation Team</t>
        </is>
      </c>
      <c r="T1576">
        <v>1</v>
      </c>
      <c r="U1576">
        <v>15000</v>
      </c>
      <c r="V1576" t="inlineStr">
        <is>
          <t>PHP</t>
        </is>
      </c>
      <c r="W1576">
        <v>15000</v>
      </c>
      <c r="X1576" s="2" t="str">
        <f>=HYPERLINK("https://www.larksuite.com/approval/admin/previewAttachment?key=PMg7CsJgEATgK80-Z9fL2CQEQbQRI3-xZxcsbL8sQVaIZcNbtCHDYJVmmhiCbeo-OkI2KLSa_XFc9fxstZY-eY8V7zlv27G_JJqqoLlbAZDL343u3p2On-MbAAD__w", "2 attachment(s)")</f>
        <v>2 attachment(s)</v>
      </c>
      <c r="Y1576" t="inlineStr">
        <is>
          <t>Bank Transfer</t>
        </is>
      </c>
      <c r="Z1576" t="inlineStr">
        <is>
          <t>Ruben A. Mercado Jr.</t>
        </is>
      </c>
      <c r="AA1576" t="inlineStr">
        <is>
          <t>1096 6595 8663</t>
        </is>
      </c>
      <c r="AB1576" t="inlineStr">
        <is>
          <t>Unionbank</t>
        </is>
      </c>
      <c r="AC1576" t="inlineStr">
        <is>
          <t>L 33 Blk 15 DM8 Subd. San Andress Hagonoy St. Cainta Rizal</t>
        </is>
      </c>
      <c r="AD1576" s="4">
        <v>45983</v>
      </c>
      <c r="AE1576" t="inlineStr">
        <is>
          <t>100% Full Payment - Dec. 5, 2025</t>
        </is>
      </c>
      <c r="AF1576" s="2"/>
      <c r="AG1576" t="inlineStr">
        <is>
          <t>NzQyNTk5MTgyNzQ4MTg3MDM0MTowNkVBRkQwNC1FMkU3LTQzMDQtQkYxQy04RUYyOEFGNzBFMjYtMTo4NWJkNWU0MDY5NzY5Y2Q3NTQ1MWQwNzU3ZWQ2ODZjYzox</t>
        </is>
      </c>
      <c r="AH1576" t="inlineStr">
        <is>
          <t>Ruben A. Mercado Jr.</t>
        </is>
      </c>
      <c r="AI1576"/>
      <c r="AJ1576" t="inlineStr">
        <is>
          <t>LIQUIDITY PLAN (PAR # 202511060116 / 2025TEG-P0290)
Project Planning &gt; Event Documentation
Total Budget = Php 15,000.00
Actual Cost = Php 15,000.00</t>
        </is>
      </c>
      <c r="AK1576"/>
    </row>
    <row r="1577" ht="25.5" customHeight="1">
      <c r="A1577" s="2" t="str">
        <f>=HYPERLINK("https://applink.larksuite.com/client/mini_program/open?appId=cli_9c7cc8a9a9edd105&amp;mode=appCenter&amp;path_pc=pc/pages/requested/index?instanceId=7578828020979338972&amp;source=bitable&amp;path=pages/detail/index?instanceId=7578828020979338972&amp;source=bitable", "202512010141")</f>
        <v>202512010141</v>
      </c>
      <c r="B1577" t="inlineStr">
        <is>
          <t>Approved</t>
        </is>
      </c>
      <c r="C1577" t="inlineStr">
        <is>
          <t>Procurement Order</t>
        </is>
      </c>
      <c r="D1577" s="3">
        <v>45992.752384259256</v>
      </c>
      <c r="E1577" s="3">
        <v>45993.72188657407</v>
      </c>
      <c r="F1577" t="inlineStr">
        <is>
          <t>Fatima Kathleen M. FLores</t>
        </is>
      </c>
      <c r="G1577" t="inlineStr">
        <is>
          <t>Procurement</t>
        </is>
      </c>
      <c r="H1577"/>
      <c r="I1577"/>
      <c r="J1577" t="inlineStr">
        <is>
          <t>Project</t>
        </is>
      </c>
      <c r="K1577" t="inlineStr">
        <is>
          <t>PDEI - Game Marketing</t>
        </is>
      </c>
      <c r="L1577" t="inlineStr">
        <is>
          <t>RO3 Pioneer GvG Closed Testing</t>
        </is>
      </c>
      <c r="M1577" t="inlineStr">
        <is>
          <t>2025TEG-P0290</t>
        </is>
      </c>
      <c r="N1577" t="inlineStr">
        <is>
          <t>Ronelle Kylene Chaneco Lim</t>
        </is>
      </c>
      <c r="O1577" t="inlineStr">
        <is>
          <t>202511100037-Ronelle Kylene Chaneco Lim-费用报销 - 副本 - 副本 - 副本-2025-11-10 04:31:19</t>
        </is>
      </c>
      <c r="P1577" t="inlineStr">
        <is>
          <t>YES</t>
        </is>
      </c>
      <c r="Q1577"/>
      <c r="R1577" t="inlineStr">
        <is>
          <t>NO</t>
        </is>
      </c>
      <c r="S1577" t="inlineStr">
        <is>
          <t>Outsourced Talent Coordinator</t>
        </is>
      </c>
      <c r="T1577">
        <v>1</v>
      </c>
      <c r="U1577">
        <v>2000</v>
      </c>
      <c r="V1577" t="inlineStr">
        <is>
          <t>PHP</t>
        </is>
      </c>
      <c r="W1577">
        <v>2000</v>
      </c>
      <c r="X1577" s="2" t="str">
        <f>=HYPERLINK("https://www.larksuite.com/approval/admin/previewAttachment?key=PMg7CgJBEATQK1V_ZqrLy5g4LIq7kTBZn10wMH2zDLOGxRRS5oI1B6u84BAVUaK3t5ECjVG9ruMeF3fZmev94rnR-_k41seG6A5GZhQAu_09mJnSTPwc3wAAAP__", "2 attachment(s)")</f>
        <v>2 attachment(s)</v>
      </c>
      <c r="Y1577" t="inlineStr">
        <is>
          <t>Bank Transfer</t>
        </is>
      </c>
      <c r="Z1577" t="inlineStr">
        <is>
          <t>Christian Colisao</t>
        </is>
      </c>
      <c r="AA1577" t="inlineStr">
        <is>
          <t>09054197354</t>
        </is>
      </c>
      <c r="AB1577" t="inlineStr">
        <is>
          <t>GCash</t>
        </is>
      </c>
      <c r="AC1577" t="inlineStr">
        <is>
          <t>203 B Acacia 4Street Pinagbuhatan Pasig City</t>
        </is>
      </c>
      <c r="AD1577" s="4">
        <v>45983</v>
      </c>
      <c r="AE1577" t="inlineStr">
        <is>
          <t>100% Full Payment - Dec. 5, 2025</t>
        </is>
      </c>
      <c r="AF1577" s="2"/>
      <c r="AG1577" t="inlineStr">
        <is>
          <t>NzQyNTk5MTgyNzQ4MTg3MDM0MTpDRTY2OUNBRS01Mjc0LTRBODUtOTM4MS1FNEM4RkUzN0RDMDgtMToxMTA3NTNiNWYwOGE1M2Q3Mjk1ZDk2OTIxYjcxODE2Mjox</t>
        </is>
      </c>
      <c r="AH1577" t="inlineStr">
        <is>
          <t>Christian Colisao</t>
        </is>
      </c>
      <c r="AI1577"/>
      <c r="AJ1577" t="inlineStr">
        <is>
          <t>LIQUIDITY PLAN (PAR # 202511060116 / 2025TEG-P0290)
Project Planning &gt; League Operations &gt; Talent Coordinator
Total Budget = Php 2,000.00
Actual Cost = Php 2,000.00</t>
        </is>
      </c>
      <c r="AK1577"/>
    </row>
    <row r="1578" ht="25.5" customHeight="1">
      <c r="A1578" s="2" t="str">
        <f>=HYPERLINK("https://applink.larksuite.com/client/mini_program/open?appId=cli_9c7cc8a9a9edd105&amp;mode=appCenter&amp;path_pc=pc/pages/requested/index?instanceId=7578829753558306527&amp;source=bitable&amp;path=pages/detail/index?instanceId=7578829753558306527&amp;source=bitable", "202512010143")</f>
        <v>202512010143</v>
      </c>
      <c r="B1578" t="inlineStr">
        <is>
          <t>Approved</t>
        </is>
      </c>
      <c r="C1578" t="inlineStr">
        <is>
          <t>Procurement Order</t>
        </is>
      </c>
      <c r="D1578" s="3">
        <v>45992.757048611114</v>
      </c>
      <c r="E1578" s="3">
        <v>45993.72138888889</v>
      </c>
      <c r="F1578" t="inlineStr">
        <is>
          <t>Fatima Kathleen M. FLores</t>
        </is>
      </c>
      <c r="G1578" t="inlineStr">
        <is>
          <t>Procurement</t>
        </is>
      </c>
      <c r="H1578"/>
      <c r="I1578"/>
      <c r="J1578" t="inlineStr">
        <is>
          <t>Project</t>
        </is>
      </c>
      <c r="K1578" t="inlineStr">
        <is>
          <t>PDEI - Game Marketing</t>
        </is>
      </c>
      <c r="L1578" t="inlineStr">
        <is>
          <t>RO3 Pioneer GvG Closed Testing</t>
        </is>
      </c>
      <c r="M1578" t="inlineStr">
        <is>
          <t>2025TEG-P0290</t>
        </is>
      </c>
      <c r="N1578" t="inlineStr">
        <is>
          <t>Ronelle Kylene Chaneco Lim</t>
        </is>
      </c>
      <c r="O1578" t="inlineStr">
        <is>
          <t>202511120032-Ronelle Kylene Chaneco Lim-费用报销 - 副本 - 副本 - 副本-2025-11-12 03:54:39</t>
        </is>
      </c>
      <c r="P1578" t="inlineStr">
        <is>
          <t>YES</t>
        </is>
      </c>
      <c r="Q1578"/>
      <c r="R1578" t="inlineStr">
        <is>
          <t>NO</t>
        </is>
      </c>
      <c r="S1578" t="inlineStr">
        <is>
          <t>Outsourced IT Officer</t>
        </is>
      </c>
      <c r="T1578">
        <v>1</v>
      </c>
      <c r="U1578">
        <v>1650</v>
      </c>
      <c r="V1578" t="inlineStr">
        <is>
          <t>PHP</t>
        </is>
      </c>
      <c r="W1578">
        <v>1650</v>
      </c>
      <c r="X1578" s="2" t="str">
        <f>=HYPERLINK("https://www.larksuite.com/approval/admin/previewAttachment?key=PMg9jsJADAXgKz3_zbP3MttkNIJISYNAofDZkShov5GCkSE2Cl6iBWkGM7UYFpGGEcrWFrJAoWXPY_3vx3nVdU7b7u_13Pt129Z8SBRVQXO3BCB_Pze6e9VwfB2fAAAA__8", "2 attachment(s)")</f>
        <v>2 attachment(s)</v>
      </c>
      <c r="Y1578" t="inlineStr">
        <is>
          <t>Bank Transfer</t>
        </is>
      </c>
      <c r="Z1578" t="inlineStr">
        <is>
          <t>Rommel Caritativo Gutierrez</t>
        </is>
      </c>
      <c r="AA1578" t="inlineStr">
        <is>
          <t>463 346 325 5351</t>
        </is>
      </c>
      <c r="AB1578" t="inlineStr">
        <is>
          <t>Metrobank</t>
        </is>
      </c>
      <c r="AC1578" t="inlineStr">
        <is>
          <t>Victoria Tower D, Mother Ignacia Quezon City</t>
        </is>
      </c>
      <c r="AD1578" s="4">
        <v>45983</v>
      </c>
      <c r="AE1578" t="inlineStr">
        <is>
          <t>100% Full Payment - Dec. 5, 2025</t>
        </is>
      </c>
      <c r="AF1578" s="2"/>
      <c r="AG1578" t="inlineStr">
        <is>
          <t>NzQyNTk5MTgyNzQ4MTg3MDM0MTo4OEY2N0E2My1GODlGLTQwN0UtQThCRi0wRDFGNjQ5QTlBRjAtMTowY2JmYTA5MTdkNTk4OTJjNDc0NGEyOTk3MjdmNmY0ZDox</t>
        </is>
      </c>
      <c r="AH1578" t="inlineStr">
        <is>
          <t>Rommel Caritativo Gutierrez</t>
        </is>
      </c>
      <c r="AI1578"/>
      <c r="AJ1578" t="inlineStr">
        <is>
          <t>LIQUIDITY PLAN (PAR # 202511060116 / 2025TEG-P0290)
Project Planning &gt; Manpower &gt; IT Officer
Total Budget = Php 2,000.00
Actual Cost = Php 1,650.00
Balance = Php 350.00</t>
        </is>
      </c>
      <c r="AK1578"/>
    </row>
    <row r="1579" ht="25.5" customHeight="1">
      <c r="A1579" s="2" t="str">
        <f>=HYPERLINK("https://applink.larksuite.com/client/mini_program/open?appId=cli_9c7cc8a9a9edd105&amp;mode=appCenter&amp;path_pc=pc/pages/requested/index?instanceId=7578834208378883803&amp;source=bitable&amp;path=pages/detail/index?instanceId=7578834208378883803&amp;source=bitable", "202512010145")</f>
        <v>202512010145</v>
      </c>
      <c r="B1579" t="inlineStr">
        <is>
          <t>Approved</t>
        </is>
      </c>
      <c r="C1579" t="inlineStr">
        <is>
          <t>Procurement Order</t>
        </is>
      </c>
      <c r="D1579" s="3">
        <v>45992.7690625</v>
      </c>
      <c r="E1579" s="3">
        <v>45993.711539351854</v>
      </c>
      <c r="F1579" t="inlineStr">
        <is>
          <t>Fatima Kathleen M. FLores</t>
        </is>
      </c>
      <c r="G1579" t="inlineStr">
        <is>
          <t>Procurement</t>
        </is>
      </c>
      <c r="H1579"/>
      <c r="I1579"/>
      <c r="J1579" t="inlineStr">
        <is>
          <t>Project</t>
        </is>
      </c>
      <c r="K1579" t="inlineStr">
        <is>
          <t>GG - Event Service</t>
        </is>
      </c>
      <c r="L1579" t="inlineStr">
        <is>
          <t>KIC 2025 - Playoffs</t>
        </is>
      </c>
      <c r="M1579" t="inlineStr">
        <is>
          <t>2025TEG-P0321</t>
        </is>
      </c>
      <c r="N1579" t="inlineStr">
        <is>
          <t>Carla Andrea Calma Crespo</t>
        </is>
      </c>
      <c r="O1579" t="inlineStr">
        <is>
          <t>202511250100-Carla Andrea Calma Crespo-费用报销 - 副本 - 副本 - 副本-2025-11-25 07:34:06</t>
        </is>
      </c>
      <c r="P1579" t="inlineStr">
        <is>
          <t>YES</t>
        </is>
      </c>
      <c r="Q1579"/>
      <c r="R1579" t="inlineStr">
        <is>
          <t>NO</t>
        </is>
      </c>
      <c r="S1579" t="inlineStr">
        <is>
          <t>Outsourced HMUA (for players)</t>
        </is>
      </c>
      <c r="T1579">
        <v>1</v>
      </c>
      <c r="U1579">
        <v>13000</v>
      </c>
      <c r="V1579" t="inlineStr">
        <is>
          <t>PHP</t>
        </is>
      </c>
      <c r="W1579">
        <v>13000</v>
      </c>
      <c r="X1579" s="2" t="str">
        <f>=HYPERLINK("https://www.larksuite.com/approval/admin/previewAttachment?key=PMgxDsIwDAXQK33Hdv43l2FJVIEoLAjUJWdHYuj6ugxdad4LUdYKtpiUPBrklOSCr7aMLNDoWvO5Xff8HPtMf91zjOOxvrexzbdlsTXQI1wA7HK6MyKqeuDv-AUAAP__", "2 attachment(s)")</f>
        <v>2 attachment(s)</v>
      </c>
      <c r="Y1579" t="inlineStr">
        <is>
          <t>Bank Transfer</t>
        </is>
      </c>
      <c r="Z1579" t="inlineStr">
        <is>
          <t>Nico Rio Ong Rivera</t>
        </is>
      </c>
      <c r="AA1579" t="inlineStr">
        <is>
          <t>0646703869</t>
        </is>
      </c>
      <c r="AB1579" t="inlineStr">
        <is>
          <t>BPI</t>
        </is>
      </c>
      <c r="AC1579" t="inlineStr">
        <is>
          <t>312 Edang St. Pasay City</t>
        </is>
      </c>
      <c r="AD1579" s="4">
        <v>45982</v>
      </c>
      <c r="AE1579" t="inlineStr">
        <is>
          <t>100% Full Payment - Dec. 5, 2025</t>
        </is>
      </c>
      <c r="AF1579" s="2"/>
      <c r="AG1579" t="inlineStr">
        <is>
          <t>NzQyNTk5MTgyNzQ4MTg3MDM0MTo1OUVEQkM5RC1CNTA3LTQ2MUUtQjg2RS0wQzUyNjZFNDlFMDMtMTo3NDNhMDNkYzk0ZDM3ODc0MTJiNGQwZTY4ODUxMmNhNDox</t>
        </is>
      </c>
      <c r="AH1579" t="inlineStr">
        <is>
          <t>Nico Rio Ong Rivera</t>
        </is>
      </c>
      <c r="AI1579"/>
      <c r="AJ1579" t="inlineStr">
        <is>
          <t>LIQUIDITY PLAN (PAR # 202511200098 / 2025TEG-P0321)
PLAYOFFS &gt; LABOR COST (PH MANPOWER) &gt;
OPERATIONS TEAM &gt; Talent Management &gt; 
HMUA (for Players)
Total Budget = Php 135,000.00
Actual Cost = Php 13,000.00
Balance = Php 122,000.00</t>
        </is>
      </c>
      <c r="AK1579"/>
    </row>
    <row r="1580" ht="25.5" customHeight="1">
      <c r="A1580" s="2" t="str">
        <f>=HYPERLINK("https://applink.larksuite.com/client/mini_program/open?appId=cli_9c7cc8a9a9edd105&amp;mode=appCenter&amp;path_pc=pc/pages/requested/index?instanceId=7578838100432948956&amp;source=bitable&amp;path=pages/detail/index?instanceId=7578838100432948956&amp;source=bitable", "202512010152")</f>
        <v>202512010152</v>
      </c>
      <c r="B1580" t="inlineStr">
        <is>
          <t>Approved</t>
        </is>
      </c>
      <c r="C1580" t="inlineStr">
        <is>
          <t>Procurement Order</t>
        </is>
      </c>
      <c r="D1580" s="3">
        <v>45992.77954861111</v>
      </c>
      <c r="E1580" s="3">
        <v>45993.712488425925</v>
      </c>
      <c r="F1580" t="inlineStr">
        <is>
          <t>Fatima Kathleen M. FLores</t>
        </is>
      </c>
      <c r="G1580" t="inlineStr">
        <is>
          <t>Procurement</t>
        </is>
      </c>
      <c r="H1580"/>
      <c r="I1580"/>
      <c r="J1580" t="inlineStr">
        <is>
          <t>Project</t>
        </is>
      </c>
      <c r="K1580" t="inlineStr">
        <is>
          <t>GG - Event Service</t>
        </is>
      </c>
      <c r="L1580" t="inlineStr">
        <is>
          <t>KIC 2025 - Playoffs</t>
        </is>
      </c>
      <c r="M1580" t="inlineStr">
        <is>
          <t>2025TEG-P0321</t>
        </is>
      </c>
      <c r="N1580" t="inlineStr">
        <is>
          <t>Carla Andrea Calma Crespo</t>
        </is>
      </c>
      <c r="O1580" t="inlineStr">
        <is>
          <t>202511240044-Carla Andrea Calma Crespo-费用报销 - 副本 - 副本 - 副本-2025-11-24 06:07:22</t>
        </is>
      </c>
      <c r="P1580" t="inlineStr">
        <is>
          <t>YES</t>
        </is>
      </c>
      <c r="Q1580"/>
      <c r="R1580" t="inlineStr">
        <is>
          <t>NO</t>
        </is>
      </c>
      <c r="S1580" t="inlineStr">
        <is>
          <t>Outsourced Liaison Officer</t>
        </is>
      </c>
      <c r="T1580">
        <v>1</v>
      </c>
      <c r="U1580">
        <v>11550</v>
      </c>
      <c r="V1580" t="inlineStr">
        <is>
          <t>PHP</t>
        </is>
      </c>
      <c r="W1580">
        <v>11550</v>
      </c>
      <c r="X1580" s="2" t="str">
        <f>=HYPERLINK("https://www.larksuite.com/approval/admin/previewAttachment?key=PMgxCgJBDAXQK_0kfyb5XsZml8HCBUFULHJ2wWLbN8swa1hMgTIXrHNkVZQBDBdLY7a3ZQppGdX7sa7HF68N9PrIHvfV79u29qcNpTsyyCgAdjk9kqQ0ib_jFwAA__8", "2 attachment(s)")</f>
        <v>2 attachment(s)</v>
      </c>
      <c r="Y1580" t="inlineStr">
        <is>
          <t>Bank Transfer</t>
        </is>
      </c>
      <c r="Z1580" t="inlineStr">
        <is>
          <t>Joana Mariz Pereda Diamse</t>
        </is>
      </c>
      <c r="AA1580" t="inlineStr">
        <is>
          <t>0000071440672</t>
        </is>
      </c>
      <c r="AB1580" t="inlineStr">
        <is>
          <t>Security Bank</t>
        </is>
      </c>
      <c r="AC1580" t="inlineStr">
        <is>
          <t>Building 10, Urban Deca Homes Manila</t>
        </is>
      </c>
      <c r="AD1580" s="4">
        <v>45985</v>
      </c>
      <c r="AE1580" t="inlineStr">
        <is>
          <t>100% Full Payment - Dec. 19, 2025</t>
        </is>
      </c>
      <c r="AF1580" s="2"/>
      <c r="AG1580" t="inlineStr">
        <is>
          <t>NzQyNTk5MTgyNzQ4MTg3MDM0MTo1MzgyNzQ4MS03NTkyLTQ4MkItQUI3Ni0xQzIwOEQ5OUU2MEYtMToyYmQ2Mjg4N2JmNGM2MWU1NGY4YjEyNjkzMjY0YTI1Zjox</t>
        </is>
      </c>
      <c r="AH1580" t="inlineStr">
        <is>
          <t>Joana Mariz Pereda Diamse</t>
        </is>
      </c>
      <c r="AI1580"/>
      <c r="AJ1580" t="inlineStr">
        <is>
          <t>LIQUIDITY PLAN (PAR # 202511200098 / 2025TEG-P0321)
PLAYOFFS &gt; LABOR COST (PH MANPOWER) &gt;
OPERATIONS TEAM &gt; Hospitality &gt; 
Liaison Officers - Players
Liaison Officers - Crew/Client
Liaison Officers - VIP/KOLs
Total Budget = Php 154,700.00
Actual Cost = Php 11,550.00
Balance = Php 143,150.00</t>
        </is>
      </c>
      <c r="AK1580"/>
    </row>
    <row r="1581" ht="25.5" customHeight="1">
      <c r="A1581" s="2" t="str">
        <f>=HYPERLINK("https://applink.larksuite.com/client/mini_program/open?appId=cli_9c7cc8a9a9edd105&amp;mode=appCenter&amp;path_pc=pc/pages/requested/index?instanceId=7578840155012763359&amp;source=bitable&amp;path=pages/detail/index?instanceId=7578840155012763359&amp;source=bitable", "202512010159")</f>
        <v>202512010159</v>
      </c>
      <c r="B1581" t="inlineStr">
        <is>
          <t>Approved</t>
        </is>
      </c>
      <c r="C1581" t="inlineStr">
        <is>
          <t>Procurement Order</t>
        </is>
      </c>
      <c r="D1581" s="3">
        <v>45992.78508101852</v>
      </c>
      <c r="E1581" s="3">
        <v>45993.67835648148</v>
      </c>
      <c r="F1581" t="inlineStr">
        <is>
          <t>Fatima Kathleen M. FLores</t>
        </is>
      </c>
      <c r="G1581" t="inlineStr">
        <is>
          <t>Procurement</t>
        </is>
      </c>
      <c r="H1581"/>
      <c r="I1581"/>
      <c r="J1581" t="inlineStr">
        <is>
          <t>Project</t>
        </is>
      </c>
      <c r="K1581" t="inlineStr">
        <is>
          <t>GG - Event Service</t>
        </is>
      </c>
      <c r="L1581" t="inlineStr">
        <is>
          <t>HOK Philippine Kings League - Fall Season</t>
        </is>
      </c>
      <c r="M1581" t="inlineStr">
        <is>
          <t>2025TEG-P0219</t>
        </is>
      </c>
      <c r="N1581" t="inlineStr">
        <is>
          <t>Carla Andrea Calma Crespo</t>
        </is>
      </c>
      <c r="O1581" t="inlineStr">
        <is>
          <t>202511210019-Carla Andrea Calma Crespo-费用报销 - 副本 - 副本 - 副本-2025-11-21 03:13:29</t>
        </is>
      </c>
      <c r="P1581" t="inlineStr">
        <is>
          <t>YES</t>
        </is>
      </c>
      <c r="Q1581"/>
      <c r="R1581" t="inlineStr">
        <is>
          <t>YES</t>
        </is>
      </c>
      <c r="S1581" t="inlineStr">
        <is>
          <t>Outsourced Content Producer &amp; Graphics</t>
        </is>
      </c>
      <c r="T1581">
        <v>1</v>
      </c>
      <c r="U1581">
        <v>45000</v>
      </c>
      <c r="V1581" t="inlineStr">
        <is>
          <t>PHP</t>
        </is>
      </c>
      <c r="W1581">
        <v>45000</v>
      </c>
      <c r="X1581" s="2" t="str">
        <f>=HYPERLINK("https://www.larksuite.com/approval/admin/previewAttachment?key=PMg5DsJQDATQK814-WNzGZpEEYuoEOl8diQK2reKWJX01YimNThKVQWYCZqWe_bYUGqI8pr9dVwrkmXn55EZ2_0552079jezZQZ5hBcAXv7uiojuFfg5vgEAAP__", "2 attachment(s)")</f>
        <v>2 attachment(s)</v>
      </c>
      <c r="Y1581" t="inlineStr">
        <is>
          <t>Bank Transfer</t>
        </is>
      </c>
      <c r="Z1581" t="inlineStr">
        <is>
          <t>Karl Kristian C. Durante</t>
        </is>
      </c>
      <c r="AA1581" t="inlineStr">
        <is>
          <t>0003 3054 9030</t>
        </is>
      </c>
      <c r="AB1581" t="inlineStr">
        <is>
          <t>BDO</t>
        </is>
      </c>
      <c r="AC1581" t="inlineStr">
        <is>
          <t>21/23 Emerald Street, Marikit Subdivision, Concepcion Uno, Marikina City</t>
        </is>
      </c>
      <c r="AD1581" s="4">
        <v>45881</v>
      </c>
      <c r="AE1581" t="inlineStr">
        <is>
          <t>100% Full Payment - Dec. 5, 2025</t>
        </is>
      </c>
      <c r="AF1581" s="2"/>
      <c r="AG1581" t="inlineStr">
        <is>
          <t>NzQyNTk5MTgyNzQ4MTg3MDM0MTo1MEYzQzc3NS1FM0ZDLTQ1ODItQjA2Mi0zQzE2NUU2QkNDREEtMTplMDE1ZGQ2ODQyNDkxZmQyNzkwNWFlYjYyMGI2YWZjMDox</t>
        </is>
      </c>
      <c r="AH1581" t="inlineStr">
        <is>
          <t>Karl Kristian C. Durante</t>
        </is>
      </c>
      <c r="AI1581"/>
      <c r="AJ1581" t="inlineStr">
        <is>
          <t>Unbudgeted. Additional SOW.</t>
        </is>
      </c>
      <c r="AK1581"/>
    </row>
    <row r="1582" ht="25.5" customHeight="1">
      <c r="A1582" s="2" t="str">
        <f>=HYPERLINK("https://applink.larksuite.com/client/mini_program/open?appId=cli_9c7cc8a9a9edd105&amp;mode=appCenter&amp;path_pc=pc/pages/requested/index?instanceId=7578844145129639646&amp;source=bitable&amp;path=pages/detail/index?instanceId=7578844145129639646&amp;source=bitable", "202512010164")</f>
        <v>202512010164</v>
      </c>
      <c r="B1582" t="inlineStr">
        <is>
          <t>Approved</t>
        </is>
      </c>
      <c r="C1582" t="inlineStr">
        <is>
          <t>Procurement Order</t>
        </is>
      </c>
      <c r="D1582" s="3">
        <v>45992.79583333333</v>
      </c>
      <c r="E1582" s="3">
        <v>45993.73334490741</v>
      </c>
      <c r="F1582" t="inlineStr">
        <is>
          <t>Fatima Kathleen M. FLores</t>
        </is>
      </c>
      <c r="G1582" t="inlineStr">
        <is>
          <t>Procurement</t>
        </is>
      </c>
      <c r="H1582"/>
      <c r="I1582"/>
      <c r="J1582" t="inlineStr">
        <is>
          <t>Project</t>
        </is>
      </c>
      <c r="K1582" t="inlineStr">
        <is>
          <t>PDEI - Event Service</t>
        </is>
      </c>
      <c r="L1582" t="inlineStr">
        <is>
          <t>MPL PH S16 - Regular Season</t>
        </is>
      </c>
      <c r="M1582" t="inlineStr">
        <is>
          <t>2025TEG-P0214</t>
        </is>
      </c>
      <c r="N1582" t="inlineStr">
        <is>
          <t>Katherine Denise Lee Sy</t>
        </is>
      </c>
      <c r="O1582" t="inlineStr">
        <is>
          <t>202511180007-Katherine Denise Lee Sy-费用报销 - 副本 - 副本 - 副本-2025-11-18 02:10:32</t>
        </is>
      </c>
      <c r="P1582" t="inlineStr">
        <is>
          <t>YES</t>
        </is>
      </c>
      <c r="Q1582"/>
      <c r="R1582" t="inlineStr">
        <is>
          <t>YES</t>
        </is>
      </c>
      <c r="S1582" t="inlineStr">
        <is>
          <t>Outsourced Light Plotter</t>
        </is>
      </c>
      <c r="T1582">
        <v>1</v>
      </c>
      <c r="U1582">
        <v>677.98</v>
      </c>
      <c r="V1582" t="inlineStr">
        <is>
          <t>USD</t>
        </is>
      </c>
      <c r="W1582">
        <v>677.98</v>
      </c>
      <c r="X1582" s="2" t="str">
        <f>=HYPERLINK("https://www.larksuite.com/approval/admin/previewAttachment?key=PMgxDsJQDAPQK9k__nHCZVhaVQwwIYoY_tmRGFhfFpE1GdlQczS4PF0lUZOjMzqVayzaDdNRa38cV3N86nz5Dm813-u8bcf-5GyPAYcUBYCXv4cldafwc3wDAAD__w", "2 attachment(s)")</f>
        <v>2 attachment(s)</v>
      </c>
      <c r="Y1582" t="inlineStr">
        <is>
          <t>Bank Transfer</t>
        </is>
      </c>
      <c r="Z1582" t="inlineStr">
        <is>
          <t>Fahri Prananta Pribadi</t>
        </is>
      </c>
      <c r="AA1582" t="inlineStr">
        <is>
          <t>7550371108</t>
        </is>
      </c>
      <c r="AB1582" t="inlineStr">
        <is>
          <t>Bank Central Asia (BCA)</t>
        </is>
      </c>
      <c r="AC1582" t="inlineStr">
        <is>
          <t>A 25, West Jakarta, Indonesia</t>
        </is>
      </c>
      <c r="AD1582" s="4">
        <v>45856</v>
      </c>
      <c r="AE1582" t="inlineStr">
        <is>
          <t>100% Full Payment - Dec. 5, 2025</t>
        </is>
      </c>
      <c r="AF1582" s="2"/>
      <c r="AG1582" t="inlineStr">
        <is>
          <t>NzQyNTk5MTgyNzQ4MTg3MDM0MToxNTAyNTMwRi03QjQ3LTQ4OTMtQTk1My0xRTMwRUM4RjE5QzQtMToxOTdkN2U5NzMyYzE5ZjdiNzAyZmIwYmQwN2IyMDMzZTox</t>
        </is>
      </c>
      <c r="AH1582" t="inlineStr">
        <is>
          <t>Fahri Prananta Pribadi</t>
        </is>
      </c>
      <c r="AI1582"/>
      <c r="AJ1582" t="inlineStr">
        <is>
          <t>LIQUIDITY PLAN (PAR # 202509020093 / 2025TEG-P0214)
REGULAR SEASON CE TAB &gt; 4.7 Manpower Arrangement &gt;
MANPOWER TECHNICAL &gt; Light Plotter (Regular Season and Playoffs)
Total Remaining Budget = (Php 40,000.00) NEGATIVE
Actual Cost= $ 677.98 / Php 38,644.86
Balance = (Php 78,644.86) OVER BUDGET</t>
        </is>
      </c>
      <c r="AK1582"/>
    </row>
    <row r="1583" ht="25.5" customHeight="1">
      <c r="A1583" s="2" t="str">
        <f>=HYPERLINK("https://applink.larksuite.com/client/mini_program/open?appId=cli_9c7cc8a9a9edd105&amp;mode=appCenter&amp;path_pc=pc/pages/requested/index?instanceId=7579124305477275357&amp;source=bitable&amp;path=pages/detail/index?instanceId=7579124305477275357&amp;source=bitable", "202512020036")</f>
        <v>202512020036</v>
      </c>
      <c r="B1583" t="inlineStr">
        <is>
          <t>Approved</t>
        </is>
      </c>
      <c r="C1583" t="inlineStr">
        <is>
          <t>Procurement Order</t>
        </is>
      </c>
      <c r="D1583" s="3">
        <v>45993.55081018519</v>
      </c>
      <c r="E1583" s="3">
        <v>45995.44490740741</v>
      </c>
      <c r="F1583" t="inlineStr">
        <is>
          <t>Fatima Kathleen M. FLores</t>
        </is>
      </c>
      <c r="G1583" t="inlineStr">
        <is>
          <t>Procurement</t>
        </is>
      </c>
      <c r="H1583"/>
      <c r="I1583"/>
      <c r="J1583" t="inlineStr">
        <is>
          <t>CAPEX</t>
        </is>
      </c>
      <c r="K1583"/>
      <c r="L1583"/>
      <c r="M1583"/>
      <c r="N1583"/>
      <c r="O1583" t="inlineStr">
        <is>
          <t>202510290041-Andew James Sarmiento-费用报销 - 副本 - 副本 - 副本-2025-10-29 04:54:49</t>
        </is>
      </c>
      <c r="P1583"/>
      <c r="Q1583" t="inlineStr">
        <is>
          <t>Broadcast</t>
        </is>
      </c>
      <c r="R1583"/>
      <c r="S1583" t="inlineStr">
        <is>
          <t>Fiber Optic ODF with termination (12-core and 8-core)</t>
        </is>
      </c>
      <c r="T1583">
        <v>1</v>
      </c>
      <c r="U1583">
        <v>151922.96</v>
      </c>
      <c r="V1583" t="inlineStr">
        <is>
          <t>PHP</t>
        </is>
      </c>
      <c r="W1583">
        <v>151922.96</v>
      </c>
      <c r="X1583" s="2" t="str">
        <f>=HYPERLINK("https://www.larksuite.com/approval/admin/previewAttachment?key=PMg9qgJBEATgK1X1z9T0u8xLHBZBNpIdNOizCwam35jEmEkfhShaga1U0cKRIZnSU21NqSDKZ6_z-PdT26_ie196PVbv--1YT2bJDPIInwD493NXRFSNwNfxCQAA__8", "2 attachment(s)")</f>
        <v>2 attachment(s)</v>
      </c>
      <c r="Y1583" t="inlineStr">
        <is>
          <t>Bank Transfer</t>
        </is>
      </c>
      <c r="Z1583" t="inlineStr">
        <is>
          <t>C3E Information Technology Services</t>
        </is>
      </c>
      <c r="AA1583" t="inlineStr">
        <is>
          <t>9023283293</t>
        </is>
      </c>
      <c r="AB1583" t="inlineStr">
        <is>
          <t>RIZAL COMMERCIAL BANKING CORPORATION (RCBC)</t>
        </is>
      </c>
      <c r="AC1583" t="inlineStr">
        <is>
          <t>727 Calabash Road, Sampaloc, Manila</t>
        </is>
      </c>
      <c r="AD1583" s="4">
        <v>45985</v>
      </c>
      <c r="AE1583" t="inlineStr">
        <is>
          <t>100% Full Payment - items already delivered and services done.</t>
        </is>
      </c>
      <c r="AF1583" s="2"/>
      <c r="AG1583" t="inlineStr">
        <is>
          <t>NzQyNTk5MTgyNzQ4MTg3MDM0MToyMTU5MEFGQi00RTM3LTRFNjAtQTA3MC01QUM5RTIzNzhFQkMtMTowNzQxNjQ5MmE0ZTE1OTI1MTkwZGRjOTkwZDE1ZDY5YTox</t>
        </is>
      </c>
      <c r="AH1583" t="inlineStr">
        <is>
          <t>C3E Information Technology Services</t>
        </is>
      </c>
      <c r="AI1583"/>
      <c r="AJ1583"/>
      <c r="AK1583"/>
    </row>
    <row r="1584" ht="25.5" customHeight="1">
      <c r="A1584" s="2" t="str">
        <f>=HYPERLINK("https://applink.larksuite.com/client/mini_program/open?appId=cli_9c7cc8a9a9edd105&amp;mode=appCenter&amp;path_pc=pc/pages/requested/index?instanceId=7579134606373293794&amp;source=bitable&amp;path=pages/detail/index?instanceId=7579134606373293794&amp;source=bitable", "202512020044")</f>
        <v>202512020044</v>
      </c>
      <c r="B1584" t="inlineStr">
        <is>
          <t>Approved</t>
        </is>
      </c>
      <c r="C1584" t="inlineStr">
        <is>
          <t>Procurement Order</t>
        </is>
      </c>
      <c r="D1584" s="3">
        <v>45993.578564814816</v>
      </c>
      <c r="E1584" s="3">
        <v>45993.72971064815</v>
      </c>
      <c r="F1584" t="inlineStr">
        <is>
          <t>Fatima Kathleen M. FLores</t>
        </is>
      </c>
      <c r="G1584" t="inlineStr">
        <is>
          <t>Procurement</t>
        </is>
      </c>
      <c r="H1584"/>
      <c r="I1584"/>
      <c r="J1584" t="inlineStr">
        <is>
          <t>Project</t>
        </is>
      </c>
      <c r="K1584" t="inlineStr">
        <is>
          <t>PDEI - Event Service</t>
        </is>
      </c>
      <c r="L1584" t="inlineStr">
        <is>
          <t>Mineski Socials Night</t>
        </is>
      </c>
      <c r="M1584" t="inlineStr">
        <is>
          <t>2025TEG-P0293</t>
        </is>
      </c>
      <c r="N1584" t="inlineStr">
        <is>
          <t>Ronelle Kylene Chaneco Lim</t>
        </is>
      </c>
      <c r="O1584" t="inlineStr">
        <is>
          <t>202511200043-Ronelle Kylene Chaneco Lim-费用报销 - 副本 - 副本 - 副本-2025-11-20 06:19:21</t>
        </is>
      </c>
      <c r="P1584" t="inlineStr">
        <is>
          <t>NO</t>
        </is>
      </c>
      <c r="Q1584"/>
      <c r="R1584" t="inlineStr">
        <is>
          <t>NO</t>
        </is>
      </c>
      <c r="S1584" t="inlineStr">
        <is>
          <t>Customized Hoodies (with DTF Print and DTF Press) - 100 pcs</t>
        </is>
      </c>
      <c r="T1584">
        <v>1</v>
      </c>
      <c r="U1584">
        <v>106838.9</v>
      </c>
      <c r="V1584" t="inlineStr">
        <is>
          <t>PHP</t>
        </is>
      </c>
      <c r="W1584">
        <v>106838.9</v>
      </c>
      <c r="X1584" s="2" t="str">
        <f>=HYPERLINK("https://www.larksuite.com/approval/admin/previewAttachment?key=PMgxCkIxEATQK81mNjsZL2NjCMJXEATRImcXLGxfjUCNHiwjHc2IrS4Hs1AUmynnbjskQyF6z_s6L8Z7sffHbR4HPvt1vaz5jG61BjGTA0Cc_k5lpl2Jn-MbAAD__w", "2 attachment(s)")</f>
        <v>2 attachment(s)</v>
      </c>
      <c r="Y1584" t="inlineStr">
        <is>
          <t>Bank Transfer</t>
        </is>
      </c>
      <c r="Z1584" t="inlineStr">
        <is>
          <t>Get-Wrecked Prod Co</t>
        </is>
      </c>
      <c r="AA1584" t="inlineStr">
        <is>
          <t>9055058933</t>
        </is>
      </c>
      <c r="AB1584" t="inlineStr">
        <is>
          <t>RCBC</t>
        </is>
      </c>
      <c r="AC1584" t="inlineStr">
        <is>
          <t>17 North Polytech, Potrero, Malabon city</t>
        </is>
      </c>
      <c r="AD1584" s="4">
        <v>45996</v>
      </c>
      <c r="AE1584" t="inlineStr">
        <is>
          <t>50% Down Payment
50% Balance upon completion of services</t>
        </is>
      </c>
      <c r="AF1584" s="2" t="str">
        <f>=HYPERLINK("https://www.larksuite.com/approval/admin/previewAttachment?key=TMgxCkIxEATQK81kNrsZL2NjCMJXEATRImcXrGxfDiJHp9IIsxnc1ctUJFKlZpVjt80qo1jynvd1XuJ7qffHbR4HPvt1vaz5ZA4lwj2CBsDTn5PwUOrn-AYAAP__", "2 attachment(s)")</f>
        <v>2 attachment(s)</v>
      </c>
      <c r="AG1584" t="inlineStr">
        <is>
          <t>NzQyNTk5MTgyNzQ4MTg3MDM0MTo4OTRCMEJERS01OUNDLTQwMEQtQTZBNC03RjRERTFBNjc1RUYtMTpjN2MzNTFkZTNmZjgzYjc2OTI5M2Q3YmI2NmJiZWM1NDox</t>
        </is>
      </c>
      <c r="AH1584" t="inlineStr">
        <is>
          <t>Get-Wrecked Prod Co</t>
        </is>
      </c>
      <c r="AI1584"/>
      <c r="AJ1584" t="inlineStr">
        <is>
          <t>LIQUIDITY PLAN (PAR # 202510310043 / 2025TEG-P0293)
Merchandise &gt; Hoodie
Total Budget = Php 107,725.00
Actual Cost = Php 106,838.90
Balance = Php 886.10</t>
        </is>
      </c>
      <c r="AK1584"/>
    </row>
    <row r="1585" ht="25.5" customHeight="1">
      <c r="A1585" s="2" t="str">
        <f>=HYPERLINK("https://applink.larksuite.com/client/mini_program/open?appId=cli_9c7cc8a9a9edd105&amp;mode=appCenter&amp;path_pc=pc/pages/requested/index?instanceId=7579127234259095261&amp;source=bitable&amp;path=pages/detail/index?instanceId=7579127234259095261&amp;source=bitable", "202512020038")</f>
        <v>202512020038</v>
      </c>
      <c r="B1585" t="inlineStr">
        <is>
          <t>Approved</t>
        </is>
      </c>
      <c r="C1585" t="inlineStr">
        <is>
          <t>Procurement Order</t>
        </is>
      </c>
      <c r="D1585" s="3">
        <v>45993.558703703704</v>
      </c>
      <c r="E1585" s="3">
        <v>45994.6072337963</v>
      </c>
      <c r="F1585" t="inlineStr">
        <is>
          <t>Fatima Kathleen M. FLores</t>
        </is>
      </c>
      <c r="G1585" t="inlineStr">
        <is>
          <t>Procurement</t>
        </is>
      </c>
      <c r="H1585"/>
      <c r="I1585"/>
      <c r="J1585" t="inlineStr">
        <is>
          <t>Project</t>
        </is>
      </c>
      <c r="K1585" t="inlineStr">
        <is>
          <t>GG - Event Service</t>
        </is>
      </c>
      <c r="L1585" t="inlineStr">
        <is>
          <t>KIC 2025 - Playoffs</t>
        </is>
      </c>
      <c r="M1585" t="inlineStr">
        <is>
          <t>2025TEG-P0321</t>
        </is>
      </c>
      <c r="N1585" t="inlineStr">
        <is>
          <t>Carla Andrea Calma Crespo</t>
        </is>
      </c>
      <c r="O1585" t="inlineStr">
        <is>
          <t>202511240095-Carla Andrea Calma Crespo-费用报销 - 副本 - 副本 - 副本-2025-11-24 09:36:03</t>
        </is>
      </c>
      <c r="P1585" t="inlineStr">
        <is>
          <t>NO</t>
        </is>
      </c>
      <c r="Q1585"/>
      <c r="R1585" t="inlineStr">
        <is>
          <t>YES</t>
        </is>
      </c>
      <c r="S1585" t="inlineStr">
        <is>
          <t>Fiber Optic Cable Termination</t>
        </is>
      </c>
      <c r="T1585">
        <v>1</v>
      </c>
      <c r="U1585">
        <v>50400</v>
      </c>
      <c r="V1585" t="inlineStr">
        <is>
          <t>PHP</t>
        </is>
      </c>
      <c r="W1585">
        <v>50400</v>
      </c>
      <c r="X1585" s="2" t="str">
        <f>=HYPERLINK("https://www.larksuite.com/approval/admin/previewAttachment?key=PMg7joIxEAPgK3lmnDjey2xDFKEfQYPEo8jZkShovz4CfbSobtCRRmw1OVJZzGa4ZY-dOyRDofKe1_Xv4828zBfn8u157Mf5tOY9mpUJFVkDQPz9vETS7sTX8QkAAP__", "2 attachment(s)")</f>
        <v>2 attachment(s)</v>
      </c>
      <c r="Y1585" t="inlineStr">
        <is>
          <t>Bank Transfer</t>
        </is>
      </c>
      <c r="Z1585" t="inlineStr">
        <is>
          <t>C3E Information Technology Services</t>
        </is>
      </c>
      <c r="AA1585" t="inlineStr">
        <is>
          <t>9023283293</t>
        </is>
      </c>
      <c r="AB1585" t="inlineStr">
        <is>
          <t>RIZAL COMMERCIAL BANKING CORPORATION (RCBC)</t>
        </is>
      </c>
      <c r="AC1585" t="inlineStr">
        <is>
          <t>Unit 505 Future Point Plaza 1, 112 Panay Avenue, South Triangle, Quezon City</t>
        </is>
      </c>
      <c r="AD1585" s="4">
        <v>45985</v>
      </c>
      <c r="AE1585" t="inlineStr">
        <is>
          <t>100% Full Payment - services done Nov. 26, 2025</t>
        </is>
      </c>
      <c r="AF1585" s="2"/>
      <c r="AG1585" t="inlineStr">
        <is>
          <t>NzQyNTk5MTgyNzQ4MTg3MDM0MTpGNkM1Mzc3Ny01NzRGLTQwNDctOEU0Ny1CMDYzN0RCRDM4RjgtMTpjYzYyNmQ0NWE0ZmZmNDIwODA0Y2VkN2Q3ODViZTZmNTox</t>
        </is>
      </c>
      <c r="AH1585" t="inlineStr">
        <is>
          <t>C3E Information Technology Services</t>
        </is>
      </c>
      <c r="AI1585"/>
      <c r="AJ1585" t="inlineStr">
        <is>
          <t>To be charged to a running internal CE.</t>
        </is>
      </c>
      <c r="AK1585"/>
    </row>
    <row r="1586" ht="25.5" customHeight="1">
      <c r="A1586" s="2" t="str">
        <f>=HYPERLINK("https://applink.larksuite.com/client/mini_program/open?appId=cli_9c7cc8a9a9edd105&amp;mode=appCenter&amp;path_pc=pc/pages/requested/index?instanceId=7579163227041353435&amp;source=bitable&amp;path=pages/detail/index?instanceId=7579163227041353435&amp;source=bitable", "202512020059")</f>
        <v>202512020059</v>
      </c>
      <c r="B1586" t="inlineStr">
        <is>
          <t>Approved</t>
        </is>
      </c>
      <c r="C1586" t="inlineStr">
        <is>
          <t>Procurement Order</t>
        </is>
      </c>
      <c r="D1586" s="3">
        <v>45993.655694444446</v>
      </c>
      <c r="E1586" s="3">
        <v>45993.68083333333</v>
      </c>
      <c r="F1586" t="inlineStr">
        <is>
          <t>Fatima Kathleen M. FLores</t>
        </is>
      </c>
      <c r="G1586" t="inlineStr">
        <is>
          <t>Procurement</t>
        </is>
      </c>
      <c r="H1586"/>
      <c r="I1586"/>
      <c r="J1586" t="inlineStr">
        <is>
          <t>Project</t>
        </is>
      </c>
      <c r="K1586" t="inlineStr">
        <is>
          <t>GG - Event Service</t>
        </is>
      </c>
      <c r="L1586" t="inlineStr">
        <is>
          <t>HOK Philippine Kings League - Fall Season</t>
        </is>
      </c>
      <c r="M1586" t="inlineStr">
        <is>
          <t>2025TEG-P0219</t>
        </is>
      </c>
      <c r="N1586" t="inlineStr">
        <is>
          <t>Reign Santos Fortea</t>
        </is>
      </c>
      <c r="O1586" t="inlineStr">
        <is>
          <t>202511280025-Reign Santos Fortea-费用报销 - 副本 - 副本 - 副本-2025-11-28 04:31:51</t>
        </is>
      </c>
      <c r="P1586" t="inlineStr">
        <is>
          <t>YES</t>
        </is>
      </c>
      <c r="Q1586"/>
      <c r="R1586" t="inlineStr">
        <is>
          <t>NO</t>
        </is>
      </c>
      <c r="S1586" t="inlineStr">
        <is>
          <t>Players / Team Allowance (Team Barcode)</t>
        </is>
      </c>
      <c r="T1586">
        <v>1</v>
      </c>
      <c r="U1586">
        <v>19600</v>
      </c>
      <c r="V1586" t="inlineStr">
        <is>
          <t>PHP</t>
        </is>
      </c>
      <c r="W1586">
        <v>19600</v>
      </c>
      <c r="X1586" s="2" t="str">
        <f>=HYPERLINK("https://www.larksuite.com/approval/admin/previewAttachment?key=PMg9qgJBEATgK1X1z9T0u8xLHBY3cBGEXQz67IKB6TcmMWbSRyGKVmArVRxuJgQ9PTzbmlJBlFevx_afedp1vY-D68l97_N-29aLWTKDPMInAP793BURVSPwdXwCAAD__w", "2 attachment(s)")</f>
        <v>2 attachment(s)</v>
      </c>
      <c r="Y1586" t="inlineStr">
        <is>
          <t>Bank Transfer</t>
        </is>
      </c>
      <c r="Z1586" t="inlineStr">
        <is>
          <t>Giana Joanne Llanes</t>
        </is>
      </c>
      <c r="AA1586" t="inlineStr">
        <is>
          <t>4439440398</t>
        </is>
      </c>
      <c r="AB1586" t="inlineStr">
        <is>
          <t>BPI</t>
        </is>
      </c>
      <c r="AC1586" t="inlineStr">
        <is>
          <t>B20 L44 Ph4C Bermuda St., Casa de Monteverde, GMA, Cavite</t>
        </is>
      </c>
      <c r="AD1586" s="4">
        <v>45919</v>
      </c>
      <c r="AE1586" t="inlineStr">
        <is>
          <t>100% Full Payment - Dec. 5, 2025</t>
        </is>
      </c>
      <c r="AF1586" s="2"/>
      <c r="AG1586" t="inlineStr">
        <is>
          <t>NzQyNTk5MTgyNzQ4MTg3MDM0MTo1QTRCOURCMS1CQ0VGLTQ4MjQtQjMzNi05MjA0RERENkE4REItMTo1N2M5N2ZmMDlmNzUyNzU4MTljNTZmOGY2NDUwNmQ1Njox</t>
        </is>
      </c>
      <c r="AH1586" t="inlineStr">
        <is>
          <t>Giana Joanne Llanes</t>
        </is>
      </c>
      <c r="AI1586"/>
      <c r="AJ1586" t="inlineStr">
        <is>
          <t>LIQUIDITY PLAN (PAR # 202508190134 / 2025TEG-P0219)
INTERNAL 0820 COST ESTIMATE &gt; REGULAR SEASON &gt;
Prizes &amp; Incentives &gt; PLAYER TRANSPORTATION ALLOWANCE &gt;
Week 4
Week 5
Week 6
Week 7
Total Remaining Budget = Php 133,600.00
Actual Cost = Php 19,600.00
Balance = Php 114,000.00</t>
        </is>
      </c>
      <c r="AK1586"/>
    </row>
    <row r="1587" ht="25.5" customHeight="1">
      <c r="A1587" s="2" t="str">
        <f>=HYPERLINK("https://applink.larksuite.com/client/mini_program/open?appId=cli_9c7cc8a9a9edd105&amp;mode=appCenter&amp;path_pc=pc/pages/requested/index?instanceId=7579162186098937563&amp;source=bitable&amp;path=pages/detail/index?instanceId=7579162186098937563&amp;source=bitable", "202512020058")</f>
        <v>202512020058</v>
      </c>
      <c r="B1587" t="inlineStr">
        <is>
          <t>Approved</t>
        </is>
      </c>
      <c r="C1587" t="inlineStr">
        <is>
          <t>Procurement Order</t>
        </is>
      </c>
      <c r="D1587" s="3">
        <v>45993.65289351852</v>
      </c>
      <c r="E1587" s="3">
        <v>45993.68189814815</v>
      </c>
      <c r="F1587" t="inlineStr">
        <is>
          <t>Fatima Kathleen M. FLores</t>
        </is>
      </c>
      <c r="G1587" t="inlineStr">
        <is>
          <t>Procurement</t>
        </is>
      </c>
      <c r="H1587"/>
      <c r="I1587"/>
      <c r="J1587" t="inlineStr">
        <is>
          <t>Project</t>
        </is>
      </c>
      <c r="K1587" t="inlineStr">
        <is>
          <t>GG - Event Service</t>
        </is>
      </c>
      <c r="L1587" t="inlineStr">
        <is>
          <t>HOK Philippine Kings League - Fall Season</t>
        </is>
      </c>
      <c r="M1587" t="inlineStr">
        <is>
          <t>2025TEG-P0219</t>
        </is>
      </c>
      <c r="N1587" t="inlineStr">
        <is>
          <t>Reign Santos Fortea</t>
        </is>
      </c>
      <c r="O1587" t="inlineStr">
        <is>
          <t>202511280025-Reign Santos Fortea-费用报销 - 副本 - 副本 - 副本-2025-11-28 04:31:51</t>
        </is>
      </c>
      <c r="P1587" t="inlineStr">
        <is>
          <t>YES</t>
        </is>
      </c>
      <c r="Q1587"/>
      <c r="R1587" t="inlineStr">
        <is>
          <t>NO</t>
        </is>
      </c>
      <c r="S1587" t="inlineStr">
        <is>
          <t>Players / Team Allowance</t>
        </is>
      </c>
      <c r="T1587">
        <v>1</v>
      </c>
      <c r="U1587">
        <v>22400</v>
      </c>
      <c r="V1587" t="inlineStr">
        <is>
          <t>PHP</t>
        </is>
      </c>
      <c r="W1587">
        <v>22400</v>
      </c>
      <c r="X1587" s="2" t="str">
        <f>=HYPERLINK("https://www.larksuite.com/approval/admin/previewAttachment?key=PMgxCgJBDAXQK_1MMvn5XsbGZdBCEcRFi5xdsNj2ZRmypnkKIRuCNSdlOawSKjlneo82UqDR1dt9nW-7Pmu9Vfwufzx7v17W9rIpjgF6hBcAOx3ujAgpA3_HLwAA__8", "2 attachment(s)")</f>
        <v>2 attachment(s)</v>
      </c>
      <c r="Y1587" t="inlineStr">
        <is>
          <t>Bank Transfer</t>
        </is>
      </c>
      <c r="Z1587" t="inlineStr">
        <is>
          <t>Jemvic Pingol</t>
        </is>
      </c>
      <c r="AA1587" t="inlineStr">
        <is>
          <t>0961-587-5029</t>
        </is>
      </c>
      <c r="AB1587" t="inlineStr">
        <is>
          <t>Paymaya</t>
        </is>
      </c>
      <c r="AC1587" t="inlineStr">
        <is>
          <t>13 Maj. Santos Dizon St, Marikina</t>
        </is>
      </c>
      <c r="AD1587" s="4">
        <v>45919</v>
      </c>
      <c r="AE1587" t="inlineStr">
        <is>
          <t>100% Full Payment - Dec. 5, 2025</t>
        </is>
      </c>
      <c r="AF1587" s="2"/>
      <c r="AG1587" t="inlineStr">
        <is>
          <t>NzQyNTk5MTgyNzQ4MTg3MDM0MTpCMjgyMzRCOC00NkYwLTQ4NDEtOUMzMC04RDlDMTY0RjhBQ0UtMTowZDQ2NjZlYzFiOWVmMGMzZDA5NjNhZmM2ODBjMzAxNjox</t>
        </is>
      </c>
      <c r="AH1587" t="inlineStr">
        <is>
          <t>Jemvic Pingol</t>
        </is>
      </c>
      <c r="AI1587"/>
      <c r="AJ1587" t="inlineStr">
        <is>
          <t>LIQUIDITY PLAN (PAR # 202508190134 / 2025TEG-P0219)
INTERNAL 0820 COST ESTIMATE &gt; REGULAR SEASON &gt;
Prizes &amp; Incentives &gt; PLAYER TRANSPORTATION ALLOWANCE &gt;
Week 4
Week 5
Week 6
Week 7
Total Budget = Php 156,000.00
Actual Cost = Php 22,400.00
Balance = Php 133,600.00</t>
        </is>
      </c>
      <c r="AK1587"/>
    </row>
    <row r="1588" ht="25.5" customHeight="1">
      <c r="A1588" s="2" t="str">
        <f>=HYPERLINK("https://applink.larksuite.com/client/mini_program/open?appId=cli_9c7cc8a9a9edd105&amp;mode=appCenter&amp;path_pc=pc/pages/requested/index?instanceId=7579163966597811938&amp;source=bitable&amp;path=pages/detail/index?instanceId=7579163966597811938&amp;source=bitable", "202512020060")</f>
        <v>202512020060</v>
      </c>
      <c r="B1588" t="inlineStr">
        <is>
          <t>Approved</t>
        </is>
      </c>
      <c r="C1588" t="inlineStr">
        <is>
          <t>Procurement Order</t>
        </is>
      </c>
      <c r="D1588" s="3">
        <v>45993.657685185186</v>
      </c>
      <c r="E1588" s="3">
        <v>45993.68342592593</v>
      </c>
      <c r="F1588" t="inlineStr">
        <is>
          <t>Fatima Kathleen M. FLores</t>
        </is>
      </c>
      <c r="G1588" t="inlineStr">
        <is>
          <t>Procurement</t>
        </is>
      </c>
      <c r="H1588"/>
      <c r="I1588"/>
      <c r="J1588" t="inlineStr">
        <is>
          <t>Project</t>
        </is>
      </c>
      <c r="K1588" t="inlineStr">
        <is>
          <t>GG - Event Service</t>
        </is>
      </c>
      <c r="L1588" t="inlineStr">
        <is>
          <t>HOK Philippine Kings League - Fall Season</t>
        </is>
      </c>
      <c r="M1588" t="inlineStr">
        <is>
          <t>2025TEG-P0219</t>
        </is>
      </c>
      <c r="N1588" t="inlineStr">
        <is>
          <t>Reign Santos Fortea</t>
        </is>
      </c>
      <c r="O1588" t="inlineStr">
        <is>
          <t>202511280025-Reign Santos Fortea-费用报销 - 副本 - 副本 - 副本-2025-11-28 04:31:51</t>
        </is>
      </c>
      <c r="P1588" t="inlineStr">
        <is>
          <t>YES</t>
        </is>
      </c>
      <c r="Q1588"/>
      <c r="R1588" t="inlineStr">
        <is>
          <t>NO</t>
        </is>
      </c>
      <c r="S1588" t="inlineStr">
        <is>
          <t>Players / Team Allowance (Team Elevate)</t>
        </is>
      </c>
      <c r="T1588">
        <v>1</v>
      </c>
      <c r="U1588">
        <v>30800</v>
      </c>
      <c r="V1588" t="inlineStr">
        <is>
          <t>PHP</t>
        </is>
      </c>
      <c r="W1588">
        <v>30800</v>
      </c>
      <c r="X1588" s="2" t="str">
        <f>=HYPERLINK("https://www.larksuite.com/approval/admin/previewAttachment?key=PMgxCgIwDAXQK-UnaX6-l3GxFB0EQSguPbvg4PqqYdUDUbIUXIbDQaFCVUNsQNHHD0gZwdCZz3V9bH2Wt-_M9vk6-35b840huhsjM9rMcPl7MDOlSvu5fQMAAP__", "2 attachment(s)")</f>
        <v>2 attachment(s)</v>
      </c>
      <c r="Y1588" t="inlineStr">
        <is>
          <t>Bank Transfer</t>
        </is>
      </c>
      <c r="Z1588" t="inlineStr">
        <is>
          <t>Maricar Tambaoan</t>
        </is>
      </c>
      <c r="AA1588" t="inlineStr">
        <is>
          <t>12546542733</t>
        </is>
      </c>
      <c r="AB1588" t="inlineStr">
        <is>
          <t>SeaBank</t>
        </is>
      </c>
      <c r="AC1588" t="inlineStr">
        <is>
          <t>47 Kaolin St Parang Marikina</t>
        </is>
      </c>
      <c r="AD1588" s="4">
        <v>45919</v>
      </c>
      <c r="AE1588" t="inlineStr">
        <is>
          <t>100% Full Payment - Dec. 5, 2025</t>
        </is>
      </c>
      <c r="AF1588" s="2"/>
      <c r="AG1588" t="inlineStr">
        <is>
          <t>NzQyNTk5MTgyNzQ4MTg3MDM0MTpBNTdDRkFFMC0zODlCLTQ2M0EtOEUzRC01ODNENzIyOEZEMTItMTo5ODdhNzlhY2MzMGJiNjU0Y2QxN2I5YmY0NTA5YmFiNDox</t>
        </is>
      </c>
      <c r="AH1588" t="inlineStr">
        <is>
          <t>Maricar Tambaoan</t>
        </is>
      </c>
      <c r="AI1588"/>
      <c r="AJ1588" t="inlineStr">
        <is>
          <t>LIQUIDITY PLAN (PAR # 202508190134 / 2025TEG-P0219)
INTERNAL 0820 COST ESTIMATE &gt; REGULAR SEASON &gt;
Prizes &amp; Incentives &gt; PLAYER TRANSPORTATION ALLOWANCE &gt;
Week 4
Week 5
Week 6
Week 7
Total Remaining Budget = Php 114,000.00
Actual Cost = Php 30,800.00
Balance = Php 82,300.00</t>
        </is>
      </c>
      <c r="AK1588"/>
    </row>
    <row r="1589" ht="25.5" customHeight="1">
      <c r="A1589" s="2" t="str">
        <f>=HYPERLINK("https://applink.larksuite.com/client/mini_program/open?appId=cli_9c7cc8a9a9edd105&amp;mode=appCenter&amp;path_pc=pc/pages/requested/index?instanceId=7579164749154225883&amp;source=bitable&amp;path=pages/detail/index?instanceId=7579164749154225883&amp;source=bitable", "202512020061")</f>
        <v>202512020061</v>
      </c>
      <c r="B1589" t="inlineStr">
        <is>
          <t>Approved</t>
        </is>
      </c>
      <c r="C1589" t="inlineStr">
        <is>
          <t>Procurement Order</t>
        </is>
      </c>
      <c r="D1589" s="3">
        <v>45993.65980324074</v>
      </c>
      <c r="E1589" s="3">
        <v>45993.693564814814</v>
      </c>
      <c r="F1589" t="inlineStr">
        <is>
          <t>Fatima Kathleen M. FLores</t>
        </is>
      </c>
      <c r="G1589" t="inlineStr">
        <is>
          <t>Procurement</t>
        </is>
      </c>
      <c r="H1589"/>
      <c r="I1589"/>
      <c r="J1589" t="inlineStr">
        <is>
          <t>Project</t>
        </is>
      </c>
      <c r="K1589" t="inlineStr">
        <is>
          <t>GG - Event Service</t>
        </is>
      </c>
      <c r="L1589" t="inlineStr">
        <is>
          <t>HOK Philippine Kings League - Fall Season</t>
        </is>
      </c>
      <c r="M1589" t="inlineStr">
        <is>
          <t>2025TEG-P0219</t>
        </is>
      </c>
      <c r="N1589" t="inlineStr">
        <is>
          <t>Reign Santos Fortea</t>
        </is>
      </c>
      <c r="O1589" t="inlineStr">
        <is>
          <t>202511280025-Reign Santos Fortea-费用报销 - 副本 - 副本 - 副本-2025-11-28 04:31:51</t>
        </is>
      </c>
      <c r="P1589" t="inlineStr">
        <is>
          <t>YES</t>
        </is>
      </c>
      <c r="Q1589"/>
      <c r="R1589" t="inlineStr">
        <is>
          <t>NO</t>
        </is>
      </c>
      <c r="S1589" t="inlineStr">
        <is>
          <t>Players / Team Allowance (Team Flash PH)</t>
        </is>
      </c>
      <c r="T1589">
        <v>1</v>
      </c>
      <c r="U1589">
        <v>19600</v>
      </c>
      <c r="V1589" t="inlineStr">
        <is>
          <t>PHP</t>
        </is>
      </c>
      <c r="W1589">
        <v>19600</v>
      </c>
      <c r="X1589" s="2" t="str">
        <f>=HYPERLINK("https://www.larksuite.com/approval/admin/previewAttachment?key=PMg7DgIxDATQK3lsJ-PhMjS7ivhthYhocnYkim1fL1ivhuiyFFyGxUahJ1No6d6qYvkCKSMYWvsxriPwHc_63OexvR5zzds29jea6G6MzCgzw-X0YGZKPe3v9gsAAP__", "2 attachment(s)")</f>
        <v>2 attachment(s)</v>
      </c>
      <c r="Y1589" t="inlineStr">
        <is>
          <t>Bank Transfer</t>
        </is>
      </c>
      <c r="Z1589" t="inlineStr">
        <is>
          <t>Marc Ezekiel Mose</t>
        </is>
      </c>
      <c r="AA1589" t="inlineStr">
        <is>
          <t>0969531984</t>
        </is>
      </c>
      <c r="AB1589" t="inlineStr">
        <is>
          <t>BPI</t>
        </is>
      </c>
      <c r="AC1589" t="inlineStr">
        <is>
          <t>BLK 2 Lot 8 Primrose Street Tierra Vista Ayana 1 Dasmariñas Cavite</t>
        </is>
      </c>
      <c r="AD1589" s="4">
        <v>45919</v>
      </c>
      <c r="AE1589" t="inlineStr">
        <is>
          <t>100% Full Payment - Dec. 5, 2025</t>
        </is>
      </c>
      <c r="AF1589" s="2"/>
      <c r="AG1589" t="inlineStr">
        <is>
          <t>NzQyNTk5MTgyNzQ4MTg3MDM0MTo1RTNGMDJGQi1ENTZDLTRCMTItOEJENS0yM0YwNjNGODI1MTMtMTplYmQ5NDEwOThjN2FlZmI5ZWZkMGEwZGM3NjI0MmNlMjox</t>
        </is>
      </c>
      <c r="AH1589" t="inlineStr">
        <is>
          <t>Marc Ezekiel Mose</t>
        </is>
      </c>
      <c r="AI1589"/>
      <c r="AJ1589" t="inlineStr">
        <is>
          <t>LIQUIDITY PLAN (PAR # 202508190134 / 2025TEG-P0219)
INTERNAL 0820 COST ESTIMATE &gt; REGULAR SEASON &gt;
Prizes &amp; Incentives &gt; PLAYER TRANSPORTATION ALLOWANCE &gt;
Week 4
Week 5
Week 6
Week 7
Total Remaining Budget = Php 82,300.00
Actual Cost = Php 19,600.00
Balance = Php 63,600.00</t>
        </is>
      </c>
      <c r="AK1589"/>
    </row>
    <row r="1590" ht="25.5" customHeight="1">
      <c r="A1590" s="2" t="str">
        <f>=HYPERLINK("https://applink.larksuite.com/client/mini_program/open?appId=cli_9c7cc8a9a9edd105&amp;mode=appCenter&amp;path_pc=pc/pages/requested/index?instanceId=7579166279009881820&amp;source=bitable&amp;path=pages/detail/index?instanceId=7579166279009881820&amp;source=bitable", "202512020063")</f>
        <v>202512020063</v>
      </c>
      <c r="B1590" t="inlineStr">
        <is>
          <t>Approved</t>
        </is>
      </c>
      <c r="C1590" t="inlineStr">
        <is>
          <t>Procurement Order</t>
        </is>
      </c>
      <c r="D1590" s="3">
        <v>45993.66392361111</v>
      </c>
      <c r="E1590" s="3">
        <v>45993.69520833333</v>
      </c>
      <c r="F1590" t="inlineStr">
        <is>
          <t>Fatima Kathleen M. FLores</t>
        </is>
      </c>
      <c r="G1590" t="inlineStr">
        <is>
          <t>Procurement</t>
        </is>
      </c>
      <c r="H1590"/>
      <c r="I1590"/>
      <c r="J1590" t="inlineStr">
        <is>
          <t>Project</t>
        </is>
      </c>
      <c r="K1590" t="inlineStr">
        <is>
          <t>GG - Event Service</t>
        </is>
      </c>
      <c r="L1590" t="inlineStr">
        <is>
          <t>HOK Philippine Kings League - Fall Season</t>
        </is>
      </c>
      <c r="M1590" t="inlineStr">
        <is>
          <t>2025TEG-P0219</t>
        </is>
      </c>
      <c r="N1590" t="inlineStr">
        <is>
          <t>Reign Santos Fortea</t>
        </is>
      </c>
      <c r="O1590" t="inlineStr">
        <is>
          <t>202511280025-Reign Santos Fortea-费用报销 - 副本 - 副本 - 副本-2025-11-28 04:31:51</t>
        </is>
      </c>
      <c r="P1590" t="inlineStr">
        <is>
          <t>YES</t>
        </is>
      </c>
      <c r="Q1590"/>
      <c r="R1590" t="inlineStr">
        <is>
          <t>NO</t>
        </is>
      </c>
      <c r="S1590" t="inlineStr">
        <is>
          <t>Players / Team Allowance (Boom Esports)</t>
        </is>
      </c>
      <c r="T1590">
        <v>1</v>
      </c>
      <c r="U1590">
        <v>28000</v>
      </c>
      <c r="V1590" t="inlineStr">
        <is>
          <t>PHP</t>
        </is>
      </c>
      <c r="W1590">
        <v>28000</v>
      </c>
      <c r="X1590" s="2" t="str">
        <f>=HYPERLINK("https://www.larksuite.com/approval/admin/previewAttachment?key=PMgxCgJBDAXQK_2fZJJ8L2Ozy6DCbiOIFnN2wcL2ZRPZg55CiCZw1Sgx00qAutmGZYtVQrFcaz_m9XGc72k-dN6pz7Zet23uTw6VGcojvAHw8neviJAy8HN8AwAA__8", "2 attachment(s)")</f>
        <v>2 attachment(s)</v>
      </c>
      <c r="Y1590" t="inlineStr">
        <is>
          <t>Bank Transfer</t>
        </is>
      </c>
      <c r="Z1590" t="inlineStr">
        <is>
          <t>Christian Villegas</t>
        </is>
      </c>
      <c r="AA1590" t="inlineStr">
        <is>
          <t>18153012194</t>
        </is>
      </c>
      <c r="AB1590" t="inlineStr">
        <is>
          <t>Seabank</t>
        </is>
      </c>
      <c r="AC1590" t="inlineStr">
        <is>
          <t>15 Major Dizon, Marikina City</t>
        </is>
      </c>
      <c r="AD1590" s="4">
        <v>45919</v>
      </c>
      <c r="AE1590" t="inlineStr">
        <is>
          <t>100% Full Payment - Dec. 5, 2025</t>
        </is>
      </c>
      <c r="AF1590" s="2"/>
      <c r="AG1590" t="inlineStr">
        <is>
          <t>NzQyNTk5MTgyNzQ4MTg3MDM0MTo2NDZDMkRFNy05NEJELTQ4QkMtQUJFRi02NDhEQTk2MTJFMkMtMTplNDMyYzBmYTM4YWZkY2E3MTIxNWQyNWFiNzI2ZDczZTox</t>
        </is>
      </c>
      <c r="AH1590" t="inlineStr">
        <is>
          <t>Christian Villegas</t>
        </is>
      </c>
      <c r="AI1590"/>
      <c r="AJ1590" t="inlineStr">
        <is>
          <t>LIQUIDITY PLAN (PAR # 202508190134 / 2025TEG-P0219)
INTERNAL 0820 COST ESTIMATE &gt; REGULAR SEASON &gt;
Prizes &amp; Incentives &gt; PLAYER TRANSPORTATION ALLOWANCE &gt;
Week 4
Week 5
Week 6
Week 7
Total Remaining Budget = Php 35,600.00
Actual Cost = Php 28,000.00
Balance = Php 7,600.00</t>
        </is>
      </c>
      <c r="AK1590"/>
    </row>
    <row r="1591" ht="25.5" customHeight="1">
      <c r="A1591" s="2" t="str">
        <f>=HYPERLINK("https://applink.larksuite.com/client/mini_program/open?appId=cli_9c7cc8a9a9edd105&amp;mode=appCenter&amp;path_pc=pc/pages/requested/index?instanceId=7579165611427663582&amp;source=bitable&amp;path=pages/detail/index?instanceId=7579165611427663582&amp;source=bitable", "202512020062")</f>
        <v>202512020062</v>
      </c>
      <c r="B1591" t="inlineStr">
        <is>
          <t>Approved</t>
        </is>
      </c>
      <c r="C1591" t="inlineStr">
        <is>
          <t>Procurement Order</t>
        </is>
      </c>
      <c r="D1591" s="3">
        <v>45993.66211805555</v>
      </c>
      <c r="E1591" s="3">
        <v>45993.695868055554</v>
      </c>
      <c r="F1591" t="inlineStr">
        <is>
          <t>Fatima Kathleen M. FLores</t>
        </is>
      </c>
      <c r="G1591" t="inlineStr">
        <is>
          <t>Procurement</t>
        </is>
      </c>
      <c r="H1591"/>
      <c r="I1591"/>
      <c r="J1591" t="inlineStr">
        <is>
          <t>Project</t>
        </is>
      </c>
      <c r="K1591" t="inlineStr">
        <is>
          <t>GG - Event Service</t>
        </is>
      </c>
      <c r="L1591" t="inlineStr">
        <is>
          <t>HOK Philippine Kings League - Fall Season</t>
        </is>
      </c>
      <c r="M1591" t="inlineStr">
        <is>
          <t>2025TEG-P0219</t>
        </is>
      </c>
      <c r="N1591" t="inlineStr">
        <is>
          <t>Reign Santos Fortea</t>
        </is>
      </c>
      <c r="O1591" t="inlineStr">
        <is>
          <t>202511280025-Reign Santos Fortea-费用报销 - 副本 - 副本 - 副本-2025-11-28 04:31:51</t>
        </is>
      </c>
      <c r="P1591" t="inlineStr">
        <is>
          <t>YES</t>
        </is>
      </c>
      <c r="Q1591"/>
      <c r="R1591" t="inlineStr">
        <is>
          <t>NO</t>
        </is>
      </c>
      <c r="S1591" t="inlineStr">
        <is>
          <t>Players / Team Allowance (Team Blacklist)</t>
        </is>
      </c>
      <c r="T1591">
        <v>1</v>
      </c>
      <c r="U1591">
        <v>28000</v>
      </c>
      <c r="V1591" t="inlineStr">
        <is>
          <t>PHP</t>
        </is>
      </c>
      <c r="W1591">
        <v>28000</v>
      </c>
      <c r="X1591" s="2" t="str">
        <f>=HYPERLINK("https://www.larksuite.com/approval/admin/previewAttachment?key=PMgrDgIxGATgK838zw6XweymQYAiNJienQSx9qtB1Eh6CSGawN3ZYmWRYV3lOWzbZrfQbNc-X_P-zM93ccWB4fK51-OY55upNkN7hA8AvF3uHRFSBf6OXwAAAP__", "2 attachment(s)")</f>
        <v>2 attachment(s)</v>
      </c>
      <c r="Y1591" t="inlineStr">
        <is>
          <t>Bank Transfer</t>
        </is>
      </c>
      <c r="Z1591" t="inlineStr">
        <is>
          <t>Monina Cherryl Bunsoy</t>
        </is>
      </c>
      <c r="AA1591" t="inlineStr">
        <is>
          <t>0000052280323</t>
        </is>
      </c>
      <c r="AB1591" t="inlineStr">
        <is>
          <t>Security Bank</t>
        </is>
      </c>
      <c r="AC1591" t="inlineStr">
        <is>
          <t>Block 21 Lot 17 Montevista Heights Taytay Rizal</t>
        </is>
      </c>
      <c r="AD1591" s="4">
        <v>45919</v>
      </c>
      <c r="AE1591" t="inlineStr">
        <is>
          <t>100% Full Payment - Dec. 5, 2025</t>
        </is>
      </c>
      <c r="AF1591" s="2"/>
      <c r="AG1591" t="inlineStr">
        <is>
          <t>NzQyNTk5MTgyNzQ4MTg3MDM0MTpBQTcwRDFEQi03NkJGLTRCNjItODMxOC1GOEEwOTJCQjc2NzctMTpjMzIwMTgxY2RmNTk0ZWNmMGJlZDE5Njk1OTEwOGZlYjox</t>
        </is>
      </c>
      <c r="AH1591" t="inlineStr">
        <is>
          <t>Monina Cherryl Bunsoy</t>
        </is>
      </c>
      <c r="AI1591"/>
      <c r="AJ1591" t="inlineStr">
        <is>
          <t>LIQUIDITY PLAN (PAR # 202508190134 / 2025TEG-P0219)
INTERNAL 0820 COST ESTIMATE &gt; REGULAR SEASON &gt;
Prizes &amp; Incentives &gt; PLAYER TRANSPORTATION ALLOWANCE &gt;
Week 4
Week 5
Week 6
Week 7
Total Remaining Budget = Php 63,600.00
Actual Cost = Php 28,000.00
Balance = Php 35,600.00</t>
        </is>
      </c>
      <c r="AK1591"/>
    </row>
    <row r="1592" ht="25.5" customHeight="1">
      <c r="A1592" s="2" t="str">
        <f>=HYPERLINK("https://applink.larksuite.com/client/mini_program/open?appId=cli_9c7cc8a9a9edd105&amp;mode=appCenter&amp;path_pc=pc/pages/requested/index?instanceId=7579179822140673760&amp;source=bitable&amp;path=pages/detail/index?instanceId=7579179822140673760&amp;source=bitable", "202512020076")</f>
        <v>202512020076</v>
      </c>
      <c r="B1592" t="inlineStr">
        <is>
          <t>Approved</t>
        </is>
      </c>
      <c r="C1592" t="inlineStr">
        <is>
          <t>Procurement Order</t>
        </is>
      </c>
      <c r="D1592" s="3">
        <v>45993.70041666667</v>
      </c>
      <c r="E1592" s="3">
        <v>45993.764560185184</v>
      </c>
      <c r="F1592" t="inlineStr">
        <is>
          <t>Fatima Kathleen M. FLores</t>
        </is>
      </c>
      <c r="G1592" t="inlineStr">
        <is>
          <t>Procurement</t>
        </is>
      </c>
      <c r="H1592"/>
      <c r="I1592"/>
      <c r="J1592" t="inlineStr">
        <is>
          <t>Project</t>
        </is>
      </c>
      <c r="K1592" t="inlineStr">
        <is>
          <t>GG - Event Service</t>
        </is>
      </c>
      <c r="L1592" t="inlineStr">
        <is>
          <t>KIC 2025 - Playoffs</t>
        </is>
      </c>
      <c r="M1592" t="inlineStr">
        <is>
          <t>2025TEG-P0321</t>
        </is>
      </c>
      <c r="N1592" t="inlineStr">
        <is>
          <t>Carla Andrea Calma Crespo</t>
        </is>
      </c>
      <c r="O1592" t="inlineStr">
        <is>
          <t>202511240044-Carla Andrea Calma Crespo-费用报销 - 副本 - 副本 - 副本-2025-11-24 06:07:22</t>
        </is>
      </c>
      <c r="P1592" t="inlineStr">
        <is>
          <t>YES</t>
        </is>
      </c>
      <c r="Q1592"/>
      <c r="R1592" t="inlineStr">
        <is>
          <t>NO</t>
        </is>
      </c>
      <c r="S1592" t="inlineStr">
        <is>
          <t>Outsourced Liaison Officer</t>
        </is>
      </c>
      <c r="T1592">
        <v>1</v>
      </c>
      <c r="U1592">
        <v>11550</v>
      </c>
      <c r="V1592" t="inlineStr">
        <is>
          <t>PHP</t>
        </is>
      </c>
      <c r="W1592">
        <v>11550</v>
      </c>
      <c r="X1592" s="2" t="str">
        <f>=HYPERLINK("https://www.larksuite.com/approval/admin/previewAttachment?key=PMg9qgJBEATgK1X_TNfUu8xLHBZx0URcNeizCwamX01DzWFRQspcsOagjJruligGC-1tpEBjqNd1-18xXvvt_Yxd43E5-jiftnW3IbqDkRkTgP39PJiZUiW-jk8AAAD__w", "2 attachment(s)")</f>
        <v>2 attachment(s)</v>
      </c>
      <c r="Y1592" t="inlineStr">
        <is>
          <t>Bank Transfer</t>
        </is>
      </c>
      <c r="Z1592" t="inlineStr">
        <is>
          <t>Anne Chrisbell M. Regondola</t>
        </is>
      </c>
      <c r="AA1592" t="inlineStr">
        <is>
          <t>09497333227</t>
        </is>
      </c>
      <c r="AB1592" t="inlineStr">
        <is>
          <t>Gcash</t>
        </is>
      </c>
      <c r="AC1592" t="inlineStr">
        <is>
          <t>Blk, 87, Lot 16, CHE-2, Bgry. Dalig, Teresa, Rizal</t>
        </is>
      </c>
      <c r="AD1592" s="4">
        <v>45985</v>
      </c>
      <c r="AE1592" t="inlineStr">
        <is>
          <t>100% Full Payment - Dec. 19, 2025</t>
        </is>
      </c>
      <c r="AF1592" s="2"/>
      <c r="AG1592" t="inlineStr">
        <is>
          <t>NzQyNTk5MTgyNzQ4MTg3MDM0MTpCQUM4RUVEOS1GNDcyLTRCRDYtOEE2Ni00MUNBQTg3ODRCNjAtMTo5YmM5NDczODYzNWU0M2Y3N2M0ZDNjOTI0MGNjNWQ5Mzox</t>
        </is>
      </c>
      <c r="AH1592" t="inlineStr">
        <is>
          <t>Anne Chrisbell M. Regondola</t>
        </is>
      </c>
      <c r="AI1592"/>
      <c r="AJ1592" t="inlineStr">
        <is>
          <t>LIQUIDITY PLAN (PAR # 202511200098 / 2025TEG-P0321)
PLAYOFFS &gt; LABOR COST (PH MANPOWER) &gt;
OPERATIONS TEAM &gt; Hospitality &gt; 
Liaison Officers - Players
Liaison Officers - Crew/Client
Liaison Officers - VIP/KOLs
Total Remaining Budget = Php 143,150.00
Actual Cost = Php 11,550.00
Balance = Php 131,600.00</t>
        </is>
      </c>
      <c r="AK1592"/>
    </row>
    <row r="1593" ht="25.5" customHeight="1">
      <c r="A1593" s="2" t="str">
        <f>=HYPERLINK("https://applink.larksuite.com/client/mini_program/open?appId=cli_9c7cc8a9a9edd105&amp;mode=appCenter&amp;path_pc=pc/pages/requested/index?instanceId=7579180593267609310&amp;source=bitable&amp;path=pages/detail/index?instanceId=7579180593267609310&amp;source=bitable", "202512020077")</f>
        <v>202512020077</v>
      </c>
      <c r="B1593" t="inlineStr">
        <is>
          <t>Approved</t>
        </is>
      </c>
      <c r="C1593" t="inlineStr">
        <is>
          <t>Procurement Order</t>
        </is>
      </c>
      <c r="D1593" s="3">
        <v>45993.7025</v>
      </c>
      <c r="E1593" s="3">
        <v>45993.764085648145</v>
      </c>
      <c r="F1593" t="inlineStr">
        <is>
          <t>Fatima Kathleen M. FLores</t>
        </is>
      </c>
      <c r="G1593" t="inlineStr">
        <is>
          <t>Procurement</t>
        </is>
      </c>
      <c r="H1593"/>
      <c r="I1593"/>
      <c r="J1593" t="inlineStr">
        <is>
          <t>Project</t>
        </is>
      </c>
      <c r="K1593" t="inlineStr">
        <is>
          <t>GG - Event Service</t>
        </is>
      </c>
      <c r="L1593" t="inlineStr">
        <is>
          <t>KIC 2025 - Playoffs</t>
        </is>
      </c>
      <c r="M1593" t="inlineStr">
        <is>
          <t>2025TEG-P0321</t>
        </is>
      </c>
      <c r="N1593" t="inlineStr">
        <is>
          <t>Carla Andrea Calma Crespo</t>
        </is>
      </c>
      <c r="O1593" t="inlineStr">
        <is>
          <t>202511240044-Carla Andrea Calma Crespo-费用报销 - 副本 - 副本 - 副本-2025-11-24 06:07:22</t>
        </is>
      </c>
      <c r="P1593" t="inlineStr">
        <is>
          <t>YES</t>
        </is>
      </c>
      <c r="Q1593"/>
      <c r="R1593" t="inlineStr">
        <is>
          <t>NO</t>
        </is>
      </c>
      <c r="S1593" t="inlineStr">
        <is>
          <t>Outsourced Liaison Officer</t>
        </is>
      </c>
      <c r="T1593">
        <v>1</v>
      </c>
      <c r="U1593">
        <v>11550</v>
      </c>
      <c r="V1593" t="inlineStr">
        <is>
          <t>PHP</t>
        </is>
      </c>
      <c r="W1593">
        <v>11550</v>
      </c>
      <c r="X1593" s="2" t="str">
        <f>=HYPERLINK("https://www.larksuite.com/approval/admin/previewAttachment?key=PMg7CgJBEATQK1V_pmvKy5g4LIIKgii7QZ9dMDB9NQ01h0UJKXPBmoOyiaHwYkFhaG8jBRpDvR7b-eb3_XhivP2YXHt_rpdtvWyI7mBkxgRgp78HM1OqxM_xDQAA__8", "2 attachment(s)")</f>
        <v>2 attachment(s)</v>
      </c>
      <c r="Y1593" t="inlineStr">
        <is>
          <t>Bank Transfer</t>
        </is>
      </c>
      <c r="Z1593" t="inlineStr">
        <is>
          <t>Lord JC Molines</t>
        </is>
      </c>
      <c r="AA1593" t="inlineStr">
        <is>
          <t>00005 8448 372</t>
        </is>
      </c>
      <c r="AB1593" t="inlineStr">
        <is>
          <t>Security Bank</t>
        </is>
      </c>
      <c r="AC1593" t="inlineStr">
        <is>
          <t>B7 L11 Kingston St. Greenland Ph.1 Nangka Marikina City</t>
        </is>
      </c>
      <c r="AD1593" s="4">
        <v>45985</v>
      </c>
      <c r="AE1593" t="inlineStr">
        <is>
          <t>100% Full Payment - Dec. 19, 2025</t>
        </is>
      </c>
      <c r="AF1593" s="2"/>
      <c r="AG1593" t="inlineStr">
        <is>
          <t>NzQyNTk5MTgyNzQ4MTg3MDM0MTo5QjVFQUM1Ny1CNTU0LTQ0NTctQkU4MS0wNEYwM0MwMTMwMzEtMTpjNzZhZmQxOGI1ZDNjNTA2OGJhODg0NjA1NDBhZTIzMTox</t>
        </is>
      </c>
      <c r="AH1593" t="inlineStr">
        <is>
          <t>Lord JC Molines</t>
        </is>
      </c>
      <c r="AI1593"/>
      <c r="AJ1593" t="inlineStr">
        <is>
          <t>LIQUIDITY PLAN (PAR # 202511200098 / 2025TEG-P0321)
PLAYOFFS &gt; LABOR COST (PH MANPOWER) &gt;
OPERATIONS TEAM &gt; Hospitality &gt; 
Liaison Officers - Players
Liaison Officers - Crew/Client
Liaison Officers - VIP/KOLs
Total Remaining Budget = Php 131,600.00
Actual Cost = Php 11,550.00
Balance = Php 120,050.00</t>
        </is>
      </c>
      <c r="AK1593"/>
    </row>
    <row r="1594" ht="25.5" customHeight="1">
      <c r="A1594" s="2" t="str">
        <f>=HYPERLINK("https://applink.larksuite.com/client/mini_program/open?appId=cli_9c7cc8a9a9edd105&amp;mode=appCenter&amp;path_pc=pc/pages/requested/index?instanceId=7579181406283157218&amp;source=bitable&amp;path=pages/detail/index?instanceId=7579181406283157218&amp;source=bitable", "202512020079")</f>
        <v>202512020079</v>
      </c>
      <c r="B1594" t="inlineStr">
        <is>
          <t>Approved</t>
        </is>
      </c>
      <c r="C1594" t="inlineStr">
        <is>
          <t>Procurement Order</t>
        </is>
      </c>
      <c r="D1594" s="3">
        <v>45993.7046875</v>
      </c>
      <c r="E1594" s="3">
        <v>45993.76155092593</v>
      </c>
      <c r="F1594" t="inlineStr">
        <is>
          <t>Fatima Kathleen M. FLores</t>
        </is>
      </c>
      <c r="G1594" t="inlineStr">
        <is>
          <t>Procurement</t>
        </is>
      </c>
      <c r="H1594"/>
      <c r="I1594"/>
      <c r="J1594" t="inlineStr">
        <is>
          <t>Project</t>
        </is>
      </c>
      <c r="K1594" t="inlineStr">
        <is>
          <t>GG - Event Service</t>
        </is>
      </c>
      <c r="L1594" t="inlineStr">
        <is>
          <t>KIC 2025 - Playoffs</t>
        </is>
      </c>
      <c r="M1594" t="inlineStr">
        <is>
          <t>2025TEG-P0321</t>
        </is>
      </c>
      <c r="N1594" t="inlineStr">
        <is>
          <t>Carla Andrea Calma Crespo</t>
        </is>
      </c>
      <c r="O1594" t="inlineStr">
        <is>
          <t>202511240044-Carla Andrea Calma Crespo-费用报销 - 副本 - 副本 - 副本-2025-11-24 06:07:22</t>
        </is>
      </c>
      <c r="P1594" t="inlineStr">
        <is>
          <t>YES</t>
        </is>
      </c>
      <c r="Q1594"/>
      <c r="R1594" t="inlineStr">
        <is>
          <t>NO</t>
        </is>
      </c>
      <c r="S1594" t="inlineStr">
        <is>
          <t>Outsourced Liaison Officer</t>
        </is>
      </c>
      <c r="T1594">
        <v>1</v>
      </c>
      <c r="U1594">
        <v>11550</v>
      </c>
      <c r="V1594" t="inlineStr">
        <is>
          <t>PHP</t>
        </is>
      </c>
      <c r="W1594">
        <v>11550</v>
      </c>
      <c r="X1594" s="2" t="str">
        <f>=HYPERLINK("https://www.larksuite.com/approval/admin/previewAttachment?key=PMg7CoJBDATgK83kscl4GRt_FlG0EcQmZxcsbL_VxOqkLyFEEziVJTYDy9qZZeyxYZVQLNccj30-PD_359aG_NY57-tlHy-mygzlEd4AePq7V0RIK_BzfAMAAP__", "2 attachment(s)")</f>
        <v>2 attachment(s)</v>
      </c>
      <c r="Y1594" t="inlineStr">
        <is>
          <t>Bank Transfer</t>
        </is>
      </c>
      <c r="Z1594" t="inlineStr">
        <is>
          <t>JOHN JOSEPH SANCHEZ</t>
        </is>
      </c>
      <c r="AA1594" t="inlineStr">
        <is>
          <t>2487023763</t>
        </is>
      </c>
      <c r="AB1594" t="inlineStr">
        <is>
          <t>Landbank</t>
        </is>
      </c>
      <c r="AC1594" t="inlineStr">
        <is>
          <t>B7 L11 Kingston St. Greenland Ph.1 Nangka Marikina City</t>
        </is>
      </c>
      <c r="AD1594" s="4">
        <v>45985</v>
      </c>
      <c r="AE1594" t="inlineStr">
        <is>
          <t>100% Full Payment - Dec. 19, 2025</t>
        </is>
      </c>
      <c r="AF1594" s="2"/>
      <c r="AG1594" t="inlineStr">
        <is>
          <t>NzQyNTk5MTgyNzQ4MTg3MDM0MTo4QkRBOEJFOS05M0FGLTQ5ODYtOTMzRC1GMTdFRkFFMzQ1RDEtMTo3ZmU4ODUxOThkNDFmZTE5YWI5M2I1ZWFhNTMwMmJlNTox</t>
        </is>
      </c>
      <c r="AH1594" t="inlineStr">
        <is>
          <t>JOHN JOSEPH SANCHEZ</t>
        </is>
      </c>
      <c r="AI1594"/>
      <c r="AJ1594" t="inlineStr">
        <is>
          <t>LIQUIDITY PLAN (PAR # 202511200098 / 2025TEG-P0321)
PLAYOFFS &gt; LABOR COST (PH MANPOWER) &gt;
OPERATIONS TEAM &gt; Hospitality &gt; 
Liaison Officers - Players
Liaison Officers - Crew/Client
Liaison Officers - VIP/KOLs
Total Remaining Budget = Php 120,050.00
Actual Cost = Php 11,550.00
Balance = Php 108,500.00</t>
        </is>
      </c>
      <c r="AK1594"/>
    </row>
    <row r="1595" ht="25.5" customHeight="1">
      <c r="A1595" s="2" t="str">
        <f>=HYPERLINK("https://applink.larksuite.com/client/mini_program/open?appId=cli_9c7cc8a9a9edd105&amp;mode=appCenter&amp;path_pc=pc/pages/requested/index?instanceId=7579182419845123808&amp;source=bitable&amp;path=pages/detail/index?instanceId=7579182419845123808&amp;source=bitable", "202512020080")</f>
        <v>202512020080</v>
      </c>
      <c r="B1595" t="inlineStr">
        <is>
          <t>Approved</t>
        </is>
      </c>
      <c r="C1595" t="inlineStr">
        <is>
          <t>Procurement Order</t>
        </is>
      </c>
      <c r="D1595" s="3">
        <v>45993.70741898148</v>
      </c>
      <c r="E1595" s="3">
        <v>45993.76025462963</v>
      </c>
      <c r="F1595" t="inlineStr">
        <is>
          <t>Fatima Kathleen M. FLores</t>
        </is>
      </c>
      <c r="G1595" t="inlineStr">
        <is>
          <t>Procurement</t>
        </is>
      </c>
      <c r="H1595"/>
      <c r="I1595"/>
      <c r="J1595" t="inlineStr">
        <is>
          <t>Project</t>
        </is>
      </c>
      <c r="K1595" t="inlineStr">
        <is>
          <t>GG - Event Service</t>
        </is>
      </c>
      <c r="L1595" t="inlineStr">
        <is>
          <t>KIC 2025 - Playoffs</t>
        </is>
      </c>
      <c r="M1595" t="inlineStr">
        <is>
          <t>2025TEG-P0321</t>
        </is>
      </c>
      <c r="N1595" t="inlineStr">
        <is>
          <t>Carla Andrea Calma Crespo</t>
        </is>
      </c>
      <c r="O1595" t="inlineStr">
        <is>
          <t>202511240044-Carla Andrea Calma Crespo-费用报销 - 副本 - 副本 - 副本-2025-11-24 06:07:22</t>
        </is>
      </c>
      <c r="P1595" t="inlineStr">
        <is>
          <t>YES</t>
        </is>
      </c>
      <c r="Q1595"/>
      <c r="R1595" t="inlineStr">
        <is>
          <t>NO</t>
        </is>
      </c>
      <c r="S1595" t="inlineStr">
        <is>
          <t>Outsourced Liaison Officer</t>
        </is>
      </c>
      <c r="T1595">
        <v>1</v>
      </c>
      <c r="U1595">
        <v>30600</v>
      </c>
      <c r="V1595" t="inlineStr">
        <is>
          <t>PHP</t>
        </is>
      </c>
      <c r="W1595">
        <v>30600</v>
      </c>
      <c r="X1595" s="2" t="str">
        <f>=HYPERLINK("https://www.larksuite.com/approval/admin/previewAttachment?key=PMhNqsJAEATgK1X1z3TXu8zbGIKRGAYEd3N2wYXbbzQxOulDCNEErsoS24LqSJo3etlilVAs19qe-_98HHZlzfM652G53vfbvr2YKjOUR3gD4N_PvSJCGoGv4xMAAP__", "2 attachment(s)")</f>
        <v>2 attachment(s)</v>
      </c>
      <c r="Y1595" t="inlineStr">
        <is>
          <t>Bank Transfer</t>
        </is>
      </c>
      <c r="Z1595" t="inlineStr">
        <is>
          <t>Marc Kevin Serrano</t>
        </is>
      </c>
      <c r="AA1595" t="inlineStr">
        <is>
          <t>1519218972</t>
        </is>
      </c>
      <c r="AB1595" t="inlineStr">
        <is>
          <t>BPI</t>
        </is>
      </c>
      <c r="AC1595" t="inlineStr">
        <is>
          <t>3 Don Guillermo Street, Barangay Holy Spirit, Commonwealth, Quezon City</t>
        </is>
      </c>
      <c r="AD1595" s="4">
        <v>45985</v>
      </c>
      <c r="AE1595" t="inlineStr">
        <is>
          <t>1st Payment - Dec. 19, 2025
Final Payment - Dec. 26, 2025</t>
        </is>
      </c>
      <c r="AF1595" s="2"/>
      <c r="AG1595" t="inlineStr">
        <is>
          <t>NzQyNTk5MTgyNzQ4MTg3MDM0MToxQThDQTlFRC0yMUY3LTQ2NzAtOTU1Ri05QzFBNUQzMzVCMTYtMTo3ZTQxNDQ4MGFiNTkxZThkZWRlY2MwNTNmNWU4N2FjNTox</t>
        </is>
      </c>
      <c r="AH1595" t="inlineStr">
        <is>
          <t>Marc Kevin Serrano</t>
        </is>
      </c>
      <c r="AI1595"/>
      <c r="AJ1595" t="inlineStr">
        <is>
          <t>LIQUIDITY PLAN (PAR # 202511200098 / 2025TEG-P0321)
PLAYOFFS &gt; LABOR COST (PH MANPOWER) &gt;
OPERATIONS TEAM &gt; Hospitality &gt; 
Liaison Officers - Players
Liaison Officers - Crew/Client
Liaison Officers - VIP/KOLs
Total Remaining Budget = Php 108,500.00
Actual Cost = Php 30,600.00
Balance = Php 77,900.00</t>
        </is>
      </c>
      <c r="AK1595"/>
    </row>
    <row r="1596" ht="25.5" customHeight="1">
      <c r="A1596" s="2" t="str">
        <f>=HYPERLINK("https://applink.larksuite.com/client/mini_program/open?appId=cli_9c7cc8a9a9edd105&amp;mode=appCenter&amp;path_pc=pc/pages/requested/index?instanceId=7579183168096308956&amp;source=bitable&amp;path=pages/detail/index?instanceId=7579183168096308956&amp;source=bitable", "202512020082")</f>
        <v>202512020082</v>
      </c>
      <c r="B1596" t="inlineStr">
        <is>
          <t>Approved</t>
        </is>
      </c>
      <c r="C1596" t="inlineStr">
        <is>
          <t>Procurement Order</t>
        </is>
      </c>
      <c r="D1596" s="3">
        <v>45993.70943287037</v>
      </c>
      <c r="E1596" s="3">
        <v>45993.75881944445</v>
      </c>
      <c r="F1596" t="inlineStr">
        <is>
          <t>Fatima Kathleen M. FLores</t>
        </is>
      </c>
      <c r="G1596" t="inlineStr">
        <is>
          <t>Procurement</t>
        </is>
      </c>
      <c r="H1596"/>
      <c r="I1596"/>
      <c r="J1596" t="inlineStr">
        <is>
          <t>Project</t>
        </is>
      </c>
      <c r="K1596" t="inlineStr">
        <is>
          <t>GG - Event Service</t>
        </is>
      </c>
      <c r="L1596" t="inlineStr">
        <is>
          <t>KIC 2025 - Playoffs</t>
        </is>
      </c>
      <c r="M1596" t="inlineStr">
        <is>
          <t>2025TEG-P0321</t>
        </is>
      </c>
      <c r="N1596" t="inlineStr">
        <is>
          <t>Carla Andrea Calma Crespo</t>
        </is>
      </c>
      <c r="O1596" t="inlineStr">
        <is>
          <t>202511240044-Carla Andrea Calma Crespo-费用报销 - 副本 - 副本 - 副本-2025-11-24 06:07:22</t>
        </is>
      </c>
      <c r="P1596" t="inlineStr">
        <is>
          <t>YES</t>
        </is>
      </c>
      <c r="Q1596"/>
      <c r="R1596" t="inlineStr">
        <is>
          <t>NO</t>
        </is>
      </c>
      <c r="S1596" t="inlineStr">
        <is>
          <t>Outsourced Liaison Officer</t>
        </is>
      </c>
      <c r="T1596">
        <v>1</v>
      </c>
      <c r="U1596">
        <v>7500</v>
      </c>
      <c r="V1596" t="inlineStr">
        <is>
          <t>PHP</t>
        </is>
      </c>
      <c r="W1596">
        <v>7500</v>
      </c>
      <c r="X1596" s="2" t="str">
        <f>=HYPERLINK("https://www.larksuite.com/approval/admin/previewAttachment?key=PMg7CgJhDATgK00efybjZWxcFi0WBFGxyNkFC9uv2lC9LEpImQs2XJR1WDVUgdaq8TFSoDE027Gfjw-e-b7zBoTc53W97NvDlugORmY0ADv9PZiZUiV-jm8AAAD__w", "2 attachment(s)")</f>
        <v>2 attachment(s)</v>
      </c>
      <c r="Y1596" t="inlineStr">
        <is>
          <t>Bank Transfer</t>
        </is>
      </c>
      <c r="Z1596" t="inlineStr">
        <is>
          <t>Juvin Daryl L. Chico</t>
        </is>
      </c>
      <c r="AA1596" t="inlineStr">
        <is>
          <t>2486264929</t>
        </is>
      </c>
      <c r="AB1596" t="inlineStr">
        <is>
          <t>Landbank</t>
        </is>
      </c>
      <c r="AC1596" t="inlineStr">
        <is>
          <t>Blk 1 lot 27 Amethyst st. Saint Francis Homes III. San Pedro Laguna</t>
        </is>
      </c>
      <c r="AD1596" s="4">
        <v>45985</v>
      </c>
      <c r="AE1596" t="inlineStr">
        <is>
          <t>100% Full Payment - Dec. 19, 2025</t>
        </is>
      </c>
      <c r="AF1596" s="2"/>
      <c r="AG1596" t="inlineStr">
        <is>
          <t>NzQyNTk5MTgyNzQ4MTg3MDM0MTpENzJGN0JENy0yRTQ3LTRFNzMtOTBCNS0wRkJGMUM2RkMzNzktMTpkMWRhZTBhODU3MDg1NGMzN2Q0ZWU4MmY2NmRmODBjNzox</t>
        </is>
      </c>
      <c r="AH1596" t="inlineStr">
        <is>
          <t>Juvin Daryl L. Chico</t>
        </is>
      </c>
      <c r="AI1596"/>
      <c r="AJ1596" t="inlineStr">
        <is>
          <t>LIQUIDITY PLAN (PAR # 202511200098 / 2025TEG-P0321)
PLAYOFFS &gt; LABOR COST (PH MANPOWER) &gt;
OPERATIONS TEAM &gt; Hospitality &gt; 
Liaison Officers - Players
Liaison Officers - Crew/Client
Liaison Officers - VIP/KOLs
Total Remaining Budget = Php 77,900.00
Actual Cost = Php 7,500.00
Balance = Php 70,400.00</t>
        </is>
      </c>
      <c r="AK1596"/>
    </row>
    <row r="1597" ht="25.5" customHeight="1">
      <c r="A1597" s="2" t="str">
        <f>=HYPERLINK("https://applink.larksuite.com/client/mini_program/open?appId=cli_9c7cc8a9a9edd105&amp;mode=appCenter&amp;path_pc=pc/pages/requested/index?instanceId=7579184003412987617&amp;source=bitable&amp;path=pages/detail/index?instanceId=7579184003412987617&amp;source=bitable", "202512020083")</f>
        <v>202512020083</v>
      </c>
      <c r="B1597" t="inlineStr">
        <is>
          <t>Approved</t>
        </is>
      </c>
      <c r="C1597" t="inlineStr">
        <is>
          <t>Procurement Order</t>
        </is>
      </c>
      <c r="D1597" s="3">
        <v>45993.711689814816</v>
      </c>
      <c r="E1597" s="3">
        <v>45993.75748842592</v>
      </c>
      <c r="F1597" t="inlineStr">
        <is>
          <t>Fatima Kathleen M. FLores</t>
        </is>
      </c>
      <c r="G1597" t="inlineStr">
        <is>
          <t>Procurement</t>
        </is>
      </c>
      <c r="H1597"/>
      <c r="I1597"/>
      <c r="J1597" t="inlineStr">
        <is>
          <t>Project</t>
        </is>
      </c>
      <c r="K1597" t="inlineStr">
        <is>
          <t>GG - Event Service</t>
        </is>
      </c>
      <c r="L1597" t="inlineStr">
        <is>
          <t>KIC 2025 - Playoffs</t>
        </is>
      </c>
      <c r="M1597" t="inlineStr">
        <is>
          <t>2025TEG-P0321</t>
        </is>
      </c>
      <c r="N1597" t="inlineStr">
        <is>
          <t>Carla Andrea Calma Crespo</t>
        </is>
      </c>
      <c r="O1597" t="inlineStr">
        <is>
          <t>202511240044-Carla Andrea Calma Crespo-费用报销 - 副本 - 副本 - 副本-2025-11-24 06:07:22</t>
        </is>
      </c>
      <c r="P1597" t="inlineStr">
        <is>
          <t>YES</t>
        </is>
      </c>
      <c r="Q1597"/>
      <c r="R1597" t="inlineStr">
        <is>
          <t>NO</t>
        </is>
      </c>
      <c r="S1597" t="inlineStr">
        <is>
          <t>Outsourced Liaison Officer</t>
        </is>
      </c>
      <c r="T1597">
        <v>1</v>
      </c>
      <c r="U1597">
        <v>11550</v>
      </c>
      <c r="V1597" t="inlineStr">
        <is>
          <t>PHP</t>
        </is>
      </c>
      <c r="W1597">
        <v>11550</v>
      </c>
      <c r="X1597" s="2" t="str">
        <f>=HYPERLINK("https://www.larksuite.com/approval/admin/previewAttachment?key=PMgxjkIxEAPQK3lmnDjey2zD1xcgQoNIl7MjUdC-PgJ9tKhu0JFGbDU5BoFipId6aOcOyVCovI95_re28vacfnPNB-97XS_n8YpmZUJF1gAQfz8vkbQ78XV8AgAA__8", "2 attachment(s)")</f>
        <v>2 attachment(s)</v>
      </c>
      <c r="Y1597" t="inlineStr">
        <is>
          <t>Bank Transfer</t>
        </is>
      </c>
      <c r="Z1597" t="inlineStr">
        <is>
          <t>Sean Niño Elizalde</t>
        </is>
      </c>
      <c r="AA1597" t="inlineStr">
        <is>
          <t>09812633086</t>
        </is>
      </c>
      <c r="AB1597" t="inlineStr">
        <is>
          <t>GCash</t>
        </is>
      </c>
      <c r="AC1597" t="inlineStr">
        <is>
          <t>#68 Sta Cruz Compound Congress Village Caloocan City</t>
        </is>
      </c>
      <c r="AD1597" s="4">
        <v>45985</v>
      </c>
      <c r="AE1597" t="inlineStr">
        <is>
          <t>100% Full Payment - Dec. 19, 2025</t>
        </is>
      </c>
      <c r="AF1597" s="2"/>
      <c r="AG1597" t="inlineStr">
        <is>
          <t>NzQyNTk5MTgyNzQ4MTg3MDM0MTo1N0U2M0YzQi0wQTlDLTRDRkEtOTlFQi0wMEYxMDdCQ0RDMEItMTpkODI1ZjkwMzc4MThlMWNjZjNiM2U2NGQ1MTIzZTQzZTox</t>
        </is>
      </c>
      <c r="AH1597" t="inlineStr">
        <is>
          <t>Sean Niño Elizalde</t>
        </is>
      </c>
      <c r="AI1597"/>
      <c r="AJ1597" t="inlineStr">
        <is>
          <t>LIQUIDITY PLAN (PAR # 202511200098 / 2025TEG-P0321)
PLAYOFFS &gt; LABOR COST (PH MANPOWER) &gt;
OPERATIONS TEAM &gt; Hospitality &gt; 
Liaison Officers - Players
Liaison Officers - Crew/Client
Liaison Officers - VIP/KOLs
Total Remaining Budget = Php 70,400.00
Actual Cost = Php 11,550.00
Balance = Php 58,850.00</t>
        </is>
      </c>
      <c r="AK1597"/>
    </row>
    <row r="1598" ht="25.5" customHeight="1">
      <c r="A1598" s="2" t="str">
        <f>=HYPERLINK("https://applink.larksuite.com/client/mini_program/open?appId=cli_9c7cc8a9a9edd105&amp;mode=appCenter&amp;path_pc=pc/pages/requested/index?instanceId=7579184609955417819&amp;source=bitable&amp;path=pages/detail/index?instanceId=7579184609955417819&amp;source=bitable", "202512020084")</f>
        <v>202512020084</v>
      </c>
      <c r="B1598" t="inlineStr">
        <is>
          <t>Approved</t>
        </is>
      </c>
      <c r="C1598" t="inlineStr">
        <is>
          <t>Procurement Order</t>
        </is>
      </c>
      <c r="D1598" s="3">
        <v>45993.713321759256</v>
      </c>
      <c r="E1598" s="3">
        <v>45993.75680555555</v>
      </c>
      <c r="F1598" t="inlineStr">
        <is>
          <t>Fatima Kathleen M. FLores</t>
        </is>
      </c>
      <c r="G1598" t="inlineStr">
        <is>
          <t>Procurement</t>
        </is>
      </c>
      <c r="H1598"/>
      <c r="I1598"/>
      <c r="J1598" t="inlineStr">
        <is>
          <t>Project</t>
        </is>
      </c>
      <c r="K1598" t="inlineStr">
        <is>
          <t>GG - Event Service</t>
        </is>
      </c>
      <c r="L1598" t="inlineStr">
        <is>
          <t>KIC 2025 - Playoffs</t>
        </is>
      </c>
      <c r="M1598" t="inlineStr">
        <is>
          <t>2025TEG-P0321</t>
        </is>
      </c>
      <c r="N1598" t="inlineStr">
        <is>
          <t>Carla Andrea Calma Crespo</t>
        </is>
      </c>
      <c r="O1598" t="inlineStr">
        <is>
          <t>202511240044-Carla Andrea Calma Crespo-费用报销 - 副本 - 副本 - 副本-2025-11-24 06:07:22</t>
        </is>
      </c>
      <c r="P1598" t="inlineStr">
        <is>
          <t>YES</t>
        </is>
      </c>
      <c r="Q1598"/>
      <c r="R1598" t="inlineStr">
        <is>
          <t>NO</t>
        </is>
      </c>
      <c r="S1598" t="inlineStr">
        <is>
          <t>Outsourced Liaison Officer</t>
        </is>
      </c>
      <c r="T1598">
        <v>1</v>
      </c>
      <c r="U1598">
        <v>11550</v>
      </c>
      <c r="V1598" t="inlineStr">
        <is>
          <t>PHP</t>
        </is>
      </c>
      <c r="W1598">
        <v>11550</v>
      </c>
      <c r="X1598" s="2" t="str">
        <f>=HYPERLINK("https://www.larksuite.com/approval/admin/previewAttachment?key=PMg7CgJBEATQK1X11ExPeRkTl8XfgiCrJn12wcD0jUmM2dmGITMMVvY0pwbs3sWcdEUx00hmcy3belS8t8uO-Oh2f1z3ep1P6_Jkd0Ygm9QmAB7-3lKSPYSf4xsAAP__", "2 attachment(s)")</f>
        <v>2 attachment(s)</v>
      </c>
      <c r="Y1598" t="inlineStr">
        <is>
          <t>Bank Transfer</t>
        </is>
      </c>
      <c r="Z1598" t="inlineStr">
        <is>
          <t>Kyle del Rosario Esparagoza</t>
        </is>
      </c>
      <c r="AA1598" t="inlineStr">
        <is>
          <t>0119 6619 4698</t>
        </is>
      </c>
      <c r="AB1598" t="inlineStr">
        <is>
          <t>GoTyme Bank</t>
        </is>
      </c>
      <c r="AC1598" t="inlineStr">
        <is>
          <t>4443 BLK 6 Sawata Maypajo Caloocan City</t>
        </is>
      </c>
      <c r="AD1598" s="4">
        <v>45985</v>
      </c>
      <c r="AE1598" t="inlineStr">
        <is>
          <t>100% Full Payment - Dec. 19, 2025</t>
        </is>
      </c>
      <c r="AF1598" s="2"/>
      <c r="AG1598" t="inlineStr">
        <is>
          <t>NzQyNTk5MTgyNzQ4MTg3MDM0MTozNjY1QzQ3My1ENTEyLTQyRTQtQUI3MC00NTZCOTUyOUE3MjEtMTo5NWEzOGJhMWIzNDdjMDc3NGQ2YjBiMmE4MjIxZWQ0NTox</t>
        </is>
      </c>
      <c r="AH1598" t="inlineStr">
        <is>
          <t>Kyle del Rosario Esparagoza</t>
        </is>
      </c>
      <c r="AI1598"/>
      <c r="AJ1598" t="inlineStr">
        <is>
          <t>LIQUIDITY PLAN (PAR # 202511200098 / 2025TEG-P0321)
PLAYOFFS &gt; LABOR COST (PH MANPOWER) &gt;
OPERATIONS TEAM &gt; Hospitality &gt; 
Liaison Officers - Players
Liaison Officers - Crew/Client
Liaison Officers - VIP/KOLs
Total Remaining Budget = Php 58,850.00
Actual Cost = Php 11,550.00
Balance = Php 47,300.00</t>
        </is>
      </c>
      <c r="AK1598"/>
    </row>
    <row r="1599" ht="25.5" customHeight="1">
      <c r="A1599" s="2" t="str">
        <f>=HYPERLINK("https://applink.larksuite.com/client/mini_program/open?appId=cli_9c7cc8a9a9edd105&amp;mode=appCenter&amp;path_pc=pc/pages/requested/index?instanceId=7579185119810965215&amp;source=bitable&amp;path=pages/detail/index?instanceId=7579185119810965215&amp;source=bitable", "202512020085")</f>
        <v>202512020085</v>
      </c>
      <c r="B1599" t="inlineStr">
        <is>
          <t>Approved</t>
        </is>
      </c>
      <c r="C1599" t="inlineStr">
        <is>
          <t>Procurement Order</t>
        </is>
      </c>
      <c r="D1599" s="3">
        <v>45993.7146875</v>
      </c>
      <c r="E1599" s="3">
        <v>45993.75645833334</v>
      </c>
      <c r="F1599" t="inlineStr">
        <is>
          <t>Fatima Kathleen M. FLores</t>
        </is>
      </c>
      <c r="G1599" t="inlineStr">
        <is>
          <t>Procurement</t>
        </is>
      </c>
      <c r="H1599"/>
      <c r="I1599"/>
      <c r="J1599" t="inlineStr">
        <is>
          <t>Project</t>
        </is>
      </c>
      <c r="K1599" t="inlineStr">
        <is>
          <t>GG - Event Service</t>
        </is>
      </c>
      <c r="L1599" t="inlineStr">
        <is>
          <t>KIC 2025 - Playoffs</t>
        </is>
      </c>
      <c r="M1599" t="inlineStr">
        <is>
          <t>2025TEG-P0321</t>
        </is>
      </c>
      <c r="N1599" t="inlineStr">
        <is>
          <t>Carla Andrea Calma Crespo</t>
        </is>
      </c>
      <c r="O1599" t="inlineStr">
        <is>
          <t>202511240044-Carla Andrea Calma Crespo-费用报销 - 副本 - 副本 - 副本-2025-11-24 06:07:22</t>
        </is>
      </c>
      <c r="P1599" t="inlineStr">
        <is>
          <t>YES</t>
        </is>
      </c>
      <c r="Q1599"/>
      <c r="R1599" t="inlineStr">
        <is>
          <t>NO</t>
        </is>
      </c>
      <c r="S1599" t="inlineStr">
        <is>
          <t>Outsourced Liaison Officer</t>
        </is>
      </c>
      <c r="T1599">
        <v>1</v>
      </c>
      <c r="U1599">
        <v>11550</v>
      </c>
      <c r="V1599" t="inlineStr">
        <is>
          <t>PHP</t>
        </is>
      </c>
      <c r="W1599">
        <v>11550</v>
      </c>
      <c r="X1599" s="2" t="str">
        <f>=HYPERLINK("https://www.larksuite.com/approval/admin/previewAttachment?key=PMgxDsIwDAXQK_2f2LE_l2GhqlBEWVAhi8-OxMD6RhIjnX0IJjaBFR5iOqkkNLzRqxUjhGB01Xbs13k8l5_nfMyPLZ_1vt_27UVXtIboZj0B8PL3HmYmDcPP8Q0AAP__", "2 attachment(s)")</f>
        <v>2 attachment(s)</v>
      </c>
      <c r="Y1599" t="inlineStr">
        <is>
          <t>Bank Transfer</t>
        </is>
      </c>
      <c r="Z1599" t="inlineStr">
        <is>
          <t>Neil Kristopher Lou Adon Sy</t>
        </is>
      </c>
      <c r="AA1599" t="inlineStr">
        <is>
          <t>503-3-503-157048</t>
        </is>
      </c>
      <c r="AB1599" t="inlineStr">
        <is>
          <t>Metrobank</t>
        </is>
      </c>
      <c r="AC1599" t="inlineStr">
        <is>
          <t>23D Lerma St. Maypajo Caloocan City</t>
        </is>
      </c>
      <c r="AD1599" s="4">
        <v>45985</v>
      </c>
      <c r="AE1599" t="inlineStr">
        <is>
          <t>100% Full Payment - Dec. 19, 2025</t>
        </is>
      </c>
      <c r="AF1599" s="2"/>
      <c r="AG1599" t="inlineStr">
        <is>
          <t>NzQyNTk5MTgyNzQ4MTg3MDM0MTo1Qzk5QUQ5Ri02QzIyLTQ1NTEtODczMy1CNzZGQTBBQUI2QUUtMTo0ODBlMDQwNjRkYTJkM2M3NDM5MWU5M2U3MzI2MTVjNDox</t>
        </is>
      </c>
      <c r="AH1599" t="inlineStr">
        <is>
          <t>Neil Kristopher Lou Adon Sy</t>
        </is>
      </c>
      <c r="AI1599"/>
      <c r="AJ1599" t="inlineStr">
        <is>
          <t>LIQUIDITY PLAN (PAR # 202511200098 / 2025TEG-P0321)
PLAYOFFS &gt; LABOR COST (PH MANPOWER) &gt;
OPERATIONS TEAM &gt; Hospitality &gt; 
Liaison Officers - Players
Liaison Officers - Crew/Client
Liaison Officers - VIP/KOLs
Total Remaining Budget = Php 47,300.00
Actual Cost = Php 11,550.00
Balance = Php 35,750.00</t>
        </is>
      </c>
      <c r="AK1599"/>
    </row>
    <row r="1600" ht="25.5" customHeight="1">
      <c r="A1600" s="2" t="str">
        <f>=HYPERLINK("https://applink.larksuite.com/client/mini_program/open?appId=cli_9c7cc8a9a9edd105&amp;mode=appCenter&amp;path_pc=pc/pages/requested/index?instanceId=7579185939218468577&amp;source=bitable&amp;path=pages/detail/index?instanceId=7579185939218468577&amp;source=bitable", "202512020087")</f>
        <v>202512020087</v>
      </c>
      <c r="B1600" t="inlineStr">
        <is>
          <t>Approved</t>
        </is>
      </c>
      <c r="C1600" t="inlineStr">
        <is>
          <t>Procurement Order</t>
        </is>
      </c>
      <c r="D1600" s="3">
        <v>45993.716898148145</v>
      </c>
      <c r="E1600" s="3">
        <v>45993.75604166667</v>
      </c>
      <c r="F1600" t="inlineStr">
        <is>
          <t>Fatima Kathleen M. FLores</t>
        </is>
      </c>
      <c r="G1600" t="inlineStr">
        <is>
          <t>Procurement</t>
        </is>
      </c>
      <c r="H1600"/>
      <c r="I1600"/>
      <c r="J1600" t="inlineStr">
        <is>
          <t>Project</t>
        </is>
      </c>
      <c r="K1600" t="inlineStr">
        <is>
          <t>GG - Event Service</t>
        </is>
      </c>
      <c r="L1600" t="inlineStr">
        <is>
          <t>KIC 2025 - Playoffs</t>
        </is>
      </c>
      <c r="M1600" t="inlineStr">
        <is>
          <t>2025TEG-P0321</t>
        </is>
      </c>
      <c r="N1600" t="inlineStr">
        <is>
          <t>Carla Andrea Calma Crespo</t>
        </is>
      </c>
      <c r="O1600" t="inlineStr">
        <is>
          <t>202511240044-Carla Andrea Calma Crespo-费用报销 - 副本 - 副本 - 副本-2025-11-24 06:07:22</t>
        </is>
      </c>
      <c r="P1600" t="inlineStr">
        <is>
          <t>YES</t>
        </is>
      </c>
      <c r="Q1600"/>
      <c r="R1600" t="inlineStr">
        <is>
          <t>NO</t>
        </is>
      </c>
      <c r="S1600" t="inlineStr">
        <is>
          <t>Outsourced Liaison Officer</t>
        </is>
      </c>
      <c r="T1600">
        <v>1</v>
      </c>
      <c r="U1600">
        <v>11550</v>
      </c>
      <c r="V1600" t="inlineStr">
        <is>
          <t>PHP</t>
        </is>
      </c>
      <c r="W1600">
        <v>11550</v>
      </c>
      <c r="X1600" s="2" t="str">
        <f>=HYPERLINK("https://www.larksuite.com/approval/admin/previewAttachment?key=PMg9qgJBEATgK3X1z1TXu8xLXBYFFUF2NJmzCwam32jY6EIMWQouw2JR6FLI0Tm6yOULpIxgaG23_X_icmz9nnX1--txrHk-7dsTJbobIzPazPD382BmSiPt6_YJAAD__w", "2 attachment(s)")</f>
        <v>2 attachment(s)</v>
      </c>
      <c r="Y1600" t="inlineStr">
        <is>
          <t>Bank Transfer</t>
        </is>
      </c>
      <c r="Z1600" t="inlineStr">
        <is>
          <t>Gillian Marie Buhay</t>
        </is>
      </c>
      <c r="AA1600" t="inlineStr">
        <is>
          <t>004456001081</t>
        </is>
      </c>
      <c r="AB1600" t="inlineStr">
        <is>
          <t>BDO</t>
        </is>
      </c>
      <c r="AC1600" t="inlineStr">
        <is>
          <t>2511 Viera Residence Sct Tuason Quezon City</t>
        </is>
      </c>
      <c r="AD1600" s="4">
        <v>45985</v>
      </c>
      <c r="AE1600" t="inlineStr">
        <is>
          <t>100% Full Payment - Dec. 19, 2025</t>
        </is>
      </c>
      <c r="AF1600" s="2"/>
      <c r="AG1600" t="inlineStr">
        <is>
          <t>NzQyNTk5MTgyNzQ4MTg3MDM0MToyQjlFOTY2NS1FQ0Y4LTQ1MkQtQThBMS01NkNDRDUzQUREMDktMTpmYzNkNTkwYWI1NGU3NDMxZGY5YzRkNGRhOTA0ZmExNTox</t>
        </is>
      </c>
      <c r="AH1600" t="inlineStr">
        <is>
          <t>Gillian Marie Buhay</t>
        </is>
      </c>
      <c r="AI1600"/>
      <c r="AJ1600" t="inlineStr">
        <is>
          <t>LIQUIDITY PLAN (PAR # 202511200098 / 2025TEG-P0321)
PLAYOFFS &gt; LABOR COST (PH MANPOWER) &gt;
OPERATIONS TEAM &gt; Hospitality &gt; 
Liaison Officers - Players
Liaison Officers - Crew/Client
Liaison Officers - VIP/KOLs
Total Remaining Budget = Php 35,750.00
Actual Cost = Php 11,550.00
Balance = Php 24,200.00</t>
        </is>
      </c>
      <c r="AK1600"/>
    </row>
    <row r="1601" ht="25.5" customHeight="1">
      <c r="A1601" s="2" t="str">
        <f>=HYPERLINK("https://applink.larksuite.com/client/mini_program/open?appId=cli_9c7cc8a9a9edd105&amp;mode=appCenter&amp;path_pc=pc/pages/requested/index?instanceId=7579190495654448864&amp;source=bitable&amp;path=pages/detail/index?instanceId=7579190495654448864&amp;source=bitable", "202512020090")</f>
        <v>202512020090</v>
      </c>
      <c r="B1601" t="inlineStr">
        <is>
          <t>Approved</t>
        </is>
      </c>
      <c r="C1601" t="inlineStr">
        <is>
          <t>Procurement Order</t>
        </is>
      </c>
      <c r="D1601" s="3">
        <v>45993.72917824074</v>
      </c>
      <c r="E1601" s="3">
        <v>46002.47052083333</v>
      </c>
      <c r="F1601" t="inlineStr">
        <is>
          <t>Fatima Kathleen M. FLores</t>
        </is>
      </c>
      <c r="G1601" t="inlineStr">
        <is>
          <t>Procurement</t>
        </is>
      </c>
      <c r="H1601"/>
      <c r="I1601"/>
      <c r="J1601" t="inlineStr">
        <is>
          <t>Project</t>
        </is>
      </c>
      <c r="K1601" t="inlineStr">
        <is>
          <t>GG - Event Service</t>
        </is>
      </c>
      <c r="L1601" t="inlineStr">
        <is>
          <t>KIC 2025 - Playoffs</t>
        </is>
      </c>
      <c r="M1601" t="inlineStr">
        <is>
          <t>2025TEG-P0321</t>
        </is>
      </c>
      <c r="N1601" t="inlineStr">
        <is>
          <t>Carla Andrea Calma Crespo</t>
        </is>
      </c>
      <c r="O1601" t="inlineStr">
        <is>
          <t>202511250070-Carla Andrea Calma Crespo-费用报销 - 副本 - 副本 - 副本-2025-11-25 06:14:20</t>
        </is>
      </c>
      <c r="P1601" t="inlineStr">
        <is>
          <t>YES</t>
        </is>
      </c>
      <c r="Q1601"/>
      <c r="R1601" t="inlineStr">
        <is>
          <t>YES</t>
        </is>
      </c>
      <c r="S1601" t="inlineStr">
        <is>
          <t>Outsourced Floor Manager</t>
        </is>
      </c>
      <c r="T1601">
        <v>1</v>
      </c>
      <c r="U1601">
        <v>26500</v>
      </c>
      <c r="V1601" t="inlineStr">
        <is>
          <t>PHP</t>
        </is>
      </c>
      <c r="W1601">
        <v>26500</v>
      </c>
      <c r="X1601" s="2" t="str">
        <f>=HYPERLINK("https://www.larksuite.com/approval/admin/previewAttachment?key=PMg7DsJADATQK413Zz02l6EhWvEJNEgRKXx2BEXK9zwMHsO6J5jWElYaSvtx-CAZ4axWJiVk6lnLc54_99uqx6Z1zlfse23Xy1zeNlKtQZ3sAcBOx3eRzHTi__gGAAD__w", "2 attachment(s)")</f>
        <v>2 attachment(s)</v>
      </c>
      <c r="Y1601" t="inlineStr">
        <is>
          <t>Bank Transfer</t>
        </is>
      </c>
      <c r="Z1601" t="inlineStr">
        <is>
          <t>JOSE QUIQUI JR</t>
        </is>
      </c>
      <c r="AA1601" t="inlineStr">
        <is>
          <t>000550330364</t>
        </is>
      </c>
      <c r="AB1601" t="inlineStr">
        <is>
          <t>BDO</t>
        </is>
      </c>
      <c r="AC1601" t="inlineStr">
        <is>
          <t>8 Sto Rosario St., Plainview Mandaluyong City</t>
        </is>
      </c>
      <c r="AD1601" s="4">
        <v>45980</v>
      </c>
      <c r="AE1601" t="inlineStr">
        <is>
          <t>1st Payment - Dec. 12, 2025
Final Payment - Dec. 19, 2025</t>
        </is>
      </c>
      <c r="AF1601" s="2"/>
      <c r="AG1601" t="inlineStr">
        <is>
          <t>NzQyNTk5MTgyNzQ4MTg3MDM0MTozMzYwMUM0RS02OUQ4LTQxNkEtQjMwRS0yQjg1MDU2MjkyMjItMTo3MGUyMjdiMTQ1OTNlNGM5OWJhYWRiZjk0Y2IyMzg1Zjox</t>
        </is>
      </c>
      <c r="AH1601" t="inlineStr">
        <is>
          <t>JOSE QUIQUI JR</t>
        </is>
      </c>
      <c r="AI1601"/>
      <c r="AJ1601" t="inlineStr">
        <is>
          <t>LIQUIDITY PLAN (PAR # 202511200098 / 2025TEG-P0321)
PLAYOFFS &gt; LABOR COST (PH MANPOWER) &gt;
BROADCAST TEAM &gt; Floor Manager 3
Total Budget = Php 21,000.00
Actual Cost = Php 26,500.00
Balance = (Php 5,500.00) OVER BUDGET
^ REFERENCE INTERNAL CE IS STILL THE ONE ATTACHED TO THE APPROVED PAR. NO UPDATED CE ATTACHED AS OF THIS TIME (DEC. 2)</t>
        </is>
      </c>
      <c r="AK1601"/>
    </row>
    <row r="1602" ht="25.5" customHeight="1">
      <c r="A1602" s="2" t="str">
        <f>=HYPERLINK("https://applink.larksuite.com/client/mini_program/open?appId=cli_9c7cc8a9a9edd105&amp;mode=appCenter&amp;path_pc=pc/pages/requested/index?instanceId=7579191390685449947&amp;source=bitable&amp;path=pages/detail/index?instanceId=7579191390685449947&amp;source=bitable", "202512020091")</f>
        <v>202512020091</v>
      </c>
      <c r="B1602" t="inlineStr">
        <is>
          <t>Approved</t>
        </is>
      </c>
      <c r="C1602" t="inlineStr">
        <is>
          <t>Procurement Order</t>
        </is>
      </c>
      <c r="D1602" s="3">
        <v>45993.73159722222</v>
      </c>
      <c r="E1602" s="3">
        <v>46003.82674768518</v>
      </c>
      <c r="F1602" t="inlineStr">
        <is>
          <t>Fatima Kathleen M. FLores</t>
        </is>
      </c>
      <c r="G1602" t="inlineStr">
        <is>
          <t>Procurement</t>
        </is>
      </c>
      <c r="H1602"/>
      <c r="I1602"/>
      <c r="J1602" t="inlineStr">
        <is>
          <t>Project</t>
        </is>
      </c>
      <c r="K1602" t="inlineStr">
        <is>
          <t>GG - Event Service</t>
        </is>
      </c>
      <c r="L1602" t="inlineStr">
        <is>
          <t>KIC 2025 - Playoffs</t>
        </is>
      </c>
      <c r="M1602" t="inlineStr">
        <is>
          <t>2025TEG-P0321</t>
        </is>
      </c>
      <c r="N1602" t="inlineStr">
        <is>
          <t>Carla Andrea Calma Crespo</t>
        </is>
      </c>
      <c r="O1602" t="inlineStr">
        <is>
          <t>202511250070-Carla Andrea Calma Crespo-费用报销 - 副本 - 副本 - 副本-2025-11-25 06:14:20</t>
        </is>
      </c>
      <c r="P1602" t="inlineStr">
        <is>
          <t>YES</t>
        </is>
      </c>
      <c r="Q1602"/>
      <c r="R1602" t="inlineStr">
        <is>
          <t>YES</t>
        </is>
      </c>
      <c r="S1602" t="inlineStr">
        <is>
          <t>Outsourced Floor Manager</t>
        </is>
      </c>
      <c r="T1602">
        <v>1</v>
      </c>
      <c r="U1602">
        <v>12200</v>
      </c>
      <c r="V1602" t="inlineStr">
        <is>
          <t>PHP</t>
        </is>
      </c>
      <c r="W1602">
        <v>12200</v>
      </c>
      <c r="X1602" s="2" t="str">
        <f>=HYPERLINK("https://www.larksuite.com/approval/admin/previewAttachment?key=PMxBCsIwFIThK83kvWYyXsaNJajQIojRTc4udeH2--GvjahtYVQjzWJwapFpho-SaadmmZQMUeG5bv2MeO-3sW-fV4xHv89xvfT1ycUqBYrMaAB4-nsoj1dN_BzfAAAA__8", "2 attachment(s)")</f>
        <v>2 attachment(s)</v>
      </c>
      <c r="Y1602" t="inlineStr">
        <is>
          <t>Bank Transfer</t>
        </is>
      </c>
      <c r="Z1602" t="inlineStr">
        <is>
          <t>MAICAH DOLOR ASTRONOMO</t>
        </is>
      </c>
      <c r="AA1602" t="inlineStr">
        <is>
          <t>010913463655</t>
        </is>
      </c>
      <c r="AB1602" t="inlineStr">
        <is>
          <t>GOTYME BANK CORPORATION</t>
        </is>
      </c>
      <c r="AC1602" t="inlineStr">
        <is>
          <t>218 Paso St. Bagumbayan Taguig City</t>
        </is>
      </c>
      <c r="AD1602" s="4">
        <v>45987</v>
      </c>
      <c r="AE1602" t="inlineStr">
        <is>
          <t>100% Full Payment - Dec. 19, 2025</t>
        </is>
      </c>
      <c r="AF1602" s="2"/>
      <c r="AG1602" t="inlineStr">
        <is>
          <t>NzQyNTk5MTgyNzQ4MTg3MDM0MTozMEFGOTUzRC00REExLTRGRUItQjIwRi04MzBERjY2RTIxQzAtMTozODI4YTM5ZGFjZWFmM2ZmMTFkODdkODU5OTlmZGNjNjox</t>
        </is>
      </c>
      <c r="AH1602" t="inlineStr">
        <is>
          <t>MAICAH DOLOR ASTRONOMO</t>
        </is>
      </c>
      <c r="AI1602"/>
      <c r="AJ1602" t="inlineStr">
        <is>
          <t>LIQUIDITY PLAN (PAR # 202511200098 / 2025TEG-P0321)
PLAYOFFS &gt; LABOR COST (PH MANPOWER) &gt;
BROADCAST TEAM &gt; Floor Manager 4
Total Budget = Php 12,000.00
Actual Cost = Php 12,200.00
Balance = (Php 200.00) OVER BUDGET
^ REFERENCE INTERNAL CE IS STILL THE ONE ATTACHED TO THE APPROVED PAR. NO UPDATED CE ATTACHED AS OF THIS TIME (DEC. 2)</t>
        </is>
      </c>
      <c r="AK1602"/>
    </row>
    <row r="1603" ht="25.5" customHeight="1">
      <c r="A1603" s="2" t="str">
        <f>=HYPERLINK("https://applink.larksuite.com/client/mini_program/open?appId=cli_9c7cc8a9a9edd105&amp;mode=appCenter&amp;path_pc=pc/pages/requested/index?instanceId=7579192179986353889&amp;source=bitable&amp;path=pages/detail/index?instanceId=7579192179986353889&amp;source=bitable", "202512020092")</f>
        <v>202512020092</v>
      </c>
      <c r="B1603" t="inlineStr">
        <is>
          <t>Approved</t>
        </is>
      </c>
      <c r="C1603" t="inlineStr">
        <is>
          <t>Procurement Order</t>
        </is>
      </c>
      <c r="D1603" s="3">
        <v>45993.733715277776</v>
      </c>
      <c r="E1603" s="3">
        <v>46003.82418981481</v>
      </c>
      <c r="F1603" t="inlineStr">
        <is>
          <t>Fatima Kathleen M. FLores</t>
        </is>
      </c>
      <c r="G1603" t="inlineStr">
        <is>
          <t>Procurement</t>
        </is>
      </c>
      <c r="H1603"/>
      <c r="I1603"/>
      <c r="J1603" t="inlineStr">
        <is>
          <t>Project</t>
        </is>
      </c>
      <c r="K1603" t="inlineStr">
        <is>
          <t>GG - Event Service</t>
        </is>
      </c>
      <c r="L1603" t="inlineStr">
        <is>
          <t>KIC 2025 - Playoffs</t>
        </is>
      </c>
      <c r="M1603" t="inlineStr">
        <is>
          <t>2025TEG-P0321</t>
        </is>
      </c>
      <c r="N1603" t="inlineStr">
        <is>
          <t>Carla Andrea Calma Crespo</t>
        </is>
      </c>
      <c r="O1603" t="inlineStr">
        <is>
          <t>202511250070-Carla Andrea Calma Crespo-费用报销 - 副本 - 副本 - 副本-2025-11-25 06:14:20</t>
        </is>
      </c>
      <c r="P1603" t="inlineStr">
        <is>
          <t>YES</t>
        </is>
      </c>
      <c r="Q1603"/>
      <c r="R1603" t="inlineStr">
        <is>
          <t>YES</t>
        </is>
      </c>
      <c r="S1603" t="inlineStr">
        <is>
          <t>Outsourced Floor Manager</t>
        </is>
      </c>
      <c r="T1603">
        <v>1</v>
      </c>
      <c r="U1603">
        <v>10000</v>
      </c>
      <c r="V1603" t="inlineStr">
        <is>
          <t>PHP</t>
        </is>
      </c>
      <c r="W1603">
        <v>10000</v>
      </c>
      <c r="X1603" s="2" t="str">
        <f>=HYPERLINK("https://www.larksuite.com/approval/admin/previewAttachment?key=PMgxCsJAFATQK83s_7vzx8vYGIIkRAQh2OzZBYu0bxQxqjOGkWYzONVlulF2jehR5dkmJUNUeC7Hen_xe26Vsb95bLvn-Xysy4fdag2KzCgAvF0eykx7JP6OXwAAAP__", "2 attachment(s)")</f>
        <v>2 attachment(s)</v>
      </c>
      <c r="Y1603" t="inlineStr">
        <is>
          <t>Bank Transfer</t>
        </is>
      </c>
      <c r="Z1603" t="inlineStr">
        <is>
          <t>Jaysan Nabas</t>
        </is>
      </c>
      <c r="AA1603" t="inlineStr">
        <is>
          <t>018603338454</t>
        </is>
      </c>
      <c r="AB1603" t="inlineStr">
        <is>
          <t>GOTYME BANK CORPORATION</t>
        </is>
      </c>
      <c r="AC1603" t="inlineStr">
        <is>
          <t>470 Kampupot Street , Brgy. Bagong Bayan, Malolos Bulacan</t>
        </is>
      </c>
      <c r="AD1603" s="4">
        <v>45988</v>
      </c>
      <c r="AE1603" t="inlineStr">
        <is>
          <t>100% Full Payment - Dec. 19, 2025</t>
        </is>
      </c>
      <c r="AF1603" s="2"/>
      <c r="AG1603" t="inlineStr">
        <is>
          <t>NzQyNTk5MTgyNzQ4MTg3MDM0MTpBMkQxODM0Mi1DMjVFLTRBMzktQUU0Qy03RUFFNjU2QjQ1MTQtMTo4MGI4YTYxNjhkZjU2N2JjZGMxNTkzNjVjMzk0OWE5YTox</t>
        </is>
      </c>
      <c r="AH1603" t="inlineStr">
        <is>
          <t>Jaysan Nabas</t>
        </is>
      </c>
      <c r="AI1603"/>
      <c r="AJ1603" t="inlineStr">
        <is>
          <t>No line item internal CE. 
^ REFERENCE INTERNAL CE IS STILL THE ONE ATTACHED TO THE APPROVED PAR. NO UPDATED CE ATTACHED AS OF THIS TIME (DEC. 2)</t>
        </is>
      </c>
      <c r="AK1603"/>
    </row>
    <row r="1604" ht="25.5" customHeight="1">
      <c r="A1604" s="2" t="str">
        <f>=HYPERLINK("https://applink.larksuite.com/client/mini_program/open?appId=cli_9c7cc8a9a9edd105&amp;mode=appCenter&amp;path_pc=pc/pages/requested/index?instanceId=7576922033418735325&amp;source=bitable&amp;path=pages/detail/index?instanceId=7576922033418735325&amp;source=bitable", "202511260072")</f>
        <v>202511260072</v>
      </c>
      <c r="B1604" t="inlineStr">
        <is>
          <t>Approved</t>
        </is>
      </c>
      <c r="C1604" t="inlineStr">
        <is>
          <t>Procurement Order</t>
        </is>
      </c>
      <c r="D1604" s="3">
        <v>45987.61613425926</v>
      </c>
      <c r="E1604" s="3">
        <v>45994.60524305556</v>
      </c>
      <c r="F1604" t="inlineStr">
        <is>
          <t>Fatima Kathleen M. FLores</t>
        </is>
      </c>
      <c r="G1604" t="inlineStr">
        <is>
          <t>Procurement</t>
        </is>
      </c>
      <c r="H1604"/>
      <c r="I1604"/>
      <c r="J1604" t="inlineStr">
        <is>
          <t>Project</t>
        </is>
      </c>
      <c r="K1604" t="inlineStr">
        <is>
          <t>GG - Event Service</t>
        </is>
      </c>
      <c r="L1604" t="inlineStr">
        <is>
          <t>KIC 2025 - Playoffs</t>
        </is>
      </c>
      <c r="M1604" t="inlineStr">
        <is>
          <t>2025TEG-P0321</t>
        </is>
      </c>
      <c r="N1604" t="inlineStr">
        <is>
          <t>Juvie Anne Asis Castres</t>
        </is>
      </c>
      <c r="O1604" t="inlineStr">
        <is>
          <t>202511200114-Juvie Anne Asis Castres-费用报销 - 副本 - 副本 - 副本-2025-11-20 10:58:42</t>
        </is>
      </c>
      <c r="P1604" t="inlineStr">
        <is>
          <t>NO</t>
        </is>
      </c>
      <c r="Q1604"/>
      <c r="R1604" t="inlineStr">
        <is>
          <t>YES</t>
        </is>
      </c>
      <c r="S1604" t="inlineStr">
        <is>
          <t>Tarpauline 13oz (Back to back printing)</t>
        </is>
      </c>
      <c r="T1604">
        <v>2</v>
      </c>
      <c r="U1604">
        <v>15836.35</v>
      </c>
      <c r="V1604" t="inlineStr">
        <is>
          <t>PHP</t>
        </is>
      </c>
      <c r="W1604">
        <v>31672.7</v>
      </c>
      <c r="X1604" s="2" t="str">
        <f>=HYPERLINK("https://www.larksuite.com/approval/admin/previewAttachment?key=PMhBCsIwEAXQK_2ZP5Of8TJuEooFBUEodZGzCy66fa0bWk9jK0SZF2wp1codZFgXk57Ll0kFmVhrvrb7ZB4D5_l-fvd9jnU8xjY_liV3iBHsAOx2ORURVS3wd_wCAAD__w", "2 attachment(s)")</f>
        <v>2 attachment(s)</v>
      </c>
      <c r="Y1604" t="inlineStr">
        <is>
          <t>Bank Transfer</t>
        </is>
      </c>
      <c r="Z1604" t="inlineStr">
        <is>
          <t>Largeformatix Visual Communications Inc.</t>
        </is>
      </c>
      <c r="AA1604" t="inlineStr">
        <is>
          <t>000670099619</t>
        </is>
      </c>
      <c r="AB1604" t="inlineStr">
        <is>
          <t>BDO</t>
        </is>
      </c>
      <c r="AC1604" t="inlineStr">
        <is>
          <t>943 EDSA Philam, Quezon City</t>
        </is>
      </c>
      <c r="AD1604" s="4">
        <v>45988</v>
      </c>
      <c r="AE1604" t="inlineStr">
        <is>
          <t>100% Full Payment before delivery
</t>
        </is>
      </c>
      <c r="AF1604" s="2"/>
      <c r="AG1604" t="inlineStr">
        <is>
          <t>NzQyNTk5MTgyNzQ4MTg3MDM0MTowNjEyNENCQy00OUJDLTQyNDYtQTFGNy02MTE2MTNBQ0U1QzktMTo3Y2RkNjZjMjVkYWRjN2ExMDliYmI4NGY3MGY0NDNiODox</t>
        </is>
      </c>
      <c r="AH1604" t="inlineStr">
        <is>
          <t>Largeformatix Visual Communications Inc.</t>
        </is>
      </c>
      <c r="AI1604"/>
      <c r="AJ1604" t="inlineStr">
        <is>
          <t>LIQUIDITY PLAN (PAR # 202511200098 / 2025TEG-P0321)
COLLATERAL &amp; VENUE SKINNING &gt; Print &amp; Collateral &gt;
Dome Banners - including print + delivery
Total Budget = Php 12,000.00
Actual Cost = Php 31,672.70
Balance = (Php 19,672.70) OVER BUDGET</t>
        </is>
      </c>
      <c r="AK1604"/>
    </row>
    <row r="1605" ht="25.5" customHeight="1">
      <c r="A1605" s="2" t="str">
        <f>=HYPERLINK("https://applink.larksuite.com/client/mini_program/open?appId=cli_9c7cc8a9a9edd105&amp;mode=appCenter&amp;path_pc=pc/pages/requested/index?instanceId=7578822033501376225&amp;source=bitable&amp;path=pages/detail/index?instanceId=7578822033501376225&amp;source=bitable", "202512010135")</f>
        <v>202512010135</v>
      </c>
      <c r="B1605" t="inlineStr">
        <is>
          <t>Approved</t>
        </is>
      </c>
      <c r="C1605" t="inlineStr">
        <is>
          <t>Procurement Order</t>
        </is>
      </c>
      <c r="D1605" s="3">
        <v>45992.73625</v>
      </c>
      <c r="E1605" s="3">
        <v>45994.60173611111</v>
      </c>
      <c r="F1605" t="inlineStr">
        <is>
          <t>Fatima Kathleen M. FLores</t>
        </is>
      </c>
      <c r="G1605" t="inlineStr">
        <is>
          <t>Procurement</t>
        </is>
      </c>
      <c r="H1605"/>
      <c r="I1605"/>
      <c r="J1605" t="inlineStr">
        <is>
          <t>Project</t>
        </is>
      </c>
      <c r="K1605" t="inlineStr">
        <is>
          <t>GG - Event Service</t>
        </is>
      </c>
      <c r="L1605" t="inlineStr">
        <is>
          <t>KIC 2025 - Group Stage &amp; Knockouts</t>
        </is>
      </c>
      <c r="M1605" t="inlineStr">
        <is>
          <t>2025TEG-P0286</t>
        </is>
      </c>
      <c r="N1605" t="inlineStr">
        <is>
          <t>Frances Angelita Arreglado</t>
        </is>
      </c>
      <c r="O1605" t="inlineStr">
        <is>
          <t>202511180037-Carla Andrea Calma Crespo-费用报销 - 副本 - 副本 - 副本-2025-11-18 05:31:28</t>
        </is>
      </c>
      <c r="P1605" t="inlineStr">
        <is>
          <t>YES</t>
        </is>
      </c>
      <c r="Q1605"/>
      <c r="R1605" t="inlineStr">
        <is>
          <t>YES</t>
        </is>
      </c>
      <c r="S1605" t="inlineStr">
        <is>
          <t>Outsourced Media Manager</t>
        </is>
      </c>
      <c r="T1605">
        <v>1</v>
      </c>
      <c r="U1605">
        <v>15000</v>
      </c>
      <c r="V1605" t="inlineStr">
        <is>
          <t>PHP</t>
        </is>
      </c>
      <c r="W1605">
        <v>15000</v>
      </c>
      <c r="X1605" s="2" t="str">
        <f>=HYPERLINK("https://www.larksuite.com/approval/admin/previewAttachment?key=PMg7CgJBEATQK1X1Z6rby5i4DH7QRFgxmLMLBpu-UcSopI9GNK3BpVSVGdwTdA2zXLYoNUR5r-05z6J965Pz9njdd8Tar5e5vZktM8gjvADwdLgrIrpH4O_4BQAA__8", "2 attachment(s)")</f>
        <v>2 attachment(s)</v>
      </c>
      <c r="Y1605" t="inlineStr">
        <is>
          <t>Bank Transfer</t>
        </is>
      </c>
      <c r="Z1605" t="inlineStr">
        <is>
          <t>Marc Kevin Serrano</t>
        </is>
      </c>
      <c r="AA1605" t="inlineStr">
        <is>
          <t>1519218972</t>
        </is>
      </c>
      <c r="AB1605" t="inlineStr">
        <is>
          <t>BPI</t>
        </is>
      </c>
      <c r="AC1605" t="inlineStr">
        <is>
          <t>3 Don Guillermo Street, Barangay Holy Spirit, Commonwealth, Quezon City</t>
        </is>
      </c>
      <c r="AD1605" s="4">
        <v>45979</v>
      </c>
      <c r="AE1605" t="inlineStr">
        <is>
          <t>100% Full Payment - Dec. 12, 2025</t>
        </is>
      </c>
      <c r="AF1605" s="2"/>
      <c r="AG1605" t="inlineStr">
        <is>
          <t>NzQyNTk5MTgyNzQ4MTg3MDM0MTpGMDY2MzM3Qy1CMTNFLTRCMDAtODc0Qi1BMTYzOTlGMEY4MEYtMTpkN2NiYTJiZTkxZDc5NmZkYTE0NDJhOGRmNTkwYmNhMDox</t>
        </is>
      </c>
      <c r="AH1605" t="inlineStr">
        <is>
          <t>Marc Kevin Serrano</t>
        </is>
      </c>
      <c r="AI1605"/>
      <c r="AJ1605" t="inlineStr">
        <is>
          <t>No line item in internal CE. To be charged to playoffs CE.</t>
        </is>
      </c>
      <c r="AK1605"/>
    </row>
    <row r="1606" ht="25.5" customHeight="1">
      <c r="A1606" s="2" t="str">
        <f>=HYPERLINK("https://applink.larksuite.com/client/mini_program/open?appId=cli_9c7cc8a9a9edd105&amp;mode=appCenter&amp;path_pc=pc/pages/requested/index?instanceId=7579473382505189083&amp;source=bitable&amp;path=pages/detail/index?instanceId=7579473382505189083&amp;source=bitable", "202512030019")</f>
        <v>202512030019</v>
      </c>
      <c r="B1606" t="inlineStr">
        <is>
          <t>Approved</t>
        </is>
      </c>
      <c r="C1606" t="inlineStr">
        <is>
          <t>Procurement Order</t>
        </is>
      </c>
      <c r="D1606" s="3">
        <v>45994.49150462963</v>
      </c>
      <c r="E1606" s="3">
        <v>45994.6046412037</v>
      </c>
      <c r="F1606" t="inlineStr">
        <is>
          <t>Fatima Kathleen M. FLores</t>
        </is>
      </c>
      <c r="G1606" t="inlineStr">
        <is>
          <t>Procurement</t>
        </is>
      </c>
      <c r="H1606"/>
      <c r="I1606"/>
      <c r="J1606" t="inlineStr">
        <is>
          <t>Project</t>
        </is>
      </c>
      <c r="K1606" t="inlineStr">
        <is>
          <t>GG - Event Service</t>
        </is>
      </c>
      <c r="L1606" t="inlineStr">
        <is>
          <t>KIC 2025 - Playoffs</t>
        </is>
      </c>
      <c r="M1606" t="inlineStr">
        <is>
          <t>2025TEG-P0321</t>
        </is>
      </c>
      <c r="N1606" t="inlineStr">
        <is>
          <t>Carla Andrea Calma Crespo</t>
        </is>
      </c>
      <c r="O1606" t="inlineStr">
        <is>
          <t>202511280098-Carla Andrea Calma Crespo-费用报销 - 副本 - 副本 - 副本-2025-11-28 12:21:38</t>
        </is>
      </c>
      <c r="P1606" t="inlineStr">
        <is>
          <t>YES</t>
        </is>
      </c>
      <c r="Q1606"/>
      <c r="R1606" t="inlineStr">
        <is>
          <t>NO</t>
        </is>
      </c>
      <c r="S1606" t="inlineStr">
        <is>
          <t>Outsourced  HMUA (for Players &amp; Talents)</t>
        </is>
      </c>
      <c r="T1606">
        <v>1</v>
      </c>
      <c r="U1606">
        <v>74000</v>
      </c>
      <c r="V1606" t="inlineStr">
        <is>
          <t>PHP</t>
        </is>
      </c>
      <c r="W1606">
        <v>74000</v>
      </c>
      <c r="X1606" s="2" t="str">
        <f>=HYPERLINK("https://www.larksuite.com/approval/admin/previewAttachment?key=PMgxCgJBDAXQK_1Mkvn5XsZml0GFhQVRbHJ2wcL2zTLMSvMphGwI1kwq6F4jkVZCeY82UqDR1fuxrsvtcz8eK1-bn2f2-7at_WkpjgF6hBcAu_zdGRHSDPwc3wAAAP__", "2 attachment(s)")</f>
        <v>2 attachment(s)</v>
      </c>
      <c r="Y1606" t="inlineStr">
        <is>
          <t>Bank Transfer</t>
        </is>
      </c>
      <c r="Z1606" t="inlineStr">
        <is>
          <t>Hearty Christian Tandayag</t>
        </is>
      </c>
      <c r="AA1606" t="inlineStr">
        <is>
          <t>1689024811</t>
        </is>
      </c>
      <c r="AB1606" t="inlineStr">
        <is>
          <t>BPI</t>
        </is>
      </c>
      <c r="AC1606" t="inlineStr">
        <is>
          <t>7343 J Victor st. Pio del Pilar Makati City</t>
        </is>
      </c>
      <c r="AD1606" s="4">
        <v>45975</v>
      </c>
      <c r="AE1606" t="inlineStr">
        <is>
          <t>1st Payment - Dec. 12, 2025
Final Payment - Dec. 19, 2025</t>
        </is>
      </c>
      <c r="AF1606" s="2"/>
      <c r="AG1606" t="inlineStr">
        <is>
          <t>NzQyNTk5MTgyNzQ4MTg3MDM0MTpGMzAzQTA0NC01RTQ0LTREODgtQTVENy1CMkMyQ0RBMTUxMzgtMTo3YzYzN2M4NzliMWZlNzRiMTc0ZjJjOWQwNjA2YmU3ZDox</t>
        </is>
      </c>
      <c r="AH1606" t="inlineStr">
        <is>
          <t>Hearty Christian Tandayag</t>
        </is>
      </c>
      <c r="AI1606"/>
      <c r="AJ1606" t="inlineStr">
        <is>
          <t>LIQUIDITY PLAN (PAR # 202511200098 / 2025TEG-P0321)
PLAYOFFS &gt; LABOR COST (PH MANPOWER) &gt;
Talent Management &gt;
HMUA (for Players) = Php 122,000.00
HMUA (for Talents) = Php 60,000.00
Total Budget = Php 182,000.00
Actual Cost = Php 74,000.00
Balance = Php 108,000.00</t>
        </is>
      </c>
      <c r="AK1606"/>
    </row>
    <row r="1607" ht="25.5" customHeight="1">
      <c r="A1607" s="2" t="str">
        <f>=HYPERLINK("https://applink.larksuite.com/client/mini_program/open?appId=cli_9c7cc8a9a9edd105&amp;mode=appCenter&amp;path_pc=pc/pages/requested/index?instanceId=7579475765654195932&amp;source=bitable&amp;path=pages/detail/index?instanceId=7579475765654195932&amp;source=bitable", "202512030021")</f>
        <v>202512030021</v>
      </c>
      <c r="B1607" t="inlineStr">
        <is>
          <t>Approved</t>
        </is>
      </c>
      <c r="C1607" t="inlineStr">
        <is>
          <t>Procurement Order</t>
        </is>
      </c>
      <c r="D1607" s="3">
        <v>45994.497928240744</v>
      </c>
      <c r="E1607" s="3">
        <v>45995.63892361111</v>
      </c>
      <c r="F1607" t="inlineStr">
        <is>
          <t>Fatima Kathleen M. FLores</t>
        </is>
      </c>
      <c r="G1607" t="inlineStr">
        <is>
          <t>Procurement</t>
        </is>
      </c>
      <c r="H1607"/>
      <c r="I1607"/>
      <c r="J1607" t="inlineStr">
        <is>
          <t>Project</t>
        </is>
      </c>
      <c r="K1607" t="inlineStr">
        <is>
          <t>GG - Event Service</t>
        </is>
      </c>
      <c r="L1607" t="inlineStr">
        <is>
          <t>KIC 2025 - Playoffs</t>
        </is>
      </c>
      <c r="M1607" t="inlineStr">
        <is>
          <t>2025TEG-P0321</t>
        </is>
      </c>
      <c r="N1607" t="inlineStr">
        <is>
          <t>Carla Andrea Calma Crespo</t>
        </is>
      </c>
      <c r="O1607" t="inlineStr">
        <is>
          <t>202511280097-Carla Andrea Calma Crespo-费用报销 - 副本 - 副本 - 副本-2025-11-28 12:19:25</t>
        </is>
      </c>
      <c r="P1607" t="inlineStr">
        <is>
          <t>YES</t>
        </is>
      </c>
      <c r="Q1607"/>
      <c r="R1607" t="inlineStr">
        <is>
          <t>YES</t>
        </is>
      </c>
      <c r="S1607" t="inlineStr">
        <is>
          <t>Outsourced HMUA (Talents)</t>
        </is>
      </c>
      <c r="T1607">
        <v>1</v>
      </c>
      <c r="U1607">
        <v>32400</v>
      </c>
      <c r="V1607" t="inlineStr">
        <is>
          <t>PHP</t>
        </is>
      </c>
      <c r="W1607">
        <v>32400</v>
      </c>
      <c r="X1607" s="2"/>
      <c r="Y1607" t="inlineStr">
        <is>
          <t>Bank Transfer</t>
        </is>
      </c>
      <c r="Z1607" t="inlineStr">
        <is>
          <t>R-June Eniceo</t>
        </is>
      </c>
      <c r="AA1607" t="inlineStr">
        <is>
          <t>018452020505</t>
        </is>
      </c>
      <c r="AB1607" t="inlineStr">
        <is>
          <t>GoTyme Bank</t>
        </is>
      </c>
      <c r="AC1607" t="inlineStr">
        <is>
          <t>Celestino Compound Brgy Dalig Antipolo city</t>
        </is>
      </c>
      <c r="AD1607" s="4">
        <v>45991</v>
      </c>
      <c r="AE1607" t="inlineStr">
        <is>
          <t>100% Full Payment - Dec. 5, 2025</t>
        </is>
      </c>
      <c r="AF1607" s="2"/>
      <c r="AG1607" t="inlineStr">
        <is>
          <t>NzQyNTk5MTgyNzQ4MTg3MDM0MTo3M0YzQjlGNy03MDdDLTQzRjktODE4Ni1FNUVDRTE3OEE2RjItMTpkMDQ0ODVlOTIyMDMzMjNlM2E4MTE2YzkzNzNmOTA4MTox</t>
        </is>
      </c>
      <c r="AH1607" t="inlineStr">
        <is>
          <t>R-June Eniceo</t>
        </is>
      </c>
      <c r="AI1607"/>
      <c r="AJ1607" t="inlineStr">
        <is>
          <t>Tagged as over budget. To be charged to an updated running internal CE for playoffs.</t>
        </is>
      </c>
      <c r="AK1607"/>
    </row>
    <row r="1608" ht="25.5" customHeight="1">
      <c r="A1608" s="2" t="str">
        <f>=HYPERLINK("https://applink.larksuite.com/client/mini_program/open?appId=cli_9c7cc8a9a9edd105&amp;mode=appCenter&amp;path_pc=pc/pages/requested/index?instanceId=7579474855930629852&amp;source=bitable&amp;path=pages/detail/index?instanceId=7579474855930629852&amp;source=bitable", "202512030020")</f>
        <v>202512030020</v>
      </c>
      <c r="B1608" t="inlineStr">
        <is>
          <t>Approved</t>
        </is>
      </c>
      <c r="C1608" t="inlineStr">
        <is>
          <t>Procurement Order</t>
        </is>
      </c>
      <c r="D1608" s="3">
        <v>45994.495474537034</v>
      </c>
      <c r="E1608" s="3">
        <v>45994.606261574074</v>
      </c>
      <c r="F1608" t="inlineStr">
        <is>
          <t>Fatima Kathleen M. FLores</t>
        </is>
      </c>
      <c r="G1608" t="inlineStr">
        <is>
          <t>Procurement</t>
        </is>
      </c>
      <c r="H1608"/>
      <c r="I1608"/>
      <c r="J1608" t="inlineStr">
        <is>
          <t>Project</t>
        </is>
      </c>
      <c r="K1608" t="inlineStr">
        <is>
          <t>GG - Event Service</t>
        </is>
      </c>
      <c r="L1608" t="inlineStr">
        <is>
          <t>KIC 2025 - Playoffs</t>
        </is>
      </c>
      <c r="M1608" t="inlineStr">
        <is>
          <t>2025TEG-P0321</t>
        </is>
      </c>
      <c r="N1608" t="inlineStr">
        <is>
          <t>Carla Andrea Calma Crespo</t>
        </is>
      </c>
      <c r="O1608" t="inlineStr">
        <is>
          <t>202511280098-Carla Andrea Calma Crespo-费用报销 - 副本 - 副本 - 副本-2025-11-28 12:21:38</t>
        </is>
      </c>
      <c r="P1608" t="inlineStr">
        <is>
          <t>YES</t>
        </is>
      </c>
      <c r="Q1608"/>
      <c r="R1608" t="inlineStr">
        <is>
          <t>YES</t>
        </is>
      </c>
      <c r="S1608" t="inlineStr">
        <is>
          <t>Outsourced HMUA (No Fear)</t>
        </is>
      </c>
      <c r="T1608">
        <v>1</v>
      </c>
      <c r="U1608">
        <v>7000</v>
      </c>
      <c r="V1608" t="inlineStr">
        <is>
          <t>PHP</t>
        </is>
      </c>
      <c r="W1608">
        <v>7000</v>
      </c>
      <c r="X1608" s="2" t="str">
        <f>=HYPERLINK("https://www.larksuite.com/approval/admin/previewAttachment?key=PMg9CsJAFATgK83723njZWwSggqmERZS7NkFC9tvtGF0WQwhZS7YYlHJ7CoFhqvLly8jBRpDa38f92s-t7j40nl651zzsR37x0p0ByMzGoDd_h7MTGkkfo5vAAAA__8", "2 attachment(s)")</f>
        <v>2 attachment(s)</v>
      </c>
      <c r="Y1608" t="inlineStr">
        <is>
          <t>Bank Transfer</t>
        </is>
      </c>
      <c r="Z1608" t="inlineStr">
        <is>
          <t>John Paul Saenz</t>
        </is>
      </c>
      <c r="AA1608" t="inlineStr">
        <is>
          <t>09461499745</t>
        </is>
      </c>
      <c r="AB1608" t="inlineStr">
        <is>
          <t>GCash</t>
        </is>
      </c>
      <c r="AC1608" t="inlineStr">
        <is>
          <t>Amaya II Tanza, Cavite</t>
        </is>
      </c>
      <c r="AD1608" s="4">
        <v>45991</v>
      </c>
      <c r="AE1608" t="inlineStr">
        <is>
          <t>100% Full Payment - Dec. 5, 2025</t>
        </is>
      </c>
      <c r="AF1608" s="2"/>
      <c r="AG1608" t="inlineStr">
        <is>
          <t>NzQyNTk5MTgyNzQ4MTg3MDM0MTpBODAyNUQ2MS1FRjIxLTQxNDUtQTdGQy05MUY2MDBFMTY3MTQtMTozOTY5MGVjZjk1YTA4MzdiMzk5OTQ2YTFmM2MzYjBiZTox</t>
        </is>
      </c>
      <c r="AH1608" t="inlineStr">
        <is>
          <t>John Paul Saenz</t>
        </is>
      </c>
      <c r="AI1608"/>
      <c r="AJ1608" t="inlineStr">
        <is>
          <t>Tagged as over budget. To be charged to an updated running internal CE for playoffs.
^ REFERENCE IS STILL THE INTERNAL CE ATTACHED TO THE PAR.</t>
        </is>
      </c>
      <c r="AK1608"/>
    </row>
    <row r="1609" ht="25.5" customHeight="1">
      <c r="A1609" s="2" t="str">
        <f>=HYPERLINK("https://applink.larksuite.com/client/mini_program/open?appId=cli_9c7cc8a9a9edd105&amp;mode=appCenter&amp;path_pc=pc/pages/requested/index?instanceId=7579484672028053213&amp;source=bitable&amp;path=pages/detail/index?instanceId=7579484672028053213&amp;source=bitable", "202512030026")</f>
        <v>202512030026</v>
      </c>
      <c r="B1609" t="inlineStr">
        <is>
          <t>Approved</t>
        </is>
      </c>
      <c r="C1609" t="inlineStr">
        <is>
          <t>Procurement Order</t>
        </is>
      </c>
      <c r="D1609" s="3">
        <v>45994.5219212963</v>
      </c>
      <c r="E1609" s="3">
        <v>45994.59991898148</v>
      </c>
      <c r="F1609" t="inlineStr">
        <is>
          <t>Fatima Kathleen M. FLores</t>
        </is>
      </c>
      <c r="G1609" t="inlineStr">
        <is>
          <t>Procurement</t>
        </is>
      </c>
      <c r="H1609"/>
      <c r="I1609"/>
      <c r="J1609" t="inlineStr">
        <is>
          <t>Project</t>
        </is>
      </c>
      <c r="K1609" t="inlineStr">
        <is>
          <t>GG - Event Service</t>
        </is>
      </c>
      <c r="L1609" t="inlineStr">
        <is>
          <t>KIC 2025 - Group Stage &amp; Knockouts</t>
        </is>
      </c>
      <c r="M1609" t="inlineStr">
        <is>
          <t>2025TEG-P0286</t>
        </is>
      </c>
      <c r="N1609" t="inlineStr">
        <is>
          <t>Frances Angelita Arreglado</t>
        </is>
      </c>
      <c r="O1609" t="inlineStr">
        <is>
          <t>202511120029-Carla Andrea Calma Crespo-费用报销 - 副本 - 副本 - 副本-2025-11-12 03:33:58</t>
        </is>
      </c>
      <c r="P1609" t="inlineStr">
        <is>
          <t>YES</t>
        </is>
      </c>
      <c r="Q1609"/>
      <c r="R1609" t="inlineStr">
        <is>
          <t>NO</t>
        </is>
      </c>
      <c r="S1609" t="inlineStr">
        <is>
          <t>Outsourced Logistics Associates (Egress)</t>
        </is>
      </c>
      <c r="T1609">
        <v>1</v>
      </c>
      <c r="U1609">
        <v>13500</v>
      </c>
      <c r="V1609" t="inlineStr">
        <is>
          <t>PHP</t>
        </is>
      </c>
      <c r="W1609">
        <v>13500</v>
      </c>
      <c r="X1609" s="2" t="str">
        <f>=HYPERLINK("https://www.larksuite.com/approval/admin/previewAttachment?key=PMi7DcJgDATglc7Ps1mGJr8iCqBBEFF4diSKtF-WICvEsuEt2pBhsL08qdBCmIqNjpANCq1nPfYr7Hh-o1bd39uhMZ_btq-XRFMVNHcrAHI53eju3en4O34BAAD__w", "2 attachment(s)")</f>
        <v>2 attachment(s)</v>
      </c>
      <c r="Y1609" t="inlineStr">
        <is>
          <t>Bank Transfer</t>
        </is>
      </c>
      <c r="Z1609" t="inlineStr">
        <is>
          <t>RIC JACA</t>
        </is>
      </c>
      <c r="AA1609" t="inlineStr">
        <is>
          <t>09509516216</t>
        </is>
      </c>
      <c r="AB1609" t="inlineStr">
        <is>
          <t>GCash</t>
        </is>
      </c>
      <c r="AC1609" t="inlineStr">
        <is>
          <t>321 Sitio Langhaya Brgy. Dela Paz Antipolo Rizal</t>
        </is>
      </c>
      <c r="AD1609" s="4">
        <v>45969</v>
      </c>
      <c r="AE1609" t="inlineStr">
        <is>
          <t>100% Full Payment - Dec. 5, 2025</t>
        </is>
      </c>
      <c r="AF1609" s="2"/>
      <c r="AG1609" t="inlineStr">
        <is>
          <t>NzQyNTk5MTgyNzQ4MTg3MDM0MTpENjkyNzE0RS1BN0JDLTRBMzUtQjJBRC1CNkREMEFGM0NENTMtMTo3YmYzNDEzMDE1Yzc0OTc4MmI4MTdlODEzMGY3ZjYwMDox</t>
        </is>
      </c>
      <c r="AH1609" t="inlineStr">
        <is>
          <t>RIC JACA</t>
        </is>
      </c>
      <c r="AI1609"/>
      <c r="AJ1609" t="inlineStr">
        <is>
          <t>LIQUIDITY PLAN (PAR # 202510290062 / 2025TEG-P0286)
1108 CE KIC GS+KO TAB &gt; OPERATIONS TEAM &gt;
Logistics &gt; Runners (Egress)
Total Budget = Php 15,000.00
Actual Cost = Php 13,500.00
Balance = Php 1,500.00</t>
        </is>
      </c>
      <c r="AK1609"/>
    </row>
    <row r="1610" ht="25.5" customHeight="1">
      <c r="A1610" s="2" t="str">
        <f>=HYPERLINK("https://applink.larksuite.com/client/mini_program/open?appId=cli_9c7cc8a9a9edd105&amp;mode=appCenter&amp;path_pc=pc/pages/requested/index?instanceId=7579488351682563805&amp;source=bitable&amp;path=pages/detail/index?instanceId=7579488351682563805&amp;source=bitable", "202512030027")</f>
        <v>202512030027</v>
      </c>
      <c r="B1610" t="inlineStr">
        <is>
          <t>Rejected</t>
        </is>
      </c>
      <c r="C1610" t="inlineStr">
        <is>
          <t>Procurement Order</t>
        </is>
      </c>
      <c r="D1610" s="3">
        <v>45994.53184027778</v>
      </c>
      <c r="E1610" s="3">
        <v>45994.60275462963</v>
      </c>
      <c r="F1610" t="inlineStr">
        <is>
          <t>Fatima Kathleen M. FLores</t>
        </is>
      </c>
      <c r="G1610" t="inlineStr">
        <is>
          <t>Procurement</t>
        </is>
      </c>
      <c r="H1610"/>
      <c r="I1610"/>
      <c r="J1610" t="inlineStr">
        <is>
          <t>Project</t>
        </is>
      </c>
      <c r="K1610" t="inlineStr">
        <is>
          <t>GG - Event Service</t>
        </is>
      </c>
      <c r="L1610" t="inlineStr">
        <is>
          <t>KIC 2025 - Group Stage &amp; Knockouts</t>
        </is>
      </c>
      <c r="M1610" t="inlineStr">
        <is>
          <t>2025TEG-P0286</t>
        </is>
      </c>
      <c r="N1610" t="inlineStr">
        <is>
          <t>Carla Andrea Calma Crespo</t>
        </is>
      </c>
      <c r="O1610" t="inlineStr">
        <is>
          <t>202511120029-Carla Andrea Calma Crespo-费用报销 - 副本 - 副本 - 副本-2025-11-12 03:33:58</t>
        </is>
      </c>
      <c r="P1610" t="inlineStr">
        <is>
          <t>YES</t>
        </is>
      </c>
      <c r="Q1610"/>
      <c r="R1610" t="inlineStr">
        <is>
          <t>NO</t>
        </is>
      </c>
      <c r="S1610" t="inlineStr">
        <is>
          <t>Outsourced Logistics Associates (Egress)</t>
        </is>
      </c>
      <c r="T1610">
        <v>1</v>
      </c>
      <c r="U1610">
        <v>15000</v>
      </c>
      <c r="V1610" t="inlineStr">
        <is>
          <t>PHP</t>
        </is>
      </c>
      <c r="W1610">
        <v>15000</v>
      </c>
      <c r="X1610" s="2" t="str">
        <f>=HYPERLINK("https://www.larksuite.com/approval/admin/previewAttachment?key=PMg7igJBGATgK1X1_6y9zCYOjQqCIDNj0mcXDEy_bCI7aCm4OASuipJ3WzB7RFoj1lisEoplWttj_h-87br7ae-Tz7mv43qZ24uhGgNl7tYA-PdzK3eX0vF1fAIAAP__", "2 attachment(s)")</f>
        <v>2 attachment(s)</v>
      </c>
      <c r="Y1610" t="inlineStr">
        <is>
          <t>Bank Transfer</t>
        </is>
      </c>
      <c r="Z1610" t="inlineStr">
        <is>
          <t>Nordan Burabo</t>
        </is>
      </c>
      <c r="AA1610" t="inlineStr">
        <is>
          <t>09636201512</t>
        </is>
      </c>
      <c r="AB1610" t="inlineStr">
        <is>
          <t>GCash</t>
        </is>
      </c>
      <c r="AC1610" t="inlineStr">
        <is>
          <t>Blk 1 Lot 23 Agoncillo St. Sta Lucia Novaliches, Quezon City</t>
        </is>
      </c>
      <c r="AD1610" s="4">
        <v>45984</v>
      </c>
      <c r="AE1610" t="inlineStr">
        <is>
          <t>100% Final Payment - Dec. 5, 2025</t>
        </is>
      </c>
      <c r="AF1610" s="2"/>
      <c r="AG1610" t="inlineStr">
        <is>
          <t>NzQyNTk5MTgyNzQ4MTg3MDM0MTpCRUNEMTg2Mi1DQTIxLTQzMTEtOUU3Ri02RDg3QzBGODlEODQtMTo1MTJhM2U3ZTg2ZDMwZjQxOTNlMTI2ZWFmYjMwYTU1ZTox</t>
        </is>
      </c>
      <c r="AH1610" t="inlineStr">
        <is>
          <t>Nordan Burabo</t>
        </is>
      </c>
      <c r="AI1610"/>
      <c r="AJ1610" t="inlineStr">
        <is>
          <t>LIQUIDITY PLAN (PAR # 202510290062 / 2025TEG-P0286)
1108 CE KIC GS+KO TAB &gt; OPERATIONS TEAM &gt;
Logistics &gt; Runners (Egress)
Total Remaining Budget = Php 1,500.00
Actual Cost = Php 15,000.00
Balance = (Php 13,500.00) OVER BUDGET</t>
        </is>
      </c>
      <c r="AK1610"/>
    </row>
    <row r="1611" ht="25.5" customHeight="1">
      <c r="A1611" s="2" t="str">
        <f>=HYPERLINK("https://applink.larksuite.com/client/mini_program/open?appId=cli_9c7cc8a9a9edd105&amp;mode=appCenter&amp;path_pc=pc/pages/requested/index?instanceId=7579526891036528352&amp;source=bitable&amp;path=pages/detail/index?instanceId=7579526891036528352&amp;source=bitable", "202512030073")</f>
        <v>202512030073</v>
      </c>
      <c r="B1611" t="inlineStr">
        <is>
          <t>Approved</t>
        </is>
      </c>
      <c r="C1611" t="inlineStr">
        <is>
          <t>Procurement Order</t>
        </is>
      </c>
      <c r="D1611" s="3">
        <v>45994.63569444444</v>
      </c>
      <c r="E1611" s="3">
        <v>45994.794641203705</v>
      </c>
      <c r="F1611" t="inlineStr">
        <is>
          <t>Fatima Kathleen M. FLores</t>
        </is>
      </c>
      <c r="G1611" t="inlineStr">
        <is>
          <t>Procurement</t>
        </is>
      </c>
      <c r="H1611"/>
      <c r="I1611"/>
      <c r="J1611" t="inlineStr">
        <is>
          <t>Project</t>
        </is>
      </c>
      <c r="K1611" t="inlineStr">
        <is>
          <t>PDEI - Game Marketing</t>
        </is>
      </c>
      <c r="L1611" t="inlineStr">
        <is>
          <t>Globe x GG Truck: Project Kristine On Wheels (KOW)</t>
        </is>
      </c>
      <c r="M1611" t="inlineStr">
        <is>
          <t>2025TEG-P0287</t>
        </is>
      </c>
      <c r="N1611" t="inlineStr">
        <is>
          <t>Alessandra Mae Villanueva Boado</t>
        </is>
      </c>
      <c r="O1611" t="inlineStr">
        <is>
          <t>202511060023-Alessandra Mae Villanueva Boado-费用报销 - 副本 - 副本 - 副本-2025-11-06 03:36:42</t>
        </is>
      </c>
      <c r="P1611" t="inlineStr">
        <is>
          <t>YES</t>
        </is>
      </c>
      <c r="Q1611"/>
      <c r="R1611" t="inlineStr">
        <is>
          <t>NO</t>
        </is>
      </c>
      <c r="S1611" t="inlineStr">
        <is>
          <t>Outsourced Event Coordinator</t>
        </is>
      </c>
      <c r="T1611">
        <v>1</v>
      </c>
      <c r="U1611">
        <v>15000</v>
      </c>
      <c r="V1611" t="inlineStr">
        <is>
          <t>PHP</t>
        </is>
      </c>
      <c r="W1611">
        <v>15000</v>
      </c>
      <c r="X1611" s="2" t="str">
        <f>=HYPERLINK("https://www.larksuite.com/approval/admin/previewAttachment?key=PMg9isJgGATgK828_7OX2cYQJKAEhIDFd3bBwvapIWqSXkKIJnB1ttJqRHiljactW-wWmu1a22P_1_GeZwRoeV7nsa77bd9eTLUZ2iN8APDv594RIVXg6_gEAAD__w", "2 attachment(s)")</f>
        <v>2 attachment(s)</v>
      </c>
      <c r="Y1611" t="inlineStr">
        <is>
          <t>Bank Transfer</t>
        </is>
      </c>
      <c r="Z1611" t="inlineStr">
        <is>
          <t>Samantha Mae B Santelices</t>
        </is>
      </c>
      <c r="AA1611" t="inlineStr">
        <is>
          <t>0064 0009 1083</t>
        </is>
      </c>
      <c r="AB1611" t="inlineStr">
        <is>
          <t>BDO</t>
        </is>
      </c>
      <c r="AC1611" t="inlineStr">
        <is>
          <t>38 Main Avenue, Merville Park, Paranaque City</t>
        </is>
      </c>
      <c r="AD1611" s="4">
        <v>45972</v>
      </c>
      <c r="AE1611" t="inlineStr">
        <is>
          <t>1st Payment - Dec. 19, 2025
Final Payment - Feb. 6, 2026</t>
        </is>
      </c>
      <c r="AF1611" s="2"/>
      <c r="AG1611" t="inlineStr">
        <is>
          <t>NzQyNTk5MTgyNzQ4MTg3MDM0MTpGNTVFOEY4Qi1FQzFELTQ5RkItOUVEMi0yNzI2MjJGMkVGMEYtMTpjNGUyOWNkNjJmMzFmNzg0NDZkNWI3ZTgwNmUyODRlNTox</t>
        </is>
      </c>
      <c r="AH1611" t="inlineStr">
        <is>
          <t>Samantha Mae B Santelices</t>
        </is>
      </c>
      <c r="AI1611"/>
      <c r="AJ1611" t="inlineStr">
        <is>
          <t>LIQUIDITY PLAN (PAR # 202511050059 / 2025TEG-P0287)
MANPOWER &gt; Event Coordinator
Total Budget = Php 15,000.00
Actual Cost = Php 15,000.00</t>
        </is>
      </c>
      <c r="AK1611"/>
    </row>
    <row r="1612" ht="25.5" customHeight="1">
      <c r="A1612" s="2" t="str">
        <f>=HYPERLINK("https://applink.larksuite.com/client/mini_program/open?appId=cli_9c7cc8a9a9edd105&amp;mode=appCenter&amp;path_pc=pc/pages/requested/index?instanceId=7579531072392924898&amp;source=bitable&amp;path=pages/detail/index?instanceId=7579531072392924898&amp;source=bitable", "202512030090")</f>
        <v>202512030090</v>
      </c>
      <c r="B1612" t="inlineStr">
        <is>
          <t>Approved</t>
        </is>
      </c>
      <c r="C1612" t="inlineStr">
        <is>
          <t>Procurement Order</t>
        </is>
      </c>
      <c r="D1612" s="3">
        <v>45994.64696759259</v>
      </c>
      <c r="E1612" s="3">
        <v>45994.80700231482</v>
      </c>
      <c r="F1612" t="inlineStr">
        <is>
          <t>Fatima Kathleen M. FLores</t>
        </is>
      </c>
      <c r="G1612" t="inlineStr">
        <is>
          <t>Procurement</t>
        </is>
      </c>
      <c r="H1612"/>
      <c r="I1612"/>
      <c r="J1612" t="inlineStr">
        <is>
          <t>Project</t>
        </is>
      </c>
      <c r="K1612" t="inlineStr">
        <is>
          <t>GG - Event Service</t>
        </is>
      </c>
      <c r="L1612" t="inlineStr">
        <is>
          <t>KIC 2025 - Playoffs</t>
        </is>
      </c>
      <c r="M1612" t="inlineStr">
        <is>
          <t>2025TEG-P0321</t>
        </is>
      </c>
      <c r="N1612" t="inlineStr">
        <is>
          <t>Carla Andrea Calma Crespo</t>
        </is>
      </c>
      <c r="O1612" t="inlineStr">
        <is>
          <t>202511250061-Carla Andrea Calma Crespo-费用报销 - 副本 - 副本 - 副本-2025-11-25 06:02:46</t>
        </is>
      </c>
      <c r="P1612" t="inlineStr">
        <is>
          <t>YES</t>
        </is>
      </c>
      <c r="Q1612"/>
      <c r="R1612" t="inlineStr">
        <is>
          <t>YES</t>
        </is>
      </c>
      <c r="S1612" t="inlineStr">
        <is>
          <t>Outsourced HMUA (Media Day - Talents)</t>
        </is>
      </c>
      <c r="T1612">
        <v>1</v>
      </c>
      <c r="U1612">
        <v>54600</v>
      </c>
      <c r="V1612" t="inlineStr">
        <is>
          <t>PHP</t>
        </is>
      </c>
      <c r="W1612">
        <v>54600</v>
      </c>
      <c r="X1612" s="2" t="str">
        <f>=HYPERLINK("https://www.larksuite.com/approval/admin/previewAttachment?key=PMhBqsJAEATQK1V310x1_cv8TUIQoiAIwc2cXXDh9s0OzB5R06AjjVga8qiAspxOtnvlCslQqLz2x_HfHP2-nhv7tO7num7bsb9iWJlQkdUA4u_nJZL2JL6OTwAAAP__", "2 attachment(s)")</f>
        <v>2 attachment(s)</v>
      </c>
      <c r="Y1612" t="inlineStr">
        <is>
          <t>Bank Transfer</t>
        </is>
      </c>
      <c r="Z1612" t="inlineStr">
        <is>
          <t>Nico Rio Ong Rivera</t>
        </is>
      </c>
      <c r="AA1612" t="inlineStr">
        <is>
          <t>0646703869</t>
        </is>
      </c>
      <c r="AB1612" t="inlineStr">
        <is>
          <t>BPI</t>
        </is>
      </c>
      <c r="AC1612" t="inlineStr">
        <is>
          <t>312 Edang St. Pasay City</t>
        </is>
      </c>
      <c r="AD1612" s="4">
        <v>45985</v>
      </c>
      <c r="AE1612" t="inlineStr">
        <is>
          <t>1st Payment - Dec. 5, 2025
Final Payment - Dec. 12, 2025</t>
        </is>
      </c>
      <c r="AF1612" s="2"/>
      <c r="AG1612" t="inlineStr">
        <is>
          <t>NzQyNTk5MTgyNzQ4MTg3MDM0MToyNTUzQ0IzQi00NERELTRENDgtQTAyMC0wQUY3QzZFNUY5NTEtMTo1MWJlNzBiYTdmNzFkZDlhZDczMzQ0N2NmOWEyZjVlMDox</t>
        </is>
      </c>
      <c r="AH1612" t="inlineStr">
        <is>
          <t>Nico Rio Ong Rivera</t>
        </is>
      </c>
      <c r="AI1612"/>
      <c r="AJ1612" t="inlineStr">
        <is>
          <t>No line item in internal CE. Unbudgeted.</t>
        </is>
      </c>
      <c r="AK1612"/>
    </row>
    <row r="1613" ht="25.5" customHeight="1">
      <c r="A1613" s="2" t="str">
        <f>=HYPERLINK("https://applink.larksuite.com/client/mini_program/open?appId=cli_9c7cc8a9a9edd105&amp;mode=appCenter&amp;path_pc=pc/pages/requested/index?instanceId=7579527248592522975&amp;source=bitable&amp;path=pages/detail/index?instanceId=7579527248592522975&amp;source=bitable", "202512030075")</f>
        <v>202512030075</v>
      </c>
      <c r="B1613" t="inlineStr">
        <is>
          <t>Approved</t>
        </is>
      </c>
      <c r="C1613" t="inlineStr">
        <is>
          <t>Procurement Order</t>
        </is>
      </c>
      <c r="D1613" s="3">
        <v>45994.636666666665</v>
      </c>
      <c r="E1613" s="3">
        <v>45994.805185185185</v>
      </c>
      <c r="F1613" t="inlineStr">
        <is>
          <t>Fatima Kathleen M. FLores</t>
        </is>
      </c>
      <c r="G1613" t="inlineStr">
        <is>
          <t>Procurement</t>
        </is>
      </c>
      <c r="H1613"/>
      <c r="I1613"/>
      <c r="J1613" t="inlineStr">
        <is>
          <t>Project</t>
        </is>
      </c>
      <c r="K1613" t="inlineStr">
        <is>
          <t>GG - Event Service</t>
        </is>
      </c>
      <c r="L1613" t="inlineStr">
        <is>
          <t>KIC 2025 - Group Stage &amp; Knockouts</t>
        </is>
      </c>
      <c r="M1613" t="inlineStr">
        <is>
          <t>2025TEG-P0286</t>
        </is>
      </c>
      <c r="N1613" t="inlineStr">
        <is>
          <t>Carla Andrea Calma Crespo</t>
        </is>
      </c>
      <c r="O1613" t="inlineStr">
        <is>
          <t>202511120029-Carla Andrea Calma Crespo-费用报销 - 副本 - 副本 - 副本-2025-11-12 03:33:58</t>
        </is>
      </c>
      <c r="P1613" t="inlineStr">
        <is>
          <t>YES</t>
        </is>
      </c>
      <c r="Q1613"/>
      <c r="R1613" t="inlineStr">
        <is>
          <t>YES</t>
        </is>
      </c>
      <c r="S1613" t="inlineStr">
        <is>
          <t>Outsourced Logistics Associates (Egress)</t>
        </is>
      </c>
      <c r="T1613">
        <v>1</v>
      </c>
      <c r="U1613">
        <v>15000</v>
      </c>
      <c r="V1613" t="inlineStr">
        <is>
          <t>PHP</t>
        </is>
      </c>
      <c r="W1613">
        <v>15000</v>
      </c>
      <c r="X1613" s="2" t="str">
        <f>=HYPERLINK("https://www.larksuite.com/approval/admin/previewAttachment?key=PMgxDsJADATAL6199q2Xz9AkikAoNCjX-e1IFLQzyzArbUwhZC5YM6l0elTK013M9jZSoHGo9_O4L3u-cJ15Lly1vXs9tmP_WIru4IgYBcBufx-MCGkGfo5vAAAA__8", "2 attachment(s)")</f>
        <v>2 attachment(s)</v>
      </c>
      <c r="Y1613" t="inlineStr">
        <is>
          <t>Bank Transfer</t>
        </is>
      </c>
      <c r="Z1613" t="inlineStr">
        <is>
          <t>Nordan Burabo</t>
        </is>
      </c>
      <c r="AA1613" t="inlineStr">
        <is>
          <t>09636201512</t>
        </is>
      </c>
      <c r="AB1613" t="inlineStr">
        <is>
          <t>GCash</t>
        </is>
      </c>
      <c r="AC1613" t="inlineStr">
        <is>
          <t>Blk 1 Lot 23 Agoncillo St. Sta Lucia Novaliches, Quezon City</t>
        </is>
      </c>
      <c r="AD1613" s="4">
        <v>45984</v>
      </c>
      <c r="AE1613" t="inlineStr">
        <is>
          <t>100% Final Payment - Dec. 5, 2025</t>
        </is>
      </c>
      <c r="AF1613" s="2"/>
      <c r="AG1613" t="inlineStr">
        <is>
          <t>NzQyNTk5MTgyNzQ4MTg3MDM0MTpDNjc3NDk5RC1ERTlFLTREMDMtQUIyQi04MzMxQjEyNUU3NUEtMToyZDVmNzU0NzVkZGE3ZjE3NzVhMDUxMTRiZWQ3Y2VlYTox</t>
        </is>
      </c>
      <c r="AH1613" t="inlineStr">
        <is>
          <t>Nordan Burabo</t>
        </is>
      </c>
      <c r="AI1613"/>
      <c r="AJ1613" t="inlineStr">
        <is>
          <t>LIQUIDITY PLAN (PAR # 202510290062 / 2025TEG-P0286)
1108 CE KIC GS+KO TAB &gt; OPERATIONS TEAM &gt;
Logistics &gt; Runners (Egress)
Total Remaining Budget = Php 1,500.00
Actual Cost = Php 15,000.00
Balance = (Php 13,500.00) OVER BUDGET</t>
        </is>
      </c>
      <c r="AK1613"/>
    </row>
    <row r="1614" ht="25.5" customHeight="1">
      <c r="A1614" s="2" t="str">
        <f>=HYPERLINK("https://applink.larksuite.com/client/mini_program/open?appId=cli_9c7cc8a9a9edd105&amp;mode=appCenter&amp;path_pc=pc/pages/requested/index?instanceId=7579544669751693024&amp;source=bitable&amp;path=pages/detail/index?instanceId=7579544669751693024&amp;source=bitable", "202512030104")</f>
        <v>202512030104</v>
      </c>
      <c r="B1614" t="inlineStr">
        <is>
          <t>Approved</t>
        </is>
      </c>
      <c r="C1614" t="inlineStr">
        <is>
          <t>Procurement Order</t>
        </is>
      </c>
      <c r="D1614" s="3">
        <v>45994.68361111111</v>
      </c>
      <c r="E1614" s="3">
        <v>45994.795266203706</v>
      </c>
      <c r="F1614" t="inlineStr">
        <is>
          <t>Fatima Kathleen M. FLores</t>
        </is>
      </c>
      <c r="G1614" t="inlineStr">
        <is>
          <t>Procurement</t>
        </is>
      </c>
      <c r="H1614"/>
      <c r="I1614"/>
      <c r="J1614" t="inlineStr">
        <is>
          <t>Project</t>
        </is>
      </c>
      <c r="K1614" t="inlineStr">
        <is>
          <t>PDEI - Game Marketing</t>
        </is>
      </c>
      <c r="L1614" t="inlineStr">
        <is>
          <t>Globe x GG Truck: Project Kristine On Wheels (KOW)</t>
        </is>
      </c>
      <c r="M1614" t="inlineStr">
        <is>
          <t>2025TEG-P0287</t>
        </is>
      </c>
      <c r="N1614" t="inlineStr">
        <is>
          <t>Alessandra Mae Villanueva Boado</t>
        </is>
      </c>
      <c r="O1614" t="inlineStr">
        <is>
          <t>202511100014-Alessandra Mae Villanueva Boado-费用报销 - 副本 - 副本 - 副本-2025-11-10 02:44:15</t>
        </is>
      </c>
      <c r="P1614" t="inlineStr">
        <is>
          <t>NO</t>
        </is>
      </c>
      <c r="Q1614"/>
      <c r="R1614" t="inlineStr">
        <is>
          <t>NO</t>
        </is>
      </c>
      <c r="S1614" t="inlineStr">
        <is>
          <t>Globe Caravan x Truck Wrap ( RUSH )</t>
        </is>
      </c>
      <c r="T1614">
        <v>1</v>
      </c>
      <c r="U1614">
        <v>39600</v>
      </c>
      <c r="V1614" t="inlineStr">
        <is>
          <t>PHP</t>
        </is>
      </c>
      <c r="W1614">
        <v>39600</v>
      </c>
      <c r="X1614" s="2" t="str">
        <f>=HYPERLINK("https://www.larksuite.com/approval/admin/previewAttachment?key=PMhBikIxEATQK1WnK12pucxs_ARFhIDoX-Xsggu3r0agRo8sg45mxFaXO1ll9SgnGnfbIRkKpffxmP_Ic6yb5jpf9zVzv6-XeTyjW61BSeYAEH8_T5G0i_g6PgEAAP__", "2 attachment(s)")</f>
        <v>2 attachment(s)</v>
      </c>
      <c r="Y1614" t="inlineStr">
        <is>
          <t>Bank Transfer</t>
        </is>
      </c>
      <c r="Z1614" t="inlineStr">
        <is>
          <t>MaxPrecision Corporation</t>
        </is>
      </c>
      <c r="AA1614" t="inlineStr">
        <is>
          <t>4440117166</t>
        </is>
      </c>
      <c r="AB1614" t="inlineStr">
        <is>
          <t>BDO</t>
        </is>
      </c>
      <c r="AC1614" t="inlineStr">
        <is>
          <t>No. 5 Lt. Artiaga Street, Brgy Corazon De Jesus San Juan</t>
        </is>
      </c>
      <c r="AD1614" s="4">
        <v>45993</v>
      </c>
      <c r="AE1614" t="inlineStr">
        <is>
          <t>100% Full Payment - 30 days upon completion of services</t>
        </is>
      </c>
      <c r="AF1614" s="2"/>
      <c r="AG1614" t="inlineStr">
        <is>
          <t>NzQyNTk5MTgyNzQ4MTg3MDM0MTpEREY1MkFCMi1FN0VDLTRBOTQtOENDOS1DQjY5OTU1RTFFMzItMTozNWM3NWY1MTk0ZWRjOTMxOWQxNzg0OWQ0NzFmZjc4NTox</t>
        </is>
      </c>
      <c r="AH1614" t="inlineStr">
        <is>
          <t>MaxPrecision Corporation</t>
        </is>
      </c>
      <c r="AI1614"/>
      <c r="AJ1614" t="inlineStr">
        <is>
          <t>LIQUIDITY PLAN (PAR # 202511050059 / 2025TEG-P0287)
GG Truck &gt; Reskinning
Total Budget = Php 120,000.00
Actual Cost = Php 39,600.00
Balance = Php 80,400.00</t>
        </is>
      </c>
      <c r="AK1614"/>
    </row>
    <row r="1615" ht="25.5" customHeight="1">
      <c r="A1615" s="2" t="str">
        <f>=HYPERLINK("https://applink.larksuite.com/client/mini_program/open?appId=cli_9c7cc8a9a9edd105&amp;mode=appCenter&amp;path_pc=pc/pages/requested/index?instanceId=7579554085280452320&amp;source=bitable&amp;path=pages/detail/index?instanceId=7579554085280452320&amp;source=bitable", "202512030114")</f>
        <v>202512030114</v>
      </c>
      <c r="B1615" t="inlineStr">
        <is>
          <t>Approved</t>
        </is>
      </c>
      <c r="C1615" t="inlineStr">
        <is>
          <t>Procurement Order</t>
        </is>
      </c>
      <c r="D1615" s="3">
        <v>45994.70898148148</v>
      </c>
      <c r="E1615" s="3">
        <v>45994.825694444444</v>
      </c>
      <c r="F1615" t="inlineStr">
        <is>
          <t>Fatima Kathleen M. FLores</t>
        </is>
      </c>
      <c r="G1615" t="inlineStr">
        <is>
          <t>Procurement</t>
        </is>
      </c>
      <c r="H1615"/>
      <c r="I1615"/>
      <c r="J1615" t="inlineStr">
        <is>
          <t>GAE</t>
        </is>
      </c>
      <c r="K1615"/>
      <c r="L1615"/>
      <c r="M1615"/>
      <c r="N1615"/>
      <c r="O1615" t="inlineStr">
        <is>
          <t>202511070010-Madelyn Espanto-费用报销 - 副本 - 副本 - 副本-2025-11-07 02:02:43</t>
        </is>
      </c>
      <c r="P1615"/>
      <c r="Q1615" t="inlineStr">
        <is>
          <t>Mineski PH</t>
        </is>
      </c>
      <c r="R1615"/>
      <c r="S1615" t="inlineStr">
        <is>
          <t>Lechon Baka in a Box (Fiestachon)</t>
        </is>
      </c>
      <c r="T1615">
        <v>6</v>
      </c>
      <c r="U1615">
        <v>3110</v>
      </c>
      <c r="V1615" t="inlineStr">
        <is>
          <t>PHP</t>
        </is>
      </c>
      <c r="W1615">
        <v>18660</v>
      </c>
      <c r="X1615" s="2" t="str">
        <f>=HYPERLINK("https://www.larksuite.com/approval/admin/previewAttachment?key=PMg7DsJADATQK41_aw-XoSGKCFIqtAuNz45EkfaNEowKsUE4RQnpjGSEo0ILHmqK1pZMIiWNvZ37XdenXnGcMY-a89vr-di3twRTFWnuVgDkdrmlu5PD8Xf8AgAA__8", "3 attachment(s)")</f>
        <v>3 attachment(s)</v>
      </c>
      <c r="Y1615" t="inlineStr">
        <is>
          <t>Bank Transfer</t>
        </is>
      </c>
      <c r="Z1615" t="inlineStr">
        <is>
          <t>Jay S. Icawat</t>
        </is>
      </c>
      <c r="AA1615" t="inlineStr">
        <is>
          <t>1289451508</t>
        </is>
      </c>
      <c r="AB1615" t="inlineStr">
        <is>
          <t>BPI</t>
        </is>
      </c>
      <c r="AC1615" t="inlineStr">
        <is>
          <t>2057 Ge. Luna St., South Cembo, Taguig City</t>
        </is>
      </c>
      <c r="AD1615" s="4">
        <v>46009</v>
      </c>
      <c r="AE1615" t="inlineStr">
        <is>
          <t>100% Full Payment before delivery</t>
        </is>
      </c>
      <c r="AF1615" s="2" t="str">
        <f>=HYPERLINK("https://www.larksuite.com/approval/admin/previewAttachment?key=TMg7qsJgEAXgLZ0z77mbuY0hGCGV_NFm1i5Y2X5RRJRTo2FNaXDSs90N5VIwFxWMDDMbydSe7dz_5XrVw4_T11Frvee63_btySgNWLsZGwD_fpxEl4Z-HZ8AAAD__w", "1 attachment(s)")</f>
        <v>1 attachment(s)</v>
      </c>
      <c r="AG1615" t="inlineStr">
        <is>
          <t>NzQyNTk5MTgyNzQ4MTg3MDM0MTpCMUYwNzBEMi04MjBGLTQ4QzYtQjI3My00RTY5MDRFQ0IxNkYtMTo0ZDgzNDlmNWVjZmY3YmU4NDYwNWMzZWYyMTZlODI3NDox</t>
        </is>
      </c>
      <c r="AH1615" t="inlineStr">
        <is>
          <t>Borzoi's Lechon Baka Food Services</t>
        </is>
      </c>
      <c r="AI1615"/>
      <c r="AJ1615"/>
      <c r="AK1615"/>
    </row>
    <row r="1616" ht="25.5" customHeight="1">
      <c r="A1616" s="2" t="str">
        <f>=HYPERLINK("https://applink.larksuite.com/client/mini_program/open?appId=cli_9c7cc8a9a9edd105&amp;mode=appCenter&amp;path_pc=pc/pages/requested/index?instanceId=7579490010911477467&amp;source=bitable&amp;path=pages/detail/index?instanceId=7579490010911477467&amp;source=bitable", "202512030028")</f>
        <v>202512030028</v>
      </c>
      <c r="B1616" t="inlineStr">
        <is>
          <t>Approved</t>
        </is>
      </c>
      <c r="C1616" t="inlineStr">
        <is>
          <t>Procurement Order</t>
        </is>
      </c>
      <c r="D1616" s="3">
        <v>45994.536307870374</v>
      </c>
      <c r="E1616" s="3">
        <v>45996.40791666666</v>
      </c>
      <c r="F1616" t="inlineStr">
        <is>
          <t>Fatima Kathleen M. FLores</t>
        </is>
      </c>
      <c r="G1616" t="inlineStr">
        <is>
          <t>Procurement</t>
        </is>
      </c>
      <c r="H1616"/>
      <c r="I1616"/>
      <c r="J1616" t="inlineStr">
        <is>
          <t>Project</t>
        </is>
      </c>
      <c r="K1616" t="inlineStr">
        <is>
          <t>GG - Event Service</t>
        </is>
      </c>
      <c r="L1616" t="inlineStr">
        <is>
          <t>KIC 2025 - Group Stage &amp; Knockouts</t>
        </is>
      </c>
      <c r="M1616" t="inlineStr">
        <is>
          <t>2025TEG-P0286</t>
        </is>
      </c>
      <c r="N1616" t="inlineStr">
        <is>
          <t>Frances Angelita Arreglado</t>
        </is>
      </c>
      <c r="O1616" t="inlineStr">
        <is>
          <t>202511120029-Carla Andrea Calma Crespo-费用报销 - 副本 - 副本 - 副本-2025-11-12 03:33:58</t>
        </is>
      </c>
      <c r="P1616" t="inlineStr">
        <is>
          <t>YES</t>
        </is>
      </c>
      <c r="Q1616"/>
      <c r="R1616" t="inlineStr">
        <is>
          <t>YES</t>
        </is>
      </c>
      <c r="S1616" t="inlineStr">
        <is>
          <t>Outsourced Logistics Associates (Egress)</t>
        </is>
      </c>
      <c r="T1616">
        <v>1</v>
      </c>
      <c r="U1616">
        <v>3000</v>
      </c>
      <c r="V1616" t="inlineStr">
        <is>
          <t>PHP</t>
        </is>
      </c>
      <c r="W1616">
        <v>3000</v>
      </c>
      <c r="X1616" s="2" t="str">
        <f>=HYPERLINK("https://www.larksuite.com/approval/admin/previewAttachment?key=PMgxrsIwGAPgK9n53Th-l3kLVUUrYEGiLDk7EgPr1wfRx8LqgcIWcHpxFIAIKVvds03agenKXO_b_6n9cTvq3DGO99Hm63rZ1ieXuDW4pBoA-PfzsqSkC1_HJwAA__8", "2 attachment(s)")</f>
        <v>2 attachment(s)</v>
      </c>
      <c r="Y1616" t="inlineStr">
        <is>
          <t>Bank Transfer</t>
        </is>
      </c>
      <c r="Z1616" t="inlineStr">
        <is>
          <t>Rizel John Obong</t>
        </is>
      </c>
      <c r="AA1616" t="inlineStr">
        <is>
          <t>09709731174</t>
        </is>
      </c>
      <c r="AB1616" t="inlineStr">
        <is>
          <t>GCash</t>
        </is>
      </c>
      <c r="AC1616" t="inlineStr">
        <is>
          <t>Blk 1j Lot 31 Phase 3 E-1 Dagat Dagatan Caloocan City</t>
        </is>
      </c>
      <c r="AD1616" s="4">
        <v>45984</v>
      </c>
      <c r="AE1616" t="inlineStr">
        <is>
          <t>100% Full Payment - Dec. 5, 2025</t>
        </is>
      </c>
      <c r="AF1616" s="2"/>
      <c r="AG1616" t="inlineStr">
        <is>
          <t>NzQyNTk5MTgyNzQ4MTg3MDM0MTpGMkU2OTg1NS1BNURFLTQ4NjYtQjZGOC02ODk5MzU5NjIyOUMtMTpjODUwMThlYTgxYmY5NzZkZWYzYTliMGJiMzUwZjVkYjox</t>
        </is>
      </c>
      <c r="AH1616" t="inlineStr">
        <is>
          <t>Rizel John Obong</t>
        </is>
      </c>
      <c r="AI1616"/>
      <c r="AJ1616" t="inlineStr">
        <is>
          <t>LIQUIDITY PLAN (PAR # 202510290062 / 2025TEG-P0286)
1108 CE KIC GS+KO TAB &gt; OPERATIONS TEAM &gt;
Logistics &gt; Runners (Egress)
Total Remaining Budget = (Php 13,500.00) NEGATIVE
Actual Cost = Php 3,000.00
Balance = (Php 16,500.00) OVER BUDGET</t>
        </is>
      </c>
      <c r="AK1616"/>
    </row>
    <row r="1617" ht="25.5" customHeight="1">
      <c r="A1617" s="2" t="str">
        <f>=HYPERLINK("https://applink.larksuite.com/client/mini_program/open?appId=cli_9c7cc8a9a9edd105&amp;mode=appCenter&amp;path_pc=pc/pages/requested/index?instanceId=7579172809969864415&amp;source=bitable&amp;path=pages/detail/index?instanceId=7579172809969864415&amp;source=bitable", "202512020067")</f>
        <v>202512020067</v>
      </c>
      <c r="B1617" t="inlineStr">
        <is>
          <t>Approved</t>
        </is>
      </c>
      <c r="C1617" t="inlineStr">
        <is>
          <t>Procurement Order</t>
        </is>
      </c>
      <c r="D1617" s="3">
        <v>45993.6815162037</v>
      </c>
      <c r="E1617" s="3">
        <v>45995.66923611111</v>
      </c>
      <c r="F1617" t="inlineStr">
        <is>
          <t>Fatima Kathleen M. FLores</t>
        </is>
      </c>
      <c r="G1617" t="inlineStr">
        <is>
          <t>Procurement</t>
        </is>
      </c>
      <c r="H1617"/>
      <c r="I1617"/>
      <c r="J1617" t="inlineStr">
        <is>
          <t>Project</t>
        </is>
      </c>
      <c r="K1617" t="inlineStr">
        <is>
          <t>GG - Event Service</t>
        </is>
      </c>
      <c r="L1617" t="inlineStr">
        <is>
          <t>HOK Philippine Kings League - Fall Season</t>
        </is>
      </c>
      <c r="M1617" t="inlineStr">
        <is>
          <t>2025TEG-P0219</t>
        </is>
      </c>
      <c r="N1617" t="inlineStr">
        <is>
          <t>Reign Santos Fortea</t>
        </is>
      </c>
      <c r="O1617" t="inlineStr">
        <is>
          <t>202511280025-Reign Santos Fortea-费用报销 - 副本 - 副本 - 副本-2025-11-28 04:31:51</t>
        </is>
      </c>
      <c r="P1617" t="inlineStr">
        <is>
          <t>YES</t>
        </is>
      </c>
      <c r="Q1617"/>
      <c r="R1617" t="inlineStr">
        <is>
          <t>YES</t>
        </is>
      </c>
      <c r="S1617" t="inlineStr">
        <is>
          <t>Players / Team Allowance (WeTrend Esports)</t>
        </is>
      </c>
      <c r="T1617">
        <v>1</v>
      </c>
      <c r="U1617">
        <v>22400</v>
      </c>
      <c r="V1617" t="inlineStr">
        <is>
          <t>PHP</t>
        </is>
      </c>
      <c r="W1617">
        <v>22400</v>
      </c>
      <c r="X1617" s="2" t="str">
        <f>=HYPERLINK("https://www.larksuite.com/approval/admin/previewAttachment?key=PMhBCsJQDATQK80k-UnGy7ixFNuiCKLg4p9dcOH2ZRPZg55CiCZw1iixrCGlOiM4pk1WCcVyzeW2nl-fbb9zt2Ppx3b4fF8v6_LkUJmhPMIbAE9_94oIKQM_xzcAAP__", "2 attachment(s)")</f>
        <v>2 attachment(s)</v>
      </c>
      <c r="Y1617" t="inlineStr">
        <is>
          <t>Bank Transfer</t>
        </is>
      </c>
      <c r="Z1617" t="inlineStr">
        <is>
          <t>Jennilyn Cathriz Suy Ching</t>
        </is>
      </c>
      <c r="AA1617" t="inlineStr">
        <is>
          <t>1096 7508 8264</t>
        </is>
      </c>
      <c r="AB1617" t="inlineStr">
        <is>
          <t>Unionbank</t>
        </is>
      </c>
      <c r="AC1617" t="inlineStr">
        <is>
          <t>28B Wacat St Laloma Quezon City</t>
        </is>
      </c>
      <c r="AD1617" s="4">
        <v>45919</v>
      </c>
      <c r="AE1617" t="inlineStr">
        <is>
          <t>100% Full Payment - Dec. 5, 2025</t>
        </is>
      </c>
      <c r="AF1617" s="2"/>
      <c r="AG1617" t="inlineStr">
        <is>
          <t>NzQyNTk5MTgyNzQ4MTg3MDM0MTo0NThERDM0NS01MkY0LTRFOTItQkVFMi05NDRBOTYzNDNCRTgtMTplMDFmNDI2NzFmMTU1NjYxZGVlODQ2ZGJhMWU5NmJhODox</t>
        </is>
      </c>
      <c r="AH1617" t="inlineStr">
        <is>
          <t>Jennilyn Cathriz Suy Ching</t>
        </is>
      </c>
      <c r="AI1617"/>
      <c r="AJ1617" t="inlineStr">
        <is>
          <t>LIQUIDITY PLAN (PAR # 202508190134 / 2025TEG-P0219)
INTERNAL 0820 COST ESTIMATE &gt; REGULAR SEASON &gt;
Prizes &amp; Incentives &gt; PLAYER TRANSPORTATION ALLOWANCE &gt;
Week 4
Week 5
Week 6
Week 7
Total Remaining Budget = Php 7,600.00
Actual Cost = Php 22,400.00
Balance = (Php 14,800.00) OVER BUDGET</t>
        </is>
      </c>
      <c r="AK1617"/>
    </row>
    <row r="1618" ht="25.5" customHeight="1">
      <c r="A1618" s="2" t="str">
        <f>=HYPERLINK("https://applink.larksuite.com/client/mini_program/open?appId=cli_9c7cc8a9a9edd105&amp;mode=appCenter&amp;path_pc=pc/pages/requested/index?instanceId=7579173708393156322&amp;source=bitable&amp;path=pages/detail/index?instanceId=7579173708393156322&amp;source=bitable", "202512020069")</f>
        <v>202512020069</v>
      </c>
      <c r="B1618" t="inlineStr">
        <is>
          <t>Approved</t>
        </is>
      </c>
      <c r="C1618" t="inlineStr">
        <is>
          <t>Procurement Order</t>
        </is>
      </c>
      <c r="D1618" s="3">
        <v>45993.68394675926</v>
      </c>
      <c r="E1618" s="3">
        <v>46003.831342592595</v>
      </c>
      <c r="F1618" t="inlineStr">
        <is>
          <t>Fatima Kathleen M. FLores</t>
        </is>
      </c>
      <c r="G1618" t="inlineStr">
        <is>
          <t>Procurement</t>
        </is>
      </c>
      <c r="H1618"/>
      <c r="I1618"/>
      <c r="J1618" t="inlineStr">
        <is>
          <t>Project</t>
        </is>
      </c>
      <c r="K1618" t="inlineStr">
        <is>
          <t>GG - Event Service</t>
        </is>
      </c>
      <c r="L1618" t="inlineStr">
        <is>
          <t>HOK Philippine Kings League - Fall Season</t>
        </is>
      </c>
      <c r="M1618" t="inlineStr">
        <is>
          <t>2025TEG-P0219</t>
        </is>
      </c>
      <c r="N1618" t="inlineStr">
        <is>
          <t>Reign Santos Fortea</t>
        </is>
      </c>
      <c r="O1618" t="inlineStr">
        <is>
          <t>202511280025-Reign Santos Fortea-费用报销 - 副本 - 副本 - 副本-2025-11-28 04:31:51</t>
        </is>
      </c>
      <c r="P1618" t="inlineStr">
        <is>
          <t>YES</t>
        </is>
      </c>
      <c r="Q1618"/>
      <c r="R1618" t="inlineStr">
        <is>
          <t>YES</t>
        </is>
      </c>
      <c r="S1618" t="inlineStr">
        <is>
          <t>Players / Team Allowance (ACT Esports Club)</t>
        </is>
      </c>
      <c r="T1618">
        <v>1</v>
      </c>
      <c r="U1618">
        <v>28000</v>
      </c>
      <c r="V1618" t="inlineStr">
        <is>
          <t>PHP</t>
        </is>
      </c>
      <c r="W1618">
        <v>28000</v>
      </c>
      <c r="X1618" s="2" t="str">
        <f>=HYPERLINK("https://www.larksuite.com/approval/admin/previewAttachment?key=PMg9CgIxFATgK837SSbjZWyyBF1cEQS1eWcXLGy_Pgx9NIsupMwFKzbKGMQIhbUe7uVlpEBjqLZjnffj_llvn7f5uM7c63WZa3taE93ByIwBwE5_D2am1BM_xzcAAP__", "2 attachment(s)")</f>
        <v>2 attachment(s)</v>
      </c>
      <c r="Y1618" t="inlineStr">
        <is>
          <t>Bank Transfer</t>
        </is>
      </c>
      <c r="Z1618" t="inlineStr">
        <is>
          <t>Renzel Ayuban</t>
        </is>
      </c>
      <c r="AA1618" t="inlineStr">
        <is>
          <t>09676016274</t>
        </is>
      </c>
      <c r="AB1618" t="inlineStr">
        <is>
          <t>GCash</t>
        </is>
      </c>
      <c r="AC1618" t="inlineStr">
        <is>
          <t>Unit P1H Kingwoods Condominium, Vito Cruz Extension, La Paz, Makati city,</t>
        </is>
      </c>
      <c r="AD1618" s="4">
        <v>45920</v>
      </c>
      <c r="AE1618" t="inlineStr">
        <is>
          <t>100% Full Payment - Dec. 5, 2025</t>
        </is>
      </c>
      <c r="AF1618" s="2"/>
      <c r="AG1618" t="inlineStr">
        <is>
          <t>NzQyNTk5MTgyNzQ4MTg3MDM0MTo1NUNFNDA3Ri05OUNCLTQ5ODAtOERGQS00NDNDNzg5ODcwNTUtMTo0MjNjMGU1MjUyZGY5NWE5N2Y4ZmU0YzJlM2VlMGMzNTox</t>
        </is>
      </c>
      <c r="AH1618" t="inlineStr">
        <is>
          <t>Renzel Ayuban</t>
        </is>
      </c>
      <c r="AI1618"/>
      <c r="AJ1618" t="inlineStr">
        <is>
          <t>LIQUIDITY PLAN (PAR # 202508190134 / 2025TEG-P0219)
INTERNAL 0820 COST ESTIMATE &gt; REGULAR SEASON &gt;
Prizes &amp; Incentives &gt; PLAYER TRANSPORTATION ALLOWANCE &gt;
Week 4
Week 5
Week 6
Week 7
Total Remaining Budget = (Php 14,800.00) NEGATIVE
Actual Cost = Php 28,000.00
Balance = (Php 42,800.00) OVER BUDGET</t>
        </is>
      </c>
      <c r="AK1618"/>
    </row>
    <row r="1619" ht="25.5" customHeight="1">
      <c r="A1619" s="2" t="str">
        <f>=HYPERLINK("https://applink.larksuite.com/client/mini_program/open?appId=cli_9c7cc8a9a9edd105&amp;mode=appCenter&amp;path_pc=pc/pages/requested/index?instanceId=7579942840290004702&amp;source=bitable&amp;path=pages/detail/index?instanceId=7579942840290004702&amp;source=bitable", "202512040119")</f>
        <v>202512040119</v>
      </c>
      <c r="B1619" t="inlineStr">
        <is>
          <t>Approved</t>
        </is>
      </c>
      <c r="C1619" t="inlineStr">
        <is>
          <t>Procurement Order</t>
        </is>
      </c>
      <c r="D1619" s="3">
        <v>45995.75659722222</v>
      </c>
      <c r="E1619" s="3">
        <v>45996.81783564815</v>
      </c>
      <c r="F1619" t="inlineStr">
        <is>
          <t>Fatima Kathleen M. FLores</t>
        </is>
      </c>
      <c r="G1619" t="inlineStr">
        <is>
          <t>Procurement</t>
        </is>
      </c>
      <c r="H1619"/>
      <c r="I1619"/>
      <c r="J1619" t="inlineStr">
        <is>
          <t>Project</t>
        </is>
      </c>
      <c r="K1619" t="inlineStr">
        <is>
          <t>GG - Event Service</t>
        </is>
      </c>
      <c r="L1619" t="inlineStr">
        <is>
          <t>KIC 2025 - Carnival [Playoffs]</t>
        </is>
      </c>
      <c r="M1619" t="inlineStr">
        <is>
          <t>2025TEG-P0316</t>
        </is>
      </c>
      <c r="N1619" t="inlineStr">
        <is>
          <t>Maura Aurel Atilano Yap</t>
        </is>
      </c>
      <c r="O1619" t="inlineStr">
        <is>
          <t>202511200090-Maura Aurel Atilano Yap-费用报销 - 副本 - 副本 - 副本-2025-11-20 08:23:00</t>
        </is>
      </c>
      <c r="P1619" t="inlineStr">
        <is>
          <t>YES</t>
        </is>
      </c>
      <c r="Q1619"/>
      <c r="R1619" t="inlineStr">
        <is>
          <t>NO</t>
        </is>
      </c>
      <c r="S1619" t="inlineStr">
        <is>
          <t>Outsourced Talent / Cosplayer</t>
        </is>
      </c>
      <c r="T1619">
        <v>1</v>
      </c>
      <c r="U1619">
        <v>24000</v>
      </c>
      <c r="V1619" t="inlineStr">
        <is>
          <t>PHP</t>
        </is>
      </c>
      <c r="W1619">
        <v>24000</v>
      </c>
      <c r="X1619" s="2" t="str">
        <f>=HYPERLINK("https://www.larksuite.com/approval/admin/previewAttachment?key=PMixDUIxEAPQlXx3ThyzDA1RRAE0CD5NZkeioH19BPpoUd2gI43YarKZg0gDoJA7d0iGQsSe93UOHeMxebzWutWn9vt6WfMZzcqEiqwBIE5_L5G0O_FzfAMAAP__", "2 attachment(s)")</f>
        <v>2 attachment(s)</v>
      </c>
      <c r="Y1619" t="inlineStr">
        <is>
          <t>Bank Transfer</t>
        </is>
      </c>
      <c r="Z1619" t="inlineStr">
        <is>
          <t>Indira Krista C. Zamuco</t>
        </is>
      </c>
      <c r="AA1619" t="inlineStr">
        <is>
          <t>09270423644</t>
        </is>
      </c>
      <c r="AB1619" t="inlineStr">
        <is>
          <t>GCash</t>
        </is>
      </c>
      <c r="AC1619" t="inlineStr">
        <is>
          <t>10 Southlane St., Jem 2 Homes, Pasong Tamo, QC</t>
        </is>
      </c>
      <c r="AD1619" s="4">
        <v>45989</v>
      </c>
      <c r="AE1619" t="inlineStr">
        <is>
          <t>100% Full Payment - Dec. 19, 2025</t>
        </is>
      </c>
      <c r="AF1619" s="2"/>
      <c r="AG1619" t="inlineStr">
        <is>
          <t>NzQyNTk5MTgyNzQ4MTg3MDM0MTo4NzJERDlFRC1GN0U0LTRFQ0YtQkQ4Ny05QURCQTdCRDY0N0YtMTo2YmI1ZmJhNjA5OTg0Y2NmYWE3OTJkN2U1Nzc1MjBlNzox</t>
        </is>
      </c>
      <c r="AH1619" t="inlineStr">
        <is>
          <t>Indira Krista C. Zamuco</t>
        </is>
      </c>
      <c r="AI1619"/>
      <c r="AJ1619" t="inlineStr">
        <is>
          <t>LIQUIDITY PLAN (PAR # 202511190039 / 2025TEG-P0316)
MANPOWER &gt; GRAND FINALS &gt;
Dolia Cosplayer (7 hrs)
Total Budget = Php 24,000.00
Actual Cost = Php 24,000.00</t>
        </is>
      </c>
      <c r="AK1619"/>
    </row>
    <row r="1620" ht="25.5" customHeight="1">
      <c r="A1620" s="2" t="str">
        <f>=HYPERLINK("https://applink.larksuite.com/client/mini_program/open?appId=cli_9c7cc8a9a9edd105&amp;mode=appCenter&amp;path_pc=pc/pages/requested/index?instanceId=7579944951618752226&amp;source=bitable&amp;path=pages/detail/index?instanceId=7579944951618752226&amp;source=bitable", "202512040123")</f>
        <v>202512040123</v>
      </c>
      <c r="B1620" t="inlineStr">
        <is>
          <t>Approved</t>
        </is>
      </c>
      <c r="C1620" t="inlineStr">
        <is>
          <t>Procurement Order</t>
        </is>
      </c>
      <c r="D1620" s="3">
        <v>45995.762291666666</v>
      </c>
      <c r="E1620" s="3">
        <v>45996.81731481481</v>
      </c>
      <c r="F1620" t="inlineStr">
        <is>
          <t>Fatima Kathleen M. FLores</t>
        </is>
      </c>
      <c r="G1620" t="inlineStr">
        <is>
          <t>Procurement</t>
        </is>
      </c>
      <c r="H1620"/>
      <c r="I1620"/>
      <c r="J1620" t="inlineStr">
        <is>
          <t>Project</t>
        </is>
      </c>
      <c r="K1620" t="inlineStr">
        <is>
          <t>GG - Event Service</t>
        </is>
      </c>
      <c r="L1620" t="inlineStr">
        <is>
          <t>KIC 2025 - Carnival [Playoffs]</t>
        </is>
      </c>
      <c r="M1620" t="inlineStr">
        <is>
          <t>2025TEG-P0316</t>
        </is>
      </c>
      <c r="N1620" t="inlineStr">
        <is>
          <t>Maura Aurel Atilano Yap</t>
        </is>
      </c>
      <c r="O1620" t="inlineStr">
        <is>
          <t>202511200090-Maura Aurel Atilano Yap-费用报销 - 副本 - 副本 - 副本-2025-11-20 08:23:00</t>
        </is>
      </c>
      <c r="P1620" t="inlineStr">
        <is>
          <t>YES</t>
        </is>
      </c>
      <c r="Q1620"/>
      <c r="R1620" t="inlineStr">
        <is>
          <t>NO</t>
        </is>
      </c>
      <c r="S1620" t="inlineStr">
        <is>
          <t>Outsourced Talent / Cosplayer</t>
        </is>
      </c>
      <c r="T1620">
        <v>1</v>
      </c>
      <c r="U1620">
        <v>24000</v>
      </c>
      <c r="V1620" t="inlineStr">
        <is>
          <t>PHP</t>
        </is>
      </c>
      <c r="W1620">
        <v>24000</v>
      </c>
      <c r="X1620" s="2" t="str">
        <f>=HYPERLINK("https://www.larksuite.com/approval/admin/previewAttachment?key=PMgxCsJAFATQK83_O_tnx8vYJASVKIIQbfbsgoXtqxGo0aOVQUcaMdVlk-5RMdQzs2bOkAyFiLnet_P18G15b_nh7v3xnMdl2dZXdCsTamQbAOL09yaSdhE_xzcAAP__", "2 attachment(s)")</f>
        <v>2 attachment(s)</v>
      </c>
      <c r="Y1620" t="inlineStr">
        <is>
          <t>Bank Transfer</t>
        </is>
      </c>
      <c r="Z1620" t="inlineStr">
        <is>
          <t>Erika Bautista</t>
        </is>
      </c>
      <c r="AA1620" t="inlineStr">
        <is>
          <t>09294516154</t>
        </is>
      </c>
      <c r="AB1620" t="inlineStr">
        <is>
          <t>GCash</t>
        </is>
      </c>
      <c r="AC1620" t="inlineStr">
        <is>
          <t>11 13th ave Cubao, Quezon City</t>
        </is>
      </c>
      <c r="AD1620" s="4">
        <v>45989</v>
      </c>
      <c r="AE1620" t="inlineStr">
        <is>
          <t>100% Full Payment - Dec. 19, 2025</t>
        </is>
      </c>
      <c r="AF1620" s="2"/>
      <c r="AG1620" t="inlineStr">
        <is>
          <t>NzQyNTk5MTgyNzQ4MTg3MDM0MTo4NzdBREQ3OC0zRENELTRBNTMtOTYwRC1GRDQ3RDE4RDkyNTEtMToxMDVjODY5NzIxMjMzYjI2ZGM2NTVmZDZjYjdlMjYzNDox</t>
        </is>
      </c>
      <c r="AH1620" t="inlineStr">
        <is>
          <t>Erika Bautista</t>
        </is>
      </c>
      <c r="AI1620"/>
      <c r="AJ1620" t="inlineStr">
        <is>
          <t>LIQUIDITY PLAN (PAR # 202511190039 / 2025TEG-P0316)
MANPOWER &gt; GRAND FINALS &gt;
Luban Cosplayer (8 hrs)
Total Budget = Php 30,000.00
Actual Cost = Php 24,000.00
Balance = Php 6,000.00</t>
        </is>
      </c>
      <c r="AK1620"/>
    </row>
    <row r="1621" ht="25.5" customHeight="1">
      <c r="A1621" s="2" t="str">
        <f>=HYPERLINK("https://applink.larksuite.com/client/mini_program/open?appId=cli_9c7cc8a9a9edd105&amp;mode=appCenter&amp;path_pc=pc/pages/requested/index?instanceId=7579945936382693085&amp;source=bitable&amp;path=pages/detail/index?instanceId=7579945936382693085&amp;source=bitable", "202512040124")</f>
        <v>202512040124</v>
      </c>
      <c r="B1621" t="inlineStr">
        <is>
          <t>Approved</t>
        </is>
      </c>
      <c r="C1621" t="inlineStr">
        <is>
          <t>Procurement Order</t>
        </is>
      </c>
      <c r="D1621" s="3">
        <v>45995.76494212963</v>
      </c>
      <c r="E1621" s="3">
        <v>45996.81674768519</v>
      </c>
      <c r="F1621" t="inlineStr">
        <is>
          <t>Fatima Kathleen M. FLores</t>
        </is>
      </c>
      <c r="G1621" t="inlineStr">
        <is>
          <t>Procurement</t>
        </is>
      </c>
      <c r="H1621"/>
      <c r="I1621"/>
      <c r="J1621" t="inlineStr">
        <is>
          <t>Project</t>
        </is>
      </c>
      <c r="K1621" t="inlineStr">
        <is>
          <t>GG - Event Service</t>
        </is>
      </c>
      <c r="L1621" t="inlineStr">
        <is>
          <t>KIC 2025 - Carnival [Playoffs]</t>
        </is>
      </c>
      <c r="M1621" t="inlineStr">
        <is>
          <t>2025TEG-P0316</t>
        </is>
      </c>
      <c r="N1621" t="inlineStr">
        <is>
          <t>Maura Aurel Atilano Yap</t>
        </is>
      </c>
      <c r="O1621" t="inlineStr">
        <is>
          <t>202511200090-Maura Aurel Atilano Yap-费用报销 - 副本 - 副本 - 副本-2025-11-20 08:23:00</t>
        </is>
      </c>
      <c r="P1621" t="inlineStr">
        <is>
          <t>YES</t>
        </is>
      </c>
      <c r="Q1621"/>
      <c r="R1621" t="inlineStr">
        <is>
          <t>NO</t>
        </is>
      </c>
      <c r="S1621" t="inlineStr">
        <is>
          <t>Outsourced Talent / Cosplayer</t>
        </is>
      </c>
      <c r="T1621">
        <v>1</v>
      </c>
      <c r="U1621">
        <v>27888.89</v>
      </c>
      <c r="V1621" t="inlineStr">
        <is>
          <t>PHP</t>
        </is>
      </c>
      <c r="W1621">
        <v>27888.89</v>
      </c>
      <c r="X1621" s="2" t="str">
        <f>=HYPERLINK("https://www.larksuite.com/approval/admin/previewAttachment?key=PMg7ioJBEATgK1W_u_Yymzj8KKiJjGLQZxcMTL9sQXaIJeEUJWQqivSgpbUmDR2jI1VESTlm3Y7__b50qN6vtl97xTzPp2M9JFiqKHO3BiB_P7dydzIdX8cnAAD__w", "2 attachment(s)")</f>
        <v>2 attachment(s)</v>
      </c>
      <c r="Y1621" t="inlineStr">
        <is>
          <t>Bank Transfer</t>
        </is>
      </c>
      <c r="Z1621" t="inlineStr">
        <is>
          <t>Benjie David</t>
        </is>
      </c>
      <c r="AA1621" t="inlineStr">
        <is>
          <t>09061774480</t>
        </is>
      </c>
      <c r="AB1621" t="inlineStr">
        <is>
          <t>GCash</t>
        </is>
      </c>
      <c r="AC1621" t="inlineStr">
        <is>
          <t>Blk 68 Lot 20 Fiesta Communities Sabanilla Mexico, Pampanga</t>
        </is>
      </c>
      <c r="AD1621" s="4">
        <v>45989</v>
      </c>
      <c r="AE1621" t="inlineStr">
        <is>
          <t>100% Full Payment - Dec. 19, 2025</t>
        </is>
      </c>
      <c r="AF1621" s="2"/>
      <c r="AG1621" t="inlineStr">
        <is>
          <t>NzQyNTk5MTgyNzQ4MTg3MDM0MTo4NjZBNDY0OS1CNENDLTRDNUYtOThCNy01RkMxNkVCRjM2MDEtMTpmMjBkMDk4Y2IwMjgxYjQzYTYxNGNhM2JjMDRlYjE2MDox</t>
        </is>
      </c>
      <c r="AH1621" t="inlineStr">
        <is>
          <t>Benjie David</t>
        </is>
      </c>
      <c r="AI1621"/>
      <c r="AJ1621" t="inlineStr">
        <is>
          <t>LIQUIDITY PLAN (PAR # 202511190039 / 2025TEG-P0316)
MANPOWER &gt; GRAND FINALS &gt;
Color Game Booth &gt; Yixin Cosplayer (8 hrs)
Total Budget = Php 30,000.00
Actual Cost = Php 27,888.89
Balance = Php 2,111.11</t>
        </is>
      </c>
      <c r="AK1621"/>
    </row>
    <row r="1622" ht="25.5" customHeight="1">
      <c r="A1622" s="2" t="str">
        <f>=HYPERLINK("https://applink.larksuite.com/client/mini_program/open?appId=cli_9c7cc8a9a9edd105&amp;mode=appCenter&amp;path_pc=pc/pages/requested/index?instanceId=7579947682790166238&amp;source=bitable&amp;path=pages/detail/index?instanceId=7579947682790166238&amp;source=bitable", "202512040126")</f>
        <v>202512040126</v>
      </c>
      <c r="B1622" t="inlineStr">
        <is>
          <t>Approved</t>
        </is>
      </c>
      <c r="C1622" t="inlineStr">
        <is>
          <t>Procurement Order</t>
        </is>
      </c>
      <c r="D1622" s="3">
        <v>45995.769641203704</v>
      </c>
      <c r="E1622" s="3">
        <v>45996.8159375</v>
      </c>
      <c r="F1622" t="inlineStr">
        <is>
          <t>Fatima Kathleen M. FLores</t>
        </is>
      </c>
      <c r="G1622" t="inlineStr">
        <is>
          <t>Procurement</t>
        </is>
      </c>
      <c r="H1622"/>
      <c r="I1622"/>
      <c r="J1622" t="inlineStr">
        <is>
          <t>Project</t>
        </is>
      </c>
      <c r="K1622" t="inlineStr">
        <is>
          <t>GG - Event Service</t>
        </is>
      </c>
      <c r="L1622" t="inlineStr">
        <is>
          <t>KIC 2025 - Carnival [Playoffs]</t>
        </is>
      </c>
      <c r="M1622" t="inlineStr">
        <is>
          <t>2025TEG-P0316</t>
        </is>
      </c>
      <c r="N1622" t="inlineStr">
        <is>
          <t>Maura Aurel Atilano Yap</t>
        </is>
      </c>
      <c r="O1622" t="inlineStr">
        <is>
          <t>202511200099-Maura Aurel Atilano Yap-费用报销 - 副本 - 副本 - 副本-2025-11-20 08:37:15</t>
        </is>
      </c>
      <c r="P1622" t="inlineStr">
        <is>
          <t>YES</t>
        </is>
      </c>
      <c r="Q1622"/>
      <c r="R1622" t="inlineStr">
        <is>
          <t>NO</t>
        </is>
      </c>
      <c r="S1622" t="inlineStr">
        <is>
          <t>Outsourced Usher</t>
        </is>
      </c>
      <c r="T1622">
        <v>1</v>
      </c>
      <c r="U1622">
        <v>4050</v>
      </c>
      <c r="V1622" t="inlineStr">
        <is>
          <t>PHP</t>
        </is>
      </c>
      <c r="W1622">
        <v>4050</v>
      </c>
      <c r="X1622" s="2" t="str">
        <f>=HYPERLINK("https://www.larksuite.com/approval/admin/previewAttachment?key=PMg9qgJBEATgK1X_TFfXu8xLdlhE2EgYNZizCwamX7WheliUkDIXbHNQSlY7Bavy6O3bSIHGxJ7X-X-9ccTK-XpqZd_3uh3nfNgQ3cHIjAZgfz8PZqZUia_jEwAA__8", "2 attachment(s)")</f>
        <v>2 attachment(s)</v>
      </c>
      <c r="Y1622" t="inlineStr">
        <is>
          <t>Bank Transfer</t>
        </is>
      </c>
      <c r="Z1622" t="inlineStr">
        <is>
          <t>John Ravean Cabrera</t>
        </is>
      </c>
      <c r="AA1622" t="inlineStr">
        <is>
          <t>011249098679</t>
        </is>
      </c>
      <c r="AB1622" t="inlineStr">
        <is>
          <t>Gotyme</t>
        </is>
      </c>
      <c r="AC1622" t="inlineStr">
        <is>
          <t>330 Marulas A. Caloocan City</t>
        </is>
      </c>
      <c r="AD1622" s="4">
        <v>45989</v>
      </c>
      <c r="AE1622" t="inlineStr">
        <is>
          <t>100% Full Payment - Dec. 12, 2025</t>
        </is>
      </c>
      <c r="AF1622" s="2"/>
      <c r="AG1622" t="inlineStr">
        <is>
          <t>NzQyNTk5MTgyNzQ4MTg3MDM0MTpBOTQzMDA2NC05MkIwLTQxMzYtQjY2MS0zMzk4MTc1NEEzRjAtMTo1YTNhYWY4NWYzMjVlZTU1NWJkZjA0OWJhZGUxNDYyZDox</t>
        </is>
      </c>
      <c r="AH1622" t="inlineStr">
        <is>
          <t>John Ravean Cabrera</t>
        </is>
      </c>
      <c r="AI1622"/>
      <c r="AJ1622" t="inlineStr">
        <is>
          <t>LIQUIDITY PLAN (PAR # 202511190039 / 2025TEG-P0316)
MANPOWER &gt; GRAND FINALS &gt;
Ushers - GF
Total Budget = Php 39,600.00
Actual Cost = Php 4,050.00
Balance = Php 35,550.00</t>
        </is>
      </c>
      <c r="AK1622"/>
    </row>
    <row r="1623" ht="25.5" customHeight="1">
      <c r="A1623" s="2" t="str">
        <f>=HYPERLINK("https://applink.larksuite.com/client/mini_program/open?appId=cli_9c7cc8a9a9edd105&amp;mode=appCenter&amp;path_pc=pc/pages/requested/index?instanceId=7579949206694088412&amp;source=bitable&amp;path=pages/detail/index?instanceId=7579949206694088412&amp;source=bitable", "202512040128")</f>
        <v>202512040128</v>
      </c>
      <c r="B1623" t="inlineStr">
        <is>
          <t>Approved</t>
        </is>
      </c>
      <c r="C1623" t="inlineStr">
        <is>
          <t>Procurement Order</t>
        </is>
      </c>
      <c r="D1623" s="3">
        <v>45995.77375</v>
      </c>
      <c r="E1623" s="3">
        <v>45996.81524305556</v>
      </c>
      <c r="F1623" t="inlineStr">
        <is>
          <t>Fatima Kathleen M. FLores</t>
        </is>
      </c>
      <c r="G1623" t="inlineStr">
        <is>
          <t>Procurement</t>
        </is>
      </c>
      <c r="H1623"/>
      <c r="I1623"/>
      <c r="J1623" t="inlineStr">
        <is>
          <t>Project</t>
        </is>
      </c>
      <c r="K1623" t="inlineStr">
        <is>
          <t>GG - Event Service</t>
        </is>
      </c>
      <c r="L1623" t="inlineStr">
        <is>
          <t>KIC 2025 - Carnival [Playoffs]</t>
        </is>
      </c>
      <c r="M1623" t="inlineStr">
        <is>
          <t>2025TEG-P0316</t>
        </is>
      </c>
      <c r="N1623" t="inlineStr">
        <is>
          <t>Maura Aurel Atilano Yap</t>
        </is>
      </c>
      <c r="O1623" t="inlineStr">
        <is>
          <t>202511200099-Maura Aurel Atilano Yap-费用报销 - 副本 - 副本 - 副本-2025-11-20 08:37:15</t>
        </is>
      </c>
      <c r="P1623" t="inlineStr">
        <is>
          <t>YES</t>
        </is>
      </c>
      <c r="Q1623"/>
      <c r="R1623" t="inlineStr">
        <is>
          <t>NO</t>
        </is>
      </c>
      <c r="S1623" t="inlineStr">
        <is>
          <t>Outsourced Ushers</t>
        </is>
      </c>
      <c r="T1623">
        <v>1</v>
      </c>
      <c r="U1623">
        <v>28350</v>
      </c>
      <c r="V1623" t="inlineStr">
        <is>
          <t>PHP</t>
        </is>
      </c>
      <c r="W1623">
        <v>28350</v>
      </c>
      <c r="X1623" s="2" t="str">
        <f>=HYPERLINK("https://www.larksuite.com/approval/admin/previewAttachment?key=PMg7bgNBDAPQK5EajiTmMml2sQjiT2P408zZDbhw-7KJ7MmRhswwuGqWLQcyLXSLsWKxyiiWsPbL8XvlC89tnpv_43T3evxtx37jdEWghjQaAH--PkqSncLH8Q4AAP__", "2 attachment(s)")</f>
        <v>2 attachment(s)</v>
      </c>
      <c r="Y1623" t="inlineStr">
        <is>
          <t>Bank Transfer</t>
        </is>
      </c>
      <c r="Z1623" t="inlineStr">
        <is>
          <t>Marc Kevin Serrano</t>
        </is>
      </c>
      <c r="AA1623" t="inlineStr">
        <is>
          <t>1519218972</t>
        </is>
      </c>
      <c r="AB1623" t="inlineStr">
        <is>
          <t>BPI</t>
        </is>
      </c>
      <c r="AC1623" t="inlineStr">
        <is>
          <t>3 Don Guillermo Street, Barangay Holy Spirit, Commonwealth, Quezon City</t>
        </is>
      </c>
      <c r="AD1623" s="4">
        <v>45989</v>
      </c>
      <c r="AE1623" t="inlineStr">
        <is>
          <t>100% Full Payment - Dec. 12, 2025</t>
        </is>
      </c>
      <c r="AF1623" s="2"/>
      <c r="AG1623" t="inlineStr">
        <is>
          <t>NzQyNTk5MTgyNzQ4MTg3MDM0MTo5MjYwOUFBQi04Q0I0LTQwQjAtQjRBQy00M0JFN0Q1RDhFQkEtMTplNjY5ZGRlZDVlMTQzMWU2MTgxZTMyZTRhNTE3OTlmOTox</t>
        </is>
      </c>
      <c r="AH1623" t="inlineStr">
        <is>
          <t>Marc Kevin Serrano</t>
        </is>
      </c>
      <c r="AI1623"/>
      <c r="AJ1623" t="inlineStr">
        <is>
          <t>LIQUIDITY PLAN (PAR # 202511190039 / 2025TEG-P0316)
MANPOWER &gt; GRAND FINALS &gt;
Ushers - GF
Total Remaining Budget = Php 35,550.00
Actual Cost = Php 28,350.00
Balance = Php 7,200.00</t>
        </is>
      </c>
      <c r="AK1623"/>
    </row>
    <row r="1624" ht="25.5" customHeight="1">
      <c r="A1624" s="2" t="str">
        <f>=HYPERLINK("https://applink.larksuite.com/client/mini_program/open?appId=cli_9c7cc8a9a9edd105&amp;mode=appCenter&amp;path_pc=pc/pages/requested/index?instanceId=7579936653402230494&amp;source=bitable&amp;path=pages/detail/index?instanceId=7579936653402230494&amp;source=bitable", "202512040114")</f>
        <v>202512040114</v>
      </c>
      <c r="B1624" t="inlineStr">
        <is>
          <t>Approved</t>
        </is>
      </c>
      <c r="C1624" t="inlineStr">
        <is>
          <t>Procurement Order</t>
        </is>
      </c>
      <c r="D1624" s="3">
        <v>45995.73993055556</v>
      </c>
      <c r="E1624" s="3">
        <v>46000.74789351852</v>
      </c>
      <c r="F1624" t="inlineStr">
        <is>
          <t>Fatima Kathleen M. FLores</t>
        </is>
      </c>
      <c r="G1624" t="inlineStr">
        <is>
          <t>Procurement</t>
        </is>
      </c>
      <c r="H1624"/>
      <c r="I1624"/>
      <c r="J1624" t="inlineStr">
        <is>
          <t>Project</t>
        </is>
      </c>
      <c r="K1624" t="inlineStr">
        <is>
          <t>GG - Event Service</t>
        </is>
      </c>
      <c r="L1624" t="inlineStr">
        <is>
          <t>KIC 2025 - Group Stage &amp; Knockouts</t>
        </is>
      </c>
      <c r="M1624" t="inlineStr">
        <is>
          <t>2025TEG-P0286</t>
        </is>
      </c>
      <c r="N1624" t="inlineStr">
        <is>
          <t>Carla Andrea Calma Crespo</t>
        </is>
      </c>
      <c r="O1624" t="inlineStr">
        <is>
          <t>202511170055-Carla Andrea Calma Crespo-费用报销 - 副本 - 副本 - 副本-2025-11-17 07:56:50</t>
        </is>
      </c>
      <c r="P1624" t="inlineStr">
        <is>
          <t>YES</t>
        </is>
      </c>
      <c r="Q1624"/>
      <c r="R1624" t="inlineStr">
        <is>
          <t>YES</t>
        </is>
      </c>
      <c r="S1624" t="inlineStr">
        <is>
          <t>Outsourced HMUA (Players)</t>
        </is>
      </c>
      <c r="T1624">
        <v>1</v>
      </c>
      <c r="U1624">
        <v>115800</v>
      </c>
      <c r="V1624" t="inlineStr">
        <is>
          <t>PHP</t>
        </is>
      </c>
      <c r="W1624">
        <v>115800</v>
      </c>
      <c r="X1624" s="2" t="str">
        <f>=HYPERLINK("https://www.larksuite.com/approval/admin/previewAttachment?key=PMhBCgIxDAXQK_0kv0m_l3FjKc6AMCAOuujZBRduX3ZD9maRAmUu2KpWUmS2INwDFJcvqxLKKrTGY16PfYvRt-O1v9s5P-u83-Z4WlO5o4KMDsAuf48iKSXxc3wDAAD__w", "2 attachment(s)")</f>
        <v>2 attachment(s)</v>
      </c>
      <c r="Y1624" t="inlineStr">
        <is>
          <t>Bank Transfer</t>
        </is>
      </c>
      <c r="Z1624" t="inlineStr">
        <is>
          <t>Grace Filomeno</t>
        </is>
      </c>
      <c r="AA1624" t="inlineStr">
        <is>
          <t>007340484415</t>
        </is>
      </c>
      <c r="AB1624" t="inlineStr">
        <is>
          <t>BDO</t>
        </is>
      </c>
      <c r="AC1624" t="inlineStr">
        <is>
          <t>89 T Santos St. San Jose, Rodriguez, Rizal</t>
        </is>
      </c>
      <c r="AD1624" s="4">
        <v>45975</v>
      </c>
      <c r="AE1624" t="inlineStr">
        <is>
          <t>100% Full Payment - Nov. 28, 2025</t>
        </is>
      </c>
      <c r="AF1624" s="2"/>
      <c r="AG1624" t="inlineStr">
        <is>
          <t>NzQyNTk5MTgyNzQ4MTg3MDM0MTpEQzU0ODQ1OS04MkYyLTRFQjYtQjlENS0xQTE0MkI1MTU1ODAtMToxZjk4ZjlkYmJkY2FlZTM1OWM2MjAzMjQ2NTA1NTZjZTox</t>
        </is>
      </c>
      <c r="AH1624" t="inlineStr">
        <is>
          <t>Grace Filomeno</t>
        </is>
      </c>
      <c r="AI1624"/>
      <c r="AJ1624" t="inlineStr">
        <is>
          <t>LIQUIDITY PLAN (PAR # 202510290062 / 2025TEG-P0286)
1108 CE KIC GS+KO TAB &gt; OPERATIONS TEAM &gt;
Talent Management &gt; HMUA (for Talents)
Total Remaining Budget = Php 39,700.00
Actual Cost = Php 115,800.00
Balance = (Php 76,100.00) OVER BUDGET</t>
        </is>
      </c>
      <c r="AK1624"/>
    </row>
    <row r="1625" ht="25.5" customHeight="1">
      <c r="A1625" s="2" t="str">
        <f>=HYPERLINK("https://applink.larksuite.com/client/mini_program/open?appId=cli_9c7cc8a9a9edd105&amp;mode=appCenter&amp;path_pc=pc/pages/requested/index?instanceId=7579935267235073762&amp;source=bitable&amp;path=pages/detail/index?instanceId=7579935267235073762&amp;source=bitable", "202512040113")</f>
        <v>202512040113</v>
      </c>
      <c r="B1625" t="inlineStr">
        <is>
          <t>Approved</t>
        </is>
      </c>
      <c r="C1625" t="inlineStr">
        <is>
          <t>Procurement Order</t>
        </is>
      </c>
      <c r="D1625" s="3">
        <v>45995.73619212963</v>
      </c>
      <c r="E1625" s="3">
        <v>46000.75837962963</v>
      </c>
      <c r="F1625" t="inlineStr">
        <is>
          <t>Fatima Kathleen M. FLores</t>
        </is>
      </c>
      <c r="G1625" t="inlineStr">
        <is>
          <t>Procurement</t>
        </is>
      </c>
      <c r="H1625"/>
      <c r="I1625"/>
      <c r="J1625" t="inlineStr">
        <is>
          <t>Project</t>
        </is>
      </c>
      <c r="K1625" t="inlineStr">
        <is>
          <t>PDEI - Event Service</t>
        </is>
      </c>
      <c r="L1625" t="inlineStr">
        <is>
          <t>MPL PH S16 Addendum 2</t>
        </is>
      </c>
      <c r="M1625" t="inlineStr">
        <is>
          <t>2025TEG-P0299</t>
        </is>
      </c>
      <c r="N1625" t="inlineStr">
        <is>
          <t>Katherine Denise Lee Sy</t>
        </is>
      </c>
      <c r="O1625" t="inlineStr">
        <is>
          <t>202511120008-Katherine Denise Lee Sy-费用报销 - 副本 - 副本 - 副本-2025-11-12 01:56:37</t>
        </is>
      </c>
      <c r="P1625" t="inlineStr">
        <is>
          <t>YES</t>
        </is>
      </c>
      <c r="Q1625"/>
      <c r="R1625" t="inlineStr">
        <is>
          <t>NO</t>
        </is>
      </c>
      <c r="S1625" t="inlineStr">
        <is>
          <t>Outsourced Talent (Greatchen)</t>
        </is>
      </c>
      <c r="T1625">
        <v>1</v>
      </c>
      <c r="U1625">
        <v>5800</v>
      </c>
      <c r="V1625" t="inlineStr">
        <is>
          <t>PHP</t>
        </is>
      </c>
      <c r="W1625">
        <v>5800</v>
      </c>
      <c r="X1625" s="2" t="str">
        <f>=HYPERLINK("https://www.larksuite.com/approval/admin/previewAttachment?key=PMg7CsJAGATgK83_nIyXsUkIiiwEhAWLPbtgYfv1ZuitLFpImQu2WJSivOlRYLB9-TJSoDGxjnHepz1fl-rQ-Mz9Gms-9vN4W4nuYGTGBsBufw9mptSJn-MbAAD__w", "2 attachment(s)")</f>
        <v>2 attachment(s)</v>
      </c>
      <c r="Y1625" t="inlineStr">
        <is>
          <t>Bank Transfer</t>
        </is>
      </c>
      <c r="Z1625" t="inlineStr">
        <is>
          <t>Gretchen Alunan</t>
        </is>
      </c>
      <c r="AA1625" t="inlineStr">
        <is>
          <t>1093 2551 1122</t>
        </is>
      </c>
      <c r="AB1625" t="inlineStr">
        <is>
          <t>Unionbank</t>
        </is>
      </c>
      <c r="AC1625" t="inlineStr">
        <is>
          <t>21 Abel Street Metrogate Complex Meycauayan Bulacan</t>
        </is>
      </c>
      <c r="AD1625" s="4">
        <v>45953</v>
      </c>
      <c r="AE1625" t="inlineStr">
        <is>
          <t>100% Full Payment - Dec. 12, 2025</t>
        </is>
      </c>
      <c r="AF1625" s="2"/>
      <c r="AG1625" t="inlineStr">
        <is>
          <t>NzQyNTk5MTgyNzQ4MTg3MDM0MTo5MTAyQUY2MC05NzU2LTQxRTEtOUI4Ni1FQzEyMDRBOTlBQzgtMToxM2YwMTcxYjgwMWViYzlmYTBmZGJkZjA3MTliN2FlODox</t>
        </is>
      </c>
      <c r="AH1625" t="inlineStr">
        <is>
          <t>Gretchen Alunan</t>
        </is>
      </c>
      <c r="AI1625"/>
      <c r="AJ1625" t="inlineStr">
        <is>
          <t>UPDATED FINAL INTERNAL CE (commented on Dec. 3, 2025):
LIQUIDITY PLAN (PAR # 202511030050 / 2025TEG-P0299)
ADDENDUM 2 CE &gt; Gretchen Talent Fee
Total Budget = Php 5,800.00
Actual Cost = Php 5,800.00</t>
        </is>
      </c>
      <c r="AK1625"/>
    </row>
    <row r="1626" ht="25.5" customHeight="1">
      <c r="A1626" s="2" t="str">
        <f>=HYPERLINK("https://applink.larksuite.com/client/mini_program/open?appId=cli_9c7cc8a9a9edd105&amp;mode=appCenter&amp;path_pc=pc/pages/requested/index?instanceId=7579940714780331744&amp;source=bitable&amp;path=pages/detail/index?instanceId=7579940714780331744&amp;source=bitable", "202512040117")</f>
        <v>202512040117</v>
      </c>
      <c r="B1626" t="inlineStr">
        <is>
          <t>Rejected</t>
        </is>
      </c>
      <c r="C1626" t="inlineStr">
        <is>
          <t>Procurement Order</t>
        </is>
      </c>
      <c r="D1626" s="3">
        <v>45995.750868055555</v>
      </c>
      <c r="E1626" s="3">
        <v>46000.72457175926</v>
      </c>
      <c r="F1626" t="inlineStr">
        <is>
          <t>Fatima Kathleen M. FLores</t>
        </is>
      </c>
      <c r="G1626" t="inlineStr">
        <is>
          <t>Procurement</t>
        </is>
      </c>
      <c r="H1626"/>
      <c r="I1626"/>
      <c r="J1626" t="inlineStr">
        <is>
          <t>Project</t>
        </is>
      </c>
      <c r="K1626" t="inlineStr">
        <is>
          <t>PDEI - Event Service</t>
        </is>
      </c>
      <c r="L1626" t="inlineStr">
        <is>
          <t>MPL PH S16 - Regular Season</t>
        </is>
      </c>
      <c r="M1626" t="inlineStr">
        <is>
          <t>2025TEG-P0214</t>
        </is>
      </c>
      <c r="N1626" t="inlineStr">
        <is>
          <t>Katherine Denise Lee Sy</t>
        </is>
      </c>
      <c r="O1626" t="inlineStr">
        <is>
          <t>202511180046-Katherine Denise Lee Sy-费用报销 - 副本 - 副本 - 副本-2025-11-18 06:03:07</t>
        </is>
      </c>
      <c r="P1626" t="inlineStr">
        <is>
          <t>NO</t>
        </is>
      </c>
      <c r="Q1626"/>
      <c r="R1626" t="inlineStr">
        <is>
          <t>NO</t>
        </is>
      </c>
      <c r="S1626" t="inlineStr">
        <is>
          <t>LGU CDRRMO Permit</t>
        </is>
      </c>
      <c r="T1626">
        <v>1</v>
      </c>
      <c r="U1626">
        <v>5000</v>
      </c>
      <c r="V1626" t="inlineStr">
        <is>
          <t>PHP</t>
        </is>
      </c>
      <c r="W1626">
        <v>5000</v>
      </c>
      <c r="X1626" s="2" t="str">
        <f>=HYPERLINK("https://www.larksuite.com/approval/admin/previewAttachment?key=PMgxCsJAFATQK83sn93Z72VsDMEiBkEMWvyzCxZp35jEmJ0xEkq2BMvdmYIpT0TQUrWinTAt1PJYr1t_b3tgP57fj6PVcb-ty4s93RocUkwAvJwelpQ5hL_jFwAA__8", "2 attachment(s)")</f>
        <v>2 attachment(s)</v>
      </c>
      <c r="Y1626" t="inlineStr">
        <is>
          <t>Bank Transfer</t>
        </is>
      </c>
      <c r="Z1626" t="inlineStr">
        <is>
          <t>JEROME T. CAPOQUIAN</t>
        </is>
      </c>
      <c r="AA1626" t="inlineStr">
        <is>
          <t>9599094366</t>
        </is>
      </c>
      <c r="AB1626" t="inlineStr">
        <is>
          <t>BPI</t>
        </is>
      </c>
      <c r="AC1626" t="inlineStr">
        <is>
          <t>BLOCK 5 LOT 7 PHASE 2 SHINEVILL MAMBUGAN ANTIPOLO CITY</t>
        </is>
      </c>
      <c r="AD1626" s="4">
        <v>45976</v>
      </c>
      <c r="AE1626" t="inlineStr">
        <is>
          <t>100% Full Payment</t>
        </is>
      </c>
      <c r="AF1626" s="2"/>
      <c r="AG1626" t="inlineStr">
        <is>
          <t>NzQyNTk5MTgyNzQ4MTg3MDM0MTpGQTcwN0QzOS0wRDgzLTQ5RjctQjhCNi1BQkVEMDEwRTZCRUEtMTpmZDg3OGMwZmEwNTgwNzY3YTNiYWZkMTJiNzMxNzExNDox</t>
        </is>
      </c>
      <c r="AH1626" t="inlineStr">
        <is>
          <t>JC SAFETY AND MEDICAL SERVICES</t>
        </is>
      </c>
      <c r="AI1626"/>
      <c r="AJ1626" t="inlineStr">
        <is>
          <t>LIQUIDITY PLAN (PAR # 202509020093 / 2025TEG-P0214)
REGULAR SEASON CE TAB &gt; 1.2 Assets &amp; Facility Rates/Licenses - RS and Playoffs &gt;
Event Permit
Total Remaining Budget = Php 17,980.00
Actual Cost = Php 5,000.00
Balance = Php 12,980.00</t>
        </is>
      </c>
      <c r="AK1626"/>
    </row>
    <row r="1627" ht="25.5" customHeight="1">
      <c r="A1627" s="2" t="str">
        <f>=HYPERLINK("https://applink.larksuite.com/client/mini_program/open?appId=cli_9c7cc8a9a9edd105&amp;mode=appCenter&amp;path_pc=pc/pages/requested/index?instanceId=7579950314715877086&amp;source=bitable&amp;path=pages/detail/index?instanceId=7579950314715877086&amp;source=bitable", "202512040130")</f>
        <v>202512040130</v>
      </c>
      <c r="B1627" t="inlineStr">
        <is>
          <t>Approved</t>
        </is>
      </c>
      <c r="C1627" t="inlineStr">
        <is>
          <t>Procurement Order</t>
        </is>
      </c>
      <c r="D1627" s="3">
        <v>45995.77673611111</v>
      </c>
      <c r="E1627" s="3">
        <v>46000.72174768519</v>
      </c>
      <c r="F1627" t="inlineStr">
        <is>
          <t>Fatima Kathleen M. FLores</t>
        </is>
      </c>
      <c r="G1627" t="inlineStr">
        <is>
          <t>Procurement</t>
        </is>
      </c>
      <c r="H1627"/>
      <c r="I1627"/>
      <c r="J1627" t="inlineStr">
        <is>
          <t>Project</t>
        </is>
      </c>
      <c r="K1627" t="inlineStr">
        <is>
          <t>GG - Event Service</t>
        </is>
      </c>
      <c r="L1627" t="inlineStr">
        <is>
          <t>KIC 2025 - Carnival [Playoffs]</t>
        </is>
      </c>
      <c r="M1627" t="inlineStr">
        <is>
          <t>2025TEG-P0316</t>
        </is>
      </c>
      <c r="N1627" t="inlineStr">
        <is>
          <t>Maura Aurel Atilano Yap</t>
        </is>
      </c>
      <c r="O1627" t="inlineStr">
        <is>
          <t>202511200099-Maura Aurel Atilano Yap-费用报销 - 副本 - 副本 - 副本-2025-11-20 08:37:15</t>
        </is>
      </c>
      <c r="P1627" t="inlineStr">
        <is>
          <t>YES</t>
        </is>
      </c>
      <c r="Q1627"/>
      <c r="R1627" t="inlineStr">
        <is>
          <t>NO</t>
        </is>
      </c>
      <c r="S1627" t="inlineStr">
        <is>
          <t>Outsourced Registration Manpower</t>
        </is>
      </c>
      <c r="T1627">
        <v>1</v>
      </c>
      <c r="U1627">
        <v>10200</v>
      </c>
      <c r="V1627" t="inlineStr">
        <is>
          <t>PHP</t>
        </is>
      </c>
      <c r="W1627">
        <v>10200</v>
      </c>
      <c r="X1627" s="2" t="str">
        <f>=HYPERLINK("https://www.larksuite.com/approval/admin/previewAttachment?key=PMg7CsJgEATgK838-5hdL2NjCEawEpQUe3bBwvbLIrKClg1vrgZHoe6A0cUoCZWzhlJDlGO2534VV8mO89jtxOMz7_tt316M1lqQuVsB4OXvJnfvTsfP8Q0AAP__", "2 attachment(s)")</f>
        <v>2 attachment(s)</v>
      </c>
      <c r="Y1627" t="inlineStr">
        <is>
          <t>Bank Transfer</t>
        </is>
      </c>
      <c r="Z1627" t="inlineStr">
        <is>
          <t>John Enric Puno</t>
        </is>
      </c>
      <c r="AA1627" t="inlineStr">
        <is>
          <t>000690087837</t>
        </is>
      </c>
      <c r="AB1627" t="inlineStr">
        <is>
          <t>BDO</t>
        </is>
      </c>
      <c r="AC1627" t="inlineStr">
        <is>
          <t>1728 G. Perfecto st. Tondo manila</t>
        </is>
      </c>
      <c r="AD1627" s="4">
        <v>45989</v>
      </c>
      <c r="AE1627" t="inlineStr">
        <is>
          <t>100% Full Payment - Dec. 12, 2025</t>
        </is>
      </c>
      <c r="AF1627" s="2"/>
      <c r="AG1627" t="inlineStr">
        <is>
          <t>NzQyNTk5MTgyNzQ4MTg3MDM0MTo3MThBNkIxNi1CQkE4LTRCNDgtOTBGQy1BNzJDOTc2QjMwNDEtMTpiY2RmNjMzYzQyYzUyYzI3N2E3MzIyNDlmNTIzYWU0NDox</t>
        </is>
      </c>
      <c r="AH1627" t="inlineStr">
        <is>
          <t>John Enric Puno</t>
        </is>
      </c>
      <c r="AI1627"/>
      <c r="AJ1627" t="inlineStr">
        <is>
          <t>LIQUIDITY PLAN (PAR # 202511190039 / 2025TEG-P0316)
MANPOWER &gt; GRAND FINALS &gt;
Registration - Manpower
Total Budget = Php 16,200.00
Actual Cost = Php 10,200.00
Balance = Php 6,000.00</t>
        </is>
      </c>
      <c r="AK1627"/>
    </row>
    <row r="1628" ht="25.5" customHeight="1">
      <c r="A1628" s="2" t="str">
        <f>=HYPERLINK("https://applink.larksuite.com/client/mini_program/open?appId=cli_9c7cc8a9a9edd105&amp;mode=appCenter&amp;path_pc=pc/pages/requested/index?instanceId=7579953256483278558&amp;source=bitable&amp;path=pages/detail/index?instanceId=7579953256483278558&amp;source=bitable", "202512040132")</f>
        <v>202512040132</v>
      </c>
      <c r="B1628" t="inlineStr">
        <is>
          <t>Rejected</t>
        </is>
      </c>
      <c r="C1628" t="inlineStr">
        <is>
          <t>Procurement Order</t>
        </is>
      </c>
      <c r="D1628" s="3">
        <v>45995.78466435185</v>
      </c>
      <c r="E1628" s="3">
        <v>46000.72298611111</v>
      </c>
      <c r="F1628" t="inlineStr">
        <is>
          <t>Fatima Kathleen M. FLores</t>
        </is>
      </c>
      <c r="G1628" t="inlineStr">
        <is>
          <t>Procurement</t>
        </is>
      </c>
      <c r="H1628"/>
      <c r="I1628"/>
      <c r="J1628" t="inlineStr">
        <is>
          <t>Project</t>
        </is>
      </c>
      <c r="K1628" t="inlineStr">
        <is>
          <t>GG - Event Service</t>
        </is>
      </c>
      <c r="L1628" t="inlineStr">
        <is>
          <t>KIC 2025 - Carnival [Playoffs]</t>
        </is>
      </c>
      <c r="M1628" t="inlineStr">
        <is>
          <t>2025TEG-P0316</t>
        </is>
      </c>
      <c r="N1628" t="inlineStr">
        <is>
          <t>Maura Aurel Atilano Yap</t>
        </is>
      </c>
      <c r="O1628" t="inlineStr">
        <is>
          <t>202511200099-Maura Aurel Atilano Yap-费用报销 - 副本 - 副本 - 副本-2025-11-20 08:37:15</t>
        </is>
      </c>
      <c r="P1628" t="inlineStr">
        <is>
          <t>YES</t>
        </is>
      </c>
      <c r="Q1628"/>
      <c r="R1628" t="inlineStr">
        <is>
          <t>NO</t>
        </is>
      </c>
      <c r="S1628" t="inlineStr">
        <is>
          <t>Outsourced Registration Manpower</t>
        </is>
      </c>
      <c r="T1628">
        <v>1</v>
      </c>
      <c r="U1628">
        <v>10800</v>
      </c>
      <c r="V1628" t="inlineStr">
        <is>
          <t>PHP</t>
        </is>
      </c>
      <c r="W1628">
        <v>10800</v>
      </c>
      <c r="X1628" s="2" t="str">
        <f>=HYPERLINK("https://www.larksuite.com/approval/admin/previewAttachment?key=PMg5qgJhEATgK1Vvf3W9y7zEYXDBSBwx6LMLBqbfasPqslhCylywYVGq8FrZ4eyqHh8jBRoTs933_1dewvr67Ns7dGCO82nfHlaiOxiZ0QDs7-fBzJRW4uv4BAAA__8", "2 attachment(s)")</f>
        <v>2 attachment(s)</v>
      </c>
      <c r="Y1628" t="inlineStr">
        <is>
          <t>Bank Transfer</t>
        </is>
      </c>
      <c r="Z1628" t="inlineStr">
        <is>
          <t>Jhun Aldrin Manes</t>
        </is>
      </c>
      <c r="AA1628" t="inlineStr">
        <is>
          <t>09668330217</t>
        </is>
      </c>
      <c r="AB1628" t="inlineStr">
        <is>
          <t>GCASH</t>
        </is>
      </c>
      <c r="AC1628" t="inlineStr">
        <is>
          <t>2042 Candido St. Brgy. Mapulang Lupa. Valenzuela City</t>
        </is>
      </c>
      <c r="AD1628" s="4">
        <v>45989</v>
      </c>
      <c r="AE1628" t="inlineStr">
        <is>
          <t>100% Full Payment - Dec. 12, 2025</t>
        </is>
      </c>
      <c r="AF1628" s="2"/>
      <c r="AG1628" t="inlineStr">
        <is>
          <t>NzQyNTk5MTgyNzQ4MTg3MDM0MTo0RUU2OEFDMC04NUI5LTQxRDktQkYwMC02Rjk4NzJCOENGQ0YtMTo3NzkzOTM0NWY1OGQyZjMzZWU5MzAwNWExN2E3NWFjMDox</t>
        </is>
      </c>
      <c r="AH1628" t="inlineStr">
        <is>
          <t>Jhun Aldrin Manes</t>
        </is>
      </c>
      <c r="AI1628"/>
      <c r="AJ1628" t="inlineStr">
        <is>
          <t>LIQUIDITY PLAN (PAR # 202511190039 / 2025TEG-P0316)
MANPOWER &gt; GRAND FINALS &gt;
Registration - Manpower
Total Remaining Budget = Php 6,000.00
Actual Cost = Php 10,800.00
Balance = (Php 4,800.00) OVER BUDGET TO BE CHARGED TO MINI BATTLE CE:
LIQUIDITY PLAN (PAR # 202511190046 / 2025TEG-P0319)
MANPOWER &gt; GRAND FINALS &gt;
Logistics &gt; Registration - Manpower
Total Budget = Php 5,400.00
Actual Cost = Php 4,800.00
Balance = Php 600.00</t>
        </is>
      </c>
      <c r="AK1628"/>
    </row>
    <row r="1629" ht="25.5" customHeight="1">
      <c r="A1629" s="2" t="str">
        <f>=HYPERLINK("https://applink.larksuite.com/client/mini_program/open?appId=cli_9c7cc8a9a9edd105&amp;mode=appCenter&amp;path_pc=pc/pages/requested/index?instanceId=7579954157830819551&amp;source=bitable&amp;path=pages/detail/index?instanceId=7579954157830819551&amp;source=bitable", "202512040133")</f>
        <v>202512040133</v>
      </c>
      <c r="B1629" t="inlineStr">
        <is>
          <t>Approved</t>
        </is>
      </c>
      <c r="C1629" t="inlineStr">
        <is>
          <t>Procurement Order</t>
        </is>
      </c>
      <c r="D1629" s="3">
        <v>45995.787094907406</v>
      </c>
      <c r="E1629" s="3">
        <v>45996.812569444446</v>
      </c>
      <c r="F1629" t="inlineStr">
        <is>
          <t>Fatima Kathleen M. FLores</t>
        </is>
      </c>
      <c r="G1629" t="inlineStr">
        <is>
          <t>Procurement</t>
        </is>
      </c>
      <c r="H1629"/>
      <c r="I1629"/>
      <c r="J1629" t="inlineStr">
        <is>
          <t>Project</t>
        </is>
      </c>
      <c r="K1629" t="inlineStr">
        <is>
          <t>GG - Event Service</t>
        </is>
      </c>
      <c r="L1629" t="inlineStr">
        <is>
          <t>KIC 2025 - Carnival [Playoffs]</t>
        </is>
      </c>
      <c r="M1629" t="inlineStr">
        <is>
          <t>2025TEG-P0316</t>
        </is>
      </c>
      <c r="N1629" t="inlineStr">
        <is>
          <t>Maura Aurel Atilano Yap</t>
        </is>
      </c>
      <c r="O1629" t="inlineStr">
        <is>
          <t>202511200099-Maura Aurel Atilano Yap-费用报销 - 副本 - 副本 - 副本-2025-11-20 08:37:15</t>
        </is>
      </c>
      <c r="P1629" t="inlineStr">
        <is>
          <t>YES</t>
        </is>
      </c>
      <c r="Q1629"/>
      <c r="R1629" t="inlineStr">
        <is>
          <t>NO</t>
        </is>
      </c>
      <c r="S1629" t="inlineStr">
        <is>
          <t>Outsourced Booth Operator</t>
        </is>
      </c>
      <c r="T1629">
        <v>1</v>
      </c>
      <c r="U1629">
        <v>4050</v>
      </c>
      <c r="V1629" t="inlineStr">
        <is>
          <t>PHP</t>
        </is>
      </c>
      <c r="W1629">
        <v>4050</v>
      </c>
      <c r="X1629" s="2" t="str">
        <f>=HYPERLINK("https://www.larksuite.com/approval/admin/previewAttachment?key=PMhBqgIxEATQK1Ul3anUv8zfOAQFBwRxGBd9dsGF2zcmMWayDyPMZrCUsjOYmh2TzmS1omSICtS2r__3cXsZyPO8r_2hOq6XtT2ZVmtQj-gTAP9-3hUR9gh8HZ8AAAD__w", "2 attachment(s)")</f>
        <v>2 attachment(s)</v>
      </c>
      <c r="Y1629" t="inlineStr">
        <is>
          <t>Bank Transfer</t>
        </is>
      </c>
      <c r="Z1629" t="inlineStr">
        <is>
          <t>Juan Diego Villarama Legislador</t>
        </is>
      </c>
      <c r="AA1629" t="inlineStr">
        <is>
          <t>1096 7009 1261</t>
        </is>
      </c>
      <c r="AB1629" t="inlineStr">
        <is>
          <t>Unionbank</t>
        </is>
      </c>
      <c r="AC1629" t="inlineStr">
        <is>
          <t>1246 Cardona St. Rizal Village Makati City</t>
        </is>
      </c>
      <c r="AD1629" s="4">
        <v>45989</v>
      </c>
      <c r="AE1629" t="inlineStr">
        <is>
          <t>100% Full Payment - Dec. 12, 2025</t>
        </is>
      </c>
      <c r="AF1629" s="2"/>
      <c r="AG1629" t="inlineStr">
        <is>
          <t>NzQyNTk5MTgyNzQ4MTg3MDM0MTo1NzFDQUJFMi00N0I0LTRBMjgtQTQ5RC1EOEFFQzUwNjhBMUItMTozOWVmZTFiMDVkMzI0Y2QwZmRiNTQwZjJjOTBlYjRhZDox</t>
        </is>
      </c>
      <c r="AH1629" t="inlineStr">
        <is>
          <t>Juan Diego Villarama Legislador</t>
        </is>
      </c>
      <c r="AI1629"/>
      <c r="AJ1629" t="inlineStr">
        <is>
          <t>LIQUIDITY PLAN (PAR # 202511190039 / 2025TEG-P0316)
MANPOWER &gt; GRAND FINALS &gt;
Redemption Booth Manpower
Total Budget = Php 10,800.00
Actual Cost = Php 4,050.00
Balance = Php 6,750.00</t>
        </is>
      </c>
      <c r="AK1629"/>
    </row>
    <row r="1630" ht="25.5" customHeight="1">
      <c r="A1630" s="2" t="str">
        <f>=HYPERLINK("https://applink.larksuite.com/client/mini_program/open?appId=cli_9c7cc8a9a9edd105&amp;mode=appCenter&amp;path_pc=pc/pages/requested/index?instanceId=7579954745876483809&amp;source=bitable&amp;path=pages/detail/index?instanceId=7579954745876483809&amp;source=bitable", "202512040134")</f>
        <v>202512040134</v>
      </c>
      <c r="B1630" t="inlineStr">
        <is>
          <t>Approved</t>
        </is>
      </c>
      <c r="C1630" t="inlineStr">
        <is>
          <t>Procurement Order</t>
        </is>
      </c>
      <c r="D1630" s="3">
        <v>45995.78868055555</v>
      </c>
      <c r="E1630" s="3">
        <v>45996.812314814815</v>
      </c>
      <c r="F1630" t="inlineStr">
        <is>
          <t>Fatima Kathleen M. FLores</t>
        </is>
      </c>
      <c r="G1630" t="inlineStr">
        <is>
          <t>Procurement</t>
        </is>
      </c>
      <c r="H1630"/>
      <c r="I1630"/>
      <c r="J1630" t="inlineStr">
        <is>
          <t>Project</t>
        </is>
      </c>
      <c r="K1630" t="inlineStr">
        <is>
          <t>GG - Event Service</t>
        </is>
      </c>
      <c r="L1630" t="inlineStr">
        <is>
          <t>KIC 2025 - Carnival [Playoffs]</t>
        </is>
      </c>
      <c r="M1630" t="inlineStr">
        <is>
          <t>2025TEG-P0316</t>
        </is>
      </c>
      <c r="N1630" t="inlineStr">
        <is>
          <t>Maura Aurel Atilano Yap</t>
        </is>
      </c>
      <c r="O1630" t="inlineStr">
        <is>
          <t>202511200099-Maura Aurel Atilano Yap-费用报销 - 副本 - 副本 - 副本-2025-11-20 08:37:15</t>
        </is>
      </c>
      <c r="P1630" t="inlineStr">
        <is>
          <t>YES</t>
        </is>
      </c>
      <c r="Q1630"/>
      <c r="R1630" t="inlineStr">
        <is>
          <t>NO</t>
        </is>
      </c>
      <c r="S1630" t="inlineStr">
        <is>
          <t>Outsourced Booth Operator</t>
        </is>
      </c>
      <c r="T1630">
        <v>1</v>
      </c>
      <c r="U1630">
        <v>4050</v>
      </c>
      <c r="V1630" t="inlineStr">
        <is>
          <t>PHP</t>
        </is>
      </c>
      <c r="W1630">
        <v>4050</v>
      </c>
      <c r="X1630" s="2" t="str">
        <f>=HYPERLINK("https://www.larksuite.com/approval/admin/previewAttachment?key=PMgxCkIxEATQK81uJpkdL2PjJ0jQSvhikbMLFrZvVGBUjzYMOtKIrS67U-ylwWoF79whGQoR-3jOq9endJz5yJzrvfZ5v83jFd3KhBrZCkBc_t5E0h7Ez_ENAAD__w", "2 attachment(s)")</f>
        <v>2 attachment(s)</v>
      </c>
      <c r="Y1630" t="inlineStr">
        <is>
          <t>Bank Transfer</t>
        </is>
      </c>
      <c r="Z1630" t="inlineStr">
        <is>
          <t>Kimberly Rose Culala</t>
        </is>
      </c>
      <c r="AA1630" t="inlineStr">
        <is>
          <t>1010-1024-0818</t>
        </is>
      </c>
      <c r="AB1630" t="inlineStr">
        <is>
          <t>PNB</t>
        </is>
      </c>
      <c r="AC1630" t="inlineStr">
        <is>
          <t>12 Little Tagaytay Marulas Valenzuela City</t>
        </is>
      </c>
      <c r="AD1630" s="4">
        <v>45989</v>
      </c>
      <c r="AE1630" t="inlineStr">
        <is>
          <t>100% Full Payment - Dec. 12, 2025</t>
        </is>
      </c>
      <c r="AF1630" s="2"/>
      <c r="AG1630" t="inlineStr">
        <is>
          <t>NzQyNTk5MTgyNzQ4MTg3MDM0MTo4M0I2QzI2MS0yNjMxLTQ5REUtQTNCNi05Q0QwQkM4QTcyRjktMTpiMDVmZTU0ZmM1OWI4ZmI4Y2IwMWM0YzllYjQ1OTdmNzox</t>
        </is>
      </c>
      <c r="AH1630" t="inlineStr">
        <is>
          <t>Kimberly Rose Culala</t>
        </is>
      </c>
      <c r="AI1630"/>
      <c r="AJ1630" t="inlineStr">
        <is>
          <t>LIQUIDITY PLAN (PAR # 202511190039 / 2025TEG-P0316)
MANPOWER &gt; GRAND FINALS &gt;
Redemption Booth Manpower
Total Remaining Budget = Php 6,750.00
Actual Cost = Php 4,050.00
Balance = Php 2,700.00</t>
        </is>
      </c>
      <c r="AK1630"/>
    </row>
    <row r="1631" ht="25.5" customHeight="1">
      <c r="A1631" s="2" t="str">
        <f>=HYPERLINK("https://applink.larksuite.com/client/mini_program/open?appId=cli_9c7cc8a9a9edd105&amp;mode=appCenter&amp;path_pc=pc/pages/requested/index?instanceId=7579956435698601692&amp;source=bitable&amp;path=pages/detail/index?instanceId=7579956435698601692&amp;source=bitable", "202512040137")</f>
        <v>202512040137</v>
      </c>
      <c r="B1631" t="inlineStr">
        <is>
          <t>Approved</t>
        </is>
      </c>
      <c r="C1631" t="inlineStr">
        <is>
          <t>Procurement Order</t>
        </is>
      </c>
      <c r="D1631" s="3">
        <v>45995.793229166666</v>
      </c>
      <c r="E1631" s="3">
        <v>45996.84460648148</v>
      </c>
      <c r="F1631" t="inlineStr">
        <is>
          <t>Fatima Kathleen M. FLores</t>
        </is>
      </c>
      <c r="G1631" t="inlineStr">
        <is>
          <t>Procurement</t>
        </is>
      </c>
      <c r="H1631"/>
      <c r="I1631"/>
      <c r="J1631" t="inlineStr">
        <is>
          <t>Project</t>
        </is>
      </c>
      <c r="K1631" t="inlineStr">
        <is>
          <t>GG - Event Service</t>
        </is>
      </c>
      <c r="L1631" t="inlineStr">
        <is>
          <t>Mini Battle [Playoffs]</t>
        </is>
      </c>
      <c r="M1631" t="inlineStr">
        <is>
          <t>2025TEG-P0319</t>
        </is>
      </c>
      <c r="N1631" t="inlineStr">
        <is>
          <t>Maura Aurel Atilano Yap</t>
        </is>
      </c>
      <c r="O1631" t="inlineStr">
        <is>
          <t>202511200095-Maura Aurel Atilano Yap-费用报销 - 副本 - 副本 - 副本-2025-11-20 08:29:40</t>
        </is>
      </c>
      <c r="P1631" t="inlineStr">
        <is>
          <t>YES</t>
        </is>
      </c>
      <c r="Q1631"/>
      <c r="R1631" t="inlineStr">
        <is>
          <t>NO</t>
        </is>
      </c>
      <c r="S1631" t="inlineStr">
        <is>
          <t>Outsourced Head of League Operations</t>
        </is>
      </c>
      <c r="T1631">
        <v>1</v>
      </c>
      <c r="U1631">
        <v>4950</v>
      </c>
      <c r="V1631" t="inlineStr">
        <is>
          <t>PHP</t>
        </is>
      </c>
      <c r="W1631">
        <v>4950</v>
      </c>
      <c r="X1631" s="2" t="str">
        <f>=HYPERLINK("https://www.larksuite.com/approval/admin/previewAttachment?key=PMi7DQJBDATQlsbrz3hohoTTiQAiBBu5diQC0ldtqE7zEkK2BBsmpazwLHXBSmvWGCnQGJjjeV47skn37Xs_3pzP_XYeL0txLdAjvAHY5e_OiJAq8HN8AwAA__8", "2 attachment(s)")</f>
        <v>2 attachment(s)</v>
      </c>
      <c r="Y1631" t="inlineStr">
        <is>
          <t>Bank Transfer</t>
        </is>
      </c>
      <c r="Z1631" t="inlineStr">
        <is>
          <t>Al Fernando A. Crespo</t>
        </is>
      </c>
      <c r="AA1631" t="inlineStr">
        <is>
          <t>09174392913</t>
        </is>
      </c>
      <c r="AB1631" t="inlineStr">
        <is>
          <t>GCash</t>
        </is>
      </c>
      <c r="AC1631" t="inlineStr">
        <is>
          <t>40 Seminary Rd. Bagbag Novaliches, Queson City</t>
        </is>
      </c>
      <c r="AD1631" s="4">
        <v>45989</v>
      </c>
      <c r="AE1631" t="inlineStr">
        <is>
          <t>100% Full Payment - Dec. 12, 2025</t>
        </is>
      </c>
      <c r="AF1631" s="2"/>
      <c r="AG1631" t="inlineStr">
        <is>
          <t>NzQyNTk5MTgyNzQ4MTg3MDM0MTpDRUQzMjc3Qy1CODYxLTQzNzYtOTFDQi1GNzhBODc4NDdFNEYtMTo1MmE1MTU1MDRmMDdhYWVhZTcxZjE5ZmExZjViYzYzZDox</t>
        </is>
      </c>
      <c r="AH1631" t="inlineStr">
        <is>
          <t>Al Fernando A. Crespo</t>
        </is>
      </c>
      <c r="AI1631"/>
      <c r="AJ1631" t="inlineStr">
        <is>
          <t>LIQUIDITY PLAN (PAR # 202511190046 / 2025TEG-P0319)
MANPOWER &gt; GRAND FINALS &gt;
League Operations &gt; Head Lops
Total Budget = Php 5,400.00
Actual Cost = Php 4,950.00
Balance = Php 450.00</t>
        </is>
      </c>
      <c r="AK1631"/>
    </row>
    <row r="1632" ht="25.5" customHeight="1">
      <c r="A1632" s="2" t="str">
        <f>=HYPERLINK("https://applink.larksuite.com/client/mini_program/open?appId=cli_9c7cc8a9a9edd105&amp;mode=appCenter&amp;path_pc=pc/pages/requested/index?instanceId=7579957331467767520&amp;source=bitable&amp;path=pages/detail/index?instanceId=7579957331467767520&amp;source=bitable", "202512040138")</f>
        <v>202512040138</v>
      </c>
      <c r="B1632" t="inlineStr">
        <is>
          <t>Approved</t>
        </is>
      </c>
      <c r="C1632" t="inlineStr">
        <is>
          <t>Procurement Order</t>
        </is>
      </c>
      <c r="D1632" s="3">
        <v>45995.795648148145</v>
      </c>
      <c r="E1632" s="3">
        <v>45996.84422453704</v>
      </c>
      <c r="F1632" t="inlineStr">
        <is>
          <t>Fatima Kathleen M. FLores</t>
        </is>
      </c>
      <c r="G1632" t="inlineStr">
        <is>
          <t>Procurement</t>
        </is>
      </c>
      <c r="H1632"/>
      <c r="I1632"/>
      <c r="J1632" t="inlineStr">
        <is>
          <t>Project</t>
        </is>
      </c>
      <c r="K1632" t="inlineStr">
        <is>
          <t>GG - Event Service</t>
        </is>
      </c>
      <c r="L1632" t="inlineStr">
        <is>
          <t>Mini Battle [Playoffs]</t>
        </is>
      </c>
      <c r="M1632" t="inlineStr">
        <is>
          <t>2025TEG-P0319</t>
        </is>
      </c>
      <c r="N1632" t="inlineStr">
        <is>
          <t>Maura Aurel Atilano Yap</t>
        </is>
      </c>
      <c r="O1632" t="inlineStr">
        <is>
          <t>202511200095-Maura Aurel Atilano Yap-费用报销 - 副本 - 副本 - 副本-2025-11-20 08:29:40</t>
        </is>
      </c>
      <c r="P1632" t="inlineStr">
        <is>
          <t>YES</t>
        </is>
      </c>
      <c r="Q1632"/>
      <c r="R1632" t="inlineStr">
        <is>
          <t>NO</t>
        </is>
      </c>
      <c r="S1632" t="inlineStr">
        <is>
          <t>Outsourced Referee</t>
        </is>
      </c>
      <c r="T1632">
        <v>1</v>
      </c>
      <c r="U1632">
        <v>4500</v>
      </c>
      <c r="V1632" t="inlineStr">
        <is>
          <t>PHP</t>
        </is>
      </c>
      <c r="W1632">
        <v>4500</v>
      </c>
      <c r="X1632" s="2" t="str">
        <f>=HYPERLINK("https://www.larksuite.com/approval/admin/previewAttachment?key=PMgxDgJACATALy2wsIefsfFysdDKaMfbTSxsp5ahVlpUg23esFGqOxVhLKmUjvExqSETMft5rou5pMd2y_PeOZ_77eyXZcsdCjIWALv8PUSyu4if4xsAAP__", "2 attachment(s)")</f>
        <v>2 attachment(s)</v>
      </c>
      <c r="Y1632" t="inlineStr">
        <is>
          <t>Bank Transfer</t>
        </is>
      </c>
      <c r="Z1632" t="inlineStr">
        <is>
          <t>Cedric Allen Conde</t>
        </is>
      </c>
      <c r="AA1632" t="inlineStr">
        <is>
          <t>016071162464</t>
        </is>
      </c>
      <c r="AB1632" t="inlineStr">
        <is>
          <t>GoTyme Bank</t>
        </is>
      </c>
      <c r="AC1632" t="inlineStr">
        <is>
          <t>23 Tinagan St. San Jose Quezon City</t>
        </is>
      </c>
      <c r="AD1632" s="4">
        <v>45989</v>
      </c>
      <c r="AE1632" t="inlineStr">
        <is>
          <t>100% Full Payment - Dec. 12, 2025</t>
        </is>
      </c>
      <c r="AF1632" s="2"/>
      <c r="AG1632" t="inlineStr">
        <is>
          <t>NzQyNTk5MTgyNzQ4MTg3MDM0MTo4NzlCRjA1Qi1EMDY1LTRGOEMtQTYxMC0yMUJBNjZGNjA2QzMtMTo0YzFkNjJhYWQyOGVmMmI0ZmE2ODAxOGNlYmU0ZmUzNTox</t>
        </is>
      </c>
      <c r="AH1632" t="inlineStr">
        <is>
          <t>Cedric Allen Conde</t>
        </is>
      </c>
      <c r="AI1632"/>
      <c r="AJ1632" t="inlineStr">
        <is>
          <t>LIQUIDITY PLAN (PAR # 202511190046 / 2025TEG-P0319)
MANPOWER &gt; GRAND FINALS &gt;
League Operations &gt; Referees
Total Budget = Php 10,800.00
Actual Cost = Php 4,500.00
Balance = Php 6,300.00</t>
        </is>
      </c>
      <c r="AK1632"/>
    </row>
    <row r="1633" ht="25.5" customHeight="1">
      <c r="A1633" s="2" t="str">
        <f>=HYPERLINK("https://applink.larksuite.com/client/mini_program/open?appId=cli_9c7cc8a9a9edd105&amp;mode=appCenter&amp;path_pc=pc/pages/requested/index?instanceId=7579957997087035105&amp;source=bitable&amp;path=pages/detail/index?instanceId=7579957997087035105&amp;source=bitable", "202512040140")</f>
        <v>202512040140</v>
      </c>
      <c r="B1633" t="inlineStr">
        <is>
          <t>Approved</t>
        </is>
      </c>
      <c r="C1633" t="inlineStr">
        <is>
          <t>Procurement Order</t>
        </is>
      </c>
      <c r="D1633" s="3">
        <v>45995.79744212963</v>
      </c>
      <c r="E1633" s="3">
        <v>45996.84378472222</v>
      </c>
      <c r="F1633" t="inlineStr">
        <is>
          <t>Fatima Kathleen M. FLores</t>
        </is>
      </c>
      <c r="G1633" t="inlineStr">
        <is>
          <t>Procurement</t>
        </is>
      </c>
      <c r="H1633"/>
      <c r="I1633"/>
      <c r="J1633" t="inlineStr">
        <is>
          <t>Project</t>
        </is>
      </c>
      <c r="K1633" t="inlineStr">
        <is>
          <t>GG - Event Service</t>
        </is>
      </c>
      <c r="L1633" t="inlineStr">
        <is>
          <t>Mini Battle [Playoffs]</t>
        </is>
      </c>
      <c r="M1633" t="inlineStr">
        <is>
          <t>2025TEG-P0319</t>
        </is>
      </c>
      <c r="N1633" t="inlineStr">
        <is>
          <t>Maura Aurel Atilano Yap</t>
        </is>
      </c>
      <c r="O1633" t="inlineStr">
        <is>
          <t>202511200095-Maura Aurel Atilano Yap-费用报销 - 副本 - 副本 - 副本-2025-11-20 08:29:40</t>
        </is>
      </c>
      <c r="P1633" t="inlineStr">
        <is>
          <t>YES</t>
        </is>
      </c>
      <c r="Q1633"/>
      <c r="R1633" t="inlineStr">
        <is>
          <t>NO</t>
        </is>
      </c>
      <c r="S1633" t="inlineStr">
        <is>
          <t>Outsourced Referee</t>
        </is>
      </c>
      <c r="T1633">
        <v>1</v>
      </c>
      <c r="U1633">
        <v>4500</v>
      </c>
      <c r="V1633" t="inlineStr">
        <is>
          <t>PHP</t>
        </is>
      </c>
      <c r="W1633">
        <v>4500</v>
      </c>
      <c r="X1633" s="2" t="str">
        <f>=HYPERLINK("https://www.larksuite.com/approval/admin/previewAttachment?key=PMgxDsIwDAXQK33HTr4_l2EhqmBoFQmpnXx2BAPDW95Iw8huPoSQNcGKndIXkYR3Q69WRgo0Bmru29135lrXeuVxXvOo8_nY5tu62BroEZ4A7PZ_Z0RII_B7fAIAAP__", "2 attachment(s)")</f>
        <v>2 attachment(s)</v>
      </c>
      <c r="Y1633" t="inlineStr">
        <is>
          <t>Bank Transfer</t>
        </is>
      </c>
      <c r="Z1633" t="inlineStr">
        <is>
          <t>Aaron Raphael Pascual</t>
        </is>
      </c>
      <c r="AA1633" t="inlineStr">
        <is>
          <t>003570283490</t>
        </is>
      </c>
      <c r="AB1633" t="inlineStr">
        <is>
          <t>BDO</t>
        </is>
      </c>
      <c r="AC1633" t="inlineStr">
        <is>
          <t>Unit 8 Las Villas del Cielo Subdivision Brgy Culiat Quezon City</t>
        </is>
      </c>
      <c r="AD1633" s="4">
        <v>45989</v>
      </c>
      <c r="AE1633" t="inlineStr">
        <is>
          <t>100% Full Payment - Dec. 12, 2025</t>
        </is>
      </c>
      <c r="AF1633" s="2"/>
      <c r="AG1633" t="inlineStr">
        <is>
          <t>NzQyNTk5MTgyNzQ4MTg3MDM0MTozMUM4ODE4RS0xREIwLTQ4QjgtOUQwNS1EQUJFQUIyNUI3RUMtMTowZDFiZDRhYmFhMDgzNzNmMjI1NGRmNzg2ZWIwNjY3ZTox</t>
        </is>
      </c>
      <c r="AH1633" t="inlineStr">
        <is>
          <t>Aaron Raphael Pascual</t>
        </is>
      </c>
      <c r="AI1633"/>
      <c r="AJ1633" t="inlineStr">
        <is>
          <t>LIQUIDITY PLAN (PAR # 202511190046 / 2025TEG-P0319)
MANPOWER &gt; GRAND FINALS &gt;
League Operations &gt; Referees
Total Remaining Budget = Php 6,300.00
Actual Cost = Php 4,500.00
Balance = Php 1,800.00</t>
        </is>
      </c>
      <c r="AK1633"/>
    </row>
    <row r="1634" ht="25.5" customHeight="1">
      <c r="A1634" s="2" t="str">
        <f>=HYPERLINK("https://applink.larksuite.com/client/mini_program/open?appId=cli_9c7cc8a9a9edd105&amp;mode=appCenter&amp;path_pc=pc/pages/requested/index?instanceId=7579958872773775070&amp;source=bitable&amp;path=pages/detail/index?instanceId=7579958872773775070&amp;source=bitable", "202512040141")</f>
        <v>202512040141</v>
      </c>
      <c r="B1634" t="inlineStr">
        <is>
          <t>Approved</t>
        </is>
      </c>
      <c r="C1634" t="inlineStr">
        <is>
          <t>Procurement Order</t>
        </is>
      </c>
      <c r="D1634" s="3">
        <v>45995.79980324074</v>
      </c>
      <c r="E1634" s="3">
        <v>45996.84326388889</v>
      </c>
      <c r="F1634" t="inlineStr">
        <is>
          <t>Fatima Kathleen M. FLores</t>
        </is>
      </c>
      <c r="G1634" t="inlineStr">
        <is>
          <t>Procurement</t>
        </is>
      </c>
      <c r="H1634"/>
      <c r="I1634"/>
      <c r="J1634" t="inlineStr">
        <is>
          <t>Project</t>
        </is>
      </c>
      <c r="K1634" t="inlineStr">
        <is>
          <t>GG - Event Service</t>
        </is>
      </c>
      <c r="L1634" t="inlineStr">
        <is>
          <t>Mini Battle [Playoffs]</t>
        </is>
      </c>
      <c r="M1634" t="inlineStr">
        <is>
          <t>2025TEG-P0319</t>
        </is>
      </c>
      <c r="N1634" t="inlineStr">
        <is>
          <t>Maura Aurel Atilano Yap</t>
        </is>
      </c>
      <c r="O1634" t="inlineStr">
        <is>
          <t>202511200095-Maura Aurel Atilano Yap-费用报销 - 副本 - 副本 - 副本-2025-11-20 08:29:40</t>
        </is>
      </c>
      <c r="P1634" t="inlineStr">
        <is>
          <t>YES</t>
        </is>
      </c>
      <c r="Q1634"/>
      <c r="R1634" t="inlineStr">
        <is>
          <t>NO</t>
        </is>
      </c>
      <c r="S1634" t="inlineStr">
        <is>
          <t>Outsourced Ushers</t>
        </is>
      </c>
      <c r="T1634">
        <v>1</v>
      </c>
      <c r="U1634">
        <v>8100</v>
      </c>
      <c r="V1634" t="inlineStr">
        <is>
          <t>PHP</t>
        </is>
      </c>
      <c r="W1634">
        <v>8100</v>
      </c>
      <c r="X1634" s="2" t="str">
        <f>=HYPERLINK("https://www.larksuite.com/approval/admin/previewAttachment?key=PMgxDsIwDAXQK307Tr4_l2FpVFEhJkREB58diaHrG2kY2a0NIWQuWLFT6pl0spEdRHkZKdAYqPna7-c6PloB_57z2J61Hts-39ZFd7BFtARgt8sbI0Iagb_jFwAA__8", "2 attachment(s)")</f>
        <v>2 attachment(s)</v>
      </c>
      <c r="Y1634" t="inlineStr">
        <is>
          <t>Bank Transfer</t>
        </is>
      </c>
      <c r="Z1634" t="inlineStr">
        <is>
          <t>Romelia Avila</t>
        </is>
      </c>
      <c r="AA1634" t="inlineStr">
        <is>
          <t>09776253986</t>
        </is>
      </c>
      <c r="AB1634" t="inlineStr">
        <is>
          <t>GCASH</t>
        </is>
      </c>
      <c r="AC1634" t="inlineStr">
        <is>
          <t>185 C Aguinaldo Salitran 1, Dasma, Cavite</t>
        </is>
      </c>
      <c r="AD1634" s="4">
        <v>45989</v>
      </c>
      <c r="AE1634" t="inlineStr">
        <is>
          <t>100% Full Payment - Dec. 12, 2025</t>
        </is>
      </c>
      <c r="AF1634" s="2"/>
      <c r="AG1634" t="inlineStr">
        <is>
          <t>NzQyNTk5MTgyNzQ4MTg3MDM0MTpBNjk5RDJFNi1BNEJDLTRCQzctQjI2OS0wOTQ5Mjc0Q0NGQTItMTowMzlhMmVjMTA2ZjcwYmM4MjU2ZDkxOGQ4ZDE2ZTA3MTox</t>
        </is>
      </c>
      <c r="AH1634" t="inlineStr">
        <is>
          <t>Romelia Avila</t>
        </is>
      </c>
      <c r="AI1634"/>
      <c r="AJ1634" t="inlineStr">
        <is>
          <t>LIQUIDITY PLAN (PAR # 202511190046 / 2025TEG-P0319)
MANPOWER &gt; GRAND FINALS &gt;
Logistics &gt; Ushers
Total Budget = Php 10,800.00
Actual Cost = Php 8,100.00
Balance = Php 2,700.00</t>
        </is>
      </c>
      <c r="AK1634"/>
    </row>
    <row r="1635" ht="25.5" customHeight="1">
      <c r="A1635" s="2" t="str">
        <f>=HYPERLINK("https://applink.larksuite.com/client/mini_program/open?appId=cli_9c7cc8a9a9edd105&amp;mode=appCenter&amp;path_pc=pc/pages/requested/index?instanceId=7579960347017121503&amp;source=bitable&amp;path=pages/detail/index?instanceId=7579960347017121503&amp;source=bitable", "202512040145")</f>
        <v>202512040145</v>
      </c>
      <c r="B1635" t="inlineStr">
        <is>
          <t>Approved</t>
        </is>
      </c>
      <c r="C1635" t="inlineStr">
        <is>
          <t>Procurement Order</t>
        </is>
      </c>
      <c r="D1635" s="3">
        <v>45995.803773148145</v>
      </c>
      <c r="E1635" s="3">
        <v>46002.46861111111</v>
      </c>
      <c r="F1635" t="inlineStr">
        <is>
          <t>Fatima Kathleen M. FLores</t>
        </is>
      </c>
      <c r="G1635" t="inlineStr">
        <is>
          <t>Procurement</t>
        </is>
      </c>
      <c r="H1635"/>
      <c r="I1635"/>
      <c r="J1635" t="inlineStr">
        <is>
          <t>Project</t>
        </is>
      </c>
      <c r="K1635" t="inlineStr">
        <is>
          <t>GG - Event Service</t>
        </is>
      </c>
      <c r="L1635" t="inlineStr">
        <is>
          <t>Mini Battle [Playoffs]</t>
        </is>
      </c>
      <c r="M1635" t="inlineStr">
        <is>
          <t>2025TEG-P0319</t>
        </is>
      </c>
      <c r="N1635" t="inlineStr">
        <is>
          <t>Maura Aurel Atilano Yap</t>
        </is>
      </c>
      <c r="O1635" t="inlineStr">
        <is>
          <t>202511200095-Maura Aurel Atilano Yap-费用报销 - 副本 - 副本 - 副本-2025-11-20 08:29:40</t>
        </is>
      </c>
      <c r="P1635" t="inlineStr">
        <is>
          <t>YES</t>
        </is>
      </c>
      <c r="Q1635"/>
      <c r="R1635" t="inlineStr">
        <is>
          <t>YES</t>
        </is>
      </c>
      <c r="S1635" t="inlineStr">
        <is>
          <t>Outsourced Game Observer</t>
        </is>
      </c>
      <c r="T1635">
        <v>1</v>
      </c>
      <c r="U1635">
        <v>18000</v>
      </c>
      <c r="V1635" t="inlineStr">
        <is>
          <t>PHP</t>
        </is>
      </c>
      <c r="W1635">
        <v>18000</v>
      </c>
      <c r="X1635" s="2" t="str">
        <f>=HYPERLINK("https://www.larksuite.com/approval/admin/previewAttachment?key=PMgxDgIhFATQK83wPwzjZWyWEAupjJotOLuJxbavdaL1ymhGmsXgVpXdEClQLKyIXTYlQ1RijzXv68QR5_Bz8Yv33J_HMceL1SoFiszoAHi7PJSZdkv8Hb8AAAD__w", "1 attachment(s)")</f>
        <v>1 attachment(s)</v>
      </c>
      <c r="Y1635" t="inlineStr">
        <is>
          <t>Bank Transfer</t>
        </is>
      </c>
      <c r="Z1635" t="inlineStr">
        <is>
          <t>John Benigno R. Magat</t>
        </is>
      </c>
      <c r="AA1635" t="inlineStr">
        <is>
          <t>046110005388</t>
        </is>
      </c>
      <c r="AB1635" t="inlineStr">
        <is>
          <t>PSBank</t>
        </is>
      </c>
      <c r="AC1635" t="inlineStr">
        <is>
          <t>228 Grissom st. Brgy Moonwalk Paranaque</t>
        </is>
      </c>
      <c r="AD1635" s="4">
        <v>45989</v>
      </c>
      <c r="AE1635" t="inlineStr">
        <is>
          <t>1st Payment - Dec. 12, 2025
Final Payment - Dec. 26, 2025</t>
        </is>
      </c>
      <c r="AF1635" s="2"/>
      <c r="AG1635" t="inlineStr">
        <is>
          <t>NzQyNTk5MTgyNzQ4MTg3MDM0MTpFQjgyQzhENy0xMzJFLTQxQzMtODEyRC1BREUyMDk3NjQ1MkEtMToyMjU3MzVmMjdiMTZjODQ2YjljYTRiMGU0Njc4YWU1MDox</t>
        </is>
      </c>
      <c r="AH1635" t="inlineStr">
        <is>
          <t>John Benigno R. Magat</t>
        </is>
      </c>
      <c r="AI1635"/>
      <c r="AJ1635" t="inlineStr">
        <is>
          <t>LIQUIDITY PLAN (PAR # 202511190046 / 2025TEG-P0319)
MANPOWER &gt; GRAND FINALS &gt;
TV Broadcast &gt; Game Observer w/ Equipment
Total Budget = Php 43,200.00
Actual Cost = Php 54,000.00
Balance = (Php 10,800.00) OVER BUDGET</t>
        </is>
      </c>
      <c r="AK1635"/>
    </row>
    <row r="1636" ht="25.5" customHeight="1">
      <c r="A1636" s="2" t="str">
        <f>=HYPERLINK("https://applink.larksuite.com/client/mini_program/open?appId=cli_9c7cc8a9a9edd105&amp;mode=appCenter&amp;path_pc=pc/pages/requested/index?instanceId=7579960347017121503&amp;source=bitable&amp;path=pages/detail/index?instanceId=7579960347017121503&amp;source=bitable", "202512040145")</f>
        <v>202512040145</v>
      </c>
      <c r="B1636" t="inlineStr">
        <is>
          <t>Approved</t>
        </is>
      </c>
      <c r="C1636" t="inlineStr">
        <is>
          <t>Procurement Order</t>
        </is>
      </c>
      <c r="D1636" s="3">
        <v>45995.803773148145</v>
      </c>
      <c r="E1636" s="3">
        <v>46002.46861111111</v>
      </c>
      <c r="F1636" t="inlineStr">
        <is>
          <t>Fatima Kathleen M. FLores</t>
        </is>
      </c>
      <c r="G1636" t="inlineStr">
        <is>
          <t>Procurement</t>
        </is>
      </c>
      <c r="H1636"/>
      <c r="I1636"/>
      <c r="J1636" t="inlineStr">
        <is>
          <t>Project</t>
        </is>
      </c>
      <c r="K1636" t="inlineStr">
        <is>
          <t>GG - Event Service</t>
        </is>
      </c>
      <c r="L1636" t="inlineStr">
        <is>
          <t>Mini Battle [Playoffs]</t>
        </is>
      </c>
      <c r="M1636" t="inlineStr">
        <is>
          <t>2025TEG-P0319</t>
        </is>
      </c>
      <c r="N1636" t="inlineStr">
        <is>
          <t>Maura Aurel Atilano Yap</t>
        </is>
      </c>
      <c r="O1636" t="inlineStr">
        <is>
          <t>202511200095-Maura Aurel Atilano Yap-费用报销 - 副本 - 副本 - 副本-2025-11-20 08:29:40</t>
        </is>
      </c>
      <c r="P1636" t="inlineStr">
        <is>
          <t>YES</t>
        </is>
      </c>
      <c r="Q1636"/>
      <c r="R1636" t="inlineStr">
        <is>
          <t>YES</t>
        </is>
      </c>
      <c r="S1636" t="inlineStr">
        <is>
          <t>Production Equipment (Rental)</t>
        </is>
      </c>
      <c r="T1636">
        <v>1</v>
      </c>
      <c r="U1636">
        <v>36000</v>
      </c>
      <c r="V1636" t="inlineStr">
        <is>
          <t>PHP</t>
        </is>
      </c>
      <c r="W1636">
        <v>36000</v>
      </c>
      <c r="X1636" s="2" t="str">
        <f>=HYPERLINK("https://www.larksuite.com/approval/admin/previewAttachment?key=PMgxDgIhFATQK83wPwzjZWyWEAupjJotOLuJxbavdaL1ymhGmsXgVpXdEClQLKyIXTYlQ1RijzXv68QR5_Bz8Yv33J_HMceL1SoFiszoAHi7PJSZdkv8nb8AAAD__w", "1 attachment(s)")</f>
        <v>1 attachment(s)</v>
      </c>
      <c r="Y1636"/>
      <c r="Z1636"/>
      <c r="AA1636"/>
      <c r="AB1636"/>
      <c r="AC1636"/>
      <c r="AD1636" s="4"/>
      <c r="AE1636"/>
      <c r="AF1636" s="2"/>
      <c r="AG1636" t="inlineStr">
        <is>
          <t>NzQyNTk5MTgyNzQ4MTg3MDM0MTpFQjgyQzhENy0xMzJFLTQxQzMtODEyRC1BREUyMDk3NjQ1MkEtMjowN2E4M2FhOTZjMTM1NGNhODFlMDY2MjhmOWI0MmM1MTox</t>
        </is>
      </c>
      <c r="AH1636"/>
      <c r="AI1636"/>
      <c r="AJ1636" t="inlineStr">
        <is>
          <t>LIQUIDITY PLAN (PAR # 202511190046 / 2025TEG-P0319)
MANPOWER &gt; GRAND FINALS &gt;
TV Broadcast &gt; Game Observer w/ Equipment
Total Budget = Php 43,200.00
Actual Cost = Php 54,000.00
Balance = (Php 10,800.00) OVER BUDGET</t>
        </is>
      </c>
      <c r="AK1636"/>
    </row>
    <row r="1637" ht="25.5" customHeight="1">
      <c r="A1637" s="2" t="str">
        <f>=HYPERLINK("https://applink.larksuite.com/client/mini_program/open?appId=cli_9c7cc8a9a9edd105&amp;mode=appCenter&amp;path_pc=pc/pages/requested/index?instanceId=7580227060870729440&amp;source=bitable&amp;path=pages/detail/index?instanceId=7580227060870729440&amp;source=bitable", "202512050045")</f>
        <v>202512050045</v>
      </c>
      <c r="B1637" t="inlineStr">
        <is>
          <t>Approved</t>
        </is>
      </c>
      <c r="C1637" t="inlineStr">
        <is>
          <t>Procurement Order</t>
        </is>
      </c>
      <c r="D1637" s="3">
        <v>45996.522511574076</v>
      </c>
      <c r="E1637" s="3">
        <v>45996.78114583333</v>
      </c>
      <c r="F1637" t="inlineStr">
        <is>
          <t>Fatima Kathleen M. FLores</t>
        </is>
      </c>
      <c r="G1637" t="inlineStr">
        <is>
          <t>Procurement</t>
        </is>
      </c>
      <c r="H1637"/>
      <c r="I1637"/>
      <c r="J1637" t="inlineStr">
        <is>
          <t>Project</t>
        </is>
      </c>
      <c r="K1637" t="inlineStr">
        <is>
          <t>GG - Event Service</t>
        </is>
      </c>
      <c r="L1637" t="inlineStr">
        <is>
          <t>KIC 2025 - Playoffs</t>
        </is>
      </c>
      <c r="M1637" t="inlineStr">
        <is>
          <t>2025TEG-P0321</t>
        </is>
      </c>
      <c r="N1637" t="inlineStr">
        <is>
          <t>Carla Andrea Calma Crespo</t>
        </is>
      </c>
      <c r="O1637" t="inlineStr">
        <is>
          <t>202511250108-Carla Andrea Calma Crespo-费用报销 - 副本 - 副本 - 副本-2025-11-25 07:47:11</t>
        </is>
      </c>
      <c r="P1637" t="inlineStr">
        <is>
          <t>YES</t>
        </is>
      </c>
      <c r="Q1637"/>
      <c r="R1637" t="inlineStr">
        <is>
          <t>NO</t>
        </is>
      </c>
      <c r="S1637" t="inlineStr">
        <is>
          <t>Outsourced Teleprompter</t>
        </is>
      </c>
      <c r="T1637">
        <v>1</v>
      </c>
      <c r="U1637">
        <v>8250</v>
      </c>
      <c r="V1637" t="inlineStr">
        <is>
          <t>PHP</t>
        </is>
      </c>
      <c r="W1637">
        <v>8250</v>
      </c>
      <c r="X1637" s="2" t="str">
        <f>=HYPERLINK("https://www.larksuite.com/approval/admin/previewAttachment?key=PMgxCgJRDATQK03mz_-TeBkbl0VQK1GxyNkFi23fysDKGWMVVMFCtGeCNBbSMEtCs8MuOCz09tjPGJ9k5p03fl81-3297NszZpmEhzQSQJwOH5ZUtYS_4xcAAP__", "2 attachment(s)")</f>
        <v>2 attachment(s)</v>
      </c>
      <c r="Y1637" t="inlineStr">
        <is>
          <t>Bank Transfer</t>
        </is>
      </c>
      <c r="Z1637" t="inlineStr">
        <is>
          <t>Mc Kenneth R. Esteban</t>
        </is>
      </c>
      <c r="AA1637" t="inlineStr">
        <is>
          <t>9619212212</t>
        </is>
      </c>
      <c r="AB1637" t="inlineStr">
        <is>
          <t>BPI</t>
        </is>
      </c>
      <c r="AC1637" t="inlineStr">
        <is>
          <t>10 Kasoy St. Pasong Tamo Quezon City</t>
        </is>
      </c>
      <c r="AD1637" s="4">
        <v>45987</v>
      </c>
      <c r="AE1637" t="inlineStr">
        <is>
          <t>100% Full Payment - Dec. 19, 2025</t>
        </is>
      </c>
      <c r="AF1637" s="2"/>
      <c r="AG1637" t="inlineStr">
        <is>
          <t>NzQyNTk5MTgyNzQ4MTg3MDM0MTo2ODFCMTk0RS0zOUIyLTQyOTctOUMyOC1GMTI2MEM4OEI0MUEtMTo5Y2QxNDdhYzM3NTc5ZjM1NjIxNjE4MTE1OTI4YzBkYjox</t>
        </is>
      </c>
      <c r="AH1637" t="inlineStr">
        <is>
          <t>Mc Kenneth R. Esteban</t>
        </is>
      </c>
      <c r="AI1637"/>
      <c r="AJ1637" t="inlineStr">
        <is>
          <t>LIQUIDITY PLAN (PAR # 202511200098 / 2025TEG-P0321)
BROADCAST TEAM &gt; Prompter Operator x2
Total Budget = Php 21,600.00
Actual Cost = Php 8,250.00
Balance = Php 13,350.00
^ THIS IS BASED ON AN UPDATED INTERNAL CE, ATTACHED AS A COMMENT TO THE PAR ON DEC. 4, 2025</t>
        </is>
      </c>
      <c r="AK1637"/>
    </row>
    <row r="1638" ht="25.5" customHeight="1">
      <c r="A1638" s="2" t="str">
        <f>=HYPERLINK("https://applink.larksuite.com/client/mini_program/open?appId=cli_9c7cc8a9a9edd105&amp;mode=appCenter&amp;path_pc=pc/pages/requested/index?instanceId=7580213322151153375&amp;source=bitable&amp;path=pages/detail/index?instanceId=7580213322151153375&amp;source=bitable", "202512050038")</f>
        <v>202512050038</v>
      </c>
      <c r="B1638" t="inlineStr">
        <is>
          <t>Approved</t>
        </is>
      </c>
      <c r="C1638" t="inlineStr">
        <is>
          <t>Procurement Order</t>
        </is>
      </c>
      <c r="D1638" s="3">
        <v>45996.48548611111</v>
      </c>
      <c r="E1638" s="3">
        <v>45996.77097222222</v>
      </c>
      <c r="F1638" t="inlineStr">
        <is>
          <t>Fatima Kathleen M. FLores</t>
        </is>
      </c>
      <c r="G1638" t="inlineStr">
        <is>
          <t>Procurement</t>
        </is>
      </c>
      <c r="H1638"/>
      <c r="I1638"/>
      <c r="J1638" t="inlineStr">
        <is>
          <t>Project</t>
        </is>
      </c>
      <c r="K1638" t="inlineStr">
        <is>
          <t>GG - Event Service</t>
        </is>
      </c>
      <c r="L1638" t="inlineStr">
        <is>
          <t>KIC 2025 - Playoffs</t>
        </is>
      </c>
      <c r="M1638" t="inlineStr">
        <is>
          <t>2025TEG-P0321</t>
        </is>
      </c>
      <c r="N1638" t="inlineStr">
        <is>
          <t>Carla Andrea Calma Crespo</t>
        </is>
      </c>
      <c r="O1638" t="inlineStr">
        <is>
          <t>202511250024-Carla Andrea Calma Crespo-费用报销 - 副本 - 副本 - 副本-2025-11-25 04:15:43</t>
        </is>
      </c>
      <c r="P1638" t="inlineStr">
        <is>
          <t>YES</t>
        </is>
      </c>
      <c r="Q1638"/>
      <c r="R1638" t="inlineStr">
        <is>
          <t>NO</t>
        </is>
      </c>
      <c r="S1638" t="inlineStr">
        <is>
          <t>Outsourced Referee</t>
        </is>
      </c>
      <c r="T1638">
        <v>1</v>
      </c>
      <c r="U1638">
        <v>8250</v>
      </c>
      <c r="V1638" t="inlineStr">
        <is>
          <t>PHP</t>
        </is>
      </c>
      <c r="W1638">
        <v>8250</v>
      </c>
      <c r="X1638" s="2" t="str">
        <f>=HYPERLINK("https://www.larksuite.com/approval/admin/previewAttachment?key=PMgxCgJBDAXQK_2f_EwmXsbGYXHBFUFQm5xdsLB9YxJjBn0UVLQCO2PC6G7GIMM9o62ZWUim0OvYzm_t_pHWbef9eKx-XS_bejIqzZAu-QTA0989JVUN4ef4BgAA__8", "2 attachment(s)")</f>
        <v>2 attachment(s)</v>
      </c>
      <c r="Y1638" t="inlineStr">
        <is>
          <t>Bank Transfer</t>
        </is>
      </c>
      <c r="Z1638" t="inlineStr">
        <is>
          <t>Harell Jhomar De Jesus</t>
        </is>
      </c>
      <c r="AA1638" t="inlineStr">
        <is>
          <t>1093 2714 4084</t>
        </is>
      </c>
      <c r="AB1638" t="inlineStr">
        <is>
          <t>Unionbank</t>
        </is>
      </c>
      <c r="AC1638" t="inlineStr">
        <is>
          <t>Sitio Gitna, San Isidro, Batangas City, Batangas</t>
        </is>
      </c>
      <c r="AD1638" s="4">
        <v>45987</v>
      </c>
      <c r="AE1638" t="inlineStr">
        <is>
          <t>100% Full Payment - Dec. 19, 2025</t>
        </is>
      </c>
      <c r="AF1638" s="2"/>
      <c r="AG1638" t="inlineStr">
        <is>
          <t>NzQyNTk5MTgyNzQ4MTg3MDM0MTpCRjBCQjBCRi0yRTM5LTQ3NUYtOTEyNC1BQjc2RDE3NURCMUYtMTo2NDg1NWRkZmFkODRkNDhiZjAxOTE1MTY0ZjI5YTVmODox</t>
        </is>
      </c>
      <c r="AH1638" t="inlineStr">
        <is>
          <t>Harell Jhomar De Jesus</t>
        </is>
      </c>
      <c r="AI1638"/>
      <c r="AJ1638" t="inlineStr">
        <is>
          <t>LIQUIDITY PLAN (PAR # 202511200098 / 2025TEG-P0321)
OPERATIONS TEAM &gt; League Operations &gt;
Referee 2
Total Budget = Php 9,000.00
Actual Cost = Php 8,250.00
Balance = Php 750.00
^ THIS IS BASED ON AN UPDATED INTERNAL CE, ATTACHED AS A COMMENT TO THE PAR ON DEC. 4, 2025</t>
        </is>
      </c>
      <c r="AK1638"/>
    </row>
    <row r="1639" ht="25.5" customHeight="1">
      <c r="A1639" s="2" t="str">
        <f>=HYPERLINK("https://applink.larksuite.com/client/mini_program/open?appId=cli_9c7cc8a9a9edd105&amp;mode=appCenter&amp;path_pc=pc/pages/requested/index?instanceId=7580212779684990690&amp;source=bitable&amp;path=pages/detail/index?instanceId=7580212779684990690&amp;source=bitable", "202512050037")</f>
        <v>202512050037</v>
      </c>
      <c r="B1639" t="inlineStr">
        <is>
          <t>Approved</t>
        </is>
      </c>
      <c r="C1639" t="inlineStr">
        <is>
          <t>Procurement Order</t>
        </is>
      </c>
      <c r="D1639" s="3">
        <v>45996.48402777778</v>
      </c>
      <c r="E1639" s="3">
        <v>45996.771840277775</v>
      </c>
      <c r="F1639" t="inlineStr">
        <is>
          <t>Fatima Kathleen M. FLores</t>
        </is>
      </c>
      <c r="G1639" t="inlineStr">
        <is>
          <t>Procurement</t>
        </is>
      </c>
      <c r="H1639"/>
      <c r="I1639"/>
      <c r="J1639" t="inlineStr">
        <is>
          <t>Project</t>
        </is>
      </c>
      <c r="K1639" t="inlineStr">
        <is>
          <t>GG - Event Service</t>
        </is>
      </c>
      <c r="L1639" t="inlineStr">
        <is>
          <t>KIC 2025 - Playoffs</t>
        </is>
      </c>
      <c r="M1639" t="inlineStr">
        <is>
          <t>2025TEG-P0321</t>
        </is>
      </c>
      <c r="N1639" t="inlineStr">
        <is>
          <t>Carla Andrea Calma Crespo</t>
        </is>
      </c>
      <c r="O1639" t="inlineStr">
        <is>
          <t>202511250024-Carla Andrea Calma Crespo-费用报销 - 副本 - 副本 - 副本-2025-11-25 04:15:43</t>
        </is>
      </c>
      <c r="P1639" t="inlineStr">
        <is>
          <t>YES</t>
        </is>
      </c>
      <c r="Q1639"/>
      <c r="R1639" t="inlineStr">
        <is>
          <t>NO</t>
        </is>
      </c>
      <c r="S1639" t="inlineStr">
        <is>
          <t>Outsourced Referee</t>
        </is>
      </c>
      <c r="T1639">
        <v>1</v>
      </c>
      <c r="U1639">
        <v>8250</v>
      </c>
      <c r="V1639" t="inlineStr">
        <is>
          <t>PHP</t>
        </is>
      </c>
      <c r="W1639">
        <v>8250</v>
      </c>
      <c r="X1639" s="2" t="str">
        <f>=HYPERLINK("https://www.larksuite.com/approval/admin/previewAttachment?key=PMgxqoIxEATgK81sNjs77zKvMQQbbYQfLHJ2wcL2qyaqJ0cZaYbBo9kIhuTqtFHGiUPJEJU467H_xegn4bmv91x9rvttrxenFQGNzNEA-Pfzocy0K_F1fAIAAP__", "2 attachment(s)")</f>
        <v>2 attachment(s)</v>
      </c>
      <c r="Y1639" t="inlineStr">
        <is>
          <t>Bank Transfer</t>
        </is>
      </c>
      <c r="Z1639" t="inlineStr">
        <is>
          <t>Brian Angelo Rollo</t>
        </is>
      </c>
      <c r="AA1639" t="inlineStr">
        <is>
          <t>09667960353</t>
        </is>
      </c>
      <c r="AB1639" t="inlineStr">
        <is>
          <t>GCash</t>
        </is>
      </c>
      <c r="AC1639" t="inlineStr">
        <is>
          <t>51-B 17th Avenue, Cubao, Quezon City</t>
        </is>
      </c>
      <c r="AD1639" s="4">
        <v>45987</v>
      </c>
      <c r="AE1639" t="inlineStr">
        <is>
          <t>100% Full Payment - Dec. 19, 2025</t>
        </is>
      </c>
      <c r="AF1639" s="2"/>
      <c r="AG1639" t="inlineStr">
        <is>
          <t>NzQyNTk5MTgyNzQ4MTg3MDM0MTpGQTMyODYwQy1BREY2LTQ4MUEtQUYwNi1BNzNEMUM0NTM3RUEtMTpiMTNkNTA3NTEyMTkyYzk3Yzg0MzE0MGU1MjY2YmUxMjox</t>
        </is>
      </c>
      <c r="AH1639" t="inlineStr">
        <is>
          <t>Brian Angelo Rollo</t>
        </is>
      </c>
      <c r="AI1639"/>
      <c r="AJ1639" t="inlineStr">
        <is>
          <t>LIQUIDITY PLAN (PAR # 202511200098 / 2025TEG-P0321)
OPERATIONS TEAM &gt; League Operations &gt;
Referee 1
Total Budget = Php 9,000.00
Actual Cost = Php 8,250.00
Balance = Php 750.00
^ THIS IS BASED ON AN UPDATED INTERNAL CE, ATTACHED AS A COMMENT TO THE PAR ON DEC. 4, 2025</t>
        </is>
      </c>
      <c r="AK1639"/>
    </row>
    <row r="1640" ht="25.5" customHeight="1">
      <c r="A1640" s="2" t="str">
        <f>=HYPERLINK("https://applink.larksuite.com/client/mini_program/open?appId=cli_9c7cc8a9a9edd105&amp;mode=appCenter&amp;path_pc=pc/pages/requested/index?instanceId=7580215286599765730&amp;source=bitable&amp;path=pages/detail/index?instanceId=7580215286599765730&amp;source=bitable", "202512050040")</f>
        <v>202512050040</v>
      </c>
      <c r="B1640" t="inlineStr">
        <is>
          <t>Approved</t>
        </is>
      </c>
      <c r="C1640" t="inlineStr">
        <is>
          <t>Procurement Order</t>
        </is>
      </c>
      <c r="D1640" s="3">
        <v>45996.49078703704</v>
      </c>
      <c r="E1640" s="3">
        <v>45996.77247685185</v>
      </c>
      <c r="F1640" t="inlineStr">
        <is>
          <t>Fatima Kathleen M. FLores</t>
        </is>
      </c>
      <c r="G1640" t="inlineStr">
        <is>
          <t>Procurement</t>
        </is>
      </c>
      <c r="H1640"/>
      <c r="I1640"/>
      <c r="J1640" t="inlineStr">
        <is>
          <t>Project</t>
        </is>
      </c>
      <c r="K1640" t="inlineStr">
        <is>
          <t>GG - Event Service</t>
        </is>
      </c>
      <c r="L1640" t="inlineStr">
        <is>
          <t>KIC 2025 - Playoffs</t>
        </is>
      </c>
      <c r="M1640" t="inlineStr">
        <is>
          <t>2025TEG-P0321</t>
        </is>
      </c>
      <c r="N1640" t="inlineStr">
        <is>
          <t>Carla Andrea Calma Crespo</t>
        </is>
      </c>
      <c r="O1640" t="inlineStr">
        <is>
          <t>202511250024-Carla Andrea Calma Crespo-费用报销 - 副本 - 副本 - 副本-2025-11-25 04:15:43</t>
        </is>
      </c>
      <c r="P1640" t="inlineStr">
        <is>
          <t>YES</t>
        </is>
      </c>
      <c r="Q1640"/>
      <c r="R1640" t="inlineStr">
        <is>
          <t>NO</t>
        </is>
      </c>
      <c r="S1640" t="inlineStr">
        <is>
          <t>Outsourced Referee</t>
        </is>
      </c>
      <c r="T1640">
        <v>1</v>
      </c>
      <c r="U1640">
        <v>9900</v>
      </c>
      <c r="V1640" t="inlineStr">
        <is>
          <t>PHP</t>
        </is>
      </c>
      <c r="W1640">
        <v>9900</v>
      </c>
      <c r="X1640" s="2" t="str">
        <f>=HYPERLINK("https://www.larksuite.com/approval/admin/previewAttachment?key=PMhBqgJBDATQK1Wlk1TyL_M30zSC6EaYwUWfXXDh9mURWcGRDW9ag1tRMIZVRrcyNLBtU2qIcuz5WP92XvW-az4XdR3a5-1Y88VomUHDfRQA_v18yN270_F1fAIAAP__", "2 attachment(s)")</f>
        <v>2 attachment(s)</v>
      </c>
      <c r="Y1640" t="inlineStr">
        <is>
          <t>Bank Transfer</t>
        </is>
      </c>
      <c r="Z1640" t="inlineStr">
        <is>
          <t>Jairard Proverbs Palon</t>
        </is>
      </c>
      <c r="AA1640" t="inlineStr">
        <is>
          <t>09367382717</t>
        </is>
      </c>
      <c r="AB1640" t="inlineStr">
        <is>
          <t>GCash</t>
        </is>
      </c>
      <c r="AC1640" t="inlineStr">
        <is>
          <t>Block 3 Lot 8, Cowslip St. Lancaster Residences, Alapan 2-A, Imus City, Cavite</t>
        </is>
      </c>
      <c r="AD1640" s="4">
        <v>45987</v>
      </c>
      <c r="AE1640" t="inlineStr">
        <is>
          <t>100% Full Payment - Dec. 19, 2025</t>
        </is>
      </c>
      <c r="AF1640" s="2"/>
      <c r="AG1640" t="inlineStr">
        <is>
          <t>NzQyNTk5MTgyNzQ4MTg3MDM0MTowNzZCNDA5Mi01MjU3LTRGRDAtQkUyRS0zNTMzRkNCNzUwRTgtMTo5M2E4Y2VmNjY2NWVjYTVmN2E2ODYxMjExODM0ZjA1Zjox</t>
        </is>
      </c>
      <c r="AH1640" t="inlineStr">
        <is>
          <t>Jairard Proverbs Palon</t>
        </is>
      </c>
      <c r="AI1640"/>
      <c r="AJ1640" t="inlineStr">
        <is>
          <t>LIQUIDITY PLAN (PAR # 202511200098 / 2025TEG-P0321)
OPERATIONS TEAM &gt; League Operations &gt;
Referee 4
Total Budget = Php 10,800.00
Actual Cost = Php 9,900.00
Balance = Php 900.00
^ THIS IS BASED ON AN UPDATED INTERNAL CE, ATTACHED AS A COMMENT TO THE PAR ON DEC. 4, 2025</t>
        </is>
      </c>
      <c r="AK1640"/>
    </row>
    <row r="1641" ht="25.5" customHeight="1">
      <c r="A1641" s="2" t="str">
        <f>=HYPERLINK("https://applink.larksuite.com/client/mini_program/open?appId=cli_9c7cc8a9a9edd105&amp;mode=appCenter&amp;path_pc=pc/pages/requested/index?instanceId=7580214686386228960&amp;source=bitable&amp;path=pages/detail/index?instanceId=7580214686386228960&amp;source=bitable", "202512050039")</f>
        <v>202512050039</v>
      </c>
      <c r="B1641" t="inlineStr">
        <is>
          <t>Approved</t>
        </is>
      </c>
      <c r="C1641" t="inlineStr">
        <is>
          <t>Procurement Order</t>
        </is>
      </c>
      <c r="D1641" s="3">
        <v>45996.489166666666</v>
      </c>
      <c r="E1641" s="3">
        <v>45996.77357638889</v>
      </c>
      <c r="F1641" t="inlineStr">
        <is>
          <t>Fatima Kathleen M. FLores</t>
        </is>
      </c>
      <c r="G1641" t="inlineStr">
        <is>
          <t>Procurement</t>
        </is>
      </c>
      <c r="H1641"/>
      <c r="I1641"/>
      <c r="J1641" t="inlineStr">
        <is>
          <t>Project</t>
        </is>
      </c>
      <c r="K1641" t="inlineStr">
        <is>
          <t>GG - Event Service</t>
        </is>
      </c>
      <c r="L1641" t="inlineStr">
        <is>
          <t>KIC 2025 - Playoffs</t>
        </is>
      </c>
      <c r="M1641" t="inlineStr">
        <is>
          <t>2025TEG-P0321</t>
        </is>
      </c>
      <c r="N1641" t="inlineStr">
        <is>
          <t>Carla Andrea Calma Crespo</t>
        </is>
      </c>
      <c r="O1641" t="inlineStr">
        <is>
          <t>202511250024-Carla Andrea Calma Crespo-费用报销 - 副本 - 副本 - 副本-2025-11-25 04:15:43</t>
        </is>
      </c>
      <c r="P1641" t="inlineStr">
        <is>
          <t>YES</t>
        </is>
      </c>
      <c r="Q1641"/>
      <c r="R1641" t="inlineStr">
        <is>
          <t>NO</t>
        </is>
      </c>
      <c r="S1641" t="inlineStr">
        <is>
          <t>Outsourced Referee</t>
        </is>
      </c>
      <c r="T1641">
        <v>1</v>
      </c>
      <c r="U1641">
        <v>8250</v>
      </c>
      <c r="V1641" t="inlineStr">
        <is>
          <t>PHP</t>
        </is>
      </c>
      <c r="W1641">
        <v>8250</v>
      </c>
      <c r="X1641" s="2" t="str">
        <f>=HYPERLINK("https://www.larksuite.com/approval/admin/previewAttachment?key=PMhLCsJAEATQK1V_pqvLy7hxCBoIBITgZs4uuHD7qg3Vw6KElLlgi6PhltUVXe6twvJlpEBjYs1ju5_7Kz77Mc9LTsx1PR_bfNsQ3cHIjAZgt78HM1OqxM_xDQAA__8", "2 attachment(s)")</f>
        <v>2 attachment(s)</v>
      </c>
      <c r="Y1641" t="inlineStr">
        <is>
          <t>Bank Transfer</t>
        </is>
      </c>
      <c r="Z1641" t="inlineStr">
        <is>
          <t>Michael Joseph T. Ibarra</t>
        </is>
      </c>
      <c r="AA1641" t="inlineStr">
        <is>
          <t>09471275542</t>
        </is>
      </c>
      <c r="AB1641" t="inlineStr">
        <is>
          <t>GCash</t>
        </is>
      </c>
      <c r="AC1641" t="inlineStr">
        <is>
          <t>Block 4 Lot 15 Kasoy Street. Palmera Homes Phase 1-A. Brgy Sta Monica, Novaliches, Quezon City</t>
        </is>
      </c>
      <c r="AD1641" s="4">
        <v>45987</v>
      </c>
      <c r="AE1641" t="inlineStr">
        <is>
          <t>100% Full Payment - Dec. 19, 2025</t>
        </is>
      </c>
      <c r="AF1641" s="2"/>
      <c r="AG1641" t="inlineStr">
        <is>
          <t>NzQyNTk5MTgyNzQ4MTg3MDM0MTpCMEM4MDczNS03MUY2LTQ0RkUtOEU3NS0xOEFFNUFGMjhBQ0MtMTpiMzNkZGIzOThiNGUyYWFjNmMwOTc1YWEzNjI0MzY5Mjox</t>
        </is>
      </c>
      <c r="AH1641" t="inlineStr">
        <is>
          <t>Michael Joseph T. Ibarra</t>
        </is>
      </c>
      <c r="AI1641"/>
      <c r="AJ1641" t="inlineStr">
        <is>
          <t>LIQUIDITY PLAN (PAR # 202511200098 / 2025TEG-P0321)
OPERATIONS TEAM &gt; League Operations &gt;
Referee 3
Total Budget = Php 9,000.00
Actual Cost = Php 8,250.00
Balance = Php 750.00
^ THIS IS BASED ON AN UPDATED INTERNAL CE, ATTACHED AS A COMMENT TO THE PAR ON DEC. 4, 2025</t>
        </is>
      </c>
      <c r="AK1641"/>
    </row>
    <row r="1642" ht="25.5" customHeight="1">
      <c r="A1642" s="2" t="str">
        <f>=HYPERLINK("https://applink.larksuite.com/client/mini_program/open?appId=cli_9c7cc8a9a9edd105&amp;mode=appCenter&amp;path_pc=pc/pages/requested/index?instanceId=7580222560839700194&amp;source=bitable&amp;path=pages/detail/index?instanceId=7580222560839700194&amp;source=bitable", "202512050043")</f>
        <v>202512050043</v>
      </c>
      <c r="B1642" t="inlineStr">
        <is>
          <t>Approved</t>
        </is>
      </c>
      <c r="C1642" t="inlineStr">
        <is>
          <t>Procurement Order</t>
        </is>
      </c>
      <c r="D1642" s="3">
        <v>45996.51039351852</v>
      </c>
      <c r="E1642" s="3">
        <v>45996.77417824074</v>
      </c>
      <c r="F1642" t="inlineStr">
        <is>
          <t>Fatima Kathleen M. FLores</t>
        </is>
      </c>
      <c r="G1642" t="inlineStr">
        <is>
          <t>Procurement</t>
        </is>
      </c>
      <c r="H1642"/>
      <c r="I1642"/>
      <c r="J1642" t="inlineStr">
        <is>
          <t>Project</t>
        </is>
      </c>
      <c r="K1642" t="inlineStr">
        <is>
          <t>GG - Event Service</t>
        </is>
      </c>
      <c r="L1642" t="inlineStr">
        <is>
          <t>KIC 2025 - Playoffs</t>
        </is>
      </c>
      <c r="M1642" t="inlineStr">
        <is>
          <t>2025TEG-P0321</t>
        </is>
      </c>
      <c r="N1642" t="inlineStr">
        <is>
          <t>Carla Andrea Calma Crespo</t>
        </is>
      </c>
      <c r="O1642" t="inlineStr">
        <is>
          <t>202511250107-Carla Andrea Calma Crespo-费用报销 - 副本 - 副本 - 副本-2025-11-25 07:42:16</t>
        </is>
      </c>
      <c r="P1642" t="inlineStr">
        <is>
          <t>YES</t>
        </is>
      </c>
      <c r="Q1642"/>
      <c r="R1642" t="inlineStr">
        <is>
          <t>NO</t>
        </is>
      </c>
      <c r="S1642" t="inlineStr">
        <is>
          <t>Outsourced Replay Operator (Camera)</t>
        </is>
      </c>
      <c r="T1642">
        <v>1</v>
      </c>
      <c r="U1642">
        <v>9000</v>
      </c>
      <c r="V1642" t="inlineStr">
        <is>
          <t>PHP</t>
        </is>
      </c>
      <c r="W1642">
        <v>9000</v>
      </c>
      <c r="X1642" s="2" t="str">
        <f>=HYPERLINK("https://www.larksuite.com/approval/admin/previewAttachment?key=PMhBikJBDATQK1WS6k5qLjMbPx9pUASxwUXOLrhw-2YZZg2LKVDmgnWOgruPiQolYGJ7W6aQlkQft_Nf611747VwZzxW7-vlPJ42lO7IIKMA2N_PI0lKk_g6PgEAAP__", "2 attachment(s)")</f>
        <v>2 attachment(s)</v>
      </c>
      <c r="Y1642" t="inlineStr">
        <is>
          <t>Bank Transfer</t>
        </is>
      </c>
      <c r="Z1642" t="inlineStr">
        <is>
          <t>Dannie Rizal N. Iremedio</t>
        </is>
      </c>
      <c r="AA1642" t="inlineStr">
        <is>
          <t>0000075157652</t>
        </is>
      </c>
      <c r="AB1642" t="inlineStr">
        <is>
          <t>Security Bank</t>
        </is>
      </c>
      <c r="AC1642" t="inlineStr">
        <is>
          <t>790 P. Ocampo St , Brgy 719, Zone 78 Malate, Manila</t>
        </is>
      </c>
      <c r="AD1642" s="4">
        <v>45987</v>
      </c>
      <c r="AE1642" t="inlineStr">
        <is>
          <t>100% Full Payment - Dec. 19, 2025</t>
        </is>
      </c>
      <c r="AF1642" s="2"/>
      <c r="AG1642" t="inlineStr">
        <is>
          <t>NzQyNTk5MTgyNzQ4MTg3MDM0MTo5QzdEN0IzOC1CN0RFLTQzOUMtQUEzMC04RjJDNEY3NDg2QTQtMTo1ODIxZGUzMzNmNjlhYzViYzEwMTVhZjU0OTQ5NTdmODox</t>
        </is>
      </c>
      <c r="AH1642" t="inlineStr">
        <is>
          <t>Dannie Rizal N. Iremedio</t>
        </is>
      </c>
      <c r="AI1642"/>
      <c r="AJ1642" t="inlineStr">
        <is>
          <t>LIQUIDITY PLAN (PAR # 202511200098 / 2025TEG-P0321)
BROADCAST TEAM &gt; Replay Operator (CAMERA) 
Total Budget = Php 12,000.00
Actual Cost = Php 9,000.00
Balance = Php 3,000.00
^ THIS IS BASED ON AN UPDATED INTERNAL CE, ATTACHED AS A COMMENT TO THE PAR ON DEC. 4, 2025</t>
        </is>
      </c>
      <c r="AK1642"/>
    </row>
    <row r="1643" ht="25.5" customHeight="1">
      <c r="A1643" s="2" t="str">
        <f>=HYPERLINK("https://applink.larksuite.com/client/mini_program/open?appId=cli_9c7cc8a9a9edd105&amp;mode=appCenter&amp;path_pc=pc/pages/requested/index?instanceId=7580219604522258141&amp;source=bitable&amp;path=pages/detail/index?instanceId=7580219604522258141&amp;source=bitable", "202512050042")</f>
        <v>202512050042</v>
      </c>
      <c r="B1643" t="inlineStr">
        <is>
          <t>Approved</t>
        </is>
      </c>
      <c r="C1643" t="inlineStr">
        <is>
          <t>Procurement Order</t>
        </is>
      </c>
      <c r="D1643" s="3">
        <v>45996.50241898148</v>
      </c>
      <c r="E1643" s="3">
        <v>45996.778182870374</v>
      </c>
      <c r="F1643" t="inlineStr">
        <is>
          <t>Fatima Kathleen M. FLores</t>
        </is>
      </c>
      <c r="G1643" t="inlineStr">
        <is>
          <t>Procurement</t>
        </is>
      </c>
      <c r="H1643"/>
      <c r="I1643"/>
      <c r="J1643" t="inlineStr">
        <is>
          <t>Project</t>
        </is>
      </c>
      <c r="K1643" t="inlineStr">
        <is>
          <t>GG - Event Service</t>
        </is>
      </c>
      <c r="L1643" t="inlineStr">
        <is>
          <t>KIC 2025 - Playoffs</t>
        </is>
      </c>
      <c r="M1643" t="inlineStr">
        <is>
          <t>2025TEG-P0321</t>
        </is>
      </c>
      <c r="N1643" t="inlineStr">
        <is>
          <t>Carla Andrea Calma Crespo</t>
        </is>
      </c>
      <c r="O1643" t="inlineStr">
        <is>
          <t>202511250031-Carla Andrea Calma Crespo-费用报销 - 副本 - 副本 - 副本-2025-11-25 04:36:27</t>
        </is>
      </c>
      <c r="P1643" t="inlineStr">
        <is>
          <t>YES</t>
        </is>
      </c>
      <c r="Q1643"/>
      <c r="R1643" t="inlineStr">
        <is>
          <t>NO</t>
        </is>
      </c>
      <c r="S1643" t="inlineStr">
        <is>
          <t>Outsourced Assistant Technical Director</t>
        </is>
      </c>
      <c r="T1643">
        <v>1</v>
      </c>
      <c r="U1643">
        <v>99000</v>
      </c>
      <c r="V1643" t="inlineStr">
        <is>
          <t>PHP</t>
        </is>
      </c>
      <c r="W1643">
        <v>99000</v>
      </c>
      <c r="X1643" s="2" t="str">
        <f>=HYPERLINK("https://www.larksuite.com/approval/admin/previewAttachment?key=PMgxDsJADATAL-361mebz9AkOiFEaBBQ-e1IFGlnJjHTOWZBRSuwwxPGmpCbmSfFtmZEIRhC78e6bm87HhjPRTru3_7ctrW_6BVmiCGNBMDL6SMkVU3h7_gFAAD__w", "2 attachment(s)")</f>
        <v>2 attachment(s)</v>
      </c>
      <c r="Y1643" t="inlineStr">
        <is>
          <t>Bank Transfer</t>
        </is>
      </c>
      <c r="Z1643" t="inlineStr">
        <is>
          <t>Ricardo Cuevas</t>
        </is>
      </c>
      <c r="AA1643" t="inlineStr">
        <is>
          <t>200039521228</t>
        </is>
      </c>
      <c r="AB1643" t="inlineStr">
        <is>
          <t>EastWest Banking Corporation</t>
        </is>
      </c>
      <c r="AC1643" t="inlineStr">
        <is>
          <t>130 F. Acab St. Caloocan City</t>
        </is>
      </c>
      <c r="AD1643" s="4">
        <v>45980</v>
      </c>
      <c r="AE1643" t="inlineStr">
        <is>
          <t>1st Payment - Dec. 12, 2025
2nd Payment - Dec. 19, 2025
Final Payment - Jan. 9, 2026</t>
        </is>
      </c>
      <c r="AF1643" s="2"/>
      <c r="AG1643" t="inlineStr">
        <is>
          <t>NzQyNTk5MTgyNzQ4MTg3MDM0MTo0QzdDRkEyOS1CQkNBLTQ2OUQtQUQ2Ni0yMjE2RjczQUQxOEEtMTpmZjE3ZGVmYTMzNjVhOTRlMDliMDljMWU1MmE1NjZlNjox</t>
        </is>
      </c>
      <c r="AH1643" t="inlineStr">
        <is>
          <t>Ricardo Cuevas</t>
        </is>
      </c>
      <c r="AI1643"/>
      <c r="AJ1643" t="inlineStr">
        <is>
          <t>LIQUIDITY PLAN (PAR # 202511200098 / 2025TEG-P0321)
OPERATIONS TEAM &gt; Production Management &gt;
FOH Ass. Technical Director - Main Event
FOH Ass. Technical Director - Carnival
Total Budget = Php 154,000.00
Actual Cost = Php 99,000.00
Balance = Php 55,000.00
^ THIS IS BASED ON AN UPDATED INTERNAL CE, ATTACHED AS A COMMENT TO THE PAR ON DEC. 4, 2025</t>
        </is>
      </c>
      <c r="AK1643"/>
    </row>
    <row r="1644" ht="25.5" customHeight="1">
      <c r="A1644" s="2" t="str">
        <f>=HYPERLINK("https://applink.larksuite.com/client/mini_program/open?appId=cli_9c7cc8a9a9edd105&amp;mode=appCenter&amp;path_pc=pc/pages/requested/index?instanceId=7580223975452593885&amp;source=bitable&amp;path=pages/detail/index?instanceId=7580223975452593885&amp;source=bitable", "202512050044")</f>
        <v>202512050044</v>
      </c>
      <c r="B1644" t="inlineStr">
        <is>
          <t>Approved</t>
        </is>
      </c>
      <c r="C1644" t="inlineStr">
        <is>
          <t>Procurement Order</t>
        </is>
      </c>
      <c r="D1644" s="3">
        <v>45996.51420138889</v>
      </c>
      <c r="E1644" s="3">
        <v>45996.77931712963</v>
      </c>
      <c r="F1644" t="inlineStr">
        <is>
          <t>Fatima Kathleen M. FLores</t>
        </is>
      </c>
      <c r="G1644" t="inlineStr">
        <is>
          <t>Procurement</t>
        </is>
      </c>
      <c r="H1644"/>
      <c r="I1644"/>
      <c r="J1644" t="inlineStr">
        <is>
          <t>Project</t>
        </is>
      </c>
      <c r="K1644" t="inlineStr">
        <is>
          <t>GG - Event Service</t>
        </is>
      </c>
      <c r="L1644" t="inlineStr">
        <is>
          <t>KIC 2025 - Playoffs</t>
        </is>
      </c>
      <c r="M1644" t="inlineStr">
        <is>
          <t>2025TEG-P0321</t>
        </is>
      </c>
      <c r="N1644" t="inlineStr">
        <is>
          <t>Carla Andrea Calma Crespo</t>
        </is>
      </c>
      <c r="O1644" t="inlineStr">
        <is>
          <t>202511250107-Carla Andrea Calma Crespo-费用报销 - 副本 - 副本 - 副本-2025-11-25 07:42:16</t>
        </is>
      </c>
      <c r="P1644" t="inlineStr">
        <is>
          <t>YES</t>
        </is>
      </c>
      <c r="Q1644"/>
      <c r="R1644" t="inlineStr">
        <is>
          <t>NO</t>
        </is>
      </c>
      <c r="S1644" t="inlineStr">
        <is>
          <t>Outsourced Replay Operator (Game)</t>
        </is>
      </c>
      <c r="T1644">
        <v>1</v>
      </c>
      <c r="U1644">
        <v>9000</v>
      </c>
      <c r="V1644" t="inlineStr">
        <is>
          <t>PHP</t>
        </is>
      </c>
      <c r="W1644">
        <v>9000</v>
      </c>
      <c r="X1644" s="2" t="str">
        <f>=HYPERLINK("https://www.larksuite.com/approval/admin/previewAttachment?key=PMg7CgJBEATQK1X1Z7rLy5jsMhjMRoJoMGcXDEzfaGJ00ocQognclQ0zV2Wkpbw7t21WCcUK7POa9-n82Htx6jiutfbrcczzyVSZoTzCGwBvf_eKCGkEfo5vAAAA__8", "2 attachment(s)")</f>
        <v>2 attachment(s)</v>
      </c>
      <c r="Y1644" t="inlineStr">
        <is>
          <t>Bank Transfer</t>
        </is>
      </c>
      <c r="Z1644" t="inlineStr">
        <is>
          <t>Avin Francis Melendres Kais</t>
        </is>
      </c>
      <c r="AA1644" t="inlineStr">
        <is>
          <t>120602031077</t>
        </is>
      </c>
      <c r="AB1644" t="inlineStr">
        <is>
          <t>Chinabank</t>
        </is>
      </c>
      <c r="AC1644" t="inlineStr">
        <is>
          <t>1221 D Felix Huertas St. Sta.Cruz, Manila</t>
        </is>
      </c>
      <c r="AD1644" s="4">
        <v>45987</v>
      </c>
      <c r="AE1644" t="inlineStr">
        <is>
          <t>100% Full Payment - Dec. 19, 2025</t>
        </is>
      </c>
      <c r="AF1644" s="2"/>
      <c r="AG1644" t="inlineStr">
        <is>
          <t>NzQyNTk5MTgyNzQ4MTg3MDM0MTo3QjEzQzI1Mi02N0RDLTQyMjYtQTE5QS0xREQxNTZFNDg5QTItMToxZWE4NzUyZGMyOWMwZDcxODNkNmNkOTk4YWQ5NzMwNzox</t>
        </is>
      </c>
      <c r="AH1644" t="inlineStr">
        <is>
          <t>Avin Francis Melendres Kais</t>
        </is>
      </c>
      <c r="AI1644"/>
      <c r="AJ1644" t="inlineStr">
        <is>
          <t>LIQUIDITY PLAN (PAR # 202511200098 / 2025TEG-P0321)
BROADCAST TEAM &gt; Replay Operator (GAME)
Total Budget = Php 10,800.00
Actual Cost = Php 9,000.00
Balance = Php 1,800.00
^ THIS IS BASED ON AN UPDATED INTERNAL CE, ATTACHED AS A COMMENT TO THE PAR ON DEC. 4, 2025</t>
        </is>
      </c>
      <c r="AK1644"/>
    </row>
    <row r="1645" ht="25.5" customHeight="1">
      <c r="A1645" s="2" t="str">
        <f>=HYPERLINK("https://applink.larksuite.com/client/mini_program/open?appId=cli_9c7cc8a9a9edd105&amp;mode=appCenter&amp;path_pc=pc/pages/requested/index?instanceId=7580227875404599009&amp;source=bitable&amp;path=pages/detail/index?instanceId=7580227875404599009&amp;source=bitable", "202512050046")</f>
        <v>202512050046</v>
      </c>
      <c r="B1645" t="inlineStr">
        <is>
          <t>Approved</t>
        </is>
      </c>
      <c r="C1645" t="inlineStr">
        <is>
          <t>Procurement Order</t>
        </is>
      </c>
      <c r="D1645" s="3">
        <v>45996.52471064815</v>
      </c>
      <c r="E1645" s="3">
        <v>45996.78023148148</v>
      </c>
      <c r="F1645" t="inlineStr">
        <is>
          <t>Fatima Kathleen M. FLores</t>
        </is>
      </c>
      <c r="G1645" t="inlineStr">
        <is>
          <t>Procurement</t>
        </is>
      </c>
      <c r="H1645"/>
      <c r="I1645"/>
      <c r="J1645" t="inlineStr">
        <is>
          <t>Project</t>
        </is>
      </c>
      <c r="K1645" t="inlineStr">
        <is>
          <t>GG - Event Service</t>
        </is>
      </c>
      <c r="L1645" t="inlineStr">
        <is>
          <t>KIC 2025 - Playoffs</t>
        </is>
      </c>
      <c r="M1645" t="inlineStr">
        <is>
          <t>2025TEG-P0321</t>
        </is>
      </c>
      <c r="N1645" t="inlineStr">
        <is>
          <t>Carla Andrea Calma Crespo</t>
        </is>
      </c>
      <c r="O1645" t="inlineStr">
        <is>
          <t>202511250108-Carla Andrea Calma Crespo-费用报销 - 副本 - 副本 - 副本-2025-11-25 07:47:11</t>
        </is>
      </c>
      <c r="P1645" t="inlineStr">
        <is>
          <t>YES</t>
        </is>
      </c>
      <c r="Q1645"/>
      <c r="R1645" t="inlineStr">
        <is>
          <t>NO</t>
        </is>
      </c>
      <c r="S1645" t="inlineStr">
        <is>
          <t>Outsourced Teleprompter</t>
        </is>
      </c>
      <c r="T1645">
        <v>1</v>
      </c>
      <c r="U1645">
        <v>6500</v>
      </c>
      <c r="V1645" t="inlineStr">
        <is>
          <t>PHP</t>
        </is>
      </c>
      <c r="W1645">
        <v>6500</v>
      </c>
      <c r="X1645" s="2" t="str">
        <f>=HYPERLINK("https://www.larksuite.com/approval/admin/previewAttachment?key=PMg9CgJRDATgK03ykjcZL2Pjsuj6gyArNjm7YGH7zTLMShtTCJkL1syCO4sZiJQAtbeRAo2BXu7r8eq3fdsv9Xxw-6T6fT6ty8tSdAdHxCgAdvj7YERIM_BzfAMAAP__", "2 attachment(s)")</f>
        <v>2 attachment(s)</v>
      </c>
      <c r="Y1645" t="inlineStr">
        <is>
          <t>Bank Transfer</t>
        </is>
      </c>
      <c r="Z1645" t="inlineStr">
        <is>
          <t>Nathaniel Esguerra</t>
        </is>
      </c>
      <c r="AA1645" t="inlineStr">
        <is>
          <t>09217369372</t>
        </is>
      </c>
      <c r="AB1645" t="inlineStr">
        <is>
          <t>Gcash</t>
        </is>
      </c>
      <c r="AC1645" t="inlineStr">
        <is>
          <t>3417 Guernica St., Palanan, Makati</t>
        </is>
      </c>
      <c r="AD1645" s="4">
        <v>45987</v>
      </c>
      <c r="AE1645" t="inlineStr">
        <is>
          <t>100% Full Payment - Dec. 19, 2025</t>
        </is>
      </c>
      <c r="AF1645" s="2"/>
      <c r="AG1645" t="inlineStr">
        <is>
          <t>NzQyNTk5MTgyNzQ4MTg3MDM0MTpDMTc0NDA4Qi01NjAzLTQwNDYtQkI0My0zMTdGQjM5MEZFRDUtMTpmODFhZDQ5NTQ3ZWI3Y2ZlNWNlMzBjOGJjNWQ4N2ZjYjox</t>
        </is>
      </c>
      <c r="AH1645" t="inlineStr">
        <is>
          <t>Nathaniel Esguerra</t>
        </is>
      </c>
      <c r="AI1645"/>
      <c r="AJ1645" t="inlineStr">
        <is>
          <t>LIQUIDITY PLAN (PAR # 202511200098 / 2025TEG-P0321)
BROADCAST TEAM &gt; Prompter Operator x2
Total Remaining Budget = Php 13,350.00
Actual Cost = Php 6,500.00
Balance = Php 6,850.00
^ THIS IS BASED ON AN UPDATED INTERNAL CE, ATTACHED AS A COMMENT TO THE PAR ON DEC. 4, 2025</t>
        </is>
      </c>
      <c r="AK1645"/>
    </row>
    <row r="1646" ht="25.5" customHeight="1">
      <c r="A1646" s="2" t="str">
        <f>=HYPERLINK("https://applink.larksuite.com/client/mini_program/open?appId=cli_9c7cc8a9a9edd105&amp;mode=appCenter&amp;path_pc=pc/pages/requested/index?instanceId=7578841441900728030&amp;source=bitable&amp;path=pages/detail/index?instanceId=7578841441900728030&amp;source=bitable", "202512010161")</f>
        <v>202512010161</v>
      </c>
      <c r="B1646" t="inlineStr">
        <is>
          <t>Approved</t>
        </is>
      </c>
      <c r="C1646" t="inlineStr">
        <is>
          <t>Procurement Order</t>
        </is>
      </c>
      <c r="D1646" s="3">
        <v>45992.78855324074</v>
      </c>
      <c r="E1646" s="3">
        <v>45996.85351851852</v>
      </c>
      <c r="F1646" t="inlineStr">
        <is>
          <t>Fatima Kathleen M. FLores</t>
        </is>
      </c>
      <c r="G1646" t="inlineStr">
        <is>
          <t>Procurement</t>
        </is>
      </c>
      <c r="H1646"/>
      <c r="I1646"/>
      <c r="J1646" t="inlineStr">
        <is>
          <t>Project</t>
        </is>
      </c>
      <c r="K1646" t="inlineStr">
        <is>
          <t>PDEI - Event Service</t>
        </is>
      </c>
      <c r="L1646" t="inlineStr">
        <is>
          <t>MDL PH S6 Playoffs + Grand Finals Watch Party</t>
        </is>
      </c>
      <c r="M1646" t="inlineStr">
        <is>
          <t>2025TEG-P0197</t>
        </is>
      </c>
      <c r="N1646" t="inlineStr">
        <is>
          <t>Kervin</t>
        </is>
      </c>
      <c r="O1646" t="inlineStr">
        <is>
          <t>202511240003-Kervin-费用报销 - 副本 - 副本 - 副本-2025-11-24 01:29:25</t>
        </is>
      </c>
      <c r="P1646" t="inlineStr">
        <is>
          <t>YES</t>
        </is>
      </c>
      <c r="Q1646"/>
      <c r="R1646" t="inlineStr">
        <is>
          <t>YES</t>
        </is>
      </c>
      <c r="S1646" t="inlineStr">
        <is>
          <t>Outsourced Photographer</t>
        </is>
      </c>
      <c r="T1646">
        <v>1</v>
      </c>
      <c r="U1646">
        <v>10000</v>
      </c>
      <c r="V1646" t="inlineStr">
        <is>
          <t>PHP</t>
        </is>
      </c>
      <c r="W1646">
        <v>10000</v>
      </c>
      <c r="X1646" s="2" t="str">
        <f>=HYPERLINK("https://www.larksuite.com/approval/admin/previewAttachment?key=PMgxCgJBDAXQK_0kf-YnXsbGYRFhbYRhm5xdsLB9Mw0zh8UssMwL1hrKpJFWgDwRaG-TCjIRvc7jvmJcvt7H3tf5yt37-TjWx0bJHQoyEoDd_h4iWTWJn-MbAAD__w", "2 attachment(s)")</f>
        <v>2 attachment(s)</v>
      </c>
      <c r="Y1646" t="inlineStr">
        <is>
          <t>Bank Transfer</t>
        </is>
      </c>
      <c r="Z1646" t="inlineStr">
        <is>
          <t>Richard D. Esguerra</t>
        </is>
      </c>
      <c r="AA1646" t="inlineStr">
        <is>
          <t>008130275916</t>
        </is>
      </c>
      <c r="AB1646" t="inlineStr">
        <is>
          <t>BDO</t>
        </is>
      </c>
      <c r="AC1646" t="inlineStr">
        <is>
          <t>Blk 5 Lot 41K Emerald Ave. Garden Villas Phase 6, Brgy. Caingin, Santa Rosa City</t>
        </is>
      </c>
      <c r="AD1646" s="4">
        <v>45949</v>
      </c>
      <c r="AE1646" t="inlineStr">
        <is>
          <t>100% Full Payment - Dec. 5, 2025</t>
        </is>
      </c>
      <c r="AF1646" s="2"/>
      <c r="AG1646" t="inlineStr">
        <is>
          <t>NzQyNTk5MTgyNzQ4MTg3MDM0MTpEQTMwQkVENi1GQzg4LTQ4RUYtQkU3OC02NDM4MEVEM0QyOTMtMTpjM2UzYWM3NjJiZGZlYjUzOTM3NWVhYjg3ZmI0ODI0NDox</t>
        </is>
      </c>
      <c r="AH1646" t="inlineStr">
        <is>
          <t>Richard D. Esguerra</t>
        </is>
      </c>
      <c r="AI1646"/>
      <c r="AJ1646" t="inlineStr">
        <is>
          <t>Unbudgeted. No line item in internal CE</t>
        </is>
      </c>
      <c r="AK1646"/>
    </row>
    <row r="1647" ht="25.5" customHeight="1">
      <c r="A1647" s="2" t="str">
        <f>=HYPERLINK("https://applink.larksuite.com/client/mini_program/open?appId=cli_9c7cc8a9a9edd105&amp;mode=appCenter&amp;path_pc=pc/pages/requested/index?instanceId=7580272188096368350&amp;source=bitable&amp;path=pages/detail/index?instanceId=7580272188096368350&amp;source=bitable", "202512050066")</f>
        <v>202512050066</v>
      </c>
      <c r="B1647" t="inlineStr">
        <is>
          <t>Approved</t>
        </is>
      </c>
      <c r="C1647" t="inlineStr">
        <is>
          <t>Procurement Order</t>
        </is>
      </c>
      <c r="D1647" s="3">
        <v>45996.64412037037</v>
      </c>
      <c r="E1647" s="3">
        <v>45996.78612268518</v>
      </c>
      <c r="F1647" t="inlineStr">
        <is>
          <t>Fatima Kathleen M. FLores</t>
        </is>
      </c>
      <c r="G1647" t="inlineStr">
        <is>
          <t>Procurement</t>
        </is>
      </c>
      <c r="H1647"/>
      <c r="I1647"/>
      <c r="J1647" t="inlineStr">
        <is>
          <t>Project</t>
        </is>
      </c>
      <c r="K1647" t="inlineStr">
        <is>
          <t>GG - Event Service</t>
        </is>
      </c>
      <c r="L1647" t="inlineStr">
        <is>
          <t>KIC 2025 - Playoffs</t>
        </is>
      </c>
      <c r="M1647" t="inlineStr">
        <is>
          <t>2025TEG-P0321</t>
        </is>
      </c>
      <c r="N1647" t="inlineStr">
        <is>
          <t>Carla Andrea Calma Crespo</t>
        </is>
      </c>
      <c r="O1647" t="inlineStr">
        <is>
          <t>202511250109-Carla Andrea Calma Crespo-费用报销 - 副本 - 副本 - 副本-2025-11-25 07:51:33</t>
        </is>
      </c>
      <c r="P1647" t="inlineStr">
        <is>
          <t>YES</t>
        </is>
      </c>
      <c r="Q1647"/>
      <c r="R1647" t="inlineStr">
        <is>
          <t>NO</t>
        </is>
      </c>
      <c r="S1647" t="inlineStr">
        <is>
          <t>Outsourced Observer</t>
        </is>
      </c>
      <c r="T1647">
        <v>1</v>
      </c>
      <c r="U1647">
        <v>9000</v>
      </c>
      <c r="V1647" t="inlineStr">
        <is>
          <t>PHP</t>
        </is>
      </c>
      <c r="W1647">
        <v>9000</v>
      </c>
      <c r="X1647" s="2" t="str">
        <f>=HYPERLINK("https://www.larksuite.com/approval/admin/previewAttachment?key=PMi7CQJBGATglmb-99iMyS2HIBcJgsHWLhiYfjVETdJLCNEE7s6BtXEGKq_xxLbNbqHZgb2u8z6Rw5V56Xl8Vu734zjXi6k2Q3uEDwDe_u4dEVIFfo5vAAAA__8", "2 attachment(s)")</f>
        <v>2 attachment(s)</v>
      </c>
      <c r="Y1647" t="inlineStr">
        <is>
          <t>Bank Transfer</t>
        </is>
      </c>
      <c r="Z1647" t="inlineStr">
        <is>
          <t>Annejeleeka Cherrell Ho</t>
        </is>
      </c>
      <c r="AA1647" t="inlineStr">
        <is>
          <t>1093 2537 7435</t>
        </is>
      </c>
      <c r="AB1647" t="inlineStr">
        <is>
          <t>UnionBank</t>
        </is>
      </c>
      <c r="AC1647" t="inlineStr">
        <is>
          <t>24B Camia St. Brgy Talipapa Quezon City</t>
        </is>
      </c>
      <c r="AD1647" s="4">
        <v>45987</v>
      </c>
      <c r="AE1647" t="inlineStr">
        <is>
          <t>100% Full Payment - Dec. 19, 2025</t>
        </is>
      </c>
      <c r="AF1647" s="2"/>
      <c r="AG1647" t="inlineStr">
        <is>
          <t>NzQyNTk5MTgyNzQ4MTg3MDM0MTozQTVFMjMzOS0xNUU5LTQ5RkUtQTg5Ni0wQ0EzQ0Q0QjZCRjUtMTpjNmVkYjZhOGM5MmEwYjg1ZmIzNzlkYTMwMTJkNTc0ODox</t>
        </is>
      </c>
      <c r="AH1647" t="inlineStr">
        <is>
          <t>Annejeleeka Cherrell Ho</t>
        </is>
      </c>
      <c r="AI1647"/>
      <c r="AJ1647" t="inlineStr">
        <is>
          <t>LIQUIDITY PLAN (PAR # 202511200098 / 2025TEG-P0321)
BROADCAST TEAM &gt; Observer 4 (BACK-UP)
Total Budget = Php 10,800.00
Actual Cost = Php 9,000.00
Balance = Php 1,800.00
^ THIS IS BASED ON AN UPDATED INTERNAL CE, ATTACHED AS A COMMENT TO THE PAR ON DEC. 4, 2025</t>
        </is>
      </c>
      <c r="AK1647"/>
    </row>
    <row r="1648" ht="25.5" customHeight="1">
      <c r="A1648" s="2" t="str">
        <f>=HYPERLINK("https://applink.larksuite.com/client/mini_program/open?appId=cli_9c7cc8a9a9edd105&amp;mode=appCenter&amp;path_pc=pc/pages/requested/index?instanceId=7580273346093256412&amp;source=bitable&amp;path=pages/detail/index?instanceId=7580273346093256412&amp;source=bitable", "202512050068")</f>
        <v>202512050068</v>
      </c>
      <c r="B1648" t="inlineStr">
        <is>
          <t>Approved</t>
        </is>
      </c>
      <c r="C1648" t="inlineStr">
        <is>
          <t>Procurement Order</t>
        </is>
      </c>
      <c r="D1648" s="3">
        <v>45996.64724537037</v>
      </c>
      <c r="E1648" s="3">
        <v>45996.78564814815</v>
      </c>
      <c r="F1648" t="inlineStr">
        <is>
          <t>Fatima Kathleen M. FLores</t>
        </is>
      </c>
      <c r="G1648" t="inlineStr">
        <is>
          <t>Procurement</t>
        </is>
      </c>
      <c r="H1648"/>
      <c r="I1648"/>
      <c r="J1648" t="inlineStr">
        <is>
          <t>Project</t>
        </is>
      </c>
      <c r="K1648" t="inlineStr">
        <is>
          <t>GG - Event Service</t>
        </is>
      </c>
      <c r="L1648" t="inlineStr">
        <is>
          <t>KIC 2025 - Playoffs</t>
        </is>
      </c>
      <c r="M1648" t="inlineStr">
        <is>
          <t>2025TEG-P0321</t>
        </is>
      </c>
      <c r="N1648" t="inlineStr">
        <is>
          <t>Carla Andrea Calma Crespo</t>
        </is>
      </c>
      <c r="O1648" t="inlineStr">
        <is>
          <t>202511250111-Carla Andrea Calma Crespo-费用报销 - 副本 - 副本 - 副本-2025-11-25 07:56:13</t>
        </is>
      </c>
      <c r="P1648" t="inlineStr">
        <is>
          <t>YES</t>
        </is>
      </c>
      <c r="Q1648"/>
      <c r="R1648" t="inlineStr">
        <is>
          <t>NO</t>
        </is>
      </c>
      <c r="S1648" t="inlineStr">
        <is>
          <t>Outsourced CG Operator (PH)</t>
        </is>
      </c>
      <c r="T1648">
        <v>1</v>
      </c>
      <c r="U1648">
        <v>18000</v>
      </c>
      <c r="V1648" t="inlineStr">
        <is>
          <t>PHP</t>
        </is>
      </c>
      <c r="W1648">
        <v>18000</v>
      </c>
      <c r="X1648" s="2" t="str">
        <f>=HYPERLINK("https://www.larksuite.com/approval/admin/previewAttachment?key=PMgxrgIxDATQK83YEzv-l_nNriKapUEEGp8diYL2xSRiDnoUVLQCO8eEpbsC5TZCtLZmZiGZQp_X-r_zjf3yYz61rzV63451PjgqzZAu-QTAv597SqoK4ev4BAAA__8", "2 attachment(s)")</f>
        <v>2 attachment(s)</v>
      </c>
      <c r="Y1648" t="inlineStr">
        <is>
          <t>Bank Transfer</t>
        </is>
      </c>
      <c r="Z1648" t="inlineStr">
        <is>
          <t>Remar John Bayona</t>
        </is>
      </c>
      <c r="AA1648" t="inlineStr">
        <is>
          <t>09458591894</t>
        </is>
      </c>
      <c r="AB1648" t="inlineStr">
        <is>
          <t>GCash</t>
        </is>
      </c>
      <c r="AC1648" t="inlineStr">
        <is>
          <t>Puntales Road,Concepcion,Iloilo</t>
        </is>
      </c>
      <c r="AD1648" s="4">
        <v>45986</v>
      </c>
      <c r="AE1648" t="inlineStr">
        <is>
          <t>100% Full Payment - Dec. 19, 2025</t>
        </is>
      </c>
      <c r="AF1648" s="2"/>
      <c r="AG1648" t="inlineStr">
        <is>
          <t>NzQyNTk5MTgyNzQ4MTg3MDM0MTpERDFEOTA1My1BNEE1LTQ1NzYtOTVGOS0yRTA5RTI0RTgyOTktMTo1MWQ1NWVjYzJjNDFkZTE1Zjk0YjkyNmQ2OGEzYTZkNTox</t>
        </is>
      </c>
      <c r="AH1648" t="inlineStr">
        <is>
          <t>Remar John Bayona</t>
        </is>
      </c>
      <c r="AI1648"/>
      <c r="AJ1648" t="inlineStr">
        <is>
          <t>LIQUIDITY PLAN (PAR # 202511200098 / 2025TEG-P0321)
BROADCAST TEAM &gt; PH CG Operator
Total Budget = Php 18,000.00
Actual Cost = Php 18,000.00
^ THIS IS BASED ON AN UPDATED INTERNAL CE, ATTACHED AS A COMMENT TO THE PAR ON DEC. 4, 2025</t>
        </is>
      </c>
      <c r="AK1648"/>
    </row>
    <row r="1649" ht="25.5" customHeight="1">
      <c r="A1649" s="2" t="str">
        <f>=HYPERLINK("https://applink.larksuite.com/client/mini_program/open?appId=cli_9c7cc8a9a9edd105&amp;mode=appCenter&amp;path_pc=pc/pages/requested/index?instanceId=7580285724486815452&amp;source=bitable&amp;path=pages/detail/index?instanceId=7580285724486815452&amp;source=bitable", "202512050078")</f>
        <v>202512050078</v>
      </c>
      <c r="B1649" t="inlineStr">
        <is>
          <t>Approved</t>
        </is>
      </c>
      <c r="C1649" t="inlineStr">
        <is>
          <t>Procurement Order</t>
        </is>
      </c>
      <c r="D1649" s="3">
        <v>45996.680601851855</v>
      </c>
      <c r="E1649" s="3">
        <v>45996.790972222225</v>
      </c>
      <c r="F1649" t="inlineStr">
        <is>
          <t>Fatima Kathleen M. FLores</t>
        </is>
      </c>
      <c r="G1649" t="inlineStr">
        <is>
          <t>Procurement</t>
        </is>
      </c>
      <c r="H1649"/>
      <c r="I1649"/>
      <c r="J1649" t="inlineStr">
        <is>
          <t>Project</t>
        </is>
      </c>
      <c r="K1649" t="inlineStr">
        <is>
          <t>GG - Event Service</t>
        </is>
      </c>
      <c r="L1649" t="inlineStr">
        <is>
          <t>KIC 2025 - Playoffs</t>
        </is>
      </c>
      <c r="M1649" t="inlineStr">
        <is>
          <t>2025TEG-P0321</t>
        </is>
      </c>
      <c r="N1649" t="inlineStr">
        <is>
          <t>Carla Andrea Calma Crespo</t>
        </is>
      </c>
      <c r="O1649" t="inlineStr">
        <is>
          <t>202511250148-Carla Andrea Calma Crespo-费用报销 - 副本 - 副本 - 副本-2025-11-25 09:40:25</t>
        </is>
      </c>
      <c r="P1649" t="inlineStr">
        <is>
          <t>YES</t>
        </is>
      </c>
      <c r="Q1649"/>
      <c r="R1649" t="inlineStr">
        <is>
          <t>NO</t>
        </is>
      </c>
      <c r="S1649" t="inlineStr">
        <is>
          <t>Outsourced Technical Assistant (Execution)</t>
        </is>
      </c>
      <c r="T1649">
        <v>1</v>
      </c>
      <c r="U1649">
        <v>12600</v>
      </c>
      <c r="V1649" t="inlineStr">
        <is>
          <t>PHP</t>
        </is>
      </c>
      <c r="W1649">
        <v>12600</v>
      </c>
      <c r="X1649" s="2" t="str">
        <f>=HYPERLINK("https://www.larksuite.com/approval/admin/previewAttachment?key=PMgxDsJADATAL-3a67PNZ2iIToBEhRKlubcjUaSdUcSooI-GmtbgyihYRZpUoxgKW7aY2UimuLbPvL-Ofp_7bMfpu2Mdz8fcvoxOM6RLXgB4u9xTUvcQ_o5fAAAA__8", "2 attachment(s)")</f>
        <v>2 attachment(s)</v>
      </c>
      <c r="Y1649" t="inlineStr">
        <is>
          <t>Bank Transfer</t>
        </is>
      </c>
      <c r="Z1649" t="inlineStr">
        <is>
          <t>John Mark Ramos</t>
        </is>
      </c>
      <c r="AA1649" t="inlineStr">
        <is>
          <t>0000007591426151</t>
        </is>
      </c>
      <c r="AB1649" t="inlineStr">
        <is>
          <t>RCBC</t>
        </is>
      </c>
      <c r="AC1649" t="inlineStr">
        <is>
          <t>Camella St. Patdu Compound South Green Heights, Putatan Muntinlupa City</t>
        </is>
      </c>
      <c r="AD1649" s="4">
        <v>45985</v>
      </c>
      <c r="AE1649" t="inlineStr">
        <is>
          <t>100% Full Payment - Dec. 19, 2025</t>
        </is>
      </c>
      <c r="AF1649" s="2"/>
      <c r="AG1649" t="inlineStr">
        <is>
          <t>NzQyNTk5MTgyNzQ4MTg3MDM0MTo0QjU5MkI4Mi0xOEYyLTRFMUMtQjQ4MS04Rjc0M0Y4NjZERDktMTpiOWRlZTk2OGE3NDVmM2QxNjI2YjQyNTRmNDY2MzdlMTox</t>
        </is>
      </c>
      <c r="AH1649" t="inlineStr">
        <is>
          <t>John Mark Ramos</t>
        </is>
      </c>
      <c r="AI1649"/>
      <c r="AJ1649" t="inlineStr">
        <is>
          <t>LIQUIDITY PLAN (PAR # 202511200098 / 2025TEG-P0321)
BROADCAST TEAM &gt; Technical Assistant (Execution)
Total Budget = Php 37,800.00
Actual Cost = Php 12,600.00
Balance = Php 25,200.00
^ THIS IS BASED ON AN UPDATED INTERNAL CE, ATTACHED AS A COMMENT TO THE PAR ON DEC. 4, 2025</t>
        </is>
      </c>
      <c r="AK1649"/>
    </row>
    <row r="1650" ht="25.5" customHeight="1">
      <c r="A1650" s="2" t="str">
        <f>=HYPERLINK("https://applink.larksuite.com/client/mini_program/open?appId=cli_9c7cc8a9a9edd105&amp;mode=appCenter&amp;path_pc=pc/pages/requested/index?instanceId=7580286507680845535&amp;source=bitable&amp;path=pages/detail/index?instanceId=7580286507680845535&amp;source=bitable", "202512050079")</f>
        <v>202512050079</v>
      </c>
      <c r="B1650" t="inlineStr">
        <is>
          <t>Approved</t>
        </is>
      </c>
      <c r="C1650" t="inlineStr">
        <is>
          <t>Procurement Order</t>
        </is>
      </c>
      <c r="D1650" s="3">
        <v>45996.682708333334</v>
      </c>
      <c r="E1650" s="3">
        <v>45996.79046296296</v>
      </c>
      <c r="F1650" t="inlineStr">
        <is>
          <t>Fatima Kathleen M. FLores</t>
        </is>
      </c>
      <c r="G1650" t="inlineStr">
        <is>
          <t>Procurement</t>
        </is>
      </c>
      <c r="H1650"/>
      <c r="I1650"/>
      <c r="J1650" t="inlineStr">
        <is>
          <t>Project</t>
        </is>
      </c>
      <c r="K1650" t="inlineStr">
        <is>
          <t>GG - Event Service</t>
        </is>
      </c>
      <c r="L1650" t="inlineStr">
        <is>
          <t>KIC 2025 - Playoffs</t>
        </is>
      </c>
      <c r="M1650" t="inlineStr">
        <is>
          <t>2025TEG-P0321</t>
        </is>
      </c>
      <c r="N1650" t="inlineStr">
        <is>
          <t>Carla Andrea Calma Crespo</t>
        </is>
      </c>
      <c r="O1650" t="inlineStr">
        <is>
          <t>202511250148-Carla Andrea Calma Crespo-费用报销 - 副本 - 副本 - 副本-2025-11-25 09:40:25</t>
        </is>
      </c>
      <c r="P1650" t="inlineStr">
        <is>
          <t>YES</t>
        </is>
      </c>
      <c r="Q1650"/>
      <c r="R1650" t="inlineStr">
        <is>
          <t>NO</t>
        </is>
      </c>
      <c r="S1650" t="inlineStr">
        <is>
          <t>Outsourced Technical Assistant (Audio)</t>
        </is>
      </c>
      <c r="T1650">
        <v>1</v>
      </c>
      <c r="U1650">
        <v>23400</v>
      </c>
      <c r="V1650" t="inlineStr">
        <is>
          <t>PHP</t>
        </is>
      </c>
      <c r="W1650">
        <v>23400</v>
      </c>
      <c r="X1650" s="2" t="str">
        <f>=HYPERLINK("https://www.larksuite.com/approval/admin/previewAttachment?key=PMhBCsJADAXQK_1kkvzEy7jpUCxSEaQVFzm74MLtixREuowoWIkWpOkJzXAwEmnuw1tbyAKFhp77ej1lux_H8p7b46PPvc_bss6XeFEVHGYjAcjl74NmVhWGn-MbAAD__w", "2 attachment(s)")</f>
        <v>2 attachment(s)</v>
      </c>
      <c r="Y1650" t="inlineStr">
        <is>
          <t>Bank Transfer</t>
        </is>
      </c>
      <c r="Z1650" t="inlineStr">
        <is>
          <t>Kenneth Singian</t>
        </is>
      </c>
      <c r="AA1650" t="inlineStr">
        <is>
          <t>0917-655-9151</t>
        </is>
      </c>
      <c r="AB1650" t="inlineStr">
        <is>
          <t>GCash</t>
        </is>
      </c>
      <c r="AC1650" t="inlineStr">
        <is>
          <t>84 Montreal St. Cubao Quezon City</t>
        </is>
      </c>
      <c r="AD1650" s="4">
        <v>45986</v>
      </c>
      <c r="AE1650" t="inlineStr">
        <is>
          <t>100% Full Payment - Dec. 19, 2025</t>
        </is>
      </c>
      <c r="AF1650" s="2"/>
      <c r="AG1650" t="inlineStr">
        <is>
          <t>NzQyNTk5MTgyNzQ4MTg3MDM0MTpDMzY0MzlFRi01NzY3LTRBNDctOTAzMi0zQUIyMEM2RTY0MTEtMTozZmE4ZjE4M2NjODQwNTEzNjU1NGNlOGNiNjIxNjhiYTox</t>
        </is>
      </c>
      <c r="AH1650" t="inlineStr">
        <is>
          <t>Kenneth Singian</t>
        </is>
      </c>
      <c r="AI1650"/>
      <c r="AJ1650" t="inlineStr">
        <is>
          <t>LIQUIDITY PLAN (PAR # 202511200098 / 2025TEG-P0321)
BROADCAST TEAM &gt; Technical Assistant (Audio)
Total Budget = Php 24,500.00
Actual Cost = Php 23,400.00
Balance = Php 1,100.00
^ THIS IS BASED ON AN UPDATED INTERNAL CE, ATTACHED AS A COMMENT TO THE PAR ON DEC. 4, 2025</t>
        </is>
      </c>
      <c r="AK1650"/>
    </row>
    <row r="1651" ht="25.5" customHeight="1">
      <c r="A1651" s="2" t="str">
        <f>=HYPERLINK("https://applink.larksuite.com/client/mini_program/open?appId=cli_9c7cc8a9a9edd105&amp;mode=appCenter&amp;path_pc=pc/pages/requested/index?instanceId=7580287524598206177&amp;source=bitable&amp;path=pages/detail/index?instanceId=7580287524598206177&amp;source=bitable", "202512050080")</f>
        <v>202512050080</v>
      </c>
      <c r="B1651" t="inlineStr">
        <is>
          <t>Approved</t>
        </is>
      </c>
      <c r="C1651" t="inlineStr">
        <is>
          <t>Procurement Order</t>
        </is>
      </c>
      <c r="D1651" s="3">
        <v>45996.68545138889</v>
      </c>
      <c r="E1651" s="3">
        <v>45996.78953703704</v>
      </c>
      <c r="F1651" t="inlineStr">
        <is>
          <t>Fatima Kathleen M. FLores</t>
        </is>
      </c>
      <c r="G1651" t="inlineStr">
        <is>
          <t>Procurement</t>
        </is>
      </c>
      <c r="H1651"/>
      <c r="I1651"/>
      <c r="J1651" t="inlineStr">
        <is>
          <t>Project</t>
        </is>
      </c>
      <c r="K1651" t="inlineStr">
        <is>
          <t>GG - Event Service</t>
        </is>
      </c>
      <c r="L1651" t="inlineStr">
        <is>
          <t>KIC 2025 - Playoffs</t>
        </is>
      </c>
      <c r="M1651" t="inlineStr">
        <is>
          <t>2025TEG-P0321</t>
        </is>
      </c>
      <c r="N1651" t="inlineStr">
        <is>
          <t>Carla Andrea Calma Crespo</t>
        </is>
      </c>
      <c r="O1651" t="inlineStr">
        <is>
          <t>202511250148-Carla Andrea Calma Crespo-费用报销 - 副本 - 副本 - 副本-2025-11-25 09:40:25</t>
        </is>
      </c>
      <c r="P1651" t="inlineStr">
        <is>
          <t>YES</t>
        </is>
      </c>
      <c r="Q1651"/>
      <c r="R1651" t="inlineStr">
        <is>
          <t>NO</t>
        </is>
      </c>
      <c r="S1651" t="inlineStr">
        <is>
          <t>Outsourced Technical Assistant (Ingress/Egress)</t>
        </is>
      </c>
      <c r="T1651">
        <v>1</v>
      </c>
      <c r="U1651">
        <v>14400</v>
      </c>
      <c r="V1651" t="inlineStr">
        <is>
          <t>PHP</t>
        </is>
      </c>
      <c r="W1651">
        <v>14400</v>
      </c>
      <c r="X1651" s="2" t="str">
        <f>=HYPERLINK("https://www.larksuite.com/approval/admin/previewAttachment?key=PMgxDkIxDAPQK9lpUjtchoWvCvRhQmLr2ZEYWN80MV0cs5HNaHCrjLAqstqBSWnHptQQldjHa12dZXKd9vHk49yf-20db1YrAhqZwwB4-ftQZnbPxM_xDQAA__8", "2 attachment(s)")</f>
        <v>2 attachment(s)</v>
      </c>
      <c r="Y1651" t="inlineStr">
        <is>
          <t>Bank Transfer</t>
        </is>
      </c>
      <c r="Z1651" t="inlineStr">
        <is>
          <t>John Radilh Mancao</t>
        </is>
      </c>
      <c r="AA1651" t="inlineStr">
        <is>
          <t>010060106856</t>
        </is>
      </c>
      <c r="AB1651" t="inlineStr">
        <is>
          <t>Gotyme bank</t>
        </is>
      </c>
      <c r="AC1651" t="inlineStr">
        <is>
          <t>302 A ALAGAO ST. COMEMBO, TAGUIG CITY</t>
        </is>
      </c>
      <c r="AD1651" s="4">
        <v>45980</v>
      </c>
      <c r="AE1651" t="inlineStr">
        <is>
          <t>100% Full Payment - Dec. 19, 2025</t>
        </is>
      </c>
      <c r="AF1651" s="2"/>
      <c r="AG1651" t="inlineStr">
        <is>
          <t>NzQyNTk5MTgyNzQ4MTg3MDM0MTpBMEQ1NUJFQy1GN0M4LTQ0QTAtQkZCRS0zMDAzMDJCRDlEQTAtMTowNGMwOTlkMGZkODI2YTc5Y2QzNTE0MGMxOTI0NzQ0ODox</t>
        </is>
      </c>
      <c r="AH1651" t="inlineStr">
        <is>
          <t>John Radilh Mancao</t>
        </is>
      </c>
      <c r="AI1651"/>
      <c r="AJ1651" t="inlineStr">
        <is>
          <t>LIQUIDITY PLAN (PAR # 202511200098 / 2025TEG-P0321)
BROADCAST TEAM &gt; Technical Assistant (Ingress/Egress)
Total Budget = Php 27,000.00
Actual Cost = Php 14,400.00
Balance = Php 12,600.00
^ THIS IS BASED ON AN UPDATED INTERNAL CE, ATTACHED AS A COMMENT TO THE PAR ON DEC. 4, 2025</t>
        </is>
      </c>
      <c r="AK1651"/>
    </row>
    <row r="1652" ht="25.5" customHeight="1">
      <c r="A1652" s="2" t="str">
        <f>=HYPERLINK("https://applink.larksuite.com/client/mini_program/open?appId=cli_9c7cc8a9a9edd105&amp;mode=appCenter&amp;path_pc=pc/pages/requested/index?instanceId=7580288945771024096&amp;source=bitable&amp;path=pages/detail/index?instanceId=7580288945771024096&amp;source=bitable", "202512050082")</f>
        <v>202512050082</v>
      </c>
      <c r="B1652" t="inlineStr">
        <is>
          <t>Approved</t>
        </is>
      </c>
      <c r="C1652" t="inlineStr">
        <is>
          <t>Procurement Order</t>
        </is>
      </c>
      <c r="D1652" s="3">
        <v>45996.68928240741</v>
      </c>
      <c r="E1652" s="3">
        <v>45996.788993055554</v>
      </c>
      <c r="F1652" t="inlineStr">
        <is>
          <t>Fatima Kathleen M. FLores</t>
        </is>
      </c>
      <c r="G1652" t="inlineStr">
        <is>
          <t>Procurement</t>
        </is>
      </c>
      <c r="H1652"/>
      <c r="I1652"/>
      <c r="J1652" t="inlineStr">
        <is>
          <t>Project</t>
        </is>
      </c>
      <c r="K1652" t="inlineStr">
        <is>
          <t>GG - Event Service</t>
        </is>
      </c>
      <c r="L1652" t="inlineStr">
        <is>
          <t>KIC 2025 - Playoffs</t>
        </is>
      </c>
      <c r="M1652" t="inlineStr">
        <is>
          <t>2025TEG-P0321</t>
        </is>
      </c>
      <c r="N1652" t="inlineStr">
        <is>
          <t>Carla Andrea Calma Crespo</t>
        </is>
      </c>
      <c r="O1652" t="inlineStr">
        <is>
          <t>202511250148-Carla Andrea Calma Crespo-费用报销 - 副本 - 副本 - 副本-2025-11-25 09:40:25</t>
        </is>
      </c>
      <c r="P1652" t="inlineStr">
        <is>
          <t>YES</t>
        </is>
      </c>
      <c r="Q1652"/>
      <c r="R1652" t="inlineStr">
        <is>
          <t>NO</t>
        </is>
      </c>
      <c r="S1652" t="inlineStr">
        <is>
          <t>Outsourced Technical Assistant</t>
        </is>
      </c>
      <c r="T1652">
        <v>1</v>
      </c>
      <c r="U1652">
        <v>11900</v>
      </c>
      <c r="V1652" t="inlineStr">
        <is>
          <t>PHP</t>
        </is>
      </c>
      <c r="W1652">
        <v>11900</v>
      </c>
      <c r="X1652" s="2" t="str">
        <f>=HYPERLINK("https://www.larksuite.com/approval/admin/previewAttachment?key=PMgxCkIxEATQK81uJpkdL2Pj56OgIghRi5xdsLB9owKjerRh0JFGLPVCVpldCiThsXKFZChErO22H-_xxpzb5XHVq3-85vm0b8_oVibUyFYA4vD3JpL2IH6ObwAAAP__", "2 attachment(s)")</f>
        <v>2 attachment(s)</v>
      </c>
      <c r="Y1652" t="inlineStr">
        <is>
          <t>Bank Transfer</t>
        </is>
      </c>
      <c r="Z1652" t="inlineStr">
        <is>
          <t>Kenneth Bayona</t>
        </is>
      </c>
      <c r="AA1652" t="inlineStr">
        <is>
          <t>09484380719</t>
        </is>
      </c>
      <c r="AB1652" t="inlineStr">
        <is>
          <t>GCash</t>
        </is>
      </c>
      <c r="AC1652" t="inlineStr">
        <is>
          <t>San Nicolas 2nd, Magalang, Pampanga</t>
        </is>
      </c>
      <c r="AD1652" s="4">
        <v>45985</v>
      </c>
      <c r="AE1652" t="inlineStr">
        <is>
          <t>100% Full Payment - Dec. 19, 2025</t>
        </is>
      </c>
      <c r="AF1652" s="2"/>
      <c r="AG1652" t="inlineStr">
        <is>
          <t>NzQyNTk5MTgyNzQ4MTg3MDM0MToxNEM1NTM3NC0yQjdELTRENkEtQjI4RS1BRTkwRjQyQzZGRkItMTpmODVmMGY3ZTFiMDY3YTE5ZjkyYjI2ZmJlMDg0NDU3Mjox</t>
        </is>
      </c>
      <c r="AH1652" t="inlineStr">
        <is>
          <t>Kenneth Bayona</t>
        </is>
      </c>
      <c r="AI1652"/>
      <c r="AJ1652" t="inlineStr">
        <is>
          <t>LIQUIDITY PLAN (PAR # 202511200098 / 2025TEG-P0321)
BROADCAST TEAM &gt; Technical Assistant (Ingress/Egress)
Total Remaining Budget = Php 12,600.00
Actual Cost = Php 11,900.00
Balance = Php 700.00
^ THIS IS BASED ON AN UPDATED INTERNAL CE, ATTACHED AS A COMMENT TO THE PAR ON DEC. 4, 2025</t>
        </is>
      </c>
      <c r="AK1652"/>
    </row>
    <row r="1653" ht="25.5" customHeight="1">
      <c r="A1653" s="2" t="str">
        <f>=HYPERLINK("https://applink.larksuite.com/client/mini_program/open?appId=cli_9c7cc8a9a9edd105&amp;mode=appCenter&amp;path_pc=pc/pages/requested/index?instanceId=7580281698064027362&amp;source=bitable&amp;path=pages/detail/index?instanceId=7580281698064027362&amp;source=bitable", "202512050074")</f>
        <v>202512050074</v>
      </c>
      <c r="B1653" t="inlineStr">
        <is>
          <t>Approved</t>
        </is>
      </c>
      <c r="C1653" t="inlineStr">
        <is>
          <t>Procurement Order</t>
        </is>
      </c>
      <c r="D1653" s="3">
        <v>45996.66974537037</v>
      </c>
      <c r="E1653" s="3">
        <v>45996.78244212963</v>
      </c>
      <c r="F1653" t="inlineStr">
        <is>
          <t>Fatima Kathleen M. FLores</t>
        </is>
      </c>
      <c r="G1653" t="inlineStr">
        <is>
          <t>Procurement</t>
        </is>
      </c>
      <c r="H1653"/>
      <c r="I1653"/>
      <c r="J1653" t="inlineStr">
        <is>
          <t>Project</t>
        </is>
      </c>
      <c r="K1653" t="inlineStr">
        <is>
          <t>GG - Event Service</t>
        </is>
      </c>
      <c r="L1653" t="inlineStr">
        <is>
          <t>KIC 2025 - Playoffs</t>
        </is>
      </c>
      <c r="M1653" t="inlineStr">
        <is>
          <t>2025TEG-P0321</t>
        </is>
      </c>
      <c r="N1653" t="inlineStr">
        <is>
          <t>Carla Andrea Calma Crespo</t>
        </is>
      </c>
      <c r="O1653" t="inlineStr">
        <is>
          <t>202511250142-Carla Andrea Calma Crespo-费用报销 - 副本 - 副本 - 副本-2025-11-25 09:19:31</t>
        </is>
      </c>
      <c r="P1653" t="inlineStr">
        <is>
          <t>YES</t>
        </is>
      </c>
      <c r="Q1653"/>
      <c r="R1653" t="inlineStr">
        <is>
          <t>NO</t>
        </is>
      </c>
      <c r="S1653" t="inlineStr">
        <is>
          <t>Outsourced Safety System Operator</t>
        </is>
      </c>
      <c r="T1653">
        <v>1</v>
      </c>
      <c r="U1653">
        <v>8500</v>
      </c>
      <c r="V1653" t="inlineStr">
        <is>
          <t>PHP</t>
        </is>
      </c>
      <c r="W1653">
        <v>8500</v>
      </c>
      <c r="X1653" s="2" t="str">
        <f>=HYPERLINK("https://www.larksuite.com/approval/admin/previewAttachment?key=PMi7DQJBDATQlsb2-EczJJxWBAsJAl3i2pEISF-UIMrFosEWbcikF7QkuhCEpoWOjmQ2UpKY47Gu29_7XGp4nr655nO_reMl3qmKNNIKgFz-bkmyO4if4xsAAP__", "2 attachment(s)")</f>
        <v>2 attachment(s)</v>
      </c>
      <c r="Y1653" t="inlineStr">
        <is>
          <t>Bank Transfer</t>
        </is>
      </c>
      <c r="Z1653" t="inlineStr">
        <is>
          <t>JUAN MIGUEL NAVARRO</t>
        </is>
      </c>
      <c r="AA1653" t="inlineStr">
        <is>
          <t>1096 7202 2709</t>
        </is>
      </c>
      <c r="AB1653" t="inlineStr">
        <is>
          <t>UNIONBANK</t>
        </is>
      </c>
      <c r="AC1653" t="inlineStr">
        <is>
          <t>B33 L1-B, DILIGENCE ST., GOODWILL HOMES 1, SAN BARTOLOME, NOVALICHES, QUEZON CITY</t>
        </is>
      </c>
      <c r="AD1653" s="4">
        <v>45987</v>
      </c>
      <c r="AE1653" t="inlineStr">
        <is>
          <t>100% Full Payment - Dec. 19, 2025</t>
        </is>
      </c>
      <c r="AF1653" s="2"/>
      <c r="AG1653" t="inlineStr">
        <is>
          <t>NzQyNTk5MTgyNzQ4MTg3MDM0MTpBMjlBNUM2MS00MjcyLTQ3MjQtODI0My1ERUQwMjg4M0Y1NUMtMTpmZjNmMGJhODliMjEzYTZiMjZhMmViZTJiMzYxYjgwYzox</t>
        </is>
      </c>
      <c r="AH1653" t="inlineStr">
        <is>
          <t>JUAN MIGUEL NAVARRO</t>
        </is>
      </c>
      <c r="AI1653"/>
      <c r="AJ1653" t="inlineStr">
        <is>
          <t>LIQUIDITY PLAN (PAR # 202511200098 / 2025TEG-P0321)
BROADCAST TEAM &gt; Safety System Operator
Total Budget = Php 27,000.00
Actual Cost = Php 8,500.00
Balance = Php 18,500.00
^ THIS IS BASED ON AN UPDATED INTERNAL CE, ATTACHED AS A COMMENT TO THE PAR ON DEC. 4, 2025</t>
        </is>
      </c>
      <c r="AK1653"/>
    </row>
    <row r="1654" ht="25.5" customHeight="1">
      <c r="A1654" s="2" t="str">
        <f>=HYPERLINK("https://applink.larksuite.com/client/mini_program/open?appId=cli_9c7cc8a9a9edd105&amp;mode=appCenter&amp;path_pc=pc/pages/requested/index?instanceId=7580280802001342178&amp;source=bitable&amp;path=pages/detail/index?instanceId=7580280802001342178&amp;source=bitable", "202512050073")</f>
        <v>202512050073</v>
      </c>
      <c r="B1654" t="inlineStr">
        <is>
          <t>Approved</t>
        </is>
      </c>
      <c r="C1654" t="inlineStr">
        <is>
          <t>Procurement Order</t>
        </is>
      </c>
      <c r="D1654" s="3">
        <v>45996.667337962965</v>
      </c>
      <c r="E1654" s="3">
        <v>45996.78366898148</v>
      </c>
      <c r="F1654" t="inlineStr">
        <is>
          <t>Fatima Kathleen M. FLores</t>
        </is>
      </c>
      <c r="G1654" t="inlineStr">
        <is>
          <t>Procurement</t>
        </is>
      </c>
      <c r="H1654"/>
      <c r="I1654"/>
      <c r="J1654" t="inlineStr">
        <is>
          <t>Project</t>
        </is>
      </c>
      <c r="K1654" t="inlineStr">
        <is>
          <t>GG - Event Service</t>
        </is>
      </c>
      <c r="L1654" t="inlineStr">
        <is>
          <t>KIC 2025 - Playoffs</t>
        </is>
      </c>
      <c r="M1654" t="inlineStr">
        <is>
          <t>2025TEG-P0321</t>
        </is>
      </c>
      <c r="N1654" t="inlineStr">
        <is>
          <t>Carla Andrea Calma Crespo</t>
        </is>
      </c>
      <c r="O1654" t="inlineStr">
        <is>
          <t>202511250114-Carla Andrea Calma Crespo-费用报销 - 副本 - 副本 - 副本-2025-11-25 08:05:45</t>
        </is>
      </c>
      <c r="P1654" t="inlineStr">
        <is>
          <t>YES</t>
        </is>
      </c>
      <c r="Q1654"/>
      <c r="R1654" t="inlineStr">
        <is>
          <t>NO</t>
        </is>
      </c>
      <c r="S1654" t="inlineStr">
        <is>
          <t>Outsourced Stream Engineer</t>
        </is>
      </c>
      <c r="T1654">
        <v>1</v>
      </c>
      <c r="U1654">
        <v>11000</v>
      </c>
      <c r="V1654" t="inlineStr">
        <is>
          <t>PHP</t>
        </is>
      </c>
      <c r="W1654">
        <v>11000</v>
      </c>
      <c r="X1654" s="2" t="str">
        <f>=HYPERLINK("https://www.larksuite.com/approval/admin/previewAttachment?key=PMgxrsJADATQK8147R37X-Y3RBHRAg1SpBQ-OxIF7ZtJzAyOWfCiFdiKhCUSBnC4UdnWlAqiHL099_-IM21d17GWXo-jz_tt396Mkhk03EcC4N_Ph9y9ajq-jk8AAAD__w", "2 attachment(s)")</f>
        <v>2 attachment(s)</v>
      </c>
      <c r="Y1654" t="inlineStr">
        <is>
          <t>Bank Transfer</t>
        </is>
      </c>
      <c r="Z1654" t="inlineStr">
        <is>
          <t>SEAN JHONAS A. ARAGO</t>
        </is>
      </c>
      <c r="AA1654" t="inlineStr">
        <is>
          <t>011880108133</t>
        </is>
      </c>
      <c r="AB1654" t="inlineStr">
        <is>
          <t>BDO</t>
        </is>
      </c>
      <c r="AC1654" t="inlineStr">
        <is>
          <t>7 SUNFLOWER ST. LUMANG BAYAN EXECUTIVE VILLAGE, BRGY. MAYAMOT, ANTIPOLO CITY</t>
        </is>
      </c>
      <c r="AD1654" s="4">
        <v>45987</v>
      </c>
      <c r="AE1654" t="inlineStr">
        <is>
          <t>100% Full Payment - Dec. 19, 2025</t>
        </is>
      </c>
      <c r="AF1654" s="2"/>
      <c r="AG1654" t="inlineStr">
        <is>
          <t>NzQyNTk5MTgyNzQ4MTg3MDM0MTozREY5OUVDMi05MzcyLTQ3NEYtOTBBNS01RjUwQkE3MkQ0RTktMTpmYWI2MDg2YzJlOThmNzYwMmFiMzM2NjQwZDg2ZWZjNDox</t>
        </is>
      </c>
      <c r="AH1654" t="inlineStr">
        <is>
          <t>SEAN JHONAS A. ARAGO</t>
        </is>
      </c>
      <c r="AI1654"/>
      <c r="AJ1654" t="inlineStr">
        <is>
          <t>LIQUIDITY PLAN (PAR # 202511200098 / 2025TEG-P0321)
BROADCAST TEAM &gt; Stream Engimeer
Total Budget = Php 25,000.00
Actual Cost = Php 11,000.00
Balance = Php 14,000.00
^ THIS IS BASED ON AN UPDATED INTERNAL CE, ATTACHED AS A COMMENT TO THE PAR ON DEC. 4, 2025</t>
        </is>
      </c>
      <c r="AK1654"/>
    </row>
    <row r="1655" ht="25.5" customHeight="1">
      <c r="A1655" s="2" t="str">
        <f>=HYPERLINK("https://applink.larksuite.com/client/mini_program/open?appId=cli_9c7cc8a9a9edd105&amp;mode=appCenter&amp;path_pc=pc/pages/requested/index?instanceId=7580278404117745376&amp;source=bitable&amp;path=pages/detail/index?instanceId=7580278404117745376&amp;source=bitable", "202512050071")</f>
        <v>202512050071</v>
      </c>
      <c r="B1655" t="inlineStr">
        <is>
          <t>Approved</t>
        </is>
      </c>
      <c r="C1655" t="inlineStr">
        <is>
          <t>Procurement Order</t>
        </is>
      </c>
      <c r="D1655" s="3">
        <v>45996.66087962963</v>
      </c>
      <c r="E1655" s="3">
        <v>45996.78425925926</v>
      </c>
      <c r="F1655" t="inlineStr">
        <is>
          <t>Fatima Kathleen M. FLores</t>
        </is>
      </c>
      <c r="G1655" t="inlineStr">
        <is>
          <t>Procurement</t>
        </is>
      </c>
      <c r="H1655"/>
      <c r="I1655"/>
      <c r="J1655" t="inlineStr">
        <is>
          <t>Project</t>
        </is>
      </c>
      <c r="K1655" t="inlineStr">
        <is>
          <t>GG - Event Service</t>
        </is>
      </c>
      <c r="L1655" t="inlineStr">
        <is>
          <t>KIC 2025 - Playoffs</t>
        </is>
      </c>
      <c r="M1655" t="inlineStr">
        <is>
          <t>2025TEG-P0321</t>
        </is>
      </c>
      <c r="N1655" t="inlineStr">
        <is>
          <t>Carla Andrea Calma Crespo</t>
        </is>
      </c>
      <c r="O1655" t="inlineStr">
        <is>
          <t>202511250112-Carla Andrea Calma Crespo-费用报销 - 副本 - 副本 - 副本-2025-11-25 08:00:46</t>
        </is>
      </c>
      <c r="P1655" t="inlineStr">
        <is>
          <t>YES</t>
        </is>
      </c>
      <c r="Q1655"/>
      <c r="R1655" t="inlineStr">
        <is>
          <t>NO</t>
        </is>
      </c>
      <c r="S1655" t="inlineStr">
        <is>
          <t>Outsourced Stream Moderator</t>
        </is>
      </c>
      <c r="T1655">
        <v>1</v>
      </c>
      <c r="U1655">
        <v>8500</v>
      </c>
      <c r="V1655" t="inlineStr">
        <is>
          <t>PHP</t>
        </is>
      </c>
      <c r="W1655">
        <v>8500</v>
      </c>
      <c r="X1655" s="2" t="str">
        <f>=HYPERLINK("https://www.larksuite.com/approval/admin/previewAttachment?key=PMg9CkIxEATgK81sJpldL2OTx0OQVOJPk7MLFrbfSGJkZxsFFaPA7Z4IpyDSVm8eOzbtgmlhH-u8Kt657rPm_BjruV-3eR4P9nIE3KSWAHj5e7OkqiH8HN8AAAD__w", "2 attachment(s)")</f>
        <v>2 attachment(s)</v>
      </c>
      <c r="Y1655" t="inlineStr">
        <is>
          <t>Bank Transfer</t>
        </is>
      </c>
      <c r="Z1655" t="inlineStr">
        <is>
          <t>Emmanuel Cleto Francisco</t>
        </is>
      </c>
      <c r="AA1655" t="inlineStr">
        <is>
          <t>008450414941</t>
        </is>
      </c>
      <c r="AB1655" t="inlineStr">
        <is>
          <t>BDO</t>
        </is>
      </c>
      <c r="AC1655" t="inlineStr">
        <is>
          <t>7 Aguirre St. zone 4 Signal Village Taguig City</t>
        </is>
      </c>
      <c r="AD1655" s="4">
        <v>45987</v>
      </c>
      <c r="AE1655" t="inlineStr">
        <is>
          <t>100% Full Payment - Dec. 19, 2025</t>
        </is>
      </c>
      <c r="AF1655" s="2"/>
      <c r="AG1655" t="inlineStr">
        <is>
          <t>NzQyNTk5MTgyNzQ4MTg3MDM0MToxRTU0RjFGRC0wNjk2LTQ3ODctQkY0OC1FMDhEMDQ2MDkxODEtMTo4NWEzYzFiOWU1MzE0NzE4M2U2YzA0NTQ4MDgwZDI5Njox</t>
        </is>
      </c>
      <c r="AH1655" t="inlineStr">
        <is>
          <t>Emmanuel Cleto Francisco</t>
        </is>
      </c>
      <c r="AI1655"/>
      <c r="AJ1655" t="inlineStr">
        <is>
          <t>LIQUIDITY PLAN (PAR # 202511200098 / 2025TEG-P0321)
BROADCAST TEAM &gt; Stream Moderator
Total Remaining Budget = Php 10,500.00
Actual Cost = Php 8,500.00
Balance = Php 2,00.00
^ THIS IS BASED ON AN UPDATED INTERNAL CE, ATTACHED AS A COMMENT TO THE PAR ON DEC. 4, 2025</t>
        </is>
      </c>
      <c r="AK1655"/>
    </row>
    <row r="1656" ht="25.5" customHeight="1">
      <c r="A1656" s="2" t="str">
        <f>=HYPERLINK("https://applink.larksuite.com/client/mini_program/open?appId=cli_9c7cc8a9a9edd105&amp;mode=appCenter&amp;path_pc=pc/pages/requested/index?instanceId=7580277473959481056&amp;source=bitable&amp;path=pages/detail/index?instanceId=7580277473959481056&amp;source=bitable", "202512050070")</f>
        <v>202512050070</v>
      </c>
      <c r="B1656" t="inlineStr">
        <is>
          <t>Approved</t>
        </is>
      </c>
      <c r="C1656" t="inlineStr">
        <is>
          <t>Procurement Order</t>
        </is>
      </c>
      <c r="D1656" s="3">
        <v>45996.658368055556</v>
      </c>
      <c r="E1656" s="3">
        <v>45996.78462962963</v>
      </c>
      <c r="F1656" t="inlineStr">
        <is>
          <t>Fatima Kathleen M. FLores</t>
        </is>
      </c>
      <c r="G1656" t="inlineStr">
        <is>
          <t>Procurement</t>
        </is>
      </c>
      <c r="H1656"/>
      <c r="I1656"/>
      <c r="J1656" t="inlineStr">
        <is>
          <t>Project</t>
        </is>
      </c>
      <c r="K1656" t="inlineStr">
        <is>
          <t>GG - Event Service</t>
        </is>
      </c>
      <c r="L1656" t="inlineStr">
        <is>
          <t>KIC 2025 - Playoffs</t>
        </is>
      </c>
      <c r="M1656" t="inlineStr">
        <is>
          <t>2025TEG-P0321</t>
        </is>
      </c>
      <c r="N1656" t="inlineStr">
        <is>
          <t>Carla Andrea Calma Crespo</t>
        </is>
      </c>
      <c r="O1656" t="inlineStr">
        <is>
          <t>202511250112-Carla Andrea Calma Crespo-费用报销 - 副本 - 副本 - 副本-2025-11-25 08:00:46</t>
        </is>
      </c>
      <c r="P1656" t="inlineStr">
        <is>
          <t>YES</t>
        </is>
      </c>
      <c r="Q1656"/>
      <c r="R1656" t="inlineStr">
        <is>
          <t>NO</t>
        </is>
      </c>
      <c r="S1656" t="inlineStr">
        <is>
          <t>Outsourced Stream Moderator</t>
        </is>
      </c>
      <c r="T1656">
        <v>1</v>
      </c>
      <c r="U1656">
        <v>8000</v>
      </c>
      <c r="V1656" t="inlineStr">
        <is>
          <t>PHP</t>
        </is>
      </c>
      <c r="W1656">
        <v>8000</v>
      </c>
      <c r="X1656" s="2" t="str">
        <f>=HYPERLINK("https://www.larksuite.com/approval/admin/previewAttachment?key=PMgxCgJBDAXQK_1kkvn5XsZml0VEK2EWi5xdsNj2zTLMShtTCJkL1syCk8GhVJQhZ3sbKdAY6P193H2dta0Tr3pK3-z12I79Yym6gyNiFAC7XT4YEdIM_B2_AAAA__8", "2 attachment(s)")</f>
        <v>2 attachment(s)</v>
      </c>
      <c r="Y1656" t="inlineStr">
        <is>
          <t>Bank Transfer</t>
        </is>
      </c>
      <c r="Z1656" t="inlineStr">
        <is>
          <t>Eliah Ysabella Gomez Regio</t>
        </is>
      </c>
      <c r="AA1656" t="inlineStr">
        <is>
          <t>09155882344</t>
        </is>
      </c>
      <c r="AB1656" t="inlineStr">
        <is>
          <t>GCash</t>
        </is>
      </c>
      <c r="AC1656" t="inlineStr">
        <is>
          <t>Tropics 4 Filinvest East Homes Cainta, Rizal</t>
        </is>
      </c>
      <c r="AD1656" s="4">
        <v>45987</v>
      </c>
      <c r="AE1656" t="inlineStr">
        <is>
          <t>100% Full Payment - Dec. 19, 2025</t>
        </is>
      </c>
      <c r="AF1656" s="2"/>
      <c r="AG1656" t="inlineStr">
        <is>
          <t>NzQyNTk5MTgyNzQ4MTg3MDM0MTozRTQ3MTY5MS1BQzY4LTQ3MjUtQkI1MS05NDdGNUYwMzM2Q0QtMTpjOTFmN2ZjNDdiMGU1ZTA5MTk1MDYxZDI5NDZjYzc1MDox</t>
        </is>
      </c>
      <c r="AH1656" t="inlineStr">
        <is>
          <t>Eliah Ysabella Gomez Regio</t>
        </is>
      </c>
      <c r="AI1656"/>
      <c r="AJ1656" t="inlineStr">
        <is>
          <t>LIQUIDITY PLAN (PAR # 202511200098 / 2025TEG-P0321)
BROADCAST TEAM &gt; Stream Moderator
Total Remaining Budget = Php 18,500.00
Actual Cost = Php 8,000.00
Balance = Php 10,500.00
^ THIS IS BASED ON AN UPDATED INTERNAL CE, ATTACHED AS A COMMENT TO THE PAR ON DEC. 4, 2025</t>
        </is>
      </c>
      <c r="AK1656"/>
    </row>
    <row r="1657" ht="25.5" customHeight="1">
      <c r="A1657" s="2" t="str">
        <f>=HYPERLINK("https://applink.larksuite.com/client/mini_program/open?appId=cli_9c7cc8a9a9edd105&amp;mode=appCenter&amp;path_pc=pc/pages/requested/index?instanceId=7580275667003035356&amp;source=bitable&amp;path=pages/detail/index?instanceId=7580275667003035356&amp;source=bitable", "202512050069")</f>
        <v>202512050069</v>
      </c>
      <c r="B1657" t="inlineStr">
        <is>
          <t>Approved</t>
        </is>
      </c>
      <c r="C1657" t="inlineStr">
        <is>
          <t>Procurement Order</t>
        </is>
      </c>
      <c r="D1657" s="3">
        <v>45996.653495370374</v>
      </c>
      <c r="E1657" s="3">
        <v>45996.785150462965</v>
      </c>
      <c r="F1657" t="inlineStr">
        <is>
          <t>Fatima Kathleen M. FLores</t>
        </is>
      </c>
      <c r="G1657" t="inlineStr">
        <is>
          <t>Procurement</t>
        </is>
      </c>
      <c r="H1657"/>
      <c r="I1657"/>
      <c r="J1657" t="inlineStr">
        <is>
          <t>Project</t>
        </is>
      </c>
      <c r="K1657" t="inlineStr">
        <is>
          <t>GG - Event Service</t>
        </is>
      </c>
      <c r="L1657" t="inlineStr">
        <is>
          <t>KIC 2025 - Playoffs</t>
        </is>
      </c>
      <c r="M1657" t="inlineStr">
        <is>
          <t>2025TEG-P0321</t>
        </is>
      </c>
      <c r="N1657" t="inlineStr">
        <is>
          <t>Carla Andrea Calma Crespo</t>
        </is>
      </c>
      <c r="O1657" t="inlineStr">
        <is>
          <t>202511250112-Carla Andrea Calma Crespo-费用报销 - 副本 - 副本 - 副本-2025-11-25 08:00:46</t>
        </is>
      </c>
      <c r="P1657" t="inlineStr">
        <is>
          <t>YES</t>
        </is>
      </c>
      <c r="Q1657"/>
      <c r="R1657" t="inlineStr">
        <is>
          <t>NO</t>
        </is>
      </c>
      <c r="S1657" t="inlineStr">
        <is>
          <t>Outsourced Stream Moderator</t>
        </is>
      </c>
      <c r="T1657">
        <v>1</v>
      </c>
      <c r="U1657">
        <v>8500</v>
      </c>
      <c r="V1657" t="inlineStr">
        <is>
          <t>PHP</t>
        </is>
      </c>
      <c r="W1657">
        <v>8500</v>
      </c>
      <c r="X1657" s="2" t="str">
        <f>=HYPERLINK("https://www.larksuite.com/approval/admin/previewAttachment?key=PMg9CsIADAXgK738vsTLuLQUWxAKQsUhZxccXL8sQVaIZcNbtCHDKCgjk4DBwiJHR8gGhY5Zn9u9j08593XZz_d1HnM9lm19STRVQXO3AiC3vxvdvTsdP8c3AAD__w", "2 attachment(s)")</f>
        <v>2 attachment(s)</v>
      </c>
      <c r="Y1657" t="inlineStr">
        <is>
          <t>Bank Transfer</t>
        </is>
      </c>
      <c r="Z1657" t="inlineStr">
        <is>
          <t>Ej Cezar Falogme</t>
        </is>
      </c>
      <c r="AA1657" t="inlineStr">
        <is>
          <t>001526005059</t>
        </is>
      </c>
      <c r="AB1657" t="inlineStr">
        <is>
          <t>BDO</t>
        </is>
      </c>
      <c r="AC1657" t="inlineStr">
        <is>
          <t>33 J Pio Felipe St. Purok-1 New Lower Bicutan Taguig City</t>
        </is>
      </c>
      <c r="AD1657" s="4">
        <v>45987</v>
      </c>
      <c r="AE1657" t="inlineStr">
        <is>
          <t>100% Full Payment - Dec. 19, 2025</t>
        </is>
      </c>
      <c r="AF1657" s="2"/>
      <c r="AG1657" t="inlineStr">
        <is>
          <t>NzQyNTk5MTgyNzQ4MTg3MDM0MTo4REQ4OEVCRS1DMUZCLTRBRUQtODk3Ni02QUJENzM5RTZENUMtMTo1YzVhNDA3NGE0MmQ3ZWI1ODIwYzA1YWQ3MDhhMTJjYzox</t>
        </is>
      </c>
      <c r="AH1657" t="inlineStr">
        <is>
          <t>Ej Cezar Falogme</t>
        </is>
      </c>
      <c r="AI1657"/>
      <c r="AJ1657" t="inlineStr">
        <is>
          <t>LIQUIDITY PLAN (PAR # 202511200098 / 2025TEG-P0321)
BROADCAST TEAM &gt; Stream Moderator
Total Budget = Php 27,000.00
Actual Cost = Php 8,500.00
Balance = Php 18,500.00
^ THIS IS BASED ON AN UPDATED INTERNAL CE, ATTACHED AS A COMMENT TO THE PAR ON DEC. 4, 2025</t>
        </is>
      </c>
      <c r="AK1657"/>
    </row>
    <row r="1658" ht="25.5" customHeight="1">
      <c r="A1658" s="2" t="str">
        <f>=HYPERLINK("https://applink.larksuite.com/client/mini_program/open?appId=cli_9c7cc8a9a9edd105&amp;mode=appCenter&amp;path_pc=pc/pages/requested/index?instanceId=7580283047996657375&amp;source=bitable&amp;path=pages/detail/index?instanceId=7580283047996657375&amp;source=bitable", "202512050077")</f>
        <v>202512050077</v>
      </c>
      <c r="B1658" t="inlineStr">
        <is>
          <t>Approved</t>
        </is>
      </c>
      <c r="C1658" t="inlineStr">
        <is>
          <t>Procurement Order</t>
        </is>
      </c>
      <c r="D1658" s="3">
        <v>45996.6733912037</v>
      </c>
      <c r="E1658" s="3">
        <v>45996.78675925926</v>
      </c>
      <c r="F1658" t="inlineStr">
        <is>
          <t>Fatima Kathleen M. FLores</t>
        </is>
      </c>
      <c r="G1658" t="inlineStr">
        <is>
          <t>Procurement</t>
        </is>
      </c>
      <c r="H1658"/>
      <c r="I1658"/>
      <c r="J1658" t="inlineStr">
        <is>
          <t>Project</t>
        </is>
      </c>
      <c r="K1658" t="inlineStr">
        <is>
          <t>GG - Event Service</t>
        </is>
      </c>
      <c r="L1658" t="inlineStr">
        <is>
          <t>KIC 2025 - Playoffs</t>
        </is>
      </c>
      <c r="M1658" t="inlineStr">
        <is>
          <t>2025TEG-P0321</t>
        </is>
      </c>
      <c r="N1658" t="inlineStr">
        <is>
          <t>Carla Andrea Calma Crespo</t>
        </is>
      </c>
      <c r="O1658" t="inlineStr">
        <is>
          <t>202511250142-Carla Andrea Calma Crespo-费用报销 - 副本 - 副本 - 副本-2025-11-25 09:19:31</t>
        </is>
      </c>
      <c r="P1658" t="inlineStr">
        <is>
          <t>YES</t>
        </is>
      </c>
      <c r="Q1658"/>
      <c r="R1658" t="inlineStr">
        <is>
          <t>NO</t>
        </is>
      </c>
      <c r="S1658" t="inlineStr">
        <is>
          <t>Outsourced Safety System Operator</t>
        </is>
      </c>
      <c r="T1658">
        <v>1</v>
      </c>
      <c r="U1658">
        <v>8000</v>
      </c>
      <c r="V1658" t="inlineStr">
        <is>
          <t>PHP</t>
        </is>
      </c>
      <c r="W1658">
        <v>8000</v>
      </c>
      <c r="X1658" s="2" t="str">
        <f>=HYPERLINK("https://www.larksuite.com/approval/admin/previewAttachment?key=PMgxDsIwDAXQK33Hjn8-l2FpFUEFXZAiFp8diaHry2HI0c1TCFkTrNgH2nAEpcxOZ69WRgo0Bmp_z_tz6fhibscJrNdZ67HN_WNdbA30CB8A7Ha5MyKkDPwdvwAAAP__", "2 attachment(s)")</f>
        <v>2 attachment(s)</v>
      </c>
      <c r="Y1658" t="inlineStr">
        <is>
          <t>Bank Transfer</t>
        </is>
      </c>
      <c r="Z1658" t="inlineStr">
        <is>
          <t>Emir Ryan Concepcion</t>
        </is>
      </c>
      <c r="AA1658" t="inlineStr">
        <is>
          <t>3179710829</t>
        </is>
      </c>
      <c r="AB1658" t="inlineStr">
        <is>
          <t>BPI</t>
        </is>
      </c>
      <c r="AC1658" t="inlineStr">
        <is>
          <t>116 J.Molina Corner Blue Bird Street, Strip 70 Village, Concepcion Uno, Marikina City</t>
        </is>
      </c>
      <c r="AD1658" s="4">
        <v>45987</v>
      </c>
      <c r="AE1658" t="inlineStr">
        <is>
          <t>100% Full Payment - Dec. 19, 2025</t>
        </is>
      </c>
      <c r="AF1658" s="2"/>
      <c r="AG1658" t="inlineStr">
        <is>
          <t>NzQyNTk5MTgyNzQ4MTg3MDM0MTowRUEyNTBFNS05NTY1LTRFQ0MtOTBDMi1EMDY0NDEzRDVFMEQtMTozM2ZmMDEyMDU2OGU5YWEwNjUyNjJiZTBhNjdmY2QxZjox</t>
        </is>
      </c>
      <c r="AH1658" t="inlineStr">
        <is>
          <t>Emir Ryan Concepcion</t>
        </is>
      </c>
      <c r="AI1658"/>
      <c r="AJ1658" t="inlineStr">
        <is>
          <t>LIQUIDITY PLAN (PAR # 202511200098 / 2025TEG-P0321)
BROADCAST TEAM &gt; Safety System Operator
Total Remaining Budget = Php 17,500.00
Actual Cost = Php 8,000.00
Balance = Php 1,500.00
^ THIS IS BASED ON AN UPDATED INTERNAL CE, ATTACHED AS A COMMENT TO THE PAR ON DEC. 4, 2025</t>
        </is>
      </c>
      <c r="AK1658"/>
    </row>
    <row r="1659" ht="25.5" customHeight="1">
      <c r="A1659" s="2" t="str">
        <f>=HYPERLINK("https://applink.larksuite.com/client/mini_program/open?appId=cli_9c7cc8a9a9edd105&amp;mode=appCenter&amp;path_pc=pc/pages/requested/index?instanceId=7580282474056421090&amp;source=bitable&amp;path=pages/detail/index?instanceId=7580282474056421090&amp;source=bitable", "202512050076")</f>
        <v>202512050076</v>
      </c>
      <c r="B1659" t="inlineStr">
        <is>
          <t>Approved</t>
        </is>
      </c>
      <c r="C1659" t="inlineStr">
        <is>
          <t>Procurement Order</t>
        </is>
      </c>
      <c r="D1659" s="3">
        <v>45996.67184027778</v>
      </c>
      <c r="E1659" s="3">
        <v>45996.78744212963</v>
      </c>
      <c r="F1659" t="inlineStr">
        <is>
          <t>Fatima Kathleen M. FLores</t>
        </is>
      </c>
      <c r="G1659" t="inlineStr">
        <is>
          <t>Procurement</t>
        </is>
      </c>
      <c r="H1659"/>
      <c r="I1659"/>
      <c r="J1659" t="inlineStr">
        <is>
          <t>Project</t>
        </is>
      </c>
      <c r="K1659" t="inlineStr">
        <is>
          <t>GG - Event Service</t>
        </is>
      </c>
      <c r="L1659" t="inlineStr">
        <is>
          <t>KIC 2025 - Playoffs</t>
        </is>
      </c>
      <c r="M1659" t="inlineStr">
        <is>
          <t>2025TEG-P0321</t>
        </is>
      </c>
      <c r="N1659" t="inlineStr">
        <is>
          <t>Carla Andrea Calma Crespo</t>
        </is>
      </c>
      <c r="O1659" t="inlineStr">
        <is>
          <t>202511250142-Carla Andrea Calma Crespo-费用报销 - 副本 - 副本 - 副本-2025-11-25 09:19:31</t>
        </is>
      </c>
      <c r="P1659" t="inlineStr">
        <is>
          <t>YES</t>
        </is>
      </c>
      <c r="Q1659"/>
      <c r="R1659" t="inlineStr">
        <is>
          <t>NO</t>
        </is>
      </c>
      <c r="S1659" t="inlineStr">
        <is>
          <t>Outsourced Safety System Operator</t>
        </is>
      </c>
      <c r="T1659">
        <v>1</v>
      </c>
      <c r="U1659">
        <v>9000</v>
      </c>
      <c r="V1659" t="inlineStr">
        <is>
          <t>PHP</t>
        </is>
      </c>
      <c r="W1659">
        <v>9000</v>
      </c>
      <c r="X1659" s="2" t="str">
        <f>=HYPERLINK("https://www.larksuite.com/approval/admin/previewAttachment?key=PMgxDgIxDATAL62djdfmMzQXnaCgQheJwm9HoqCdSEPktBEFlnnBWjPh6RQxg24otLdJBZmIXq_z_tnP65jX2oInd-_Hca63zZI7NMiRAOz29yGSVUH8HN8AAAD__w", "2 attachment(s)")</f>
        <v>2 attachment(s)</v>
      </c>
      <c r="Y1659" t="inlineStr">
        <is>
          <t>Bank Transfer</t>
        </is>
      </c>
      <c r="Z1659" t="inlineStr">
        <is>
          <t>John Benigno R. Magat</t>
        </is>
      </c>
      <c r="AA1659" t="inlineStr">
        <is>
          <t>046110005388</t>
        </is>
      </c>
      <c r="AB1659" t="inlineStr">
        <is>
          <t>PSBank</t>
        </is>
      </c>
      <c r="AC1659" t="inlineStr">
        <is>
          <t>228 Grissom st. Brgy Moonwalk Paranaque</t>
        </is>
      </c>
      <c r="AD1659" s="4">
        <v>45987</v>
      </c>
      <c r="AE1659" t="inlineStr">
        <is>
          <t>100% Full Payment - Dec. 19, 2025</t>
        </is>
      </c>
      <c r="AF1659" s="2"/>
      <c r="AG1659" t="inlineStr">
        <is>
          <t>NzQyNTk5MTgyNzQ4MTg3MDM0MTo4MEIzODEyMy04Q0JBLTQyMzUtQjVFNS0zMUNGOTJFRjhFMEUtMTozZWRlZjEyMDZjNzNkYTJjMzczZDIyMjI1NThhNDc2Yjox</t>
        </is>
      </c>
      <c r="AH1659" t="inlineStr">
        <is>
          <t>John Benigno R. Magat</t>
        </is>
      </c>
      <c r="AI1659"/>
      <c r="AJ1659" t="inlineStr">
        <is>
          <t>LIQUIDITY PLAN (PAR # 202511200098 / 2025TEG-P0321)
BROADCAST TEAM &gt; Safety System Operator
Total Remaining Budget = Php 18,500.00
Actual Cost = Php 9,000.00
Balance = Php 17,500.00
^ THIS IS BASED ON AN UPDATED INTERNAL CE, ATTACHED AS A COMMENT TO THE PAR ON DEC. 4, 2025</t>
        </is>
      </c>
      <c r="AK1659"/>
    </row>
    <row r="1660" ht="25.5" customHeight="1">
      <c r="A1660" s="2" t="str">
        <f>=HYPERLINK("https://applink.larksuite.com/client/mini_program/open?appId=cli_9c7cc8a9a9edd105&amp;mode=appCenter&amp;path_pc=pc/pages/requested/index?instanceId=7580299654164696800&amp;source=bitable&amp;path=pages/detail/index?instanceId=7580299654164696800&amp;source=bitable", "202512050098")</f>
        <v>202512050098</v>
      </c>
      <c r="B1660" t="inlineStr">
        <is>
          <t>Approved</t>
        </is>
      </c>
      <c r="C1660" t="inlineStr">
        <is>
          <t>Procurement Order</t>
        </is>
      </c>
      <c r="D1660" s="3">
        <v>45996.718136574076</v>
      </c>
      <c r="E1660" s="3">
        <v>45996.797951388886</v>
      </c>
      <c r="F1660" t="inlineStr">
        <is>
          <t>Fatima Kathleen M. FLores</t>
        </is>
      </c>
      <c r="G1660" t="inlineStr">
        <is>
          <t>Procurement</t>
        </is>
      </c>
      <c r="H1660"/>
      <c r="I1660"/>
      <c r="J1660" t="inlineStr">
        <is>
          <t>Project</t>
        </is>
      </c>
      <c r="K1660" t="inlineStr">
        <is>
          <t>GG - Event Service</t>
        </is>
      </c>
      <c r="L1660" t="inlineStr">
        <is>
          <t>KIC 2025 - Playoffs</t>
        </is>
      </c>
      <c r="M1660" t="inlineStr">
        <is>
          <t>2025TEG-P0321</t>
        </is>
      </c>
      <c r="N1660" t="inlineStr">
        <is>
          <t>Carla Andrea Calma Crespo</t>
        </is>
      </c>
      <c r="O1660" t="inlineStr">
        <is>
          <t>202511270161-Carla Andrea Calma Crespo-费用报销 - 副本 - 副本 - 副本-2025-11-27 10:05:42</t>
        </is>
      </c>
      <c r="P1660" t="inlineStr">
        <is>
          <t>YES</t>
        </is>
      </c>
      <c r="Q1660"/>
      <c r="R1660" t="inlineStr">
        <is>
          <t>NO</t>
        </is>
      </c>
      <c r="S1660" t="inlineStr">
        <is>
          <t>Outsourced Logistics Associate (Ingress)</t>
        </is>
      </c>
      <c r="T1660">
        <v>1</v>
      </c>
      <c r="U1660">
        <v>24000</v>
      </c>
      <c r="V1660" t="inlineStr">
        <is>
          <t>PHP</t>
        </is>
      </c>
      <c r="W1660">
        <v>24000</v>
      </c>
      <c r="X1660" s="2" t="str">
        <f>=HYPERLINK("https://www.larksuite.com/approval/admin/previewAttachment?key=PMgxDkIxDAPQK9mtm8RchoXqi4UJgfhDzo7EwPqiiKjFGYbMYbBzFYYdSwyFo4AezUwjmWLvx3EtreL5wt7zU2f2-3479pPLOQZySrMA8PL3mZLsEH6ObwAAAP__", "2 attachment(s)")</f>
        <v>2 attachment(s)</v>
      </c>
      <c r="Y1660" t="inlineStr">
        <is>
          <t>Bank Transfer</t>
        </is>
      </c>
      <c r="Z1660" t="inlineStr">
        <is>
          <t>RIC JACA</t>
        </is>
      </c>
      <c r="AA1660" t="inlineStr">
        <is>
          <t>09509516216</t>
        </is>
      </c>
      <c r="AB1660" t="inlineStr">
        <is>
          <t>GCash</t>
        </is>
      </c>
      <c r="AC1660" t="inlineStr">
        <is>
          <t>321 Sitio Langhaya Brgy. Dela Paz Antipolo Rizal</t>
        </is>
      </c>
      <c r="AD1660" s="4">
        <v>45985</v>
      </c>
      <c r="AE1660" t="inlineStr">
        <is>
          <t>100% Full Payment - Dec. 12, 2025</t>
        </is>
      </c>
      <c r="AF1660" s="2"/>
      <c r="AG1660" t="inlineStr">
        <is>
          <t>NzQyNTk5MTgyNzQ4MTg3MDM0MTo0NzhBQTZCQi0zRUE0LTQwQUMtOUUwMC01MTk0OTdFN0RCNDMtMTo1YjM5YjE2OWY1MTQ4YTBiYmUxZGIxNjBkOTA3OTFlNjox</t>
        </is>
      </c>
      <c r="AH1660" t="inlineStr">
        <is>
          <t>RIC JACA</t>
        </is>
      </c>
      <c r="AI1660"/>
      <c r="AJ1660" t="inlineStr">
        <is>
          <t>LIQUIDITY PLAN (PAR # 202511200098 / 2025TEG-P0321)
OPERATIONS TEAM &gt; Logistics &gt;
Runners (Ingress - Main Stage)
Runners (Ingress - Carnival)
Runners (Event Days)
Total Remaining Budget = Php 292,500.00
Actual Cost = Php 42,000.00
Balance = Php 250,500.00
^ THIS IS BASED ON AN UPDATED INTERNAL CE, ATTACHED AS A COMMENT TO THE PAR ON DEC. 4, 2025</t>
        </is>
      </c>
      <c r="AK1660"/>
    </row>
    <row r="1661" ht="25.5" customHeight="1">
      <c r="A1661" s="2" t="str">
        <f>=HYPERLINK("https://applink.larksuite.com/client/mini_program/open?appId=cli_9c7cc8a9a9edd105&amp;mode=appCenter&amp;path_pc=pc/pages/requested/index?instanceId=7580299654164696800&amp;source=bitable&amp;path=pages/detail/index?instanceId=7580299654164696800&amp;source=bitable", "202512050098")</f>
        <v>202512050098</v>
      </c>
      <c r="B1661" t="inlineStr">
        <is>
          <t>Approved</t>
        </is>
      </c>
      <c r="C1661" t="inlineStr">
        <is>
          <t>Procurement Order</t>
        </is>
      </c>
      <c r="D1661" s="3">
        <v>45996.718136574076</v>
      </c>
      <c r="E1661" s="3">
        <v>45996.797951388886</v>
      </c>
      <c r="F1661" t="inlineStr">
        <is>
          <t>Fatima Kathleen M. FLores</t>
        </is>
      </c>
      <c r="G1661" t="inlineStr">
        <is>
          <t>Procurement</t>
        </is>
      </c>
      <c r="H1661"/>
      <c r="I1661"/>
      <c r="J1661" t="inlineStr">
        <is>
          <t>Project</t>
        </is>
      </c>
      <c r="K1661" t="inlineStr">
        <is>
          <t>GG - Event Service</t>
        </is>
      </c>
      <c r="L1661" t="inlineStr">
        <is>
          <t>KIC 2025 - Playoffs</t>
        </is>
      </c>
      <c r="M1661" t="inlineStr">
        <is>
          <t>2025TEG-P0321</t>
        </is>
      </c>
      <c r="N1661" t="inlineStr">
        <is>
          <t>Carla Andrea Calma Crespo</t>
        </is>
      </c>
      <c r="O1661" t="inlineStr">
        <is>
          <t>202511270161-Carla Andrea Calma Crespo-费用报销 - 副本 - 副本 - 副本-2025-11-27 10:05:42</t>
        </is>
      </c>
      <c r="P1661" t="inlineStr">
        <is>
          <t>YES</t>
        </is>
      </c>
      <c r="Q1661"/>
      <c r="R1661" t="inlineStr">
        <is>
          <t>NO</t>
        </is>
      </c>
      <c r="S1661" t="inlineStr">
        <is>
          <t>Outsourced Logistics Associate (Event Days)</t>
        </is>
      </c>
      <c r="T1661">
        <v>1</v>
      </c>
      <c r="U1661">
        <v>18000</v>
      </c>
      <c r="V1661" t="inlineStr">
        <is>
          <t>PHP</t>
        </is>
      </c>
      <c r="W1661">
        <v>18000</v>
      </c>
      <c r="X1661" s="2" t="str">
        <f>=HYPERLINK("https://www.larksuite.com/approval/admin/previewAttachment?key=PMgxDkIxDAPQK9mtm8RchoXqi4UJgfhDzo7EwPqiiKjFGYbMYbBzFYYdSwyFo4AezUwjmWLvx3EtreL5wt7zU2f2-3479pPLOQZySrMA8PL3mZLsEH7ObwAAAP__", "1 attachment(s)")</f>
        <v>1 attachment(s)</v>
      </c>
      <c r="Y1661"/>
      <c r="Z1661"/>
      <c r="AA1661"/>
      <c r="AB1661"/>
      <c r="AC1661"/>
      <c r="AD1661" s="4"/>
      <c r="AE1661"/>
      <c r="AF1661" s="2"/>
      <c r="AG1661" t="inlineStr">
        <is>
          <t>NzQyNTk5MTgyNzQ4MTg3MDM0MTo0NzhBQTZCQi0zRUE0LTQwQUMtOUUwMC01MTk0OTdFN0RCNDMtMjpjMGU5ZjZjNzZhYjFlMTI3ZmZhODRmYjQwOTcwNmIwNTox</t>
        </is>
      </c>
      <c r="AH1661"/>
      <c r="AI1661"/>
      <c r="AJ1661" t="inlineStr">
        <is>
          <t>LIQUIDITY PLAN (PAR # 202511200098 / 2025TEG-P0321)
OPERATIONS TEAM &gt; Logistics &gt;
Runners (Ingress - Main Stage)
Runners (Ingress - Carnival)
Runners (Event Days)
Total Remaining Budget = Php 292,500.00
Actual Cost = Php 42,000.00
Balance = Php 250,500.00
^ THIS IS BASED ON AN UPDATED INTERNAL CE, ATTACHED AS A COMMENT TO THE PAR ON DEC. 4, 2025</t>
        </is>
      </c>
      <c r="AK1661"/>
    </row>
    <row r="1662" ht="25.5" customHeight="1">
      <c r="A1662" s="2" t="str">
        <f>=HYPERLINK("https://applink.larksuite.com/client/mini_program/open?appId=cli_9c7cc8a9a9edd105&amp;mode=appCenter&amp;path_pc=pc/pages/requested/index?instanceId=7580300658226597598&amp;source=bitable&amp;path=pages/detail/index?instanceId=7580300658226597598&amp;source=bitable", "202512050099")</f>
        <v>202512050099</v>
      </c>
      <c r="B1662" t="inlineStr">
        <is>
          <t>Approved</t>
        </is>
      </c>
      <c r="C1662" t="inlineStr">
        <is>
          <t>Procurement Order</t>
        </is>
      </c>
      <c r="D1662" s="3">
        <v>45996.72084490741</v>
      </c>
      <c r="E1662" s="3">
        <v>45996.79625</v>
      </c>
      <c r="F1662" t="inlineStr">
        <is>
          <t>Fatima Kathleen M. FLores</t>
        </is>
      </c>
      <c r="G1662" t="inlineStr">
        <is>
          <t>Procurement</t>
        </is>
      </c>
      <c r="H1662"/>
      <c r="I1662"/>
      <c r="J1662" t="inlineStr">
        <is>
          <t>Project</t>
        </is>
      </c>
      <c r="K1662" t="inlineStr">
        <is>
          <t>GG - Event Service</t>
        </is>
      </c>
      <c r="L1662" t="inlineStr">
        <is>
          <t>KIC 2025 - Playoffs</t>
        </is>
      </c>
      <c r="M1662" t="inlineStr">
        <is>
          <t>2025TEG-P0321</t>
        </is>
      </c>
      <c r="N1662" t="inlineStr">
        <is>
          <t>Carla Andrea Calma Crespo</t>
        </is>
      </c>
      <c r="O1662" t="inlineStr">
        <is>
          <t>202511270161-Carla Andrea Calma Crespo-费用报销 - 副本 - 副本 - 副本-2025-11-27 10:05:42</t>
        </is>
      </c>
      <c r="P1662" t="inlineStr">
        <is>
          <t>YES</t>
        </is>
      </c>
      <c r="Q1662"/>
      <c r="R1662" t="inlineStr">
        <is>
          <t>NO</t>
        </is>
      </c>
      <c r="S1662" t="inlineStr">
        <is>
          <t>Outsourced Logistics Associate (Media Day / Event Days)</t>
        </is>
      </c>
      <c r="T1662">
        <v>1</v>
      </c>
      <c r="U1662">
        <v>21000</v>
      </c>
      <c r="V1662" t="inlineStr">
        <is>
          <t>PHP</t>
        </is>
      </c>
      <c r="W1662">
        <v>21000</v>
      </c>
      <c r="X1662" s="2" t="str">
        <f>=HYPERLINK("https://www.larksuite.com/approval/admin/previewAttachment?key=PMi7DQJBDATQlsZe2-OhGZJbnfiICHGIYGtHIiB91YbqtFFCyFywxWwMoLLdK8VUL19GCjSGrfnYz5_j-to8NfN923hfx2Xb59NSdAdHxGgAdvr7YERIFfg5vgEAAP__", "2 attachment(s)")</f>
        <v>2 attachment(s)</v>
      </c>
      <c r="Y1662" t="inlineStr">
        <is>
          <t>Bank Transfer</t>
        </is>
      </c>
      <c r="Z1662" t="inlineStr">
        <is>
          <t>Nordan Burabo</t>
        </is>
      </c>
      <c r="AA1662" t="inlineStr">
        <is>
          <t>09636201512</t>
        </is>
      </c>
      <c r="AB1662" t="inlineStr">
        <is>
          <t>GCash</t>
        </is>
      </c>
      <c r="AC1662" t="inlineStr">
        <is>
          <t>Blk 1 Lot 23 Agoncillo St. Sta Lucia Novaliches, Quezon City</t>
        </is>
      </c>
      <c r="AD1662" s="4">
        <v>45985</v>
      </c>
      <c r="AE1662" t="inlineStr">
        <is>
          <t>100% Full Payment - Dec. 12, 2025</t>
        </is>
      </c>
      <c r="AF1662" s="2"/>
      <c r="AG1662" t="inlineStr">
        <is>
          <t>NzQyNTk5MTgyNzQ4MTg3MDM0MTo4QUNCNUE2Ni1GMjE3LTRDRjUtOTkwNy0zMzlGNDhDMkIzRUUtMTozZWZkNGI1NmViOGJhYTJmMGU5OGI1MjAzMjM1NTg3MTox</t>
        </is>
      </c>
      <c r="AH1662" t="inlineStr">
        <is>
          <t>Nordan Burabo</t>
        </is>
      </c>
      <c r="AI1662"/>
      <c r="AJ1662" t="inlineStr">
        <is>
          <t>LIQUIDITY PLAN (PAR # 202511200098 / 2025TEG-P0321)
OPERATIONS TEAM &gt; Logistics &gt;
Runners (Event Days)
Total Remaining Budget = Php 130,500.00
Actual Cost = Php 21,000.00
Balance = Php 109,500.00
^ THIS IS BASED ON AN UPDATED INTERNAL CE, ATTACHED AS A COMMENT TO THE PAR ON DEC. 4, 2025</t>
        </is>
      </c>
      <c r="AK1662"/>
    </row>
    <row r="1663" ht="25.5" customHeight="1">
      <c r="A1663" s="2" t="str">
        <f>=HYPERLINK("https://applink.larksuite.com/client/mini_program/open?appId=cli_9c7cc8a9a9edd105&amp;mode=appCenter&amp;path_pc=pc/pages/requested/index?instanceId=7580304685517508321&amp;source=bitable&amp;path=pages/detail/index?instanceId=7580304685517508321&amp;source=bitable", "202512050105")</f>
        <v>202512050105</v>
      </c>
      <c r="B1663" t="inlineStr">
        <is>
          <t>Approved</t>
        </is>
      </c>
      <c r="C1663" t="inlineStr">
        <is>
          <t>Procurement Order</t>
        </is>
      </c>
      <c r="D1663" s="3">
        <v>45996.73170138889</v>
      </c>
      <c r="E1663" s="3">
        <v>45996.79505787037</v>
      </c>
      <c r="F1663" t="inlineStr">
        <is>
          <t>Fatima Kathleen M. FLores</t>
        </is>
      </c>
      <c r="G1663" t="inlineStr">
        <is>
          <t>Procurement</t>
        </is>
      </c>
      <c r="H1663"/>
      <c r="I1663"/>
      <c r="J1663" t="inlineStr">
        <is>
          <t>Project</t>
        </is>
      </c>
      <c r="K1663" t="inlineStr">
        <is>
          <t>GG - Event Service</t>
        </is>
      </c>
      <c r="L1663" t="inlineStr">
        <is>
          <t>KIC 2025 - Playoffs</t>
        </is>
      </c>
      <c r="M1663" t="inlineStr">
        <is>
          <t>2025TEG-P0321</t>
        </is>
      </c>
      <c r="N1663" t="inlineStr">
        <is>
          <t>Carla Andrea Calma Crespo</t>
        </is>
      </c>
      <c r="O1663" t="inlineStr">
        <is>
          <t>202511250150-Carla Andrea Calma Crespo-费用报销 - 副本 - 副本 - 副本-2025-11-25 09:50:21</t>
        </is>
      </c>
      <c r="P1663" t="inlineStr">
        <is>
          <t>YES</t>
        </is>
      </c>
      <c r="Q1663"/>
      <c r="R1663" t="inlineStr">
        <is>
          <t>NO</t>
        </is>
      </c>
      <c r="S1663" t="inlineStr">
        <is>
          <t>Outsourced Multi-Country Operator</t>
        </is>
      </c>
      <c r="T1663">
        <v>1</v>
      </c>
      <c r="U1663">
        <v>7500</v>
      </c>
      <c r="V1663" t="inlineStr">
        <is>
          <t>PHP</t>
        </is>
      </c>
      <c r="W1663">
        <v>7500</v>
      </c>
      <c r="X1663" s="2" t="str">
        <f>=HYPERLINK("https://www.larksuite.com/approval/admin/previewAttachment?key=PMhLCsJAEATQK1X1Z6rby7gxBCERBGFczdkFF9m-UcSopI9GNK3BpSw4YlQmlSg3LluUGqKCa3vtd-pbJ2y-T0wex5rPx759mC0zyCO8APB2uSsiukfg7_gFAAD__w", "2 attachment(s)")</f>
        <v>2 attachment(s)</v>
      </c>
      <c r="Y1663" t="inlineStr">
        <is>
          <t>Bank Transfer</t>
        </is>
      </c>
      <c r="Z1663" t="inlineStr">
        <is>
          <t>Kenneth Bayona</t>
        </is>
      </c>
      <c r="AA1663" t="inlineStr">
        <is>
          <t>09484380719</t>
        </is>
      </c>
      <c r="AB1663" t="inlineStr">
        <is>
          <t>Gcash</t>
        </is>
      </c>
      <c r="AC1663" t="inlineStr">
        <is>
          <t>San Nicolas 2nd, Magalang, Pampanga</t>
        </is>
      </c>
      <c r="AD1663" s="4">
        <v>45989</v>
      </c>
      <c r="AE1663" t="inlineStr">
        <is>
          <t>100% Full Payment - Dec. 12, 2025</t>
        </is>
      </c>
      <c r="AF1663" s="2"/>
      <c r="AG1663" t="inlineStr">
        <is>
          <t>NzQyNTk5MTgyNzQ4MTg3MDM0MTpFODdERUY5OC0wNDY1LTREMTAtQjlGMC1DMEMwMjJCNkIwMDQtMTowZTA3MjBmMTUzZjhkOTU4MjkzY2Y1MDFkOGRkNTBmNjox</t>
        </is>
      </c>
      <c r="AH1663" t="inlineStr">
        <is>
          <t>Kenneth Bayona</t>
        </is>
      </c>
      <c r="AI1663"/>
      <c r="AJ1663" t="inlineStr">
        <is>
          <t>LIQUIDITY PLAN (PAR # 202511200098 / 2025TEG-P0321)
OPERATIONS TEAM &gt; Multi-Country Operator 
Total Budget = Php 52,500.00
Actual Cost = Php 7,500.00
Balance = Php 45,000.00
^ THIS IS BASED ON AN UPDATED INTERNAL CE, ATTACHED AS A COMMENT TO THE PAR ON DEC. 4, 2025</t>
        </is>
      </c>
      <c r="AK1663"/>
    </row>
    <row r="1664" ht="25.5" customHeight="1">
      <c r="A1664" s="2" t="str">
        <f>=HYPERLINK("https://applink.larksuite.com/client/mini_program/open?appId=cli_9c7cc8a9a9edd105&amp;mode=appCenter&amp;path_pc=pc/pages/requested/index?instanceId=7580290900530597602&amp;source=bitable&amp;path=pages/detail/index?instanceId=7580290900530597602&amp;source=bitable", "202512050083")</f>
        <v>202512050083</v>
      </c>
      <c r="B1664" t="inlineStr">
        <is>
          <t>Approved</t>
        </is>
      </c>
      <c r="C1664" t="inlineStr">
        <is>
          <t>Procurement Order</t>
        </is>
      </c>
      <c r="D1664" s="3">
        <v>45996.694548611114</v>
      </c>
      <c r="E1664" s="3">
        <v>45996.787986111114</v>
      </c>
      <c r="F1664" t="inlineStr">
        <is>
          <t>Fatima Kathleen M. FLores</t>
        </is>
      </c>
      <c r="G1664" t="inlineStr">
        <is>
          <t>Procurement</t>
        </is>
      </c>
      <c r="H1664"/>
      <c r="I1664"/>
      <c r="J1664" t="inlineStr">
        <is>
          <t>Project</t>
        </is>
      </c>
      <c r="K1664" t="inlineStr">
        <is>
          <t>GG - Event Service</t>
        </is>
      </c>
      <c r="L1664" t="inlineStr">
        <is>
          <t>KIC 2025 - Playoffs</t>
        </is>
      </c>
      <c r="M1664" t="inlineStr">
        <is>
          <t>2025TEG-P0321</t>
        </is>
      </c>
      <c r="N1664" t="inlineStr">
        <is>
          <t>Carla Andrea Calma Crespo</t>
        </is>
      </c>
      <c r="O1664" t="inlineStr">
        <is>
          <t>202511250149-Carla Andrea Calma Crespo-费用报销 - 副本 - 副本 - 副本-2025-11-25 09:45:53</t>
        </is>
      </c>
      <c r="P1664" t="inlineStr">
        <is>
          <t>YES</t>
        </is>
      </c>
      <c r="Q1664"/>
      <c r="R1664" t="inlineStr">
        <is>
          <t>NO</t>
        </is>
      </c>
      <c r="S1664" t="inlineStr">
        <is>
          <t>Outsourced VTR Operator</t>
        </is>
      </c>
      <c r="T1664">
        <v>1</v>
      </c>
      <c r="U1664">
        <v>9000</v>
      </c>
      <c r="V1664" t="inlineStr">
        <is>
          <t>PHP</t>
        </is>
      </c>
      <c r="W1664">
        <v>9000</v>
      </c>
      <c r="X1664" s="2" t="str">
        <f>=HYPERLINK("https://www.larksuite.com/approval/admin/previewAttachment?key=PMg7ioIxFAXgLZ37zpnNTGMIRlQE4UeLu3bBwvbLIcgRYkk4RQnpigElCIQhWAltbakiSsrR87b-H5dtate9132-jncf59OaTwmWKsrcbQCQv59buTuZjq_jEwAA__8", "2 attachment(s)")</f>
        <v>2 attachment(s)</v>
      </c>
      <c r="Y1664" t="inlineStr">
        <is>
          <t>Bank Transfer</t>
        </is>
      </c>
      <c r="Z1664" t="inlineStr">
        <is>
          <t>JOHN MARK PABELICO</t>
        </is>
      </c>
      <c r="AA1664" t="inlineStr">
        <is>
          <t>019809678942</t>
        </is>
      </c>
      <c r="AB1664" t="inlineStr">
        <is>
          <t>GoTyme Bank</t>
        </is>
      </c>
      <c r="AC1664" t="inlineStr">
        <is>
          <t>3195A Tindalo Street, UPS2, Brgy. San Martin de Porres, Parañaque City</t>
        </is>
      </c>
      <c r="AD1664" s="4">
        <v>45987</v>
      </c>
      <c r="AE1664" t="inlineStr">
        <is>
          <t>100% Full Payment - Dec. 19, 2025</t>
        </is>
      </c>
      <c r="AF1664" s="2"/>
      <c r="AG1664" t="inlineStr">
        <is>
          <t>NzQyNTk5MTgyNzQ4MTg3MDM0MTpDNkU2Q0NFOC0zOTMyLTQ4RkQtQTMwOC1DMzM3MTA4MDM2QzQtMTpiM2Y3ODc1ODY1ZGI0MWE3ODk0ZWNkZTBiYTRlMzI5YTox</t>
        </is>
      </c>
      <c r="AH1664" t="inlineStr">
        <is>
          <t>JOHN MARK PABELICO</t>
        </is>
      </c>
      <c r="AI1664"/>
      <c r="AJ1664" t="inlineStr">
        <is>
          <t>LIQUIDITY PLAN (PAR # 202511200098 / 2025TEG-P0321)
BROADCAST TEAM &gt; PH VTR Operator
Total Remaining Budget = Php 10,000.00
Actual Cost = Php 9,000.00
Balance = Php 1,000.00
^ THIS IS BASED ON AN UPDATED INTERNAL CE, ATTACHED AS A COMMENT TO THE PAR ON DEC. 4, 2025</t>
        </is>
      </c>
      <c r="AK1664"/>
    </row>
    <row r="1665" ht="25.5" customHeight="1">
      <c r="A1665" s="2" t="str">
        <f>=HYPERLINK("https://applink.larksuite.com/client/mini_program/open?appId=cli_9c7cc8a9a9edd105&amp;mode=appCenter&amp;path_pc=pc/pages/requested/index?instanceId=7580298254261243612&amp;source=bitable&amp;path=pages/detail/index?instanceId=7580298254261243612&amp;source=bitable", "202512050095")</f>
        <v>202512050095</v>
      </c>
      <c r="B1665" t="inlineStr">
        <is>
          <t>Approved</t>
        </is>
      </c>
      <c r="C1665" t="inlineStr">
        <is>
          <t>Procurement Order</t>
        </is>
      </c>
      <c r="D1665" s="3">
        <v>45996.71436342593</v>
      </c>
      <c r="E1665" s="3">
        <v>45996.79306712963</v>
      </c>
      <c r="F1665" t="inlineStr">
        <is>
          <t>Fatima Kathleen M. FLores</t>
        </is>
      </c>
      <c r="G1665" t="inlineStr">
        <is>
          <t>Procurement</t>
        </is>
      </c>
      <c r="H1665"/>
      <c r="I1665"/>
      <c r="J1665" t="inlineStr">
        <is>
          <t>Project</t>
        </is>
      </c>
      <c r="K1665" t="inlineStr">
        <is>
          <t>GG - Event Service</t>
        </is>
      </c>
      <c r="L1665" t="inlineStr">
        <is>
          <t>KIC 2025 - Playoffs</t>
        </is>
      </c>
      <c r="M1665" t="inlineStr">
        <is>
          <t>2025TEG-P0321</t>
        </is>
      </c>
      <c r="N1665" t="inlineStr">
        <is>
          <t>Carla Andrea Calma Crespo</t>
        </is>
      </c>
      <c r="O1665" t="inlineStr">
        <is>
          <t>202511270161-Carla Andrea Calma Crespo-费用报销 - 副本 - 副本 - 副本-2025-11-27 10:05:42</t>
        </is>
      </c>
      <c r="P1665" t="inlineStr">
        <is>
          <t>YES</t>
        </is>
      </c>
      <c r="Q1665"/>
      <c r="R1665" t="inlineStr">
        <is>
          <t>NO</t>
        </is>
      </c>
      <c r="S1665" t="inlineStr">
        <is>
          <t>Outsourced Logistics Associate (Ingress)</t>
        </is>
      </c>
      <c r="T1665">
        <v>1</v>
      </c>
      <c r="U1665">
        <v>42000</v>
      </c>
      <c r="V1665" t="inlineStr">
        <is>
          <t>PHP</t>
        </is>
      </c>
      <c r="W1665">
        <v>42000</v>
      </c>
      <c r="X1665" s="2" t="str">
        <f>=HYPERLINK("https://www.larksuite.com/approval/admin/previewAttachment?key=PMg7jgJBDATQK1WV3f7sZTbpUYuECGmIfHYkAtIXRUQtWjS8qQYnV0FdWq6g3IIaDTMbyXTO9Tz_ut-1sU-XbDPnfuxzvbg6JaS5WwHg388t3b07HF_HJwAA__8", "2 attachment(s)")</f>
        <v>2 attachment(s)</v>
      </c>
      <c r="Y1665" t="inlineStr">
        <is>
          <t>Bank Transfer</t>
        </is>
      </c>
      <c r="Z1665" t="inlineStr">
        <is>
          <t>Rizel John Obong</t>
        </is>
      </c>
      <c r="AA1665" t="inlineStr">
        <is>
          <t>09709731174</t>
        </is>
      </c>
      <c r="AB1665" t="inlineStr">
        <is>
          <t>GCash</t>
        </is>
      </c>
      <c r="AC1665" t="inlineStr">
        <is>
          <t>Blk 1j Lot 31 Phase 3 E-1 Dagat Dagatan Caloocan City</t>
        </is>
      </c>
      <c r="AD1665" s="4">
        <v>45985</v>
      </c>
      <c r="AE1665" t="inlineStr">
        <is>
          <t>1st Payment - Dec. 12, 2025
Final Payment - Dec. 19, 2025</t>
        </is>
      </c>
      <c r="AF1665" s="2"/>
      <c r="AG1665" t="inlineStr">
        <is>
          <t>NzQyNTk5MTgyNzQ4MTg3MDM0MToxMDc4NjYyRi01QzEyLTQwMUQtQjJCOS01RUJERDFEOTk2NzEtMTphMzk5NTI3YzNlYjIwNTJiODgwMDdmYzU2ZDg0MWM0NTox</t>
        </is>
      </c>
      <c r="AH1665" t="inlineStr">
        <is>
          <t>Rizel John Obong</t>
        </is>
      </c>
      <c r="AI1665"/>
      <c r="AJ1665" t="inlineStr">
        <is>
          <t>LIQUIDITY PLAN (PAR # 202511200098 / 2025TEG-P0321)
OPERATIONS TEAM &gt; Logistics &gt;
Runners (Ingress - Main Stage)
Runners (Ingress - Carnival)
Runners (Event Days)
Total Budget = Php 366,000.00
Actual Cost = Php 73,500.00
Balance = Php 292,500.00
^ THIS IS BASED ON AN UPDATED INTERNAL CE, ATTACHED AS A COMMENT TO THE PAR ON DEC. 4, 2025</t>
        </is>
      </c>
      <c r="AK1665"/>
    </row>
    <row r="1666" ht="25.5" customHeight="1">
      <c r="A1666" s="2" t="str">
        <f>=HYPERLINK("https://applink.larksuite.com/client/mini_program/open?appId=cli_9c7cc8a9a9edd105&amp;mode=appCenter&amp;path_pc=pc/pages/requested/index?instanceId=7580298254261243612&amp;source=bitable&amp;path=pages/detail/index?instanceId=7580298254261243612&amp;source=bitable", "202512050095")</f>
        <v>202512050095</v>
      </c>
      <c r="B1666" t="inlineStr">
        <is>
          <t>Approved</t>
        </is>
      </c>
      <c r="C1666" t="inlineStr">
        <is>
          <t>Procurement Order</t>
        </is>
      </c>
      <c r="D1666" s="3">
        <v>45996.71436342593</v>
      </c>
      <c r="E1666" s="3">
        <v>45996.79306712963</v>
      </c>
      <c r="F1666" t="inlineStr">
        <is>
          <t>Fatima Kathleen M. FLores</t>
        </is>
      </c>
      <c r="G1666" t="inlineStr">
        <is>
          <t>Procurement</t>
        </is>
      </c>
      <c r="H1666"/>
      <c r="I1666"/>
      <c r="J1666" t="inlineStr">
        <is>
          <t>Project</t>
        </is>
      </c>
      <c r="K1666" t="inlineStr">
        <is>
          <t>GG - Event Service</t>
        </is>
      </c>
      <c r="L1666" t="inlineStr">
        <is>
          <t>KIC 2025 - Playoffs</t>
        </is>
      </c>
      <c r="M1666" t="inlineStr">
        <is>
          <t>2025TEG-P0321</t>
        </is>
      </c>
      <c r="N1666" t="inlineStr">
        <is>
          <t>Carla Andrea Calma Crespo</t>
        </is>
      </c>
      <c r="O1666" t="inlineStr">
        <is>
          <t>202511270161-Carla Andrea Calma Crespo-费用报销 - 副本 - 副本 - 副本-2025-11-27 10:05:42</t>
        </is>
      </c>
      <c r="P1666" t="inlineStr">
        <is>
          <t>YES</t>
        </is>
      </c>
      <c r="Q1666"/>
      <c r="R1666" t="inlineStr">
        <is>
          <t>NO</t>
        </is>
      </c>
      <c r="S1666" t="inlineStr">
        <is>
          <t>Outsourced Logistics Associate (Event Days)</t>
        </is>
      </c>
      <c r="T1666">
        <v>1</v>
      </c>
      <c r="U1666">
        <v>31500</v>
      </c>
      <c r="V1666" t="inlineStr">
        <is>
          <t>PHP</t>
        </is>
      </c>
      <c r="W1666">
        <v>31500</v>
      </c>
      <c r="X1666" s="2" t="str">
        <f>=HYPERLINK("https://www.larksuite.com/approval/admin/previewAttachment?key=PMg7jgJBDATQK1WV3f7sZTbpUYuECGmIfHYkAtIXRUQtWjS8qQYnV0FdWq6g3IIaDTMbyXTO9Tz_ut-1sU-XbDPnfuxzvbg6JaS5WwHg388t3b07HF_nJwAA__8", "1 attachment(s)")</f>
        <v>1 attachment(s)</v>
      </c>
      <c r="Y1666"/>
      <c r="Z1666"/>
      <c r="AA1666"/>
      <c r="AB1666"/>
      <c r="AC1666"/>
      <c r="AD1666" s="4"/>
      <c r="AE1666"/>
      <c r="AF1666" s="2"/>
      <c r="AG1666" t="inlineStr">
        <is>
          <t>NzQyNTk5MTgyNzQ4MTg3MDM0MToxMDc4NjYyRi01QzEyLTQwMUQtQjJCOS01RUJERDFEOTk2NzEtMjowMDhhMGNkNmU5MTljMzFkYjIxMzgwMjcyNTEwYzg2Yjox</t>
        </is>
      </c>
      <c r="AH1666"/>
      <c r="AI1666"/>
      <c r="AJ1666" t="inlineStr">
        <is>
          <t>LIQUIDITY PLAN (PAR # 202511200098 / 2025TEG-P0321)
OPERATIONS TEAM &gt; Logistics &gt;
Runners (Ingress - Main Stage)
Runners (Ingress - Carnival)
Runners (Event Days)
Total Budget = Php 366,000.00
Actual Cost = Php 73,500.00
Balance = Php 292,500.00
^ THIS IS BASED ON AN UPDATED INTERNAL CE, ATTACHED AS A COMMENT TO THE PAR ON DEC. 4, 2025</t>
        </is>
      </c>
      <c r="AK1666"/>
    </row>
    <row r="1667" ht="25.5" customHeight="1">
      <c r="A1667" s="2" t="str">
        <f>=HYPERLINK("https://applink.larksuite.com/client/mini_program/open?appId=cli_9c7cc8a9a9edd105&amp;mode=appCenter&amp;path_pc=pc/pages/requested/index?instanceId=7580301871101775583&amp;source=bitable&amp;path=pages/detail/index?instanceId=7580301871101775583&amp;source=bitable", "202512050101")</f>
        <v>202512050101</v>
      </c>
      <c r="B1667" t="inlineStr">
        <is>
          <t>Approved</t>
        </is>
      </c>
      <c r="C1667" t="inlineStr">
        <is>
          <t>Procurement Order</t>
        </is>
      </c>
      <c r="D1667" s="3">
        <v>45996.7241087963</v>
      </c>
      <c r="E1667" s="3">
        <v>45996.794282407405</v>
      </c>
      <c r="F1667" t="inlineStr">
        <is>
          <t>Fatima Kathleen M. FLores</t>
        </is>
      </c>
      <c r="G1667" t="inlineStr">
        <is>
          <t>Procurement</t>
        </is>
      </c>
      <c r="H1667"/>
      <c r="I1667"/>
      <c r="J1667" t="inlineStr">
        <is>
          <t>Project</t>
        </is>
      </c>
      <c r="K1667" t="inlineStr">
        <is>
          <t>GG - Event Service</t>
        </is>
      </c>
      <c r="L1667" t="inlineStr">
        <is>
          <t>KIC 2025 - Playoffs</t>
        </is>
      </c>
      <c r="M1667" t="inlineStr">
        <is>
          <t>2025TEG-P0321</t>
        </is>
      </c>
      <c r="N1667" t="inlineStr">
        <is>
          <t>Carla Andrea Calma Crespo</t>
        </is>
      </c>
      <c r="O1667" t="inlineStr">
        <is>
          <t>202511270161-Carla Andrea Calma Crespo-费用报销 - 副本 - 副本 - 副本-2025-11-27 10:05:42</t>
        </is>
      </c>
      <c r="P1667" t="inlineStr">
        <is>
          <t>YES</t>
        </is>
      </c>
      <c r="Q1667"/>
      <c r="R1667" t="inlineStr">
        <is>
          <t>NO</t>
        </is>
      </c>
      <c r="S1667" t="inlineStr">
        <is>
          <t>Outsourced Logistics and Housekeeping Manpower</t>
        </is>
      </c>
      <c r="T1667">
        <v>1</v>
      </c>
      <c r="U1667">
        <v>47100</v>
      </c>
      <c r="V1667" t="inlineStr">
        <is>
          <t>PHP</t>
        </is>
      </c>
      <c r="W1667">
        <v>47100</v>
      </c>
      <c r="X1667" s="2" t="str">
        <f>=HYPERLINK("https://www.larksuite.com/approval/admin/previewAttachment?key=PMgxDsIwDAXQK_0f2_k2l2FJFQFSJ9QKhpwdiaHr60n0DFoveLEVuBQJA1MkKEWkrbYoFUQ517bP-_7FOF5PG2fY55jrfIy5vRml1iBztwTA2-Umd6_qjr_jFwAA__8", "2 attachment(s)")</f>
        <v>2 attachment(s)</v>
      </c>
      <c r="Y1667" t="inlineStr">
        <is>
          <t>Bank Transfer</t>
        </is>
      </c>
      <c r="Z1667" t="inlineStr">
        <is>
          <t>Marc Kevin Serrano</t>
        </is>
      </c>
      <c r="AA1667" t="inlineStr">
        <is>
          <t>1519218972</t>
        </is>
      </c>
      <c r="AB1667" t="inlineStr">
        <is>
          <t>BPI</t>
        </is>
      </c>
      <c r="AC1667" t="inlineStr">
        <is>
          <t>3 Don Guillermo Street, Barangay Holy Spirit, Commonwealth, Quezon City</t>
        </is>
      </c>
      <c r="AD1667" s="4">
        <v>45985</v>
      </c>
      <c r="AE1667" t="inlineStr">
        <is>
          <t>1st Payment - Dec. 12, 2025
Final Payment - Dec. 19, 2025</t>
        </is>
      </c>
      <c r="AF1667" s="2"/>
      <c r="AG1667" t="inlineStr">
        <is>
          <t>NzQyNTk5MTgyNzQ4MTg3MDM0MToyQTBGQ0M3Qi1DQjAwLTQ0Q0EtODRERi0zNjE1QzI0Q0NGMzAtMToxYzIwMmI2NjU1MzY4YTk1NzM2NzNlNTMxYWIyMWZiMTox</t>
        </is>
      </c>
      <c r="AH1667" t="inlineStr">
        <is>
          <t>Marc Kevin Serrano</t>
        </is>
      </c>
      <c r="AI1667"/>
      <c r="AJ1667" t="inlineStr">
        <is>
          <t>LIQUIDITY PLAN (PAR # 202511200098 / 2025TEG-P0321)
OPERATIONS TEAM &gt; Logistics &gt;
Runners (Housekeeping)
Total Budget = Php 120,000.00
Actual Cost = Php 47,100.00
Balance = Php 72,900.00
^ THIS IS BASED ON AN UPDATED INTERNAL CE, ATTACHED AS A COMMENT TO THE PAR ON DEC. 4, 2025</t>
        </is>
      </c>
      <c r="AK1667"/>
    </row>
    <row r="1668" ht="25.5" customHeight="1">
      <c r="A1668" s="2" t="str">
        <f>=HYPERLINK("https://applink.larksuite.com/client/mini_program/open?appId=cli_9c7cc8a9a9edd105&amp;mode=appCenter&amp;path_pc=pc/pages/requested/index?instanceId=7580327095864151777&amp;source=bitable&amp;path=pages/detail/index?instanceId=7580327095864151777&amp;source=bitable", "202512050119")</f>
        <v>202512050119</v>
      </c>
      <c r="B1668" t="inlineStr">
        <is>
          <t>Rejected</t>
        </is>
      </c>
      <c r="C1668" t="inlineStr">
        <is>
          <t>Procurement Order</t>
        </is>
      </c>
      <c r="D1668" s="3">
        <v>45996.792083333334</v>
      </c>
      <c r="E1668" s="3">
        <v>45996.841319444444</v>
      </c>
      <c r="F1668" t="inlineStr">
        <is>
          <t>Fatima Kathleen M. FLores</t>
        </is>
      </c>
      <c r="G1668" t="inlineStr">
        <is>
          <t>Procurement</t>
        </is>
      </c>
      <c r="H1668"/>
      <c r="I1668"/>
      <c r="J1668" t="inlineStr">
        <is>
          <t>Project</t>
        </is>
      </c>
      <c r="K1668" t="inlineStr">
        <is>
          <t>GG - Event Service</t>
        </is>
      </c>
      <c r="L1668" t="inlineStr">
        <is>
          <t>KIC 2025 - Group Stage &amp; Knockouts</t>
        </is>
      </c>
      <c r="M1668" t="inlineStr">
        <is>
          <t>2025TEG-P0286</t>
        </is>
      </c>
      <c r="N1668" t="inlineStr">
        <is>
          <t>Anteaus Villena</t>
        </is>
      </c>
      <c r="O1668" t="inlineStr">
        <is>
          <t>202511080058-Frances Angelita Arreglado-费用报销 - 副本 - 副本 - 副本-2025-11-08 08:06:22;202511080059-Frances Angelita Arreglado-费用报销 - 副本 - 副本 - 副本-2025-11-08 08:10:46</t>
        </is>
      </c>
      <c r="P1668" t="inlineStr">
        <is>
          <t>NO</t>
        </is>
      </c>
      <c r="Q1668"/>
      <c r="R1668" t="inlineStr">
        <is>
          <t>NO</t>
        </is>
      </c>
      <c r="S1668" t="inlineStr">
        <is>
          <t>Supplier Meals - Rehearsals to Event Days (Nov. 13 to 23, 2025)</t>
        </is>
      </c>
      <c r="T1668">
        <v>1560</v>
      </c>
      <c r="U1668">
        <v>130</v>
      </c>
      <c r="V1668" t="inlineStr">
        <is>
          <t>PHP</t>
        </is>
      </c>
      <c r="W1668">
        <v>202800</v>
      </c>
      <c r="X1668" s="2"/>
      <c r="Y1668" t="inlineStr">
        <is>
          <t>Bank Transfer</t>
        </is>
      </c>
      <c r="Z1668" t="inlineStr">
        <is>
          <t>Michelle Francine G. Manuntag</t>
        </is>
      </c>
      <c r="AA1668" t="inlineStr">
        <is>
          <t>000170292002</t>
        </is>
      </c>
      <c r="AB1668" t="inlineStr">
        <is>
          <t>BDO</t>
        </is>
      </c>
      <c r="AC1668" t="inlineStr">
        <is>
          <t>Makati City</t>
        </is>
      </c>
      <c r="AD1668" s="4">
        <v>45973</v>
      </c>
      <c r="AE1668" t="inlineStr">
        <is>
          <t>50% Down Payment upon confirmation
50% Final Payment - Dec. 19, 2025</t>
        </is>
      </c>
      <c r="AF1668" s="2"/>
      <c r="AG1668" t="inlineStr">
        <is>
          <t>NzQyNTk5MTgyNzQ4MTg3MDM0MTo4NUUyMDQ3MC0wNUJGLTQwMEMtODQxRS00RDZBNjcxM0UyN0QtMTo0MjdjZWRhYTU5ZGUwZjA3ZTU0MjhmYzQ3YTI1ODEwNTox</t>
        </is>
      </c>
      <c r="AH1668" t="inlineStr">
        <is>
          <t>Michelle Francine G. Manuntag</t>
        </is>
      </c>
      <c r="AI1668"/>
      <c r="AJ1668" t="inlineStr">
        <is>
          <t>LIQUIDITY PLAN (PAR # 202510290062 / 2025TEG-P0286)
1108 CE KIC GS+KO TAB &gt; Crew Meals &gt;
Ingress (Nov 8-11) &gt; R308 - 313
Rehearsals (Nov 12-13) &gt; R316 - 319
Event Days (Nov 14-23) &gt; R322 - 327
Total Remaining Budget = Php 437,174.00
This Request = Php 602,160.00
Balance = (Php 164,986.00) OVER BUDGET</t>
        </is>
      </c>
      <c r="AK1668"/>
    </row>
    <row r="1669" ht="25.5" customHeight="1">
      <c r="A1669" s="2" t="str">
        <f>=HYPERLINK("https://applink.larksuite.com/client/mini_program/open?appId=cli_9c7cc8a9a9edd105&amp;mode=appCenter&amp;path_pc=pc/pages/requested/index?instanceId=7580327095864151777&amp;source=bitable&amp;path=pages/detail/index?instanceId=7580327095864151777&amp;source=bitable", "202512050119")</f>
        <v>202512050119</v>
      </c>
      <c r="B1669" t="inlineStr">
        <is>
          <t>Rejected</t>
        </is>
      </c>
      <c r="C1669" t="inlineStr">
        <is>
          <t>Procurement Order</t>
        </is>
      </c>
      <c r="D1669" s="3">
        <v>45996.792083333334</v>
      </c>
      <c r="E1669" s="3">
        <v>45996.841319444444</v>
      </c>
      <c r="F1669" t="inlineStr">
        <is>
          <t>Fatima Kathleen M. FLores</t>
        </is>
      </c>
      <c r="G1669" t="inlineStr">
        <is>
          <t>Procurement</t>
        </is>
      </c>
      <c r="H1669"/>
      <c r="I1669"/>
      <c r="J1669" t="inlineStr">
        <is>
          <t>Project</t>
        </is>
      </c>
      <c r="K1669" t="inlineStr">
        <is>
          <t>GG - Event Service</t>
        </is>
      </c>
      <c r="L1669" t="inlineStr">
        <is>
          <t>KIC 2025 - Group Stage &amp; Knockouts</t>
        </is>
      </c>
      <c r="M1669" t="inlineStr">
        <is>
          <t>2025TEG-P0286</t>
        </is>
      </c>
      <c r="N1669" t="inlineStr">
        <is>
          <t>Anteaus Villena</t>
        </is>
      </c>
      <c r="O1669" t="inlineStr">
        <is>
          <t>202511080058-Frances Angelita Arreglado-费用报销 - 副本 - 副本 - 副本-2025-11-08 08:06:22;202511080059-Frances Angelita Arreglado-费用报销 - 副本 - 副本 - 副本-2025-11-08 08:10:46</t>
        </is>
      </c>
      <c r="P1669" t="inlineStr">
        <is>
          <t>NO</t>
        </is>
      </c>
      <c r="Q1669"/>
      <c r="R1669" t="inlineStr">
        <is>
          <t>NO</t>
        </is>
      </c>
      <c r="S1669" t="inlineStr">
        <is>
          <t>Crew Meals - Rehearsals to Events Days (Nov. 15 to 23, 2025)</t>
        </is>
      </c>
      <c r="T1669">
        <v>3072</v>
      </c>
      <c r="U1669">
        <v>130</v>
      </c>
      <c r="V1669" t="inlineStr">
        <is>
          <t>PHP</t>
        </is>
      </c>
      <c r="W1669">
        <v>399360</v>
      </c>
      <c r="X1669" s="2" t="str">
        <f>=HYPERLINK("https://www.larksuite.com/approval/admin/previewAttachment?key=PMgxqgJBEATQK1V110xN_8v8xGVRcEEQVpM-u2Bg-uYi5hrMWVAxCmyPhQyjxprioO2Opl0wrejt2P9fumU-jrfuUJ7q83rZtydHOQJOKRcA_v08LalqCl_nJwAA__8", "3 attachment(s)")</f>
        <v>3 attachment(s)</v>
      </c>
      <c r="Y1669"/>
      <c r="Z1669"/>
      <c r="AA1669"/>
      <c r="AB1669"/>
      <c r="AC1669"/>
      <c r="AD1669" s="4"/>
      <c r="AE1669"/>
      <c r="AF1669" s="2"/>
      <c r="AG1669" t="inlineStr">
        <is>
          <t>NzQyNTk5MTgyNzQ4MTg3MDM0MTo4NUUyMDQ3MC0wNUJGLTQwMEMtODQxRS00RDZBNjcxM0UyN0QtMjpkMTRiYmQ3YmU5MTBlYjAzOTBhZmI4ZTBmZTk5YzlhNjox</t>
        </is>
      </c>
      <c r="AH1669"/>
      <c r="AI1669"/>
      <c r="AJ1669" t="inlineStr">
        <is>
          <t>LIQUIDITY PLAN (PAR # 202510290062 / 2025TEG-P0286)
1108 CE KIC GS+KO TAB &gt; Crew Meals &gt;
Ingress (Nov 8-11) &gt; R308 - 313
Rehearsals (Nov 12-13) &gt; R316 - 319
Event Days (Nov 14-23) &gt; R322 - 327
Total Remaining Budget = Php 437,174.00
This Request = Php 602,160.00
Balance = (Php 164,986.00) OVER BUDGET</t>
        </is>
      </c>
      <c r="AK1669"/>
    </row>
    <row r="1670" ht="25.5" customHeight="1">
      <c r="A1670" s="2" t="str">
        <f>=HYPERLINK("https://applink.larksuite.com/client/mini_program/open?appId=cli_9c7cc8a9a9edd105&amp;mode=appCenter&amp;path_pc=pc/pages/requested/index?instanceId=7580330081852116700&amp;source=bitable&amp;path=pages/detail/index?instanceId=7580330081852116700&amp;source=bitable", "202512050121")</f>
        <v>202512050121</v>
      </c>
      <c r="B1670" t="inlineStr">
        <is>
          <t>Approved</t>
        </is>
      </c>
      <c r="C1670" t="inlineStr">
        <is>
          <t>Procurement Order</t>
        </is>
      </c>
      <c r="D1670" s="3">
        <v>45996.80013888889</v>
      </c>
      <c r="E1670" s="3">
        <v>45996.838321759256</v>
      </c>
      <c r="F1670" t="inlineStr">
        <is>
          <t>Fatima Kathleen M. FLores</t>
        </is>
      </c>
      <c r="G1670" t="inlineStr">
        <is>
          <t>Procurement</t>
        </is>
      </c>
      <c r="H1670"/>
      <c r="I1670"/>
      <c r="J1670" t="inlineStr">
        <is>
          <t>Project</t>
        </is>
      </c>
      <c r="K1670" t="inlineStr">
        <is>
          <t>GG - Event Service</t>
        </is>
      </c>
      <c r="L1670" t="inlineStr">
        <is>
          <t>KIC 2025 - Playoffs</t>
        </is>
      </c>
      <c r="M1670" t="inlineStr">
        <is>
          <t>2025TEG-P0321</t>
        </is>
      </c>
      <c r="N1670" t="inlineStr">
        <is>
          <t>Carla Andrea Calma Crespo</t>
        </is>
      </c>
      <c r="O1670" t="inlineStr">
        <is>
          <t>202511250154-Carla Andrea Calma Crespo-费用报销 - 副本 - 副本 - 副本-2025-11-25 10:00:45</t>
        </is>
      </c>
      <c r="P1670" t="inlineStr">
        <is>
          <t>YES</t>
        </is>
      </c>
      <c r="Q1670"/>
      <c r="R1670" t="inlineStr">
        <is>
          <t>NO</t>
        </is>
      </c>
      <c r="S1670" t="inlineStr">
        <is>
          <t>Outsourced Rehearsal Stand-ins</t>
        </is>
      </c>
      <c r="T1670">
        <v>1</v>
      </c>
      <c r="U1670">
        <v>24000</v>
      </c>
      <c r="V1670" t="inlineStr">
        <is>
          <t>PHP</t>
        </is>
      </c>
      <c r="W1670">
        <v>24000</v>
      </c>
      <c r="X1670" s="2" t="str">
        <f>=HYPERLINK("https://www.larksuite.com/approval/admin/previewAttachment?key=PMg5CgJREATQK1X13l7GZIaPgpqIS9JnFwwmfVFElFOjYU1pcNILqkCxXMhIYGSY2Uimyez3dX7wC2x4eROf23Xel23tT3qnCFLNtADwdLimmXWH4e_4BQAA__8", "2 attachment(s)")</f>
        <v>2 attachment(s)</v>
      </c>
      <c r="Y1670" t="inlineStr">
        <is>
          <t>Bank Transfer</t>
        </is>
      </c>
      <c r="Z1670" t="inlineStr">
        <is>
          <t>John Benigno R. Magat</t>
        </is>
      </c>
      <c r="AA1670" t="inlineStr">
        <is>
          <t>046110005388</t>
        </is>
      </c>
      <c r="AB1670" t="inlineStr">
        <is>
          <t>PSBank</t>
        </is>
      </c>
      <c r="AC1670" t="inlineStr">
        <is>
          <t>228 Grissom st. Brgy Moonwalk Paranaque Metro Manila</t>
        </is>
      </c>
      <c r="AD1670" s="4">
        <v>45987</v>
      </c>
      <c r="AE1670" t="inlineStr">
        <is>
          <t>1st Payment - Dec. 12, 2025
Final Payment - Dec. 19, 2025</t>
        </is>
      </c>
      <c r="AF1670" s="2"/>
      <c r="AG1670" t="inlineStr">
        <is>
          <t>NzQyNTk5MTgyNzQ4MTg3MDM0MTowQzU3NEExQy0zMjMzLTRFRjItQUY0OC00NTc3RjE0OTY1QTAtMTphNzMyZTlhYmEzOTFhNzQ2ODkwM2VlZTVhZjM4NjgwYTox</t>
        </is>
      </c>
      <c r="AH1670" t="inlineStr">
        <is>
          <t>John Benigno R. Magat</t>
        </is>
      </c>
      <c r="AI1670"/>
      <c r="AJ1670" t="inlineStr">
        <is>
          <t>LIQUIDITY PLAN (PAR # 202511200098 / 2025TEG-P0321)
BROADCAST TEAM &gt; Rehearsal Stand-ins (Dummy)
Total Budget = Php 28,800.00
Actual Cost = Php 24,000.00
Balance = Php 4,800.00</t>
        </is>
      </c>
      <c r="AK1670"/>
    </row>
    <row r="1671" ht="25.5" customHeight="1">
      <c r="A1671" s="2" t="str">
        <f>=HYPERLINK("https://applink.larksuite.com/client/mini_program/open?appId=cli_9c7cc8a9a9edd105&amp;mode=appCenter&amp;path_pc=pc/pages/requested/index?instanceId=7580331869011447515&amp;source=bitable&amp;path=pages/detail/index?instanceId=7580331869011447515&amp;source=bitable", "202512050122")</f>
        <v>202512050122</v>
      </c>
      <c r="B1671" t="inlineStr">
        <is>
          <t>Approved</t>
        </is>
      </c>
      <c r="C1671" t="inlineStr">
        <is>
          <t>Procurement Order</t>
        </is>
      </c>
      <c r="D1671" s="3">
        <v>45996.8049537037</v>
      </c>
      <c r="E1671" s="3">
        <v>46002.463159722225</v>
      </c>
      <c r="F1671" t="inlineStr">
        <is>
          <t>Fatima Kathleen M. FLores</t>
        </is>
      </c>
      <c r="G1671" t="inlineStr">
        <is>
          <t>Procurement</t>
        </is>
      </c>
      <c r="H1671"/>
      <c r="I1671"/>
      <c r="J1671" t="inlineStr">
        <is>
          <t>Project</t>
        </is>
      </c>
      <c r="K1671" t="inlineStr">
        <is>
          <t>GG - Event Service</t>
        </is>
      </c>
      <c r="L1671" t="inlineStr">
        <is>
          <t>Mini Battle [Playoffs]</t>
        </is>
      </c>
      <c r="M1671" t="inlineStr">
        <is>
          <t>2025TEG-P0319</t>
        </is>
      </c>
      <c r="N1671" t="inlineStr">
        <is>
          <t>Maura Aurel Atilano Yap</t>
        </is>
      </c>
      <c r="O1671" t="inlineStr">
        <is>
          <t>202511260097-Maura Aurel Atilano Yap-费用报销 - 副本 - 副本 - 副本-2025-11-26 08:23:27</t>
        </is>
      </c>
      <c r="P1671" t="inlineStr">
        <is>
          <t>YES</t>
        </is>
      </c>
      <c r="Q1671"/>
      <c r="R1671" t="inlineStr">
        <is>
          <t>YES</t>
        </is>
      </c>
      <c r="S1671" t="inlineStr">
        <is>
          <t>Outsourced Referee (additional)</t>
        </is>
      </c>
      <c r="T1671">
        <v>1</v>
      </c>
      <c r="U1671">
        <v>4500</v>
      </c>
      <c r="V1671" t="inlineStr">
        <is>
          <t>PHP</t>
        </is>
      </c>
      <c r="W1671">
        <v>4500</v>
      </c>
      <c r="X1671" s="2" t="str">
        <f>=HYPERLINK("https://www.larksuite.com/approval/admin/previewAttachment?key=PMhBqsJAEATQK1VN10x1_8v8jSGIk4AgmNWcXXDh9o0kRnbGKKjYClzuiQjmKJCSO_tqi3bBtLi2c_83W-acx-OYz_O61vt-27cXe7k1OKRIAPz7eVhS1RC-jk8AAAD__w", "2 attachment(s)")</f>
        <v>2 attachment(s)</v>
      </c>
      <c r="Y1671" t="inlineStr">
        <is>
          <t>Bank Transfer</t>
        </is>
      </c>
      <c r="Z1671" t="inlineStr">
        <is>
          <t>Colline Jewel S. Atanacio</t>
        </is>
      </c>
      <c r="AA1671" t="inlineStr">
        <is>
          <t>09858614347</t>
        </is>
      </c>
      <c r="AB1671" t="inlineStr">
        <is>
          <t>Maya Wallet</t>
        </is>
      </c>
      <c r="AC1671" t="inlineStr">
        <is>
          <t>Carnation Street, Gloria V Subdivision, Barangay Talipapa, Quezon City</t>
        </is>
      </c>
      <c r="AD1671" s="4">
        <v>45989</v>
      </c>
      <c r="AE1671" t="inlineStr">
        <is>
          <t>100% Full Payment - Dec. 12, 2025</t>
        </is>
      </c>
      <c r="AF1671" s="2"/>
      <c r="AG1671" t="inlineStr">
        <is>
          <t>NzQyNTk5MTgyNzQ4MTg3MDM0MTo0M0I2M0M1NC1DRUU3LTQ2MzAtQjRFNy0yOEI0NUYyNjA2MEMtMToxYjNmNmM2NTZlZGU4YjNmNWJiZTJiOWU1NmMzMjAxNTox</t>
        </is>
      </c>
      <c r="AH1671" t="inlineStr">
        <is>
          <t>Colline Jewel S. Atanacio</t>
        </is>
      </c>
      <c r="AI1671"/>
      <c r="AJ1671" t="inlineStr">
        <is>
          <t>LIQUIDITY PLAN (PAR # 202511190046 / 2025TEG-P0319)
MANPOWER &gt; GRAND FINALS &gt;
League Operations &gt; Referees
Total Remaining Budget = Php 1,800.00
Actual Cost = Php 4,500.00
Balance = (Php 2,700.00) OVER BUDGET</t>
        </is>
      </c>
      <c r="AK1671"/>
    </row>
    <row r="1672" ht="25.5" customHeight="1">
      <c r="A1672" s="2" t="str">
        <f>=HYPERLINK("https://applink.larksuite.com/client/mini_program/open?appId=cli_9c7cc8a9a9edd105&amp;mode=appCenter&amp;path_pc=pc/pages/requested/index?instanceId=7580336127882563293&amp;source=bitable&amp;path=pages/detail/index?instanceId=7580336127882563293&amp;source=bitable", "202512050132")</f>
        <v>202512050132</v>
      </c>
      <c r="B1672" t="inlineStr">
        <is>
          <t>Approved</t>
        </is>
      </c>
      <c r="C1672" t="inlineStr">
        <is>
          <t>Procurement Order</t>
        </is>
      </c>
      <c r="D1672" s="3">
        <v>45996.81642361111</v>
      </c>
      <c r="E1672" s="3">
        <v>45996.83913194444</v>
      </c>
      <c r="F1672" t="inlineStr">
        <is>
          <t>Fatima Kathleen M. FLores</t>
        </is>
      </c>
      <c r="G1672" t="inlineStr">
        <is>
          <t>Procurement</t>
        </is>
      </c>
      <c r="H1672"/>
      <c r="I1672"/>
      <c r="J1672" t="inlineStr">
        <is>
          <t>Project</t>
        </is>
      </c>
      <c r="K1672" t="inlineStr">
        <is>
          <t>GG - Event Service</t>
        </is>
      </c>
      <c r="L1672" t="inlineStr">
        <is>
          <t>KIC 2025 - Playoffs</t>
        </is>
      </c>
      <c r="M1672" t="inlineStr">
        <is>
          <t>2025TEG-P0321</t>
        </is>
      </c>
      <c r="N1672" t="inlineStr">
        <is>
          <t>Carla Andrea Calma Crespo</t>
        </is>
      </c>
      <c r="O1672" t="inlineStr">
        <is>
          <t>202511250152-Carla Andrea Calma Crespo-费用报销 - 副本 - 副本 - 副本-2025-11-25 09:55:36</t>
        </is>
      </c>
      <c r="P1672" t="inlineStr">
        <is>
          <t>YES</t>
        </is>
      </c>
      <c r="Q1672"/>
      <c r="R1672" t="inlineStr">
        <is>
          <t>NO</t>
        </is>
      </c>
      <c r="S1672" t="inlineStr">
        <is>
          <t>Outsourced FOH Technical Director</t>
        </is>
      </c>
      <c r="T1672">
        <v>1</v>
      </c>
      <c r="U1672">
        <v>70000</v>
      </c>
      <c r="V1672" t="inlineStr">
        <is>
          <t>PHP</t>
        </is>
      </c>
      <c r="W1672">
        <v>70000</v>
      </c>
      <c r="X1672" s="2" t="str">
        <f>=HYPERLINK("https://www.larksuite.com/approval/admin/previewAttachment?key=PMg7CsJgEATgK83se72MzR-CFoIgJFjs2QWLtF8UEeXUaFhTGpz0gmpQsko8VFpHhpmNZBpne-13Oc6qN9eZ_l1Pn-Ox9u1D7xRBqpkWAN4u1zSz7jD8Hb8AAAD__w", "2 attachment(s)")</f>
        <v>2 attachment(s)</v>
      </c>
      <c r="Y1672" t="inlineStr">
        <is>
          <t>Bank Transfer</t>
        </is>
      </c>
      <c r="Z1672" t="inlineStr">
        <is>
          <t>Jordan Swing</t>
        </is>
      </c>
      <c r="AA1672" t="inlineStr">
        <is>
          <t>001560339452</t>
        </is>
      </c>
      <c r="AB1672" t="inlineStr">
        <is>
          <t>BDO</t>
        </is>
      </c>
      <c r="AC1672" t="inlineStr">
        <is>
          <t>723 P Gomez St Brgy Hagdan Bato Itaas Mandaluyong City</t>
        </is>
      </c>
      <c r="AD1672" s="4">
        <v>45985</v>
      </c>
      <c r="AE1672" t="inlineStr">
        <is>
          <t>1st Payment - Dec. 19, 2025
Final Payment - Jan. 9, 2026</t>
        </is>
      </c>
      <c r="AF1672" s="2"/>
      <c r="AG1672" t="inlineStr">
        <is>
          <t>NzQyNTk5MTgyNzQ4MTg3MDM0MTpDOTcxRDIyQS1CQTMzLTRGOUMtQjc4Ny1BN0Y0RkUyRDlDNUQtMTo2OWNhZGRlMTA0ODcyMDA4NTYwYWZhZTMwYTNjODU4ZTox</t>
        </is>
      </c>
      <c r="AH1672" t="inlineStr">
        <is>
          <t>Jordan Swing</t>
        </is>
      </c>
      <c r="AI1672"/>
      <c r="AJ1672" t="inlineStr">
        <is>
          <t>LIQUIDITY PLAN (PAR # 202511200098 / 2025TEG-P0321)
OPERATIONS TEAM &gt; Production Management &gt;
FOH Technical Director
Total Budget = Php 90,000.00
Actual Cost = Php 70,000.00
Balance = Php 20,000.00</t>
        </is>
      </c>
      <c r="AK1672"/>
    </row>
    <row r="1673" ht="25.5" customHeight="1">
      <c r="A1673" s="2" t="str">
        <f>=HYPERLINK("https://applink.larksuite.com/client/mini_program/open?appId=cli_9c7cc8a9a9edd105&amp;mode=appCenter&amp;path_pc=pc/pages/requested/index?instanceId=7580338666044657374&amp;source=bitable&amp;path=pages/detail/index?instanceId=7580338666044657374&amp;source=bitable", "202512050136")</f>
        <v>202512050136</v>
      </c>
      <c r="B1673" t="inlineStr">
        <is>
          <t>Approved</t>
        </is>
      </c>
      <c r="C1673" t="inlineStr">
        <is>
          <t>Procurement Order</t>
        </is>
      </c>
      <c r="D1673" s="3">
        <v>45996.82326388889</v>
      </c>
      <c r="E1673" s="3">
        <v>46007.5834837963</v>
      </c>
      <c r="F1673" t="inlineStr">
        <is>
          <t>Fatima Kathleen M. FLores</t>
        </is>
      </c>
      <c r="G1673" t="inlineStr">
        <is>
          <t>Procurement</t>
        </is>
      </c>
      <c r="H1673"/>
      <c r="I1673"/>
      <c r="J1673" t="inlineStr">
        <is>
          <t>Project</t>
        </is>
      </c>
      <c r="K1673" t="inlineStr">
        <is>
          <t>PDEI - Game Marketing</t>
        </is>
      </c>
      <c r="L1673" t="inlineStr">
        <is>
          <t>WCG 2025 Creator Rumble</t>
        </is>
      </c>
      <c r="M1673" t="inlineStr">
        <is>
          <t>2025TEG-P0041</t>
        </is>
      </c>
      <c r="N1673" t="inlineStr">
        <is>
          <t>Maura Aurel Atilano Yap</t>
        </is>
      </c>
      <c r="O1673" t="inlineStr">
        <is>
          <t>202511250080-Maura Aurel Atilano Yap-费用报销 - 副本 - 副本 - 副本-2025-11-25 06:44:19</t>
        </is>
      </c>
      <c r="P1673" t="inlineStr">
        <is>
          <t>NO</t>
        </is>
      </c>
      <c r="Q1673"/>
      <c r="R1673" t="inlineStr">
        <is>
          <t>YES</t>
        </is>
      </c>
      <c r="S1673" t="inlineStr">
        <is>
          <t>Venue Rental (MET Live Mall, GF Atrium / Sept. 17, Oct. 25 and 26, 2025)</t>
        </is>
      </c>
      <c r="T1673">
        <v>1</v>
      </c>
      <c r="U1673">
        <v>35900</v>
      </c>
      <c r="V1673" t="inlineStr">
        <is>
          <t>PHP</t>
        </is>
      </c>
      <c r="W1673">
        <v>35900</v>
      </c>
      <c r="X1673" s="2" t="str">
        <f>=HYPERLINK("https://www.larksuite.com/approval/admin/previewAttachment?key=PMgxDsJADATAL63Pa6_NZ2guigAJGkSo7u1IFGkny5AV5tlg22jYUhTcKzNBZsjFNZZJDZk41vbcrxFHle7z8_UX52Mdt7lvb4vWGJCTXgDscrqLZHcSf8cvAAD__w", "2 attachment(s)")</f>
        <v>2 attachment(s)</v>
      </c>
      <c r="Y1673" t="inlineStr">
        <is>
          <t>Bank Transfer</t>
        </is>
      </c>
      <c r="Z1673" t="inlineStr">
        <is>
          <t>FEDERAL LAND, INC.</t>
        </is>
      </c>
      <c r="AA1673" t="inlineStr">
        <is>
          <t>066-7-066-30768-5</t>
        </is>
      </c>
      <c r="AB1673" t="inlineStr">
        <is>
          <t>Metrobank</t>
        </is>
      </c>
      <c r="AC1673" t="inlineStr">
        <is>
          <t>6813 Ayala Avenue. corner H.V. Dela Costa Street 1227 Makati City</t>
        </is>
      </c>
      <c r="AD1673" s="4">
        <v>45917</v>
      </c>
      <c r="AE1673" t="inlineStr">
        <is>
          <t>100% Full Payment</t>
        </is>
      </c>
      <c r="AF1673" s="2"/>
      <c r="AG1673" t="inlineStr">
        <is>
          <t>NzQyNTk5MTgyNzQ4MTg3MDM0MTo0MTcxODFCNi03QTJGLTRFQkEtOTNEMS1FODgxMEY2RjY5MkEtMTpkNTY3MjI3OWI2Yjc5YjNiYmY1YzljYzdjZjFkNTBiMTox</t>
        </is>
      </c>
      <c r="AH1673" t="inlineStr">
        <is>
          <t>FEDERAL LAND, INC.</t>
        </is>
      </c>
      <c r="AI1673"/>
      <c r="AJ1673" t="inlineStr">
        <is>
          <t>This is tagged as FREE in the internal CE.</t>
        </is>
      </c>
      <c r="AK1673"/>
    </row>
    <row r="1674" ht="25.5" customHeight="1">
      <c r="A1674" s="2" t="str">
        <f>=HYPERLINK("https://applink.larksuite.com/client/mini_program/open?appId=cli_9c7cc8a9a9edd105&amp;mode=appCenter&amp;path_pc=pc/pages/requested/index?instanceId=7580303530838281952&amp;source=bitable&amp;path=pages/detail/index?instanceId=7580303530838281952&amp;source=bitable", "202512050104")</f>
        <v>202512050104</v>
      </c>
      <c r="B1674" t="inlineStr">
        <is>
          <t>Approved</t>
        </is>
      </c>
      <c r="C1674" t="inlineStr">
        <is>
          <t>Procurement Order</t>
        </is>
      </c>
      <c r="D1674" s="3">
        <v>45996.72858796296</v>
      </c>
      <c r="E1674" s="3">
        <v>46002.44349537037</v>
      </c>
      <c r="F1674" t="inlineStr">
        <is>
          <t>Fatima Kathleen M. FLores</t>
        </is>
      </c>
      <c r="G1674" t="inlineStr">
        <is>
          <t>Procurement</t>
        </is>
      </c>
      <c r="H1674"/>
      <c r="I1674"/>
      <c r="J1674" t="inlineStr">
        <is>
          <t>Project</t>
        </is>
      </c>
      <c r="K1674" t="inlineStr">
        <is>
          <t>GG - Event Service</t>
        </is>
      </c>
      <c r="L1674" t="inlineStr">
        <is>
          <t>KIC 2025 - Playoffs</t>
        </is>
      </c>
      <c r="M1674" t="inlineStr">
        <is>
          <t>2025TEG-P0321</t>
        </is>
      </c>
      <c r="N1674" t="inlineStr">
        <is>
          <t>Carla Andrea Calma Crespo</t>
        </is>
      </c>
      <c r="O1674" t="inlineStr">
        <is>
          <t>202511280038-Carla Andrea Calma Crespo-费用报销 - 副本 - 副本 - 副本-2025-11-28 06:48:03</t>
        </is>
      </c>
      <c r="P1674" t="inlineStr">
        <is>
          <t>YES</t>
        </is>
      </c>
      <c r="Q1674"/>
      <c r="R1674" t="inlineStr">
        <is>
          <t>YES</t>
        </is>
      </c>
      <c r="S1674" t="inlineStr">
        <is>
          <t>Outsourced Statsman</t>
        </is>
      </c>
      <c r="T1674">
        <v>1</v>
      </c>
      <c r="U1674">
        <v>14000</v>
      </c>
      <c r="V1674" t="inlineStr">
        <is>
          <t>PHP</t>
        </is>
      </c>
      <c r="W1674">
        <v>14000</v>
      </c>
      <c r="X1674" s="2" t="str">
        <f>=HYPERLINK("https://www.larksuite.com/approval/admin/previewAttachment?key=PMg9CgIwDAXgK738NXlexsVSxFIXQaecXXBw_UYJRoXYIJyihHRGwWBhKCstYWhrSyaRkq49z7q6furMszf2g8_V7_ttzZcEUxVp7lYA5PJ3S3cnh-Pn-AYAAP__", "2 attachment(s)")</f>
        <v>2 attachment(s)</v>
      </c>
      <c r="Y1674" t="inlineStr">
        <is>
          <t>Bank Transfer</t>
        </is>
      </c>
      <c r="Z1674" t="inlineStr">
        <is>
          <t>Alvin Roxas Fellizar</t>
        </is>
      </c>
      <c r="AA1674" t="inlineStr">
        <is>
          <t>1094 3083 3213</t>
        </is>
      </c>
      <c r="AB1674" t="inlineStr">
        <is>
          <t>UnionBank of the Philippines</t>
        </is>
      </c>
      <c r="AC1674" t="inlineStr">
        <is>
          <t>35k Villa-villa St. New Lower Bicutan, Taguig</t>
        </is>
      </c>
      <c r="AD1674" s="4">
        <v>45988</v>
      </c>
      <c r="AE1674" t="inlineStr">
        <is>
          <t>100% Full Payment - Dec. 12, 2025</t>
        </is>
      </c>
      <c r="AF1674" s="2"/>
      <c r="AG1674" t="inlineStr">
        <is>
          <t>NzQyNTk5MTgyNzQ4MTg3MDM0MTo2OTk2ODg5OS1BRDJBLTQ4RTgtODAwOC00REM1NDM4OEFGOTMtMTpjNzUxNDQwOWFiMWM5OGI3OWMwZDNiNTljZTYxNWJlYjox</t>
        </is>
      </c>
      <c r="AH1674" t="inlineStr">
        <is>
          <t>Alvin Roxas Fellizar</t>
        </is>
      </c>
      <c r="AI1674"/>
      <c r="AJ1674" t="inlineStr">
        <is>
          <t>No line item in internal CE. Unbudgeted.
^ THIS IS BASED ON AN UPDATED INTERNAL CE, ATTACHED AS A COMMENT TO THE PAR ON DEC. 4, 2025</t>
        </is>
      </c>
      <c r="AK1674"/>
    </row>
    <row r="1675" ht="25.5" customHeight="1">
      <c r="A1675" s="2" t="str">
        <f>=HYPERLINK("https://applink.larksuite.com/client/mini_program/open?appId=cli_9c7cc8a9a9edd105&amp;mode=appCenter&amp;path_pc=pc/pages/requested/index?instanceId=7580293341674229471&amp;source=bitable&amp;path=pages/detail/index?instanceId=7580293341674229471&amp;source=bitable", "202512050092")</f>
        <v>202512050092</v>
      </c>
      <c r="B1675" t="inlineStr">
        <is>
          <t>Approved</t>
        </is>
      </c>
      <c r="C1675" t="inlineStr">
        <is>
          <t>Procurement Order</t>
        </is>
      </c>
      <c r="D1675" s="3">
        <v>45996.70112268518</v>
      </c>
      <c r="E1675" s="3">
        <v>46003.82262731482</v>
      </c>
      <c r="F1675" t="inlineStr">
        <is>
          <t>Fatima Kathleen M. FLores</t>
        </is>
      </c>
      <c r="G1675" t="inlineStr">
        <is>
          <t>Procurement</t>
        </is>
      </c>
      <c r="H1675"/>
      <c r="I1675"/>
      <c r="J1675" t="inlineStr">
        <is>
          <t>Project</t>
        </is>
      </c>
      <c r="K1675" t="inlineStr">
        <is>
          <t>GG - Event Service</t>
        </is>
      </c>
      <c r="L1675" t="inlineStr">
        <is>
          <t>KIC 2025 - Playoffs</t>
        </is>
      </c>
      <c r="M1675" t="inlineStr">
        <is>
          <t>2025TEG-P0321</t>
        </is>
      </c>
      <c r="N1675" t="inlineStr">
        <is>
          <t>Carla Andrea Calma Crespo</t>
        </is>
      </c>
      <c r="O1675" t="inlineStr">
        <is>
          <t>202511250157-Carla Andrea Calma Crespo-费用报销 - 副本 - 副本 - 副本-2025-11-25 10:13:49</t>
        </is>
      </c>
      <c r="P1675" t="inlineStr">
        <is>
          <t>YES</t>
        </is>
      </c>
      <c r="Q1675"/>
      <c r="R1675" t="inlineStr">
        <is>
          <t>YES</t>
        </is>
      </c>
      <c r="S1675" t="inlineStr">
        <is>
          <t>Outsourced Hospitality Lead (Additional)</t>
        </is>
      </c>
      <c r="T1675">
        <v>1</v>
      </c>
      <c r="U1675">
        <v>11000</v>
      </c>
      <c r="V1675" t="inlineStr">
        <is>
          <t>PHP</t>
        </is>
      </c>
      <c r="W1675">
        <v>11000</v>
      </c>
      <c r="X1675" s="2" t="str">
        <f>=HYPERLINK("https://www.larksuite.com/approval/admin/previewAttachment?key=PMgxCsJQEATQK83szv7562VsDEEQQRASm392wcL2jUmMWczRUDMaXK6J6ExxWBEtc8Wi3TCtWNtzv25Z8Zn1OONkHa913G_79ma1I-CUcgLg5e9pSd1D-Dm-AQAA__8", "2 attachment(s)")</f>
        <v>2 attachment(s)</v>
      </c>
      <c r="Y1675" t="inlineStr">
        <is>
          <t>Bank Transfer</t>
        </is>
      </c>
      <c r="Z1675" t="inlineStr">
        <is>
          <t>Cloe Giether F Salitrero</t>
        </is>
      </c>
      <c r="AA1675" t="inlineStr">
        <is>
          <t>0636459617</t>
        </is>
      </c>
      <c r="AB1675" t="inlineStr">
        <is>
          <t>BPI</t>
        </is>
      </c>
      <c r="AC1675" t="inlineStr">
        <is>
          <t>51-C Justice Lourdes Paredes San Diego Avenue Brgy Socorro QC</t>
        </is>
      </c>
      <c r="AD1675" s="4">
        <v>45962</v>
      </c>
      <c r="AE1675" t="inlineStr">
        <is>
          <t>100% Full Payment - Dec. 19, 2025</t>
        </is>
      </c>
      <c r="AF1675" s="2"/>
      <c r="AG1675" t="inlineStr">
        <is>
          <t>NzQyNTk5MTgyNzQ4MTg3MDM0MTo3RDMwMTJCNy0wMTg5LTQzQTktOTZCOC0wOEYyRDlGODk0RTUtMToxZDQzMzJmN2VkYTdhZTNlNGNkYTkzOGVjMjQ5MzJiYjox</t>
        </is>
      </c>
      <c r="AH1675" t="inlineStr">
        <is>
          <t>Cloe Giether F Salitrero</t>
        </is>
      </c>
      <c r="AI1675"/>
      <c r="AJ1675" t="inlineStr">
        <is>
          <t>No line item in internal CE. Unbudgeted.
^ THIS IS BASED ON AN UPDATED INTERNAL CE, ATTACHED AS A COMMENT TO THE PAR ON DEC. 4, 2025</t>
        </is>
      </c>
      <c r="AK1675"/>
    </row>
    <row r="1676" ht="25.5" customHeight="1">
      <c r="A1676" s="2" t="str">
        <f>=HYPERLINK("https://applink.larksuite.com/client/mini_program/open?appId=cli_9c7cc8a9a9edd105&amp;mode=appCenter&amp;path_pc=pc/pages/requested/index?instanceId=7581443028976422625&amp;source=bitable&amp;path=pages/detail/index?instanceId=7581443028976422625&amp;source=bitable", "202512080057")</f>
        <v>202512080057</v>
      </c>
      <c r="B1676" t="inlineStr">
        <is>
          <t>Under Review</t>
        </is>
      </c>
      <c r="C1676" t="inlineStr">
        <is>
          <t>Procurement Order</t>
        </is>
      </c>
      <c r="D1676" s="3">
        <v>45999.799305555556</v>
      </c>
      <c r="E1676" s="3"/>
      <c r="F1676" t="inlineStr">
        <is>
          <t>Fatima Kathleen M. FLores</t>
        </is>
      </c>
      <c r="G1676" t="inlineStr">
        <is>
          <t>Procurement</t>
        </is>
      </c>
      <c r="H1676" t="inlineStr">
        <is>
          <t>Sharleen Cayabyab</t>
        </is>
      </c>
      <c r="I1676" t="inlineStr">
        <is>
          <t>Controller</t>
        </is>
      </c>
      <c r="J1676" t="inlineStr">
        <is>
          <t>GAE</t>
        </is>
      </c>
      <c r="K1676"/>
      <c r="L1676"/>
      <c r="M1676"/>
      <c r="N1676"/>
      <c r="O1676" t="inlineStr">
        <is>
          <t>202512030126-Jean Pauline Dela Luna Dela Luna-费用报销 - 副本 - 副本 - 副本-2025-12-03 09:48:12</t>
        </is>
      </c>
      <c r="P1676"/>
      <c r="Q1676" t="inlineStr">
        <is>
          <t>Mineski PH</t>
        </is>
      </c>
      <c r="R1676"/>
      <c r="S1676" t="inlineStr">
        <is>
          <t>Robinsons Cybergate Magnolia - Office Renovation</t>
        </is>
      </c>
      <c r="T1676">
        <v>1</v>
      </c>
      <c r="U1676">
        <v>8718697.86</v>
      </c>
      <c r="V1676" t="inlineStr">
        <is>
          <t>PHP</t>
        </is>
      </c>
      <c r="W1676">
        <v>8718697.86</v>
      </c>
      <c r="X1676" s="2" t="str">
        <f>=HYPERLINK("https://www.larksuite.com/approval/admin/previewAttachment?key=PMg9jkIxDATgK43HE0-8l9mGp4iCVyF-mpwdiYL2qxmoOSKroQ42YnvMkBKc7RJZHJs77IbD4j7O9Y98ye-xHivF87af18s67jHaJJxSTgDx9_O0pO4Svo5PAAAA__8", "2 attachment(s)")</f>
        <v>2 attachment(s)</v>
      </c>
      <c r="Y1676" t="inlineStr">
        <is>
          <t>Bank Transfer</t>
        </is>
      </c>
      <c r="Z1676" t="inlineStr">
        <is>
          <t>APEX FRANCHISE VENTURES OPC.</t>
        </is>
      </c>
      <c r="AA1676" t="inlineStr">
        <is>
          <t>001405064050016</t>
        </is>
      </c>
      <c r="AB1676" t="inlineStr">
        <is>
          <t>Philippine Business Bank</t>
        </is>
      </c>
      <c r="AC1676" t="inlineStr">
        <is>
          <t>9th Floor Santolan Town Plaza 276 Santolan Road Little Baguio 1500 City of San Juan</t>
        </is>
      </c>
      <c r="AD1676" s="4">
        <v>46003</v>
      </c>
      <c r="AE1676" t="inlineStr">
        <is>
          <t>100% Full Payment</t>
        </is>
      </c>
      <c r="AF1676" s="2"/>
      <c r="AG1676" t="inlineStr">
        <is>
          <t>NzQyNTk5MTgyNzQ4MTg3MDM0MTo1MzQ4NTJCRi00NTU0LTQ4NkEtOTI3Qi1CN0Q2QjdGNzQ0MDYtMTo2MmU1MTg4NzQ3MDk5MzdkNWZkYTBkNDJmZGMwZDU0ODox</t>
        </is>
      </c>
      <c r="AH1676" t="inlineStr">
        <is>
          <t>APEX FRANCHISE VENTURES OPC.</t>
        </is>
      </c>
      <c r="AI1676"/>
      <c r="AJ1676"/>
      <c r="AK1676"/>
    </row>
    <row r="1677" ht="25.5" customHeight="1">
      <c r="A1677" s="2" t="str">
        <f>=HYPERLINK("https://applink.larksuite.com/client/mini_program/open?appId=cli_9c7cc8a9a9edd105&amp;mode=appCenter&amp;path_pc=pc/pages/requested/index?instanceId=7581455039265246941&amp;source=bitable&amp;path=pages/detail/index?instanceId=7581455039265246941&amp;source=bitable", "202512080070")</f>
        <v>202512080070</v>
      </c>
      <c r="B1677" t="inlineStr">
        <is>
          <t>Approved</t>
        </is>
      </c>
      <c r="C1677" t="inlineStr">
        <is>
          <t>Procurement Order</t>
        </is>
      </c>
      <c r="D1677" s="3">
        <v>45999.831666666665</v>
      </c>
      <c r="E1677" s="3">
        <v>46000.738483796296</v>
      </c>
      <c r="F1677" t="inlineStr">
        <is>
          <t>Fatima Kathleen M. FLores</t>
        </is>
      </c>
      <c r="G1677" t="inlineStr">
        <is>
          <t>Procurement</t>
        </is>
      </c>
      <c r="H1677"/>
      <c r="I1677"/>
      <c r="J1677" t="inlineStr">
        <is>
          <t>Project</t>
        </is>
      </c>
      <c r="K1677" t="inlineStr">
        <is>
          <t>GG - Event Service</t>
        </is>
      </c>
      <c r="L1677" t="inlineStr">
        <is>
          <t>KIC 2025 - Playoffs</t>
        </is>
      </c>
      <c r="M1677" t="inlineStr">
        <is>
          <t>2025TEG-P0321</t>
        </is>
      </c>
      <c r="N1677" t="inlineStr">
        <is>
          <t>Carla Andrea Calma Crespo</t>
        </is>
      </c>
      <c r="O1677" t="inlineStr">
        <is>
          <t>202512020120-Carla Andrea Calma Crespo-费用报销 - 副本 - 副本 - 副本-2025-12-02 11:22:53</t>
        </is>
      </c>
      <c r="P1677" t="inlineStr">
        <is>
          <t>YES</t>
        </is>
      </c>
      <c r="Q1677"/>
      <c r="R1677" t="inlineStr">
        <is>
          <t>NO</t>
        </is>
      </c>
      <c r="S1677" t="inlineStr">
        <is>
          <t>Outsourced Logistics Associates (Egress)</t>
        </is>
      </c>
      <c r="T1677">
        <v>1</v>
      </c>
      <c r="U1677">
        <v>22500</v>
      </c>
      <c r="V1677" t="inlineStr">
        <is>
          <t>PHP</t>
        </is>
      </c>
      <c r="W1677">
        <v>22500</v>
      </c>
      <c r="X1677" s="2" t="str">
        <f>=HYPERLINK("https://www.larksuite.com/approval/admin/previewAttachment?key=PMhBqgIxEATQK1V3qrtT_zJ_YxgcUQnIDG5ydsGF25fdkD2spUCZC7YqujECTZ7hTNGWL6sSyoq-xmP730_N57gf-_u4zTnXeb1s42Whckc1snUA9vfzViSlJL6OTwAAAP__", "2 attachment(s)")</f>
        <v>2 attachment(s)</v>
      </c>
      <c r="Y1677" t="inlineStr">
        <is>
          <t>Bank Transfer</t>
        </is>
      </c>
      <c r="Z1677" t="inlineStr">
        <is>
          <t>Nordan Burabo</t>
        </is>
      </c>
      <c r="AA1677" t="inlineStr">
        <is>
          <t>09636201512</t>
        </is>
      </c>
      <c r="AB1677" t="inlineStr">
        <is>
          <t>GCash</t>
        </is>
      </c>
      <c r="AC1677" t="inlineStr">
        <is>
          <t>Blk 1 Lot 23 Agoncillo St. Sta Lucia Novaliches, Quezon City</t>
        </is>
      </c>
      <c r="AD1677" s="4">
        <v>45991</v>
      </c>
      <c r="AE1677" t="inlineStr">
        <is>
          <t>100% Full Payment - Dec. 12, 2025</t>
        </is>
      </c>
      <c r="AF1677" s="2"/>
      <c r="AG1677" t="inlineStr">
        <is>
          <t>NzQyNTk5MTgyNzQ4MTg3MDM0MToxNUNGMTA5RC0yM0NDLTRBMzgtOEMxOS1ENEVFNDE0OTVDMUItMTpmMTY4NjU0ZTZiYjExZmIxYTJhNzJkMDYxZjk0OTJjMzox</t>
        </is>
      </c>
      <c r="AH1677" t="inlineStr">
        <is>
          <t>Nordan Burabo</t>
        </is>
      </c>
      <c r="AI1677"/>
      <c r="AJ1677" t="inlineStr">
        <is>
          <t>LIQUIDITY PLAN (PAR # 202511200098 / 2025TEG-P0321)
OPERATIONS TEAM &gt; Logistics &gt;
Runners (Egress)
Total Remaining Budget = Php 27,000.00
Actual Cost = Php 22,500.00
Balance = Php 4,500.00
^ THIS IS BASED ON AN UPDATED INTERNAL CE, ATTACHED AS A COMMENT TO THE PAR ON DEC. 4, 2025</t>
        </is>
      </c>
      <c r="AK1677"/>
    </row>
    <row r="1678" ht="25.5" customHeight="1">
      <c r="A1678" s="2" t="str">
        <f>=HYPERLINK("https://applink.larksuite.com/client/mini_program/open?appId=cli_9c7cc8a9a9edd105&amp;mode=appCenter&amp;path_pc=pc/pages/requested/index?instanceId=7581454079042309852&amp;source=bitable&amp;path=pages/detail/index?instanceId=7581454079042309852&amp;source=bitable", "202512080069")</f>
        <v>202512080069</v>
      </c>
      <c r="B1678" t="inlineStr">
        <is>
          <t>Approved</t>
        </is>
      </c>
      <c r="C1678" t="inlineStr">
        <is>
          <t>Procurement Order</t>
        </is>
      </c>
      <c r="D1678" s="3">
        <v>45999.82908564815</v>
      </c>
      <c r="E1678" s="3">
        <v>46000.740219907406</v>
      </c>
      <c r="F1678" t="inlineStr">
        <is>
          <t>Fatima Kathleen M. FLores</t>
        </is>
      </c>
      <c r="G1678" t="inlineStr">
        <is>
          <t>Procurement</t>
        </is>
      </c>
      <c r="H1678"/>
      <c r="I1678"/>
      <c r="J1678" t="inlineStr">
        <is>
          <t>Project</t>
        </is>
      </c>
      <c r="K1678" t="inlineStr">
        <is>
          <t>GG - Event Service</t>
        </is>
      </c>
      <c r="L1678" t="inlineStr">
        <is>
          <t>KIC 2025 - Playoffs</t>
        </is>
      </c>
      <c r="M1678" t="inlineStr">
        <is>
          <t>2025TEG-P0321</t>
        </is>
      </c>
      <c r="N1678" t="inlineStr">
        <is>
          <t>Carla Andrea Calma Crespo</t>
        </is>
      </c>
      <c r="O1678" t="inlineStr">
        <is>
          <t>202512020119-Carla Andrea Calma Crespo-费用报销 - 副本 - 副本 - 副本-2025-12-02 11:20:36</t>
        </is>
      </c>
      <c r="P1678" t="inlineStr">
        <is>
          <t>YES</t>
        </is>
      </c>
      <c r="Q1678"/>
      <c r="R1678" t="inlineStr">
        <is>
          <t>NO</t>
        </is>
      </c>
      <c r="S1678" t="inlineStr">
        <is>
          <t>Outsourced Logistics Associates (Egress)</t>
        </is>
      </c>
      <c r="T1678">
        <v>1</v>
      </c>
      <c r="U1678">
        <v>25500</v>
      </c>
      <c r="V1678" t="inlineStr">
        <is>
          <t>PHP</t>
        </is>
      </c>
      <c r="W1678">
        <v>25500</v>
      </c>
      <c r="X1678" s="2" t="str">
        <f>=HYPERLINK("https://www.larksuite.com/approval/admin/previewAttachment?key=PMhBCgIxDAXQK_2kP_2Nl3EzZRBxQBDrbHJ2wYXb14ehj7DWE0zzhJViGINQgt6QI7y8TErIRK957Fdfn_cz7ufajnk-VOu27fNlkXKHGtkGALv8vYlkZid-jm8AAAD__w", "2 attachment(s)")</f>
        <v>2 attachment(s)</v>
      </c>
      <c r="Y1678" t="inlineStr">
        <is>
          <t>Bank Transfer</t>
        </is>
      </c>
      <c r="Z1678" t="inlineStr">
        <is>
          <t>RIC JACA</t>
        </is>
      </c>
      <c r="AA1678" t="inlineStr">
        <is>
          <t>09509516216</t>
        </is>
      </c>
      <c r="AB1678" t="inlineStr">
        <is>
          <t>GCASH</t>
        </is>
      </c>
      <c r="AC1678" t="inlineStr">
        <is>
          <t>321 Sitio Langhaya Brgy. Dela Paz Antipolo Rizal</t>
        </is>
      </c>
      <c r="AD1678" s="4">
        <v>45991</v>
      </c>
      <c r="AE1678" t="inlineStr">
        <is>
          <t>100% Full Payment - Dec. 12, 2025</t>
        </is>
      </c>
      <c r="AF1678" s="2"/>
      <c r="AG1678" t="inlineStr">
        <is>
          <t>NzQyNTk5MTgyNzQ4MTg3MDM0MTo0RkQ4QTYzQi0yMTUyLTRFQkMtQjdDOC0zMUVBQzNFMDhCRDctMTpkMmFiMTE3MGUwMTRiNjBlMGM3MjQzZDRlZTQ0MjI1ODox</t>
        </is>
      </c>
      <c r="AH1678" t="inlineStr">
        <is>
          <t>RIC JACA</t>
        </is>
      </c>
      <c r="AI1678"/>
      <c r="AJ1678" t="inlineStr">
        <is>
          <t>LIQUIDITY PLAN (PAR # 202511200098 / 2025TEG-P0321)
OPERATIONS TEAM &gt; Logistics &gt;
Runners (Egress)
Total Budget = Php 52,500.00
Actual Cost = Php 25,500.00
Balance = Php 27,000.00
^ THIS IS BASED ON AN UPDATED INTERNAL CE, ATTACHED AS A COMMENT TO THE PAR ON DEC. 4, 2025</t>
        </is>
      </c>
      <c r="AK1678"/>
    </row>
    <row r="1679" ht="25.5" customHeight="1">
      <c r="A1679" s="2" t="str">
        <f>=HYPERLINK("https://applink.larksuite.com/client/mini_program/open?appId=cli_9c7cc8a9a9edd105&amp;mode=appCenter&amp;path_pc=pc/pages/requested/index?instanceId=7581453068567351004&amp;source=bitable&amp;path=pages/detail/index?instanceId=7581453068567351004&amp;source=bitable", "202512080068")</f>
        <v>202512080068</v>
      </c>
      <c r="B1679" t="inlineStr">
        <is>
          <t>Approved</t>
        </is>
      </c>
      <c r="C1679" t="inlineStr">
        <is>
          <t>Procurement Order</t>
        </is>
      </c>
      <c r="D1679" s="3">
        <v>45999.82635416667</v>
      </c>
      <c r="E1679" s="3">
        <v>46002.44563657408</v>
      </c>
      <c r="F1679" t="inlineStr">
        <is>
          <t>Fatima Kathleen M. FLores</t>
        </is>
      </c>
      <c r="G1679" t="inlineStr">
        <is>
          <t>Procurement</t>
        </is>
      </c>
      <c r="H1679"/>
      <c r="I1679"/>
      <c r="J1679" t="inlineStr">
        <is>
          <t>Project</t>
        </is>
      </c>
      <c r="K1679" t="inlineStr">
        <is>
          <t>GG - Event Service</t>
        </is>
      </c>
      <c r="L1679" t="inlineStr">
        <is>
          <t>KIC 2025 - Playoffs</t>
        </is>
      </c>
      <c r="M1679" t="inlineStr">
        <is>
          <t>2025TEG-P0321</t>
        </is>
      </c>
      <c r="N1679" t="inlineStr">
        <is>
          <t>Carla Andrea Calma Crespo</t>
        </is>
      </c>
      <c r="O1679" t="inlineStr">
        <is>
          <t>202512020118-Carla Andrea Calma Crespo-费用报销 - 副本 - 副本 - 副本-2025-12-02 11:18:33</t>
        </is>
      </c>
      <c r="P1679" t="inlineStr">
        <is>
          <t>YES</t>
        </is>
      </c>
      <c r="Q1679"/>
      <c r="R1679" t="inlineStr">
        <is>
          <t>YES</t>
        </is>
      </c>
      <c r="S1679" t="inlineStr">
        <is>
          <t>Outsourced Drone Operator</t>
        </is>
      </c>
      <c r="T1679">
        <v>1</v>
      </c>
      <c r="U1679">
        <v>12000</v>
      </c>
      <c r="V1679" t="inlineStr">
        <is>
          <t>PHP</t>
        </is>
      </c>
      <c r="W1679">
        <v>12000</v>
      </c>
      <c r="X1679" s="2" t="str">
        <f>=HYPERLINK("https://www.larksuite.com/approval/admin/previewAttachment?key=PMgxCgIxEAXQK_2f-clkvIxNQhAhsCAsbDFnFy22fa0TrVdaCyhYAkyvnar28-ZWCShL0j3gdJWcez3jfe0Z1z7G4nmMPF9jzQ9reClwk6wD4ON2c0kRTfg7vgEAAP__", "2 attachment(s)")</f>
        <v>2 attachment(s)</v>
      </c>
      <c r="Y1679" t="inlineStr">
        <is>
          <t>Bank Transfer</t>
        </is>
      </c>
      <c r="Z1679" t="inlineStr">
        <is>
          <t>Ramil Q Gasangue</t>
        </is>
      </c>
      <c r="AA1679" t="inlineStr">
        <is>
          <t>0929688452</t>
        </is>
      </c>
      <c r="AB1679" t="inlineStr">
        <is>
          <t>BDO Unibank</t>
        </is>
      </c>
      <c r="AC1679" t="inlineStr">
        <is>
          <t>3185 Brgy 2 Belarmino Street Calamba City Laguna</t>
        </is>
      </c>
      <c r="AD1679" s="4">
        <v>45985</v>
      </c>
      <c r="AE1679" t="inlineStr">
        <is>
          <t>100% Full Payment - Dec. 12, 2025</t>
        </is>
      </c>
      <c r="AF1679" s="2"/>
      <c r="AG1679" t="inlineStr">
        <is>
          <t>NzQyNTk5MTgyNzQ4MTg3MDM0MToyN0I0MTQ4My1FRUI1LTQ0NDUtQUI0MS1EQTY3MjgyRUM2QUYtMTo5NGI0NmRjMDk3NmU0Yzg2MmNkMDliMjRkNzQ2NDc2Mzox</t>
        </is>
      </c>
      <c r="AH1679" t="inlineStr">
        <is>
          <t>Ramil Q Gasangue</t>
        </is>
      </c>
      <c r="AI1679"/>
      <c r="AJ1679" t="inlineStr">
        <is>
          <t>No line item in internal CE. Unbudgeted.
^ THIS IS BASED ON AN UPDATED INTERNAL CE, ATTACHED AS A COMMENT TO THE PAR ON DEC. 4, 2025</t>
        </is>
      </c>
      <c r="AK1679"/>
    </row>
    <row r="1680" ht="25.5" customHeight="1">
      <c r="A1680" s="2" t="str">
        <f>=HYPERLINK("https://applink.larksuite.com/client/mini_program/open?appId=cli_9c7cc8a9a9edd105&amp;mode=appCenter&amp;path_pc=pc/pages/requested/index?instanceId=7581451547716898523&amp;source=bitable&amp;path=pages/detail/index?instanceId=7581451547716898523&amp;source=bitable", "202512080065")</f>
        <v>202512080065</v>
      </c>
      <c r="B1680" t="inlineStr">
        <is>
          <t>Approved</t>
        </is>
      </c>
      <c r="C1680" t="inlineStr">
        <is>
          <t>Procurement Order</t>
        </is>
      </c>
      <c r="D1680" s="3">
        <v>45999.82225694445</v>
      </c>
      <c r="E1680" s="3">
        <v>46002.44635416667</v>
      </c>
      <c r="F1680" t="inlineStr">
        <is>
          <t>Fatima Kathleen M. FLores</t>
        </is>
      </c>
      <c r="G1680" t="inlineStr">
        <is>
          <t>Procurement</t>
        </is>
      </c>
      <c r="H1680"/>
      <c r="I1680"/>
      <c r="J1680" t="inlineStr">
        <is>
          <t>Project</t>
        </is>
      </c>
      <c r="K1680" t="inlineStr">
        <is>
          <t>GG - Event Service</t>
        </is>
      </c>
      <c r="L1680" t="inlineStr">
        <is>
          <t>KIC 2025 - Playoffs</t>
        </is>
      </c>
      <c r="M1680" t="inlineStr">
        <is>
          <t>2025TEG-P0321</t>
        </is>
      </c>
      <c r="N1680" t="inlineStr">
        <is>
          <t>Carla Andrea Calma Crespo</t>
        </is>
      </c>
      <c r="O1680" t="inlineStr">
        <is>
          <t>202512020117-Carla Andrea Calma Crespo-费用报销 - 副本 - 副本 - 副本-2025-12-02 11:17:30</t>
        </is>
      </c>
      <c r="P1680" t="inlineStr">
        <is>
          <t>YES</t>
        </is>
      </c>
      <c r="Q1680"/>
      <c r="R1680" t="inlineStr">
        <is>
          <t>YES</t>
        </is>
      </c>
      <c r="S1680" t="inlineStr">
        <is>
          <t>Outsourced Electrical Engineer</t>
        </is>
      </c>
      <c r="T1680">
        <v>1</v>
      </c>
      <c r="U1680">
        <v>7780</v>
      </c>
      <c r="V1680" t="inlineStr">
        <is>
          <t>PHP</t>
        </is>
      </c>
      <c r="W1680">
        <v>7780</v>
      </c>
      <c r="X1680" s="2" t="str">
        <f>=HYPERLINK("https://www.larksuite.com/approval/admin/previewAttachment?key=PMg9CgJBDAXgK72Xn0niZWx2GFxQEYTpcnbBYttvJDHSqaNgRSmww5PmdIvgyEoXbWlGFIJh0vO17ueuz_vUhXms_UTvx7Hml14hglAzTQC8Xa5hZlXD8Hf8AgAA__8", "2 attachment(s)")</f>
        <v>2 attachment(s)</v>
      </c>
      <c r="Y1680" t="inlineStr">
        <is>
          <t>Bank Transfer</t>
        </is>
      </c>
      <c r="Z1680" t="inlineStr">
        <is>
          <t>Joshua Eduarte</t>
        </is>
      </c>
      <c r="AA1680" t="inlineStr">
        <is>
          <t>0046 3062 0764</t>
        </is>
      </c>
      <c r="AB1680" t="inlineStr">
        <is>
          <t>BDO Unibank</t>
        </is>
      </c>
      <c r="AC1680" t="inlineStr">
        <is>
          <t>26 Apitong Street, Villa Rebecca Homes, Marikina Heights, Marikina City</t>
        </is>
      </c>
      <c r="AD1680" s="4">
        <v>45989</v>
      </c>
      <c r="AE1680" t="inlineStr">
        <is>
          <t>100% Full Payment - Dec. 12, 2025</t>
        </is>
      </c>
      <c r="AF1680" s="2"/>
      <c r="AG1680" t="inlineStr">
        <is>
          <t>NzQyNTk5MTgyNzQ4MTg3MDM0MTpEMjhGRDc5MS01ODQwLTRDNUItQkNCNy01QkIzNjcyMTg4QUUtMTpjNTYxZWRhNDBkZThhZWQ0MDQ2MjViYWY1N2VmMjBlNzox</t>
        </is>
      </c>
      <c r="AH1680" t="inlineStr">
        <is>
          <t>Joshua Eduarte</t>
        </is>
      </c>
      <c r="AI1680"/>
      <c r="AJ1680" t="inlineStr">
        <is>
          <t>No line item in internal CE. Unbudgeted.
^ THIS IS BASED ON AN UPDATED INTERNAL CE, ATTACHED AS A COMMENT TO THE PAR ON DEC. 4, 2025</t>
        </is>
      </c>
      <c r="AK1680"/>
    </row>
    <row r="1681" ht="25.5" customHeight="1">
      <c r="A1681" s="2" t="str">
        <f>=HYPERLINK("https://applink.larksuite.com/client/mini_program/open?appId=cli_9c7cc8a9a9edd105&amp;mode=appCenter&amp;path_pc=pc/pages/requested/index?instanceId=7581449587735449313&amp;source=bitable&amp;path=pages/detail/index?instanceId=7581449587735449313&amp;source=bitable", "202512080063")</f>
        <v>202512080063</v>
      </c>
      <c r="B1681" t="inlineStr">
        <is>
          <t>Approved</t>
        </is>
      </c>
      <c r="C1681" t="inlineStr">
        <is>
          <t>Procurement Order</t>
        </is>
      </c>
      <c r="D1681" s="3">
        <v>45999.816979166666</v>
      </c>
      <c r="E1681" s="3">
        <v>46000.741423611114</v>
      </c>
      <c r="F1681" t="inlineStr">
        <is>
          <t>Fatima Kathleen M. FLores</t>
        </is>
      </c>
      <c r="G1681" t="inlineStr">
        <is>
          <t>Procurement</t>
        </is>
      </c>
      <c r="H1681"/>
      <c r="I1681"/>
      <c r="J1681" t="inlineStr">
        <is>
          <t>Project</t>
        </is>
      </c>
      <c r="K1681" t="inlineStr">
        <is>
          <t>GG - Event Service</t>
        </is>
      </c>
      <c r="L1681" t="inlineStr">
        <is>
          <t>KIC 2025 - Playoffs</t>
        </is>
      </c>
      <c r="M1681" t="inlineStr">
        <is>
          <t>2025TEG-P0321</t>
        </is>
      </c>
      <c r="N1681" t="inlineStr">
        <is>
          <t>Carla Andrea Calma Crespo</t>
        </is>
      </c>
      <c r="O1681" t="inlineStr">
        <is>
          <t>202512010174-Carla Andrea Calma Crespo-费用报销 - 副本 - 副本 - 副本-2025-12-01 11:34:59</t>
        </is>
      </c>
      <c r="P1681" t="inlineStr">
        <is>
          <t>YES</t>
        </is>
      </c>
      <c r="Q1681"/>
      <c r="R1681" t="inlineStr">
        <is>
          <t>YES</t>
        </is>
      </c>
      <c r="S1681" t="inlineStr">
        <is>
          <t>Outsourced Technical Assistant (Audio for Media Room)</t>
        </is>
      </c>
      <c r="T1681">
        <v>1</v>
      </c>
      <c r="U1681">
        <v>4800</v>
      </c>
      <c r="V1681" t="inlineStr">
        <is>
          <t>PHP</t>
        </is>
      </c>
      <c r="W1681">
        <v>4800</v>
      </c>
      <c r="X1681" s="2" t="str">
        <f>=HYPERLINK("https://www.larksuite.com/approval/admin/previewAttachment?key=PMgxCgIxFATQK83Pn2QyXsbGsKiwIAiLW_yzCxa2b8zAmD1yGHQ0I0p9Buk-peykM7JahWQoxFZr365-nvuCHp_z2F6Lddxv23pHt1qDkswJIC5_T5G0B_FzfAMAAP__", "2 attachment(s)")</f>
        <v>2 attachment(s)</v>
      </c>
      <c r="Y1681" t="inlineStr">
        <is>
          <t>Bank Transfer</t>
        </is>
      </c>
      <c r="Z1681" t="inlineStr">
        <is>
          <t>Hans Jim San Jose De Cruz</t>
        </is>
      </c>
      <c r="AA1681" t="inlineStr">
        <is>
          <t>018991585964</t>
        </is>
      </c>
      <c r="AB1681" t="inlineStr">
        <is>
          <t>GoTyme Bank, Inc.</t>
        </is>
      </c>
      <c r="AC1681" t="inlineStr">
        <is>
          <t>19410 A Mendoza Street, Matatdo, San Isidro, Parañaque City</t>
        </is>
      </c>
      <c r="AD1681" s="4">
        <v>45989</v>
      </c>
      <c r="AE1681" t="inlineStr">
        <is>
          <t>100% Full Payment - Dec. 12, 2025</t>
        </is>
      </c>
      <c r="AF1681" s="2"/>
      <c r="AG1681" t="inlineStr">
        <is>
          <t>NzQyNTk5MTgyNzQ4MTg3MDM0MTpDREY5NjYzNi0wRkY2LTREQ0YtQThCQS00NUQ5N0FBMTlEMzQtMTo4ZGUwYzcwYzEzYzZiNTJhNjVjOGM5ODA3ZjU5MmIxYTox</t>
        </is>
      </c>
      <c r="AH1681" t="inlineStr">
        <is>
          <t>Hans Jim San Jose De Cruz</t>
        </is>
      </c>
      <c r="AI1681"/>
      <c r="AJ1681" t="inlineStr">
        <is>
          <t>No line item in internal CE. Unbudgeted.
^ THIS IS BASED ON AN UPDATED INTERNAL CE, ATTACHED AS A COMMENT TO THE PAR ON DEC. 4, 2025</t>
        </is>
      </c>
      <c r="AK1681"/>
    </row>
    <row r="1682" ht="25.5" customHeight="1">
      <c r="A1682" s="2" t="str">
        <f>=HYPERLINK("https://applink.larksuite.com/client/mini_program/open?appId=cli_9c7cc8a9a9edd105&amp;mode=appCenter&amp;path_pc=pc/pages/requested/index?instanceId=7581446927141605085&amp;source=bitable&amp;path=pages/detail/index?instanceId=7581446927141605085&amp;source=bitable", "202512080062")</f>
        <v>202512080062</v>
      </c>
      <c r="B1682" t="inlineStr">
        <is>
          <t>Approved</t>
        </is>
      </c>
      <c r="C1682" t="inlineStr">
        <is>
          <t>Procurement Order</t>
        </is>
      </c>
      <c r="D1682" s="3">
        <v>45999.80981481481</v>
      </c>
      <c r="E1682" s="3">
        <v>46000.74277777778</v>
      </c>
      <c r="F1682" t="inlineStr">
        <is>
          <t>Fatima Kathleen M. FLores</t>
        </is>
      </c>
      <c r="G1682" t="inlineStr">
        <is>
          <t>Procurement</t>
        </is>
      </c>
      <c r="H1682"/>
      <c r="I1682"/>
      <c r="J1682" t="inlineStr">
        <is>
          <t>Project</t>
        </is>
      </c>
      <c r="K1682" t="inlineStr">
        <is>
          <t>GG - Event Service</t>
        </is>
      </c>
      <c r="L1682" t="inlineStr">
        <is>
          <t>KIC 2025 - Playoffs</t>
        </is>
      </c>
      <c r="M1682" t="inlineStr">
        <is>
          <t>2025TEG-P0321</t>
        </is>
      </c>
      <c r="N1682" t="inlineStr">
        <is>
          <t>Carla Andrea Calma Crespo</t>
        </is>
      </c>
      <c r="O1682" t="inlineStr">
        <is>
          <t>202512010142-Carla Andrea Calma Crespo-费用报销 - 副本 - 副本 - 副本-2025-12-01 10:04:37</t>
        </is>
      </c>
      <c r="P1682" t="inlineStr">
        <is>
          <t>YES</t>
        </is>
      </c>
      <c r="Q1682"/>
      <c r="R1682" t="inlineStr">
        <is>
          <t>YES</t>
        </is>
      </c>
      <c r="S1682" t="inlineStr">
        <is>
          <t>Outsourced Ushers</t>
        </is>
      </c>
      <c r="T1682">
        <v>1</v>
      </c>
      <c r="U1682">
        <v>16200</v>
      </c>
      <c r="V1682" t="inlineStr">
        <is>
          <t>PHP</t>
        </is>
      </c>
      <c r="W1682">
        <v>16200</v>
      </c>
      <c r="X1682" s="2" t="str">
        <f>=HYPERLINK("https://www.larksuite.com/approval/admin/previewAttachment?key=PMg9CkIxEATgK81sJjtZL2PzHsFfEAS1ydkFC9svB5Gjs2VBxShwuQ9KWWGKiY7RVyzaBdOKtd_n8XM5z4fl7Qrf3lyv0zb3J3s5Am5SGwB4-HuzpKoUfo5vAAAA__8", "2 attachment(s)")</f>
        <v>2 attachment(s)</v>
      </c>
      <c r="Y1682" t="inlineStr">
        <is>
          <t>Bank Transfer</t>
        </is>
      </c>
      <c r="Z1682" t="inlineStr">
        <is>
          <t>John Benigno R. Magat</t>
        </is>
      </c>
      <c r="AA1682" t="inlineStr">
        <is>
          <t>046110005388</t>
        </is>
      </c>
      <c r="AB1682" t="inlineStr">
        <is>
          <t>PSBank</t>
        </is>
      </c>
      <c r="AC1682" t="inlineStr">
        <is>
          <t>228 Grissom st. Brgy Moonwalk Paranaque</t>
        </is>
      </c>
      <c r="AD1682" s="4">
        <v>45989</v>
      </c>
      <c r="AE1682" t="inlineStr">
        <is>
          <t>100% Full Payment - Dec. 12, 2025</t>
        </is>
      </c>
      <c r="AF1682" s="2"/>
      <c r="AG1682" t="inlineStr">
        <is>
          <t>NzQyNTk5MTgyNzQ4MTg3MDM0MToxNDNBNzY2Mi01QjRFLTRFOEQtOEE3Mi0xRjI0MTFFREY3Q0UtMTozYmQ1YWVkNzhkMDM4OTU0ZGUzYzgwMmFhNTBlZWFmZTox</t>
        </is>
      </c>
      <c r="AH1682" t="inlineStr">
        <is>
          <t>John Benigno R. Magat</t>
        </is>
      </c>
      <c r="AI1682"/>
      <c r="AJ1682" t="inlineStr">
        <is>
          <t>No line item in internal CE. Unbudgeted.
^ THIS IS BASED ON AN UPDATED INTERNAL CE, ATTACHED AS A COMMENT TO THE PAR ON DEC. 4, 2025</t>
        </is>
      </c>
      <c r="AK1682"/>
    </row>
    <row r="1683" ht="25.5" customHeight="1">
      <c r="A1683" s="2" t="str">
        <f>=HYPERLINK("https://applink.larksuite.com/client/mini_program/open?appId=cli_9c7cc8a9a9edd105&amp;mode=appCenter&amp;path_pc=pc/pages/requested/index?instanceId=7581450847326899938&amp;source=bitable&amp;path=pages/detail/index?instanceId=7581450847326899938&amp;source=bitable", "202512080064")</f>
        <v>202512080064</v>
      </c>
      <c r="B1683" t="inlineStr">
        <is>
          <t>Approved</t>
        </is>
      </c>
      <c r="C1683" t="inlineStr">
        <is>
          <t>Procurement Order</t>
        </is>
      </c>
      <c r="D1683" s="3">
        <v>45999.82037037037</v>
      </c>
      <c r="E1683" s="3">
        <v>46000.74365740741</v>
      </c>
      <c r="F1683" t="inlineStr">
        <is>
          <t>Fatima Kathleen M. FLores</t>
        </is>
      </c>
      <c r="G1683" t="inlineStr">
        <is>
          <t>Procurement</t>
        </is>
      </c>
      <c r="H1683"/>
      <c r="I1683"/>
      <c r="J1683" t="inlineStr">
        <is>
          <t>Project</t>
        </is>
      </c>
      <c r="K1683" t="inlineStr">
        <is>
          <t>GG - Event Service</t>
        </is>
      </c>
      <c r="L1683" t="inlineStr">
        <is>
          <t>KIC 2025 - Playoffs</t>
        </is>
      </c>
      <c r="M1683" t="inlineStr">
        <is>
          <t>2025TEG-P0321</t>
        </is>
      </c>
      <c r="N1683" t="inlineStr">
        <is>
          <t>Carla Andrea Calma Crespo</t>
        </is>
      </c>
      <c r="O1683" t="inlineStr">
        <is>
          <t>202512030115-Carla Andrea Calma Crespo-费用报销 - 副本 - 副本 - 副本-2025-12-03 09:03:27</t>
        </is>
      </c>
      <c r="P1683" t="inlineStr">
        <is>
          <t>YES</t>
        </is>
      </c>
      <c r="Q1683"/>
      <c r="R1683" t="inlineStr">
        <is>
          <t>YES</t>
        </is>
      </c>
      <c r="S1683" t="inlineStr">
        <is>
          <t>Outsourced IT Manpower (SDI Crimping)</t>
        </is>
      </c>
      <c r="T1683">
        <v>1</v>
      </c>
      <c r="U1683">
        <v>20000</v>
      </c>
      <c r="V1683" t="inlineStr">
        <is>
          <t>PHP</t>
        </is>
      </c>
      <c r="W1683">
        <v>20000</v>
      </c>
      <c r="X1683" s="2" t="str">
        <f>=HYPERLINK("https://www.larksuite.com/approval/admin/previewAttachment?key=PMhNqgIwDATgK80kaZN5l3kbSxF_oCC4y9kFF26_WcSsQZ9CiCawcxRjoCLdZknyamtmCskM6_Xc_9u5buf-2DQ_Z_T7etnrxaE0Q3qEFwD-_dwzIqQZ-Do-AQAA__8", "2 attachment(s)")</f>
        <v>2 attachment(s)</v>
      </c>
      <c r="Y1683" t="inlineStr">
        <is>
          <t>Bank Transfer</t>
        </is>
      </c>
      <c r="Z1683" t="inlineStr">
        <is>
          <t>Kenneth Singian</t>
        </is>
      </c>
      <c r="AA1683" t="inlineStr">
        <is>
          <t>0917-655-9151</t>
        </is>
      </c>
      <c r="AB1683" t="inlineStr">
        <is>
          <t>GCash</t>
        </is>
      </c>
      <c r="AC1683" t="inlineStr">
        <is>
          <t>84 Montreal St. Cubao Quezon City</t>
        </is>
      </c>
      <c r="AD1683" s="4">
        <v>45989</v>
      </c>
      <c r="AE1683" t="inlineStr">
        <is>
          <t>1st Payment - Dec. 12, 2025
Final Payment - Dec. 19, 2025</t>
        </is>
      </c>
      <c r="AF1683" s="2"/>
      <c r="AG1683" t="inlineStr">
        <is>
          <t>NzQyNTk5MTgyNzQ4MTg3MDM0MTowMjY5Qjg3OC0yRDlBLTQzQ0YtOURGQS01QzkzN0REMDk1MEItMTo3MjlmMzJlMmM2YjI1NGYxYmY5MzUwMGVkYTViZjkxZDox</t>
        </is>
      </c>
      <c r="AH1683" t="inlineStr">
        <is>
          <t>Kenneth Singian</t>
        </is>
      </c>
      <c r="AI1683"/>
      <c r="AJ1683" t="inlineStr">
        <is>
          <t>No line item in internal CE. Unbudgeted.
^ THIS IS BASED ON AN UPDATED INTERNAL CE, ATTACHED AS A COMMENT TO THE PAR ON DEC. 4, 2025</t>
        </is>
      </c>
      <c r="AK1683"/>
    </row>
    <row r="1684" ht="25.5" customHeight="1">
      <c r="A1684" s="2" t="str">
        <f>=HYPERLINK("https://applink.larksuite.com/client/mini_program/open?appId=cli_9c7cc8a9a9edd105&amp;mode=appCenter&amp;path_pc=pc/pages/requested/index?instanceId=7581446203234078432&amp;source=bitable&amp;path=pages/detail/index?instanceId=7581446203234078432&amp;source=bitable", "202512080061")</f>
        <v>202512080061</v>
      </c>
      <c r="B1684" t="inlineStr">
        <is>
          <t>Approved</t>
        </is>
      </c>
      <c r="C1684" t="inlineStr">
        <is>
          <t>Procurement Order</t>
        </is>
      </c>
      <c r="D1684" s="3">
        <v>45999.807858796295</v>
      </c>
      <c r="E1684" s="3">
        <v>46000.744479166664</v>
      </c>
      <c r="F1684" t="inlineStr">
        <is>
          <t>Fatima Kathleen M. FLores</t>
        </is>
      </c>
      <c r="G1684" t="inlineStr">
        <is>
          <t>Procurement</t>
        </is>
      </c>
      <c r="H1684"/>
      <c r="I1684"/>
      <c r="J1684" t="inlineStr">
        <is>
          <t>Project</t>
        </is>
      </c>
      <c r="K1684" t="inlineStr">
        <is>
          <t>GG - Event Service</t>
        </is>
      </c>
      <c r="L1684" t="inlineStr">
        <is>
          <t>KIC 2025 - Playoffs</t>
        </is>
      </c>
      <c r="M1684" t="inlineStr">
        <is>
          <t>2025TEG-P0321</t>
        </is>
      </c>
      <c r="N1684" t="inlineStr">
        <is>
          <t>Carla Andrea Calma Crespo</t>
        </is>
      </c>
      <c r="O1684" t="inlineStr">
        <is>
          <t>202512010142-Carla Andrea Calma Crespo-费用报销 - 副本 - 副本 - 副本-2025-12-01 10:04:37</t>
        </is>
      </c>
      <c r="P1684" t="inlineStr">
        <is>
          <t>YES</t>
        </is>
      </c>
      <c r="Q1684"/>
      <c r="R1684" t="inlineStr">
        <is>
          <t>YES</t>
        </is>
      </c>
      <c r="S1684" t="inlineStr">
        <is>
          <t>Outsourced Ushers</t>
        </is>
      </c>
      <c r="T1684">
        <v>1</v>
      </c>
      <c r="U1684">
        <v>18900</v>
      </c>
      <c r="V1684" t="inlineStr">
        <is>
          <t>PHP</t>
        </is>
      </c>
      <c r="W1684">
        <v>18900</v>
      </c>
      <c r="X1684" s="2" t="str">
        <f>=HYPERLINK("https://www.larksuite.com/approval/admin/previewAttachment?key=PMhNCkIxDATgK02SaafxMm5eKf4jiA9c5OyCC7dfH4Y-mkVPMM0TVmrDyO4ID0KD4eVlUkImes37Ou52Xs-56XG7Xj5v1H7a1nxZS7lDQcYAYIe_h0hmduLn-AYAAP__", "2 attachment(s)")</f>
        <v>2 attachment(s)</v>
      </c>
      <c r="Y1684" t="inlineStr">
        <is>
          <t>Bank Transfer</t>
        </is>
      </c>
      <c r="Z1684" t="inlineStr">
        <is>
          <t>Angelo Nicole Alexus Santos</t>
        </is>
      </c>
      <c r="AA1684" t="inlineStr">
        <is>
          <t>09935250106</t>
        </is>
      </c>
      <c r="AB1684" t="inlineStr">
        <is>
          <t>Gcash</t>
        </is>
      </c>
      <c r="AC1684" t="inlineStr">
        <is>
          <t>3852 F. Nazario St. Brgy. Singkamas Makati</t>
        </is>
      </c>
      <c r="AD1684" s="4">
        <v>45989</v>
      </c>
      <c r="AE1684" t="inlineStr">
        <is>
          <t>100% Full Payment - Dec. 12, 2025</t>
        </is>
      </c>
      <c r="AF1684" s="2"/>
      <c r="AG1684" t="inlineStr">
        <is>
          <t>NzQyNTk5MTgyNzQ4MTg3MDM0MTpCNTNGMDNCQS0zOTA1LTRGQkMtODVCNS1EREVDNkUxNjJCMzktMTpkODZjM2IzZDlkNmFkOGZhZmFkN2ZiYTc3MzcwMTdhMjox</t>
        </is>
      </c>
      <c r="AH1684" t="inlineStr">
        <is>
          <t>Angelo Nicole Alexus Santos</t>
        </is>
      </c>
      <c r="AI1684"/>
      <c r="AJ1684" t="inlineStr">
        <is>
          <t>No line item in internal CE. Unbudgeted.
^ THIS IS BASED ON AN UPDATED INTERNAL CE, ATTACHED AS A COMMENT TO THE PAR ON DEC. 4, 2025</t>
        </is>
      </c>
      <c r="AK1684"/>
    </row>
    <row r="1685" ht="25.5" customHeight="1">
      <c r="A1685" s="2" t="str">
        <f>=HYPERLINK("https://applink.larksuite.com/client/mini_program/open?appId=cli_9c7cc8a9a9edd105&amp;mode=appCenter&amp;path_pc=pc/pages/requested/index?instanceId=7581821221348642523&amp;source=bitable&amp;path=pages/detail/index?instanceId=7581821221348642523&amp;source=bitable", "202512090131")</f>
        <v>202512090131</v>
      </c>
      <c r="B1685" t="inlineStr">
        <is>
          <t>Approved</t>
        </is>
      </c>
      <c r="C1685" t="inlineStr">
        <is>
          <t>Procurement Order</t>
        </is>
      </c>
      <c r="D1685" s="3">
        <v>46000.818460648145</v>
      </c>
      <c r="E1685" s="3">
        <v>46001.61854166666</v>
      </c>
      <c r="F1685" t="inlineStr">
        <is>
          <t>Fatima Kathleen M. FLores</t>
        </is>
      </c>
      <c r="G1685" t="inlineStr">
        <is>
          <t>Procurement</t>
        </is>
      </c>
      <c r="H1685"/>
      <c r="I1685"/>
      <c r="J1685" t="inlineStr">
        <is>
          <t>Project</t>
        </is>
      </c>
      <c r="K1685" t="inlineStr">
        <is>
          <t>PDEI - Event Service</t>
        </is>
      </c>
      <c r="L1685" t="inlineStr">
        <is>
          <t>MPL PH S16 - Playoffs</t>
        </is>
      </c>
      <c r="M1685" t="inlineStr">
        <is>
          <t>2025TEG-P0215</t>
        </is>
      </c>
      <c r="N1685" t="inlineStr">
        <is>
          <t>Katherine Denise Lee Sy</t>
        </is>
      </c>
      <c r="O1685" t="inlineStr">
        <is>
          <t>202512020008-Katherine Denise Lee Sy-费用报销 - 副本 - 副本 - 副本-2025-12-02 02:00:07</t>
        </is>
      </c>
      <c r="P1685" t="inlineStr">
        <is>
          <t>YES</t>
        </is>
      </c>
      <c r="Q1685"/>
      <c r="R1685" t="inlineStr">
        <is>
          <t>NO</t>
        </is>
      </c>
      <c r="S1685" t="inlineStr">
        <is>
          <t>Outsourced Camera Director (Additional)</t>
        </is>
      </c>
      <c r="T1685">
        <v>1</v>
      </c>
      <c r="U1685">
        <v>2500</v>
      </c>
      <c r="V1685" t="inlineStr">
        <is>
          <t>PHP</t>
        </is>
      </c>
      <c r="W1685">
        <v>2500</v>
      </c>
      <c r="X1685" s="2" t="str">
        <f>=HYPERLINK("https://www.larksuite.com/approval/admin/previewAttachment?key=PMgxDsJADATAL-3ae2ebz9AQnUhBhQik8NuRKGhnJjFz0GdBRSuwYyTTaEZXTtkwb2tGFIIh6-2xrgf39XojTz_3-ngf99vanhwVZgiXPAHw8ncPSVVT-Dm-AQAA__8", "2 attachment(s)")</f>
        <v>2 attachment(s)</v>
      </c>
      <c r="Y1685" t="inlineStr">
        <is>
          <t>Bank Transfer</t>
        </is>
      </c>
      <c r="Z1685" t="inlineStr">
        <is>
          <t>Khim Segovia</t>
        </is>
      </c>
      <c r="AA1685" t="inlineStr">
        <is>
          <t>09053390100</t>
        </is>
      </c>
      <c r="AB1685" t="inlineStr">
        <is>
          <t>GCash</t>
        </is>
      </c>
      <c r="AC1685" t="inlineStr">
        <is>
          <t>105 K-6th Street Cubao Quezon City</t>
        </is>
      </c>
      <c r="AD1685" s="4">
        <v>45950</v>
      </c>
      <c r="AE1685" t="inlineStr">
        <is>
          <t>100% Full Payment - Dec. 12, 2025</t>
        </is>
      </c>
      <c r="AF1685" s="2"/>
      <c r="AG1685" t="inlineStr">
        <is>
          <t>NzQyNTk5MTgyNzQ4MTg3MDM0MTo3OUM1QjQ0RC1GRDU0LTQwRTQtQkU1NC05RjBEQTI3NUE4NDktMTowZWY0N2EyYTIyNTBkMzIwZDA1MDQzNmEyMzBmYTc5MDox</t>
        </is>
      </c>
      <c r="AH1685" t="inlineStr">
        <is>
          <t>Khim Segovia</t>
        </is>
      </c>
      <c r="AI1685"/>
      <c r="AJ1685" t="inlineStr">
        <is>
          <t>LIQUIDITY PLAN (PAR # 202509020094 / 2025TEG-P0215)
4.1 Staging and Production &gt; CAMERA TECHNICALS &gt;
Hide from client 3
Total Remaining Budget= Php 34,000.00
Actual Cost = Php 2,500.00
Balance = Php 31,500.00</t>
        </is>
      </c>
      <c r="AK1685"/>
    </row>
    <row r="1686" ht="25.5" customHeight="1">
      <c r="A1686" s="2" t="str">
        <f>=HYPERLINK("https://applink.larksuite.com/client/mini_program/open?appId=cli_9c7cc8a9a9edd105&amp;mode=appCenter&amp;path_pc=pc/pages/requested/index?instanceId=7582056392232554204&amp;source=bitable&amp;path=pages/detail/index?instanceId=7582056392232554204&amp;source=bitable", "202512100008")</f>
        <v>202512100008</v>
      </c>
      <c r="B1686" t="inlineStr">
        <is>
          <t>Approved</t>
        </is>
      </c>
      <c r="C1686" t="inlineStr">
        <is>
          <t>Procurement Order</t>
        </is>
      </c>
      <c r="D1686" s="3">
        <v>46001.452199074076</v>
      </c>
      <c r="E1686" s="3">
        <v>46001.61666666667</v>
      </c>
      <c r="F1686" t="inlineStr">
        <is>
          <t>Fatima Kathleen M. FLores</t>
        </is>
      </c>
      <c r="G1686" t="inlineStr">
        <is>
          <t>Procurement</t>
        </is>
      </c>
      <c r="H1686"/>
      <c r="I1686"/>
      <c r="J1686" t="inlineStr">
        <is>
          <t>Project</t>
        </is>
      </c>
      <c r="K1686" t="inlineStr">
        <is>
          <t>PDEI - Game Marketing</t>
        </is>
      </c>
      <c r="L1686" t="inlineStr">
        <is>
          <t>WCG 2025 Creator Rumble</t>
        </is>
      </c>
      <c r="M1686" t="inlineStr">
        <is>
          <t>2025TEG-P0041</t>
        </is>
      </c>
      <c r="N1686" t="inlineStr">
        <is>
          <t>Maura Aurel Atilano Yap</t>
        </is>
      </c>
      <c r="O1686" t="inlineStr">
        <is>
          <t>202510280053-Maura Aurel Atilano Yap-费用报销 - 副本 - 副本 - 副本-2025-10-28 04:12:49</t>
        </is>
      </c>
      <c r="P1686" t="inlineStr">
        <is>
          <t>NO</t>
        </is>
      </c>
      <c r="Q1686"/>
      <c r="R1686" t="inlineStr">
        <is>
          <t>NO</t>
        </is>
      </c>
      <c r="S1686" t="inlineStr">
        <is>
          <t>Overtime Charges - Genset</t>
        </is>
      </c>
      <c r="T1686">
        <v>1</v>
      </c>
      <c r="U1686">
        <v>3200</v>
      </c>
      <c r="V1686" t="inlineStr">
        <is>
          <t>PHP</t>
        </is>
      </c>
      <c r="W1686">
        <v>3200</v>
      </c>
      <c r="X1686" s="2"/>
      <c r="Y1686" t="inlineStr">
        <is>
          <t>Bank Transfer</t>
        </is>
      </c>
      <c r="Z1686" t="inlineStr">
        <is>
          <t>Music Matrix Lights &amp; Sound Co.</t>
        </is>
      </c>
      <c r="AA1686" t="inlineStr">
        <is>
          <t>288-7-28852354-8</t>
        </is>
      </c>
      <c r="AB1686" t="inlineStr">
        <is>
          <t>Metrobank</t>
        </is>
      </c>
      <c r="AC1686" t="inlineStr">
        <is>
          <t>570 M. Gonzaga St., Hagdang Bato Itaas, Mandaluyong City</t>
        </is>
      </c>
      <c r="AD1686" s="4">
        <v>45955</v>
      </c>
      <c r="AE1686" t="inlineStr">
        <is>
          <t>100% Full Payment</t>
        </is>
      </c>
      <c r="AF1686" s="2" t="str">
        <f>=HYPERLINK("https://www.larksuite.com/approval/admin/previewAttachment?key=TMg7jgIxEATQK1VVf-zey2zCyAIkIuSBpM-ORET6chI5g5YFL6rAHjGFSCvJFOGCt5pjFAaHq4_H-tf52lj3rdvW3u8-r5d1PJnTEl7hzgLAvx8nUdPSvo5PAAAA__8", "3 attachment(s)")</f>
        <v>3 attachment(s)</v>
      </c>
      <c r="AG1686" t="inlineStr">
        <is>
          <t>NzQyNTk5MTgyNzQ4MTg3MDM0MTo2NjcyNzdGQS02RUZBLTQyMzItQTkzOC0xRUY3REQyN0QyQUItMTpiN2FlMjMzNjU3MThmYTk3ZTgzZGY4YjhiZDc3OTdhYjox</t>
        </is>
      </c>
      <c r="AH1686" t="inlineStr">
        <is>
          <t>Music Matrix Lights &amp; Sound Co.</t>
        </is>
      </c>
      <c r="AI1686"/>
      <c r="AJ1686" t="inlineStr">
        <is>
          <t>LIQUIDITY PLAN (PAR # 202505160019 / 2025TEG-P0041)
FOR RENTAL/ FABRICATION/ PRODUCTION &gt; Culminating Event &gt;
Lights and Sounds
LED 2 meters x 3M
Trussing
Genset + Fuel
Electricals
Total Remaining Budget = Php 145,000.00
Actual Cost = Php 16,350.00
Balance = Php 128,650.00</t>
        </is>
      </c>
      <c r="AK1686"/>
    </row>
    <row r="1687" ht="25.5" customHeight="1">
      <c r="A1687" s="2" t="str">
        <f>=HYPERLINK("https://applink.larksuite.com/client/mini_program/open?appId=cli_9c7cc8a9a9edd105&amp;mode=appCenter&amp;path_pc=pc/pages/requested/index?instanceId=7582056392232554204&amp;source=bitable&amp;path=pages/detail/index?instanceId=7582056392232554204&amp;source=bitable", "202512100008")</f>
        <v>202512100008</v>
      </c>
      <c r="B1687" t="inlineStr">
        <is>
          <t>Approved</t>
        </is>
      </c>
      <c r="C1687" t="inlineStr">
        <is>
          <t>Procurement Order</t>
        </is>
      </c>
      <c r="D1687" s="3">
        <v>46001.452199074076</v>
      </c>
      <c r="E1687" s="3">
        <v>46001.61666666667</v>
      </c>
      <c r="F1687" t="inlineStr">
        <is>
          <t>Fatima Kathleen M. FLores</t>
        </is>
      </c>
      <c r="G1687" t="inlineStr">
        <is>
          <t>Procurement</t>
        </is>
      </c>
      <c r="H1687"/>
      <c r="I1687"/>
      <c r="J1687" t="inlineStr">
        <is>
          <t>Project</t>
        </is>
      </c>
      <c r="K1687" t="inlineStr">
        <is>
          <t>PDEI - Game Marketing</t>
        </is>
      </c>
      <c r="L1687" t="inlineStr">
        <is>
          <t>WCG 2025 Creator Rumble</t>
        </is>
      </c>
      <c r="M1687" t="inlineStr">
        <is>
          <t>2025TEG-P0041</t>
        </is>
      </c>
      <c r="N1687" t="inlineStr">
        <is>
          <t>Maura Aurel Atilano Yap</t>
        </is>
      </c>
      <c r="O1687" t="inlineStr">
        <is>
          <t>202510280053-Maura Aurel Atilano Yap-费用报销 - 副本 - 副本 - 副本-2025-10-28 04:12:49</t>
        </is>
      </c>
      <c r="P1687" t="inlineStr">
        <is>
          <t>NO</t>
        </is>
      </c>
      <c r="Q1687"/>
      <c r="R1687" t="inlineStr">
        <is>
          <t>NO</t>
        </is>
      </c>
      <c r="S1687" t="inlineStr">
        <is>
          <t>Parking Fee (for genset)</t>
        </is>
      </c>
      <c r="T1687">
        <v>1</v>
      </c>
      <c r="U1687">
        <v>1150</v>
      </c>
      <c r="V1687" t="inlineStr">
        <is>
          <t>PHP</t>
        </is>
      </c>
      <c r="W1687">
        <v>1150</v>
      </c>
      <c r="X1687" s="2"/>
      <c r="Y1687"/>
      <c r="Z1687"/>
      <c r="AA1687"/>
      <c r="AB1687"/>
      <c r="AC1687"/>
      <c r="AD1687" s="4"/>
      <c r="AE1687"/>
      <c r="AF1687" s="2"/>
      <c r="AG1687" t="inlineStr">
        <is>
          <t>NzQyNTk5MTgyNzQ4MTg3MDM0MTo2NjcyNzdGQS02RUZBLTQyMzItQTkzOC0xRUY3REQyN0QyQUItMjo0YWI0OWQ4MzVlOTA2YmI0YTUyYjc0OGY1MjA0NzQzNzox</t>
        </is>
      </c>
      <c r="AH1687"/>
      <c r="AI1687"/>
      <c r="AJ1687" t="inlineStr">
        <is>
          <t>LIQUIDITY PLAN (PAR # 202505160019 / 2025TEG-P0041)
FOR RENTAL/ FABRICATION/ PRODUCTION &gt; Culminating Event &gt;
Lights and Sounds
LED 2 meters x 3M
Trussing
Genset + Fuel
Electricals
Total Remaining Budget = Php 145,000.00
Actual Cost = Php 16,350.00
Balance = Php 128,650.00</t>
        </is>
      </c>
      <c r="AK1687"/>
    </row>
    <row r="1688" ht="25.5" customHeight="1">
      <c r="A1688" s="2" t="str">
        <f>=HYPERLINK("https://applink.larksuite.com/client/mini_program/open?appId=cli_9c7cc8a9a9edd105&amp;mode=appCenter&amp;path_pc=pc/pages/requested/index?instanceId=7582056392232554204&amp;source=bitable&amp;path=pages/detail/index?instanceId=7582056392232554204&amp;source=bitable", "202512100008")</f>
        <v>202512100008</v>
      </c>
      <c r="B1688" t="inlineStr">
        <is>
          <t>Approved</t>
        </is>
      </c>
      <c r="C1688" t="inlineStr">
        <is>
          <t>Procurement Order</t>
        </is>
      </c>
      <c r="D1688" s="3">
        <v>46001.452199074076</v>
      </c>
      <c r="E1688" s="3">
        <v>46001.61666666667</v>
      </c>
      <c r="F1688" t="inlineStr">
        <is>
          <t>Fatima Kathleen M. FLores</t>
        </is>
      </c>
      <c r="G1688" t="inlineStr">
        <is>
          <t>Procurement</t>
        </is>
      </c>
      <c r="H1688"/>
      <c r="I1688"/>
      <c r="J1688" t="inlineStr">
        <is>
          <t>Project</t>
        </is>
      </c>
      <c r="K1688" t="inlineStr">
        <is>
          <t>PDEI - Game Marketing</t>
        </is>
      </c>
      <c r="L1688" t="inlineStr">
        <is>
          <t>WCG 2025 Creator Rumble</t>
        </is>
      </c>
      <c r="M1688" t="inlineStr">
        <is>
          <t>2025TEG-P0041</t>
        </is>
      </c>
      <c r="N1688" t="inlineStr">
        <is>
          <t>Maura Aurel Atilano Yap</t>
        </is>
      </c>
      <c r="O1688" t="inlineStr">
        <is>
          <t>202510280053-Maura Aurel Atilano Yap-费用报销 - 副本 - 副本 - 副本-2025-10-28 04:12:49</t>
        </is>
      </c>
      <c r="P1688" t="inlineStr">
        <is>
          <t>NO</t>
        </is>
      </c>
      <c r="Q1688"/>
      <c r="R1688" t="inlineStr">
        <is>
          <t>NO</t>
        </is>
      </c>
      <c r="S1688" t="inlineStr">
        <is>
          <t>Rental of Comset (2 sets / 1 day)</t>
        </is>
      </c>
      <c r="T1688">
        <v>1</v>
      </c>
      <c r="U1688">
        <v>12000</v>
      </c>
      <c r="V1688" t="inlineStr">
        <is>
          <t>PHP</t>
        </is>
      </c>
      <c r="W1688">
        <v>12000</v>
      </c>
      <c r="X1688" s="2" t="str">
        <f>=HYPERLINK("https://www.larksuite.com/approval/admin/previewAttachment?key=PMgxjkIxDATQK43H4zjey2zDVwRIVCgfGp8diYL2jWkYM8xHQWUsWGdMIoYX6YwQoWZbZiEtxT4e65_na2PdN2-be7_7vF7W8bSoJJEu-QRgfz_3lFQ1hK_zEwAA__8", "2 attachment(s)")</f>
        <v>2 attachment(s)</v>
      </c>
      <c r="Y1688"/>
      <c r="Z1688"/>
      <c r="AA1688"/>
      <c r="AB1688"/>
      <c r="AC1688"/>
      <c r="AD1688" s="4"/>
      <c r="AE1688"/>
      <c r="AF1688" s="2"/>
      <c r="AG1688" t="inlineStr">
        <is>
          <t>NzQyNTk5MTgyNzQ4MTg3MDM0MTo2NjcyNzdGQS02RUZBLTQyMzItQTkzOC0xRUY3REQyN0QyQUItMzo0Zjg2Mzg4YTRjODFlYTZjNWJiNjdjYWQwNGVmZGZhNTox</t>
        </is>
      </c>
      <c r="AH1688"/>
      <c r="AI1688"/>
      <c r="AJ1688" t="inlineStr">
        <is>
          <t>LIQUIDITY PLAN (PAR # 202505160019 / 2025TEG-P0041)
FOR RENTAL/ FABRICATION/ PRODUCTION &gt; Culminating Event &gt;
Lights and Sounds
LED 2 meters x 3M
Trussing
Genset + Fuel
Electricals
Total Remaining Budget = Php 145,000.00
Actual Cost = Php 16,350.00
Balance = Php 128,650.00</t>
        </is>
      </c>
      <c r="AK1688"/>
    </row>
    <row r="1689" ht="25.5" customHeight="1">
      <c r="A1689" s="2" t="str">
        <f>=HYPERLINK("https://applink.larksuite.com/client/mini_program/open?appId=cli_9c7cc8a9a9edd105&amp;mode=appCenter&amp;path_pc=pc/pages/requested/index?instanceId=7581796456802029281&amp;source=bitable&amp;path=pages/detail/index?instanceId=7581796456802029281&amp;source=bitable", "202512090115")</f>
        <v>202512090115</v>
      </c>
      <c r="B1689" t="inlineStr">
        <is>
          <t>Approved</t>
        </is>
      </c>
      <c r="C1689" t="inlineStr">
        <is>
          <t>Procurement Order</t>
        </is>
      </c>
      <c r="D1689" s="3">
        <v>46000.75172453704</v>
      </c>
      <c r="E1689" s="3">
        <v>46002.651192129626</v>
      </c>
      <c r="F1689" t="inlineStr">
        <is>
          <t>Fatima Kathleen M. FLores</t>
        </is>
      </c>
      <c r="G1689" t="inlineStr">
        <is>
          <t>Procurement</t>
        </is>
      </c>
      <c r="H1689"/>
      <c r="I1689"/>
      <c r="J1689" t="inlineStr">
        <is>
          <t>Project</t>
        </is>
      </c>
      <c r="K1689" t="inlineStr">
        <is>
          <t>GG - Event Service</t>
        </is>
      </c>
      <c r="L1689" t="inlineStr">
        <is>
          <t>KIC 2025 - Group Stage &amp; Knockouts</t>
        </is>
      </c>
      <c r="M1689" t="inlineStr">
        <is>
          <t>2025TEG-P0286</t>
        </is>
      </c>
      <c r="N1689" t="inlineStr">
        <is>
          <t>Anteaus Villena</t>
        </is>
      </c>
      <c r="O1689" t="inlineStr">
        <is>
          <t>202511080058-Frances Angelita Arreglado-费用报销 - 副本 - 副本 - 副本-2025-11-08 08:06:22;202511080059-Frances Angelita Arreglado-费用报销 - 副本 - 副本 - 副本-2025-11-08 08:10:46</t>
        </is>
      </c>
      <c r="P1689" t="inlineStr">
        <is>
          <t>NO</t>
        </is>
      </c>
      <c r="Q1689"/>
      <c r="R1689" t="inlineStr">
        <is>
          <t>YES</t>
        </is>
      </c>
      <c r="S1689" t="inlineStr">
        <is>
          <t>Supplier Meals - Rehearsals to Event Days (Nov. 13 to 23, 2025)</t>
        </is>
      </c>
      <c r="T1689">
        <v>1560</v>
      </c>
      <c r="U1689">
        <v>130</v>
      </c>
      <c r="V1689" t="inlineStr">
        <is>
          <t>PHP</t>
        </is>
      </c>
      <c r="W1689">
        <v>202800</v>
      </c>
      <c r="X1689" s="2"/>
      <c r="Y1689" t="inlineStr">
        <is>
          <t>Bank Transfer</t>
        </is>
      </c>
      <c r="Z1689" t="inlineStr">
        <is>
          <t>Michelle Francine G. Manuntag</t>
        </is>
      </c>
      <c r="AA1689" t="inlineStr">
        <is>
          <t>000170292002</t>
        </is>
      </c>
      <c r="AB1689" t="inlineStr">
        <is>
          <t>BDO</t>
        </is>
      </c>
      <c r="AC1689" t="inlineStr">
        <is>
          <t>Makati City</t>
        </is>
      </c>
      <c r="AD1689" s="4">
        <v>45973</v>
      </c>
      <c r="AE1689" t="inlineStr">
        <is>
          <t>50% Down Payment upon confirmation
50% Final Payment - Dec. 19, 2025</t>
        </is>
      </c>
      <c r="AF1689" s="2"/>
      <c r="AG1689" t="inlineStr">
        <is>
          <t>NzQyNTk5MTgyNzQ4MTg3MDM0MTowN0MyNUQ4My1EQzcwLTQ4NzQtQkExRS1FOUZBQUM4ODI5QTgtMToyMGZhY2EwOTFmYmZkZDY0NWMxNzZmYTg2MDFjZWZiYjox</t>
        </is>
      </c>
      <c r="AH1689" t="inlineStr">
        <is>
          <t>Michelle Francine G. Manuntag</t>
        </is>
      </c>
      <c r="AI1689"/>
      <c r="AJ1689" t="inlineStr">
        <is>
          <t>LIQUIDITY PLAN (PAR # 202510290062 / 2025TEG-P0286)
1108 CE KIC GS+KO TAB &gt; Crew Meals &gt;
Ingress (Nov 8-11) &gt; R308 - 313
Rehearsals (Nov 12-13) &gt; R316 - 319
Event Days (Nov 14-23) &gt; R322 - 327
Total Remaining Budget = Php 437,174.00
This Request = Php 602,160.00
Balance = (Php 164,986.00) OVER BUDGET</t>
        </is>
      </c>
      <c r="AK1689"/>
    </row>
    <row r="1690" ht="25.5" customHeight="1">
      <c r="A1690" s="2" t="str">
        <f>=HYPERLINK("https://applink.larksuite.com/client/mini_program/open?appId=cli_9c7cc8a9a9edd105&amp;mode=appCenter&amp;path_pc=pc/pages/requested/index?instanceId=7581796456802029281&amp;source=bitable&amp;path=pages/detail/index?instanceId=7581796456802029281&amp;source=bitable", "202512090115")</f>
        <v>202512090115</v>
      </c>
      <c r="B1690" t="inlineStr">
        <is>
          <t>Approved</t>
        </is>
      </c>
      <c r="C1690" t="inlineStr">
        <is>
          <t>Procurement Order</t>
        </is>
      </c>
      <c r="D1690" s="3">
        <v>46000.75172453704</v>
      </c>
      <c r="E1690" s="3">
        <v>46002.651192129626</v>
      </c>
      <c r="F1690" t="inlineStr">
        <is>
          <t>Fatima Kathleen M. FLores</t>
        </is>
      </c>
      <c r="G1690" t="inlineStr">
        <is>
          <t>Procurement</t>
        </is>
      </c>
      <c r="H1690"/>
      <c r="I1690"/>
      <c r="J1690" t="inlineStr">
        <is>
          <t>Project</t>
        </is>
      </c>
      <c r="K1690" t="inlineStr">
        <is>
          <t>GG - Event Service</t>
        </is>
      </c>
      <c r="L1690" t="inlineStr">
        <is>
          <t>KIC 2025 - Group Stage &amp; Knockouts</t>
        </is>
      </c>
      <c r="M1690" t="inlineStr">
        <is>
          <t>2025TEG-P0286</t>
        </is>
      </c>
      <c r="N1690" t="inlineStr">
        <is>
          <t>Anteaus Villena</t>
        </is>
      </c>
      <c r="O1690" t="inlineStr">
        <is>
          <t>202511080058-Frances Angelita Arreglado-费用报销 - 副本 - 副本 - 副本-2025-11-08 08:06:22;202511080059-Frances Angelita Arreglado-费用报销 - 副本 - 副本 - 副本-2025-11-08 08:10:46</t>
        </is>
      </c>
      <c r="P1690" t="inlineStr">
        <is>
          <t>NO</t>
        </is>
      </c>
      <c r="Q1690"/>
      <c r="R1690" t="inlineStr">
        <is>
          <t>YES</t>
        </is>
      </c>
      <c r="S1690" t="inlineStr">
        <is>
          <t>Crew Meals - Rehearsals to Events Days (Nov. 15 to 23, 2025)</t>
        </is>
      </c>
      <c r="T1690">
        <v>3072</v>
      </c>
      <c r="U1690">
        <v>130</v>
      </c>
      <c r="V1690" t="inlineStr">
        <is>
          <t>PHP</t>
        </is>
      </c>
      <c r="W1690">
        <v>399360</v>
      </c>
      <c r="X1690" s="2" t="str">
        <f>=HYPERLINK("https://www.larksuite.com/approval/admin/previewAttachment?key=PMg7CgJBEATQK1X11PTHy5jsspgogjiLQZ9dMDB9noTn5PCCilZgx0xGuaYnDFaWbGtGFIIh6_1-XG2d7-1xjmlLHz173bZjf3FWmCGGNBIAL38fIanKhZ_zGwAA__8", "3 attachment(s)")</f>
        <v>3 attachment(s)</v>
      </c>
      <c r="Y1690"/>
      <c r="Z1690"/>
      <c r="AA1690"/>
      <c r="AB1690"/>
      <c r="AC1690"/>
      <c r="AD1690" s="4"/>
      <c r="AE1690"/>
      <c r="AF1690" s="2"/>
      <c r="AG1690" t="inlineStr">
        <is>
          <t>NzQyNTk5MTgyNzQ4MTg3MDM0MTowN0MyNUQ4My1EQzcwLTQ4NzQtQkExRS1FOUZBQUM4ODI5QTgtMjphMTNmNGRkZjYwMTg3ODdjOTU1NjJlYmZjNWJhNGUwNTox</t>
        </is>
      </c>
      <c r="AH1690"/>
      <c r="AI1690"/>
      <c r="AJ1690" t="inlineStr">
        <is>
          <t>LIQUIDITY PLAN (PAR # 202510290062 / 2025TEG-P0286)
1108 CE KIC GS+KO TAB &gt; Crew Meals &gt;
Ingress (Nov 8-11) &gt; R308 - 313
Rehearsals (Nov 12-13) &gt; R316 - 319
Event Days (Nov 14-23) &gt; R322 - 327
Total Remaining Budget = Php 437,174.00
This Request = Php 602,160.00
Balance = (Php 164,986.00) OVER BUDGET</t>
        </is>
      </c>
      <c r="AK1690"/>
    </row>
    <row r="1691" ht="25.5" customHeight="1">
      <c r="A1691" s="2" t="str">
        <f>=HYPERLINK("https://applink.larksuite.com/client/mini_program/open?appId=cli_9c7cc8a9a9edd105&amp;mode=appCenter&amp;path_pc=pc/pages/requested/index?instanceId=7582114999741468386&amp;source=bitable&amp;path=pages/detail/index?instanceId=7582114999741468386&amp;source=bitable", "202512100060")</f>
        <v>202512100060</v>
      </c>
      <c r="B1691" t="inlineStr">
        <is>
          <t>Approved</t>
        </is>
      </c>
      <c r="C1691" t="inlineStr">
        <is>
          <t>Procurement Order</t>
        </is>
      </c>
      <c r="D1691" s="3">
        <v>46001.610127314816</v>
      </c>
      <c r="E1691" s="3">
        <v>46003.8340625</v>
      </c>
      <c r="F1691" t="inlineStr">
        <is>
          <t>Fatima Kathleen M. FLores</t>
        </is>
      </c>
      <c r="G1691" t="inlineStr">
        <is>
          <t>Procurement</t>
        </is>
      </c>
      <c r="H1691"/>
      <c r="I1691"/>
      <c r="J1691" t="inlineStr">
        <is>
          <t>Project</t>
        </is>
      </c>
      <c r="K1691" t="inlineStr">
        <is>
          <t>GG - Event Service</t>
        </is>
      </c>
      <c r="L1691" t="inlineStr">
        <is>
          <t>Crossfire Legends Public Test Launch</t>
        </is>
      </c>
      <c r="M1691" t="inlineStr">
        <is>
          <t>2025TEG-P0322</t>
        </is>
      </c>
      <c r="N1691" t="inlineStr">
        <is>
          <t>Vincent Bryan Velasco Tan</t>
        </is>
      </c>
      <c r="O1691" t="inlineStr">
        <is>
          <t>202512100057-Vincent Bryan Velasco Tan-费用报销 - 副本 - 副本 - 副本-2025-12-10 06:26:30</t>
        </is>
      </c>
      <c r="P1691" t="inlineStr">
        <is>
          <t>NO</t>
        </is>
      </c>
      <c r="Q1691"/>
      <c r="R1691" t="inlineStr">
        <is>
          <t>YES</t>
        </is>
      </c>
      <c r="S1691" t="inlineStr">
        <is>
          <t>Stage Fabrication (with Players and Caster Tables)</t>
        </is>
      </c>
      <c r="T1691">
        <v>1</v>
      </c>
      <c r="U1691">
        <v>525000</v>
      </c>
      <c r="V1691" t="inlineStr">
        <is>
          <t>PHP</t>
        </is>
      </c>
      <c r="W1691">
        <v>525000</v>
      </c>
      <c r="X1691" s="2" t="str">
        <f>=HYPERLINK("https://www.larksuite.com/approval/admin/previewAttachment?key=PMgxDsJQDAPQK9n5bhJzGRaqLxBiQi3TPzsSA-vLJrI3jjRkhsFVWwcp2yUqe3SuWKwyiqVY-2teTz7mh4WnD_vAOu-3ub-5uSJQQxoNgJe_j5Jkp_BzfAMAAP__", "2 attachment(s)")</f>
        <v>2 attachment(s)</v>
      </c>
      <c r="Y1691" t="inlineStr">
        <is>
          <t>Bank Transfer</t>
        </is>
      </c>
      <c r="Z1691" t="inlineStr">
        <is>
          <t>MARIVIC F. REOTAN</t>
        </is>
      </c>
      <c r="AA1691" t="inlineStr">
        <is>
          <t>0429800633</t>
        </is>
      </c>
      <c r="AB1691" t="inlineStr">
        <is>
          <t>BPI</t>
        </is>
      </c>
      <c r="AC1691" t="inlineStr">
        <is>
          <t>72 TUMANA DULO, BAGONG SILANGAN, QUEZON CITY</t>
        </is>
      </c>
      <c r="AD1691" s="4">
        <v>46005</v>
      </c>
      <c r="AE1691" t="inlineStr">
        <is>
          <t>60% Down Payment upon confirmation
40% Balance upon completion of services</t>
        </is>
      </c>
      <c r="AF1691" s="2"/>
      <c r="AG1691" t="inlineStr">
        <is>
          <t>NzQyNTk5MTgyNzQ4MTg3MDM0MTpERUEyOTg3MC00N0YxLTQ2RUUtOUE2MS01NjdBOEM1NUIxNEQtMTpkYTg1OTgyOGE0ZWM2N2ViNTFmNWY2NTkwYTk3NDhlYTox</t>
        </is>
      </c>
      <c r="AH1691" t="inlineStr">
        <is>
          <t>MARIVIC F. REOTAN</t>
        </is>
      </c>
      <c r="AI1691"/>
      <c r="AJ1691" t="inlineStr">
        <is>
          <t>LIQUIDITY PLAN (PAR # 202512090150 / 2025TEG-P0322)
Collaterals &gt; Boxing Ring / Stage &amp; Set &gt;
Stage Design and Fabrication
Player Tables
Caster Table
Total Budget = Php 410,000.00
Actual Cost = Php 525,000.00
Balance = (Php 115,000.00)</t>
        </is>
      </c>
      <c r="AK1691"/>
    </row>
    <row r="1692" ht="25.5" customHeight="1">
      <c r="A1692" s="2" t="str">
        <f>=HYPERLINK("https://applink.larksuite.com/client/mini_program/open?appId=cli_9c7cc8a9a9edd105&amp;mode=appCenter&amp;path_pc=pc/pages/requested/index?instanceId=7582132327162072800&amp;source=bitable&amp;path=pages/detail/index?instanceId=7582132327162072800&amp;source=bitable", "202512100077")</f>
        <v>202512100077</v>
      </c>
      <c r="B1692" t="inlineStr">
        <is>
          <t>Recalled</t>
        </is>
      </c>
      <c r="C1692" t="inlineStr">
        <is>
          <t>Procurement Order</t>
        </is>
      </c>
      <c r="D1692" s="3">
        <v>46001.6568287037</v>
      </c>
      <c r="E1692" s="3">
        <v>46001.77108796296</v>
      </c>
      <c r="F1692" t="inlineStr">
        <is>
          <t>Fatima Kathleen M. FLores</t>
        </is>
      </c>
      <c r="G1692" t="inlineStr">
        <is>
          <t>Procurement</t>
        </is>
      </c>
      <c r="H1692"/>
      <c r="I1692"/>
      <c r="J1692" t="inlineStr">
        <is>
          <t>Project</t>
        </is>
      </c>
      <c r="K1692" t="inlineStr">
        <is>
          <t>GG - Event Service</t>
        </is>
      </c>
      <c r="L1692" t="inlineStr">
        <is>
          <t>Crossfire Legends Public Test Launch</t>
        </is>
      </c>
      <c r="M1692" t="inlineStr">
        <is>
          <t>2025TEG-P0322</t>
        </is>
      </c>
      <c r="N1692" t="inlineStr">
        <is>
          <t>Vincent Bryan Velasco Tan</t>
        </is>
      </c>
      <c r="O1692" t="inlineStr">
        <is>
          <t>202512100043-Vincent Bryan Velasco Tan-费用报销 - 副本 - 副本 - 副本-2025-12-10 04:50:49</t>
        </is>
      </c>
      <c r="P1692" t="inlineStr">
        <is>
          <t>NO</t>
        </is>
      </c>
      <c r="Q1692"/>
      <c r="R1692" t="inlineStr">
        <is>
          <t>NO</t>
        </is>
      </c>
      <c r="S1692" t="inlineStr">
        <is>
          <t>Power Mac Center Spotlight Black Box Theater Rental (Dec. 14 to 16, 2025)</t>
        </is>
      </c>
      <c r="T1692">
        <v>1</v>
      </c>
      <c r="U1692">
        <v>574560</v>
      </c>
      <c r="V1692" t="inlineStr">
        <is>
          <t>PHP</t>
        </is>
      </c>
      <c r="W1692">
        <v>574560</v>
      </c>
      <c r="X1692" s="2"/>
      <c r="Y1692" t="inlineStr">
        <is>
          <t>Bank Transfer</t>
        </is>
      </c>
      <c r="Z1692" t="inlineStr">
        <is>
          <t>Sanshen Philippines Inc.</t>
        </is>
      </c>
      <c r="AA1692" t="inlineStr">
        <is>
          <t>071-01-000159-4</t>
        </is>
      </c>
      <c r="AB1692" t="inlineStr">
        <is>
          <t>AUB Bank</t>
        </is>
      </c>
      <c r="AC1692" t="inlineStr">
        <is>
          <t>5th floor Salustiana D Ty Tower 104 Paseo De Roxas Legaspi Village Makati City</t>
        </is>
      </c>
      <c r="AD1692" s="4">
        <v>46005</v>
      </c>
      <c r="AE1692" t="inlineStr">
        <is>
          <t>100% Full Payment - Dec. 12, 2025</t>
        </is>
      </c>
      <c r="AF1692" s="2"/>
      <c r="AG1692" t="inlineStr">
        <is>
          <t>NzQyNTk5MTgyNzQ4MTg3MDM0MTo3NkE2MTc2NC0wREYzLTREOTEtODgxRi03QjE5OUVCNkZFNTktMTo0NmE4NjIyNjk3MDUyNmQ4YjRjZmRkZTA5NGNhNzBhODox</t>
        </is>
      </c>
      <c r="AH1692" t="inlineStr">
        <is>
          <t>Sanshen Philippines Inc.</t>
        </is>
      </c>
      <c r="AI1692"/>
      <c r="AJ1692" t="inlineStr">
        <is>
          <t>LIQUIDITY PLAN (PAR # 202512040004 / 2025TEG-P0322)
Miscellaneous &gt;
Internet Cost
Venue Rental
Total Budget = Php 780,000.00
This Request = Phhp 742,560.00
Balance = Php 37,440.00</t>
        </is>
      </c>
      <c r="AK1692"/>
    </row>
    <row r="1693" ht="25.5" customHeight="1">
      <c r="A1693" s="2" t="str">
        <f>=HYPERLINK("https://applink.larksuite.com/client/mini_program/open?appId=cli_9c7cc8a9a9edd105&amp;mode=appCenter&amp;path_pc=pc/pages/requested/index?instanceId=7582132327162072800&amp;source=bitable&amp;path=pages/detail/index?instanceId=7582132327162072800&amp;source=bitable", "202512100077")</f>
        <v>202512100077</v>
      </c>
      <c r="B1693" t="inlineStr">
        <is>
          <t>Recalled</t>
        </is>
      </c>
      <c r="C1693" t="inlineStr">
        <is>
          <t>Procurement Order</t>
        </is>
      </c>
      <c r="D1693" s="3">
        <v>46001.6568287037</v>
      </c>
      <c r="E1693" s="3">
        <v>46001.77108796296</v>
      </c>
      <c r="F1693" t="inlineStr">
        <is>
          <t>Fatima Kathleen M. FLores</t>
        </is>
      </c>
      <c r="G1693" t="inlineStr">
        <is>
          <t>Procurement</t>
        </is>
      </c>
      <c r="H1693"/>
      <c r="I1693"/>
      <c r="J1693" t="inlineStr">
        <is>
          <t>Project</t>
        </is>
      </c>
      <c r="K1693" t="inlineStr">
        <is>
          <t>GG - Event Service</t>
        </is>
      </c>
      <c r="L1693" t="inlineStr">
        <is>
          <t>Crossfire Legends Public Test Launch</t>
        </is>
      </c>
      <c r="M1693" t="inlineStr">
        <is>
          <t>2025TEG-P0322</t>
        </is>
      </c>
      <c r="N1693" t="inlineStr">
        <is>
          <t>Vincent Bryan Velasco Tan</t>
        </is>
      </c>
      <c r="O1693" t="inlineStr">
        <is>
          <t>202512100043-Vincent Bryan Velasco Tan-费用报销 - 副本 - 副本 - 副本-2025-12-10 04:50:49</t>
        </is>
      </c>
      <c r="P1693" t="inlineStr">
        <is>
          <t>NO</t>
        </is>
      </c>
      <c r="Q1693"/>
      <c r="R1693" t="inlineStr">
        <is>
          <t>NO</t>
        </is>
      </c>
      <c r="S1693" t="inlineStr">
        <is>
          <t>Globe Telecom Direct Internet Access (Dec. 15 to 16, 2025)</t>
        </is>
      </c>
      <c r="T1693">
        <v>1</v>
      </c>
      <c r="U1693">
        <v>168000</v>
      </c>
      <c r="V1693" t="inlineStr">
        <is>
          <t>PHP</t>
        </is>
      </c>
      <c r="W1693">
        <v>168000</v>
      </c>
      <c r="X1693" s="2" t="str">
        <f>=HYPERLINK("https://www.larksuite.com/approval/admin/previewAttachment?key=PMgxCgJBDAXQK_2fZOYnXsZmlkGErYQVi5xdsLB9M4mZgz4LUbQCWyONbm7iNMgSaGtKBVFhfZz7Psa1zvXeyfzo6X091j5eHCUzyCM8AfD2d1dEVM3Az_kNAAD__w", "2 attachment(s)")</f>
        <v>2 attachment(s)</v>
      </c>
      <c r="Y1693"/>
      <c r="Z1693"/>
      <c r="AA1693"/>
      <c r="AB1693"/>
      <c r="AC1693"/>
      <c r="AD1693" s="4"/>
      <c r="AE1693"/>
      <c r="AF1693" s="2"/>
      <c r="AG1693" t="inlineStr">
        <is>
          <t>NzQyNTk5MTgyNzQ4MTg3MDM0MTo3NkE2MTc2NC0wREYzLTREOTEtODgxRi03QjE5OUVCNkZFNTktMjo4MzMzZTM2ZmZkMDI5NzlkYjc4YjNlOWEwOTVjMzEyZjox</t>
        </is>
      </c>
      <c r="AH1693"/>
      <c r="AI1693"/>
      <c r="AJ1693" t="inlineStr">
        <is>
          <t>LIQUIDITY PLAN (PAR # 202512040004 / 2025TEG-P0322)
Miscellaneous &gt;
Internet Cost
Venue Rental
Total Budget = Php 780,000.00
This Request = Phhp 742,560.00
Balance = Php 37,440.00</t>
        </is>
      </c>
      <c r="AK1693"/>
    </row>
    <row r="1694" ht="25.5" customHeight="1">
      <c r="A1694" s="2" t="str">
        <f>=HYPERLINK("https://applink.larksuite.com/client/mini_program/open?appId=cli_9c7cc8a9a9edd105&amp;mode=appCenter&amp;path_pc=pc/pages/requested/index?instanceId=7582074282100952798&amp;source=bitable&amp;path=pages/detail/index?instanceId=7582074282100952798&amp;source=bitable", "202512100022")</f>
        <v>202512100022</v>
      </c>
      <c r="B1694" t="inlineStr">
        <is>
          <t>Approved</t>
        </is>
      </c>
      <c r="C1694" t="inlineStr">
        <is>
          <t>Procurement Order</t>
        </is>
      </c>
      <c r="D1694" s="3">
        <v>46001.50040509259</v>
      </c>
      <c r="E1694" s="3">
        <v>46007.59259259259</v>
      </c>
      <c r="F1694" t="inlineStr">
        <is>
          <t>Fatima Kathleen M. FLores</t>
        </is>
      </c>
      <c r="G1694" t="inlineStr">
        <is>
          <t>Procurement</t>
        </is>
      </c>
      <c r="H1694"/>
      <c r="I1694"/>
      <c r="J1694" t="inlineStr">
        <is>
          <t>Project</t>
        </is>
      </c>
      <c r="K1694" t="inlineStr">
        <is>
          <t>GG - Event Service</t>
        </is>
      </c>
      <c r="L1694" t="inlineStr">
        <is>
          <t>KIC 2025 - Carnival [Playoffs]</t>
        </is>
      </c>
      <c r="M1694" t="inlineStr">
        <is>
          <t>2025TEG-P0316</t>
        </is>
      </c>
      <c r="N1694" t="inlineStr">
        <is>
          <t>Maura Aurel Atilano Yap</t>
        </is>
      </c>
      <c r="O1694" t="inlineStr">
        <is>
          <t>202511240053-Maura Aurel Atilano Yap-费用报销 - 副本 - 副本 - 副本-2025-11-24 06:50:11</t>
        </is>
      </c>
      <c r="P1694" t="inlineStr">
        <is>
          <t>NO</t>
        </is>
      </c>
      <c r="Q1694"/>
      <c r="R1694" t="inlineStr">
        <is>
          <t>YES</t>
        </is>
      </c>
      <c r="S1694" t="inlineStr">
        <is>
          <t>A1 Signages - Sticker on Sintra</t>
        </is>
      </c>
      <c r="T1694">
        <v>5</v>
      </c>
      <c r="U1694">
        <v>969</v>
      </c>
      <c r="V1694" t="inlineStr">
        <is>
          <t>PHP</t>
        </is>
      </c>
      <c r="W1694">
        <v>4845</v>
      </c>
      <c r="X1694" s="2" t="str">
        <f>=HYPERLINK("https://www.larksuite.com/approval/admin/previewAttachment?key=PMhBqgIxEATQK1V1Oqmuf5m_mWGQAYMgii5ydsGF2zeKGNXZhpFmGFzqFVBGBQH3kGvFomSIylj79fiffD3mPNt58-Y31vOyHfud3YqAWmYrAPz7eVNm2iPxdXwCAAD__w", "2 attachment(s)")</f>
        <v>2 attachment(s)</v>
      </c>
      <c r="Y1694" t="inlineStr">
        <is>
          <t>Bank Transfer</t>
        </is>
      </c>
      <c r="Z1694" t="inlineStr">
        <is>
          <t>MaxPrecision Corporation</t>
        </is>
      </c>
      <c r="AA1694" t="inlineStr">
        <is>
          <t>4440117166</t>
        </is>
      </c>
      <c r="AB1694" t="inlineStr">
        <is>
          <t>BDO</t>
        </is>
      </c>
      <c r="AC1694" t="inlineStr">
        <is>
          <t>No. 5 Lt. Artiaga Street, Brgy Corazon De Jesus San Juan City</t>
        </is>
      </c>
      <c r="AD1694" s="4">
        <v>45985</v>
      </c>
      <c r="AE1694" t="inlineStr">
        <is>
          <t>100% Full Payment</t>
        </is>
      </c>
      <c r="AF1694" s="2"/>
      <c r="AG1694" t="inlineStr">
        <is>
          <t>NzQyNTk5MTgyNzQ4MTg3MDM0MTpGODU5QzYyMy01Q0UyLTRBNUEtOERGMy04NjBDQ0UzNjIxQTktMTphOTFlOTI0ZTg4YTMyNzQwZDE0MzE3N2ZmMThmZTZhMzox</t>
        </is>
      </c>
      <c r="AH1694" t="inlineStr">
        <is>
          <t>MaxPrecision Corporation</t>
        </is>
      </c>
      <c r="AI1694"/>
      <c r="AJ1694" t="inlineStr">
        <is>
          <t>LIQUIDITY PLAN (PAR # 202511190039 / 2025TEG-P0316)
PRODUCTION &gt; GRAND FINALS &gt;
A1 Signages
Total Remaining Budget = Php 3,000.00
Actual Cost = Php 9,795.00
Balance = (Php 6,795.00) OVER BUDGET</t>
        </is>
      </c>
      <c r="AK1694"/>
    </row>
    <row r="1695" ht="25.5" customHeight="1">
      <c r="A1695" s="2" t="str">
        <f>=HYPERLINK("https://applink.larksuite.com/client/mini_program/open?appId=cli_9c7cc8a9a9edd105&amp;mode=appCenter&amp;path_pc=pc/pages/requested/index?instanceId=7582074282100952798&amp;source=bitable&amp;path=pages/detail/index?instanceId=7582074282100952798&amp;source=bitable", "202512100022")</f>
        <v>202512100022</v>
      </c>
      <c r="B1695" t="inlineStr">
        <is>
          <t>Approved</t>
        </is>
      </c>
      <c r="C1695" t="inlineStr">
        <is>
          <t>Procurement Order</t>
        </is>
      </c>
      <c r="D1695" s="3">
        <v>46001.50040509259</v>
      </c>
      <c r="E1695" s="3">
        <v>46007.59259259259</v>
      </c>
      <c r="F1695" t="inlineStr">
        <is>
          <t>Fatima Kathleen M. FLores</t>
        </is>
      </c>
      <c r="G1695" t="inlineStr">
        <is>
          <t>Procurement</t>
        </is>
      </c>
      <c r="H1695"/>
      <c r="I1695"/>
      <c r="J1695" t="inlineStr">
        <is>
          <t>Project</t>
        </is>
      </c>
      <c r="K1695" t="inlineStr">
        <is>
          <t>GG - Event Service</t>
        </is>
      </c>
      <c r="L1695" t="inlineStr">
        <is>
          <t>KIC 2025 - Carnival [Playoffs]</t>
        </is>
      </c>
      <c r="M1695" t="inlineStr">
        <is>
          <t>2025TEG-P0316</t>
        </is>
      </c>
      <c r="N1695" t="inlineStr">
        <is>
          <t>Maura Aurel Atilano Yap</t>
        </is>
      </c>
      <c r="O1695" t="inlineStr">
        <is>
          <t>202511240053-Maura Aurel Atilano Yap-费用报销 - 副本 - 副本 - 副本-2025-11-24 06:50:11</t>
        </is>
      </c>
      <c r="P1695" t="inlineStr">
        <is>
          <t>NO</t>
        </is>
      </c>
      <c r="Q1695"/>
      <c r="R1695" t="inlineStr">
        <is>
          <t>YES</t>
        </is>
      </c>
      <c r="S1695" t="inlineStr">
        <is>
          <t>Pull-up Banner  w/ mechanism</t>
        </is>
      </c>
      <c r="T1695">
        <v>2</v>
      </c>
      <c r="U1695">
        <v>1950</v>
      </c>
      <c r="V1695" t="inlineStr">
        <is>
          <t>PHP</t>
        </is>
      </c>
      <c r="W1695">
        <v>3900</v>
      </c>
      <c r="X1695" s="2" t="str">
        <f>=HYPERLINK("https://www.larksuite.com/approval/admin/previewAttachment?key=PMhBqgIxEATQK1V1Oqmuf5m_mWGQAYMgii5ydsGF2zeKGNXZhpFmGFzqFVBGBQH3kGvFomSIylj79fiffD3mPNt58-Y31vOyHfud3YqAWmYrAPz7eVNm2iPxdX4CAAD__w", "1 attachment(s)")</f>
        <v>1 attachment(s)</v>
      </c>
      <c r="Y1695"/>
      <c r="Z1695"/>
      <c r="AA1695"/>
      <c r="AB1695"/>
      <c r="AC1695"/>
      <c r="AD1695" s="4"/>
      <c r="AE1695"/>
      <c r="AF1695" s="2"/>
      <c r="AG1695" t="inlineStr">
        <is>
          <t>NzQyNTk5MTgyNzQ4MTg3MDM0MTpGODU5QzYyMy01Q0UyLTRBNUEtOERGMy04NjBDQ0UzNjIxQTktMjoyMjg0MTViMWIwMmM1OGQzMjlhZTg0OGRmZTQ2MjZmMDox</t>
        </is>
      </c>
      <c r="AH1695"/>
      <c r="AI1695"/>
      <c r="AJ1695" t="inlineStr">
        <is>
          <t>LIQUIDITY PLAN (PAR # 202511190039 / 2025TEG-P0316)
PRODUCTION &gt; GRAND FINALS &gt;
A1 Signages
Total Remaining Budget = Php 3,000.00
Actual Cost = Php 9,795.00
Balance = (Php 6,795.00) OVER BUDGET</t>
        </is>
      </c>
      <c r="AK1695"/>
    </row>
    <row r="1696" ht="25.5" customHeight="1">
      <c r="A1696" s="2" t="str">
        <f>=HYPERLINK("https://applink.larksuite.com/client/mini_program/open?appId=cli_9c7cc8a9a9edd105&amp;mode=appCenter&amp;path_pc=pc/pages/requested/index?instanceId=7582074282100952798&amp;source=bitable&amp;path=pages/detail/index?instanceId=7582074282100952798&amp;source=bitable", "202512100022")</f>
        <v>202512100022</v>
      </c>
      <c r="B1696" t="inlineStr">
        <is>
          <t>Approved</t>
        </is>
      </c>
      <c r="C1696" t="inlineStr">
        <is>
          <t>Procurement Order</t>
        </is>
      </c>
      <c r="D1696" s="3">
        <v>46001.50040509259</v>
      </c>
      <c r="E1696" s="3">
        <v>46007.59259259259</v>
      </c>
      <c r="F1696" t="inlineStr">
        <is>
          <t>Fatima Kathleen M. FLores</t>
        </is>
      </c>
      <c r="G1696" t="inlineStr">
        <is>
          <t>Procurement</t>
        </is>
      </c>
      <c r="H1696"/>
      <c r="I1696"/>
      <c r="J1696" t="inlineStr">
        <is>
          <t>Project</t>
        </is>
      </c>
      <c r="K1696" t="inlineStr">
        <is>
          <t>GG - Event Service</t>
        </is>
      </c>
      <c r="L1696" t="inlineStr">
        <is>
          <t>KIC 2025 - Carnival [Playoffs]</t>
        </is>
      </c>
      <c r="M1696" t="inlineStr">
        <is>
          <t>2025TEG-P0316</t>
        </is>
      </c>
      <c r="N1696" t="inlineStr">
        <is>
          <t>Maura Aurel Atilano Yap</t>
        </is>
      </c>
      <c r="O1696" t="inlineStr">
        <is>
          <t>202511240053-Maura Aurel Atilano Yap-费用报销 - 副本 - 副本 - 副本-2025-11-24 06:50:11</t>
        </is>
      </c>
      <c r="P1696" t="inlineStr">
        <is>
          <t>NO</t>
        </is>
      </c>
      <c r="Q1696"/>
      <c r="R1696" t="inlineStr">
        <is>
          <t>YES</t>
        </is>
      </c>
      <c r="S1696" t="inlineStr">
        <is>
          <t>Pull-up Banner (Venue Map) w/ installation</t>
        </is>
      </c>
      <c r="T1696">
        <v>1</v>
      </c>
      <c r="U1696">
        <v>1050</v>
      </c>
      <c r="V1696" t="inlineStr">
        <is>
          <t>PHP</t>
        </is>
      </c>
      <c r="W1696">
        <v>1050</v>
      </c>
      <c r="X1696" s="2" t="str">
        <f>=HYPERLINK("https://www.larksuite.com/approval/admin/previewAttachment?key=PMhBqgIxEATQK1VXOqmuf5m_mWGQAYMgii5ydsGF2zcqMKpHG0Y6aMRSL0LJYgDulGtxhWQolFz79fif8XrMebbz5s1vrOdlO_Z7dIuEWmYrAPH386bMtEfi6_wEAAD__w", "1 attachment(s)")</f>
        <v>1 attachment(s)</v>
      </c>
      <c r="Y1696"/>
      <c r="Z1696"/>
      <c r="AA1696"/>
      <c r="AB1696"/>
      <c r="AC1696"/>
      <c r="AD1696" s="4"/>
      <c r="AE1696"/>
      <c r="AF1696" s="2"/>
      <c r="AG1696" t="inlineStr">
        <is>
          <t>NzQyNTk5MTgyNzQ4MTg3MDM0MTpGODU5QzYyMy01Q0UyLTRBNUEtOERGMy04NjBDQ0UzNjIxQTktMzphYWVkNjBiMDkzYTc2MGUxOGU4YTg2NThkMjQ4N2E2MDox</t>
        </is>
      </c>
      <c r="AH1696"/>
      <c r="AI1696"/>
      <c r="AJ1696" t="inlineStr">
        <is>
          <t>LIQUIDITY PLAN (PAR # 202511190039 / 2025TEG-P0316)
PRODUCTION &gt; GRAND FINALS &gt;
A1 Signages
Total Remaining Budget = Php 3,000.00
Actual Cost = Php 9,795.00
Balance = (Php 6,795.00) OVER BUDGET</t>
        </is>
      </c>
      <c r="AK1696"/>
    </row>
    <row r="1697" ht="25.5" customHeight="1">
      <c r="A1697" s="2" t="str">
        <f>=HYPERLINK("https://applink.larksuite.com/client/mini_program/open?appId=cli_9c7cc8a9a9edd105&amp;mode=appCenter&amp;path_pc=pc/pages/requested/index?instanceId=7582156356099067614&amp;source=bitable&amp;path=pages/detail/index?instanceId=7582156356099067614&amp;source=bitable", "202512100096")</f>
        <v>202512100096</v>
      </c>
      <c r="B1697" t="inlineStr">
        <is>
          <t>Approved</t>
        </is>
      </c>
      <c r="C1697" t="inlineStr">
        <is>
          <t>Procurement Order</t>
        </is>
      </c>
      <c r="D1697" s="3">
        <v>46001.72157407407</v>
      </c>
      <c r="E1697" s="3">
        <v>46003.8387037037</v>
      </c>
      <c r="F1697" t="inlineStr">
        <is>
          <t>Fatima Kathleen M. FLores</t>
        </is>
      </c>
      <c r="G1697" t="inlineStr">
        <is>
          <t>Procurement</t>
        </is>
      </c>
      <c r="H1697"/>
      <c r="I1697"/>
      <c r="J1697" t="inlineStr">
        <is>
          <t>Project</t>
        </is>
      </c>
      <c r="K1697" t="inlineStr">
        <is>
          <t>PDEI - Game Marketing</t>
        </is>
      </c>
      <c r="L1697" t="inlineStr">
        <is>
          <t>CCAP MLBB 2025</t>
        </is>
      </c>
      <c r="M1697" t="inlineStr">
        <is>
          <t>2025TEG-P0121</t>
        </is>
      </c>
      <c r="N1697" t="inlineStr">
        <is>
          <t>Maura Aurel Atilano Yap</t>
        </is>
      </c>
      <c r="O1697" t="inlineStr">
        <is>
          <t>202511240041-Maura Aurel Atilano Yap-费用报销 - 副本 - 副本 - 副本-2025-11-24 05:51:42</t>
        </is>
      </c>
      <c r="P1697" t="inlineStr">
        <is>
          <t>YES</t>
        </is>
      </c>
      <c r="Q1697"/>
      <c r="R1697" t="inlineStr">
        <is>
          <t>NO</t>
        </is>
      </c>
      <c r="S1697" t="inlineStr">
        <is>
          <t>Outsourced Referee</t>
        </is>
      </c>
      <c r="T1697">
        <v>1</v>
      </c>
      <c r="U1697">
        <v>10500</v>
      </c>
      <c r="V1697" t="inlineStr">
        <is>
          <t>PHP</t>
        </is>
      </c>
      <c r="W1697">
        <v>10500</v>
      </c>
      <c r="X1697" s="2" t="str">
        <f>=HYPERLINK("https://www.larksuite.com/approval/admin/previewAttachment?key=PMg9isNADAXgK72n39FeZpsRJhhcBUJc6OyBFGm_WEQsp0bBilLgpC-hh3qgCpFBGxlmFpJpMn0d_9eNPt88u_ftvef12Ec_6ZUiSDXTBYB_P9c0s6owfB2fAAAA__8", "2 attachment(s)")</f>
        <v>2 attachment(s)</v>
      </c>
      <c r="Y1697" t="inlineStr">
        <is>
          <t>Bank Transfer</t>
        </is>
      </c>
      <c r="Z1697" t="inlineStr">
        <is>
          <t>Colline Jewel S. Atanacio</t>
        </is>
      </c>
      <c r="AA1697" t="inlineStr">
        <is>
          <t>0985-861-4347</t>
        </is>
      </c>
      <c r="AB1697" t="inlineStr">
        <is>
          <t>GCash</t>
        </is>
      </c>
      <c r="AC1697" t="inlineStr">
        <is>
          <t>Carnation Street, Gloria V Subdivision, Barangay Talipapa, Quezon City</t>
        </is>
      </c>
      <c r="AD1697" s="4">
        <v>45997</v>
      </c>
      <c r="AE1697" t="inlineStr">
        <is>
          <t>1st Payment - Dec. 19, 2025
Final Payment - Feb. 13, 2026</t>
        </is>
      </c>
      <c r="AF1697" s="2"/>
      <c r="AG1697" t="inlineStr">
        <is>
          <t>NzQyNTk5MTgyNzQ4MTg3MDM0MTpFRkJBMjZDMy1GOEM3LTQ0NzMtQTdBQy00MTM5MDU3NkQ5QjAtMTpkZjdiYWJiNDBlNzhmNGVkZWEyYmNiYzMyNjY4MjEyYzox</t>
        </is>
      </c>
      <c r="AH1697" t="inlineStr">
        <is>
          <t>Colline Jewel S. Atanacio</t>
        </is>
      </c>
      <c r="AI1697"/>
      <c r="AJ1697" t="inlineStr">
        <is>
          <t>LIQUIDITY PLAN (PAR # 202508120030 / 2025TEG-P0121)
LEAGUE OPS &gt;
Referees
Referees
Total Remaining Budget = Php 54,000.00
Actual Cost = Php 10,500.00
Balance = Php 43,500.00</t>
        </is>
      </c>
      <c r="AK1697"/>
    </row>
    <row r="1698" ht="25.5" customHeight="1">
      <c r="A1698" s="2" t="str">
        <f>=HYPERLINK("https://applink.larksuite.com/client/mini_program/open?appId=cli_9c7cc8a9a9edd105&amp;mode=appCenter&amp;path_pc=pc/pages/requested/index?instanceId=7582157335762587359&amp;source=bitable&amp;path=pages/detail/index?instanceId=7582157335762587359&amp;source=bitable", "202512100099")</f>
        <v>202512100099</v>
      </c>
      <c r="B1698" t="inlineStr">
        <is>
          <t>Approved</t>
        </is>
      </c>
      <c r="C1698" t="inlineStr">
        <is>
          <t>Procurement Order</t>
        </is>
      </c>
      <c r="D1698" s="3">
        <v>46001.72421296296</v>
      </c>
      <c r="E1698" s="3">
        <v>46003.83810185185</v>
      </c>
      <c r="F1698" t="inlineStr">
        <is>
          <t>Fatima Kathleen M. FLores</t>
        </is>
      </c>
      <c r="G1698" t="inlineStr">
        <is>
          <t>Procurement</t>
        </is>
      </c>
      <c r="H1698"/>
      <c r="I1698"/>
      <c r="J1698" t="inlineStr">
        <is>
          <t>Project</t>
        </is>
      </c>
      <c r="K1698" t="inlineStr">
        <is>
          <t>PDEI - Game Marketing</t>
        </is>
      </c>
      <c r="L1698" t="inlineStr">
        <is>
          <t>CCAP MLBB 2025</t>
        </is>
      </c>
      <c r="M1698" t="inlineStr">
        <is>
          <t>2025TEG-P0121</t>
        </is>
      </c>
      <c r="N1698" t="inlineStr">
        <is>
          <t>Maura Aurel Atilano Yap</t>
        </is>
      </c>
      <c r="O1698" t="inlineStr">
        <is>
          <t>202511240041-Maura Aurel Atilano Yap-费用报销 - 副本 - 副本 - 副本-2025-11-24 05:51:42</t>
        </is>
      </c>
      <c r="P1698" t="inlineStr">
        <is>
          <t>YES</t>
        </is>
      </c>
      <c r="Q1698"/>
      <c r="R1698" t="inlineStr">
        <is>
          <t>NO</t>
        </is>
      </c>
      <c r="S1698" t="inlineStr">
        <is>
          <t>Outsourced Referee</t>
        </is>
      </c>
      <c r="T1698">
        <v>1</v>
      </c>
      <c r="U1698">
        <v>12000</v>
      </c>
      <c r="V1698" t="inlineStr">
        <is>
          <t>PHP</t>
        </is>
      </c>
      <c r="W1698">
        <v>12000</v>
      </c>
      <c r="X1698" s="2" t="str">
        <f>=HYPERLINK("https://www.larksuite.com/approval/admin/previewAttachment?key=PMg9igJBFATgK9X76-ray2wyTSM4YyKIyTu7YGD6jWkYsyyGkDIXrFnTrRhRHF6TUWpvIwUa03td-__u59o6zisZj7f6dTv2elqJ7mBkxgRgfz8PZqY0El_HJwAA__8", "2 attachment(s)")</f>
        <v>2 attachment(s)</v>
      </c>
      <c r="Y1698" t="inlineStr">
        <is>
          <t>Bank Transfer</t>
        </is>
      </c>
      <c r="Z1698" t="inlineStr">
        <is>
          <t>Dustin Jeiondre Ventura</t>
        </is>
      </c>
      <c r="AA1698" t="inlineStr">
        <is>
          <t>0945-197-9043</t>
        </is>
      </c>
      <c r="AB1698" t="inlineStr">
        <is>
          <t>GCash</t>
        </is>
      </c>
      <c r="AC1698" t="inlineStr">
        <is>
          <t>P47-01 10th-15th St. Villamor, Brgy. 183, Pasay City</t>
        </is>
      </c>
      <c r="AD1698" s="4">
        <v>45996</v>
      </c>
      <c r="AE1698" t="inlineStr">
        <is>
          <t>1st Payment - Dec. 19, 2025
Final Payment - Feb. 13, 2026</t>
        </is>
      </c>
      <c r="AF1698" s="2"/>
      <c r="AG1698" t="inlineStr">
        <is>
          <t>NzQyNTk5MTgyNzQ4MTg3MDM0MTpGOUE4NkZGMy1GM0Q3LTQ2QkMtQjU0OC1FMzk3RTYxNDNERkQtMTo2N2NkNjEwOTI4ZDVhMzVmNjA5Yzc2YzNiMjI5ZTA3ZTox</t>
        </is>
      </c>
      <c r="AH1698" t="inlineStr">
        <is>
          <t>Dustin Jeiondre Ventura</t>
        </is>
      </c>
      <c r="AI1698"/>
      <c r="AJ1698" t="inlineStr">
        <is>
          <t>LIQUIDITY PLAN (PAR # 202508120030 / 2025TEG-P0121)
LEAGUE OPS &gt;
Referees
Referees
Total Remaining Budget = Php 43,500.00
Actual Cost = Php 12,000.00
Balance = Php 31,500.00</t>
        </is>
      </c>
      <c r="AK1698"/>
    </row>
    <row r="1699" ht="25.5" customHeight="1">
      <c r="A1699" s="2" t="str">
        <f>=HYPERLINK("https://applink.larksuite.com/client/mini_program/open?appId=cli_9c7cc8a9a9edd105&amp;mode=appCenter&amp;path_pc=pc/pages/requested/index?instanceId=7582155124542344926&amp;source=bitable&amp;path=pages/detail/index?instanceId=7582155124542344926&amp;source=bitable", "202512100095")</f>
        <v>202512100095</v>
      </c>
      <c r="B1699" t="inlineStr">
        <is>
          <t>Approved</t>
        </is>
      </c>
      <c r="C1699" t="inlineStr">
        <is>
          <t>Procurement Order</t>
        </is>
      </c>
      <c r="D1699" s="3">
        <v>46001.71826388889</v>
      </c>
      <c r="E1699" s="3">
        <v>46003.8371875</v>
      </c>
      <c r="F1699" t="inlineStr">
        <is>
          <t>Fatima Kathleen M. FLores</t>
        </is>
      </c>
      <c r="G1699" t="inlineStr">
        <is>
          <t>Procurement</t>
        </is>
      </c>
      <c r="H1699"/>
      <c r="I1699"/>
      <c r="J1699" t="inlineStr">
        <is>
          <t>Project</t>
        </is>
      </c>
      <c r="K1699" t="inlineStr">
        <is>
          <t>PDEI - Game Marketing</t>
        </is>
      </c>
      <c r="L1699" t="inlineStr">
        <is>
          <t>CCAP MLBB 2025</t>
        </is>
      </c>
      <c r="M1699" t="inlineStr">
        <is>
          <t>2025TEG-P0121</t>
        </is>
      </c>
      <c r="N1699" t="inlineStr">
        <is>
          <t>Maura Aurel Atilano Yap</t>
        </is>
      </c>
      <c r="O1699" t="inlineStr">
        <is>
          <t>202511070012-Maura Aurel Atilano Yap-费用报销 - 副本 - 副本 - 副本-2025-11-07 02:11:21</t>
        </is>
      </c>
      <c r="P1699" t="inlineStr">
        <is>
          <t>YES</t>
        </is>
      </c>
      <c r="Q1699"/>
      <c r="R1699" t="inlineStr">
        <is>
          <t>NO</t>
        </is>
      </c>
      <c r="S1699" t="inlineStr">
        <is>
          <t>Outsourced Head Referee</t>
        </is>
      </c>
      <c r="T1699">
        <v>1</v>
      </c>
      <c r="U1699">
        <v>18000</v>
      </c>
      <c r="V1699" t="inlineStr">
        <is>
          <t>PHP</t>
        </is>
      </c>
      <c r="W1699">
        <v>18000</v>
      </c>
      <c r="X1699" s="2" t="str">
        <f>=HYPERLINK("https://www.larksuite.com/approval/admin/previewAttachment?key=PMgxDsIwDAXQK33_fMcxl2FJVCHRTIhuPjsSQ9fXh6EPt9YTSmPCKnzQ3I1ysUnJXiyLSISFWGsfz9O_S3OfgffcvOp6zWN9zDNIRJPaAGCP21tIyuzC3_ELAAD__w", "2 attachment(s)")</f>
        <v>2 attachment(s)</v>
      </c>
      <c r="Y1699" t="inlineStr">
        <is>
          <t>Bank Transfer</t>
        </is>
      </c>
      <c r="Z1699" t="inlineStr">
        <is>
          <t>Deanne Abigail Cunanan</t>
        </is>
      </c>
      <c r="AA1699" t="inlineStr">
        <is>
          <t>09223222272</t>
        </is>
      </c>
      <c r="AB1699" t="inlineStr">
        <is>
          <t>GCash</t>
        </is>
      </c>
      <c r="AC1699" t="inlineStr">
        <is>
          <t>Blk 8 Lt 14 Kabisig Floodway, Brgy. San Andres, Cainta, Rizal</t>
        </is>
      </c>
      <c r="AD1699" s="4">
        <v>45997</v>
      </c>
      <c r="AE1699" t="inlineStr">
        <is>
          <t>1st Payment - Dec. 19, 2025
Final Payment - Feb. 13, 2026</t>
        </is>
      </c>
      <c r="AF1699" s="2"/>
      <c r="AG1699" t="inlineStr">
        <is>
          <t>NzQyNTk5MTgyNzQ4MTg3MDM0MTpCOTk0RTEzMS1CNThBLTRFNkUtQTkzNy1FRkNFNjFCQUEyMzEtMTozYzQwNDZiMTBkZTAzYTgyZTkwMzhmMjM1YzcwNzBlMDox</t>
        </is>
      </c>
      <c r="AH1699" t="inlineStr">
        <is>
          <t>Deanne Abigail Cunanan</t>
        </is>
      </c>
      <c r="AI1699"/>
      <c r="AJ1699" t="inlineStr">
        <is>
          <t>LIQUIDITY PLAN (PAR # 202508120030 / 2025TEG-P0121)
LEAGUE OPS &gt;
Referees
Referees
Total Budget = Php 72,000.00
Actual Cost = Php 18,000.00
Balance = Php 54,000.00</t>
        </is>
      </c>
      <c r="AK1699"/>
    </row>
    <row r="1700" ht="25.5" customHeight="1">
      <c r="A1700" s="2" t="str">
        <f>=HYPERLINK("https://applink.larksuite.com/client/mini_program/open?appId=cli_9c7cc8a9a9edd105&amp;mode=appCenter&amp;path_pc=pc/pages/requested/index?instanceId=7582164155486965474&amp;source=bitable&amp;path=pages/detail/index?instanceId=7582164155486965474&amp;source=bitable", "202512100109")</f>
        <v>202512100109</v>
      </c>
      <c r="B1700" t="inlineStr">
        <is>
          <t>Approved</t>
        </is>
      </c>
      <c r="C1700" t="inlineStr">
        <is>
          <t>Procurement Order</t>
        </is>
      </c>
      <c r="D1700" s="3">
        <v>46001.74259259259</v>
      </c>
      <c r="E1700" s="3">
        <v>46003.84039351852</v>
      </c>
      <c r="F1700" t="inlineStr">
        <is>
          <t>Fatima Kathleen M. FLores</t>
        </is>
      </c>
      <c r="G1700" t="inlineStr">
        <is>
          <t>Procurement</t>
        </is>
      </c>
      <c r="H1700"/>
      <c r="I1700"/>
      <c r="J1700" t="inlineStr">
        <is>
          <t>Project</t>
        </is>
      </c>
      <c r="K1700" t="inlineStr">
        <is>
          <t>PDEI - Game Marketing</t>
        </is>
      </c>
      <c r="L1700" t="inlineStr">
        <is>
          <t>CCAP MLBB 2025</t>
        </is>
      </c>
      <c r="M1700" t="inlineStr">
        <is>
          <t>2025TEG-P0121</t>
        </is>
      </c>
      <c r="N1700" t="inlineStr">
        <is>
          <t>Maura Aurel Atilano Yap</t>
        </is>
      </c>
      <c r="O1700" t="inlineStr">
        <is>
          <t>202511270035-Maura Aurel Atilano Yap-费用报销 - 副本 - 副本 - 副本-2025-11-27 02:50:23</t>
        </is>
      </c>
      <c r="P1700" t="inlineStr">
        <is>
          <t>YES</t>
        </is>
      </c>
      <c r="Q1700"/>
      <c r="R1700" t="inlineStr">
        <is>
          <t>NO</t>
        </is>
      </c>
      <c r="S1700" t="inlineStr">
        <is>
          <t>Outsourced CG Operator</t>
        </is>
      </c>
      <c r="T1700">
        <v>1</v>
      </c>
      <c r="U1700">
        <v>14000</v>
      </c>
      <c r="V1700" t="inlineStr">
        <is>
          <t>PHP</t>
        </is>
      </c>
      <c r="W1700">
        <v>14000</v>
      </c>
      <c r="X1700" s="2" t="str">
        <f>=HYPERLINK("https://www.larksuite.com/approval/admin/previewAttachment?key=PMg9CgIxFATgK828zPvzMjaGRYS1ESIWObtgYftFEVHOEQ01rcGdXsYQ3VXR4Upt28xsJFO253lczw_m-dZci_NZj73ut2O-6J1myCGNAsDL30dK6g7h5_gGAAD__w", "2 attachment(s)")</f>
        <v>2 attachment(s)</v>
      </c>
      <c r="Y1700" t="inlineStr">
        <is>
          <t>Bank Transfer</t>
        </is>
      </c>
      <c r="Z1700" t="inlineStr">
        <is>
          <t>Mark Noel Alcaraz</t>
        </is>
      </c>
      <c r="AA1700" t="inlineStr">
        <is>
          <t>003520333729</t>
        </is>
      </c>
      <c r="AB1700" t="inlineStr">
        <is>
          <t>BDO</t>
        </is>
      </c>
      <c r="AC1700" t="inlineStr">
        <is>
          <t>045 Bancal Meycauayan Bulacan</t>
        </is>
      </c>
      <c r="AD1700" s="4">
        <v>45994</v>
      </c>
      <c r="AE1700" t="inlineStr">
        <is>
          <t>100% Full Payment - Dec. 19, 2025</t>
        </is>
      </c>
      <c r="AF1700" s="2"/>
      <c r="AG1700" t="inlineStr">
        <is>
          <t>NzQyNTk5MTgyNzQ4MTg3MDM0MTpDNDZERUU1Ni1CM0RFLTQ1MkMtQjBBRC1BMkEzOTU2MDI4MkMtMTo1MTFhYjgzZjdkMjI0OGJmN2YyYTYwM2ZmZjY4YjYxNDox</t>
        </is>
      </c>
      <c r="AH1700" t="inlineStr">
        <is>
          <t>Mark Noel Alcaraz</t>
        </is>
      </c>
      <c r="AI1700"/>
      <c r="AJ1700" t="inlineStr">
        <is>
          <t>LIQUIDITY PLAN (PAR # 202508120030 / 2025TEG-P0121)
BROADCAST &gt;
Main CG
Main CG Operator / Director Assistant
Total Budget = Php 16,250.00
Actual Cost = Php 14,000.00
Balance = Php 2,250.00</t>
        </is>
      </c>
      <c r="AK1700"/>
    </row>
    <row r="1701" ht="25.5" customHeight="1">
      <c r="A1701" s="2" t="str">
        <f>=HYPERLINK("https://applink.larksuite.com/client/mini_program/open?appId=cli_9c7cc8a9a9edd105&amp;mode=appCenter&amp;path_pc=pc/pages/requested/index?instanceId=7582177801826995937&amp;source=bitable&amp;path=pages/detail/index?instanceId=7582177801826995937&amp;source=bitable", "202512100125")</f>
        <v>202512100125</v>
      </c>
      <c r="B1701" t="inlineStr">
        <is>
          <t>Approved</t>
        </is>
      </c>
      <c r="C1701" t="inlineStr">
        <is>
          <t>Procurement Order</t>
        </is>
      </c>
      <c r="D1701" s="3">
        <v>46001.779375</v>
      </c>
      <c r="E1701" s="3">
        <v>46003.83524305555</v>
      </c>
      <c r="F1701" t="inlineStr">
        <is>
          <t>Fatima Kathleen M. FLores</t>
        </is>
      </c>
      <c r="G1701" t="inlineStr">
        <is>
          <t>Procurement</t>
        </is>
      </c>
      <c r="H1701"/>
      <c r="I1701"/>
      <c r="J1701" t="inlineStr">
        <is>
          <t>Project</t>
        </is>
      </c>
      <c r="K1701" t="inlineStr">
        <is>
          <t>PDEI - Game Marketing</t>
        </is>
      </c>
      <c r="L1701" t="inlineStr">
        <is>
          <t>Globe x GG Truck: Project Kristine On Wheels (KOW)</t>
        </is>
      </c>
      <c r="M1701" t="inlineStr">
        <is>
          <t>2025TEG-P0287</t>
        </is>
      </c>
      <c r="N1701" t="inlineStr">
        <is>
          <t>Alessandra Mae Villanueva Boado</t>
        </is>
      </c>
      <c r="O1701" t="inlineStr">
        <is>
          <t>202511100003-Alessandra Mae Villanueva Boado-费用报销 - 副本 - 副本 - 副本-2025-11-10 01:44:15</t>
        </is>
      </c>
      <c r="P1701" t="inlineStr">
        <is>
          <t>YES</t>
        </is>
      </c>
      <c r="Q1701"/>
      <c r="R1701" t="inlineStr">
        <is>
          <t>NO</t>
        </is>
      </c>
      <c r="S1701" t="inlineStr">
        <is>
          <t>Outsourced Broadcast Associate</t>
        </is>
      </c>
      <c r="T1701">
        <v>1</v>
      </c>
      <c r="U1701">
        <v>20000</v>
      </c>
      <c r="V1701" t="inlineStr">
        <is>
          <t>PHP</t>
        </is>
      </c>
      <c r="W1701">
        <v>20000</v>
      </c>
      <c r="X1701" s="2" t="str">
        <f>=HYPERLINK("https://www.larksuite.com/approval/admin/previewAttachment?key=PMg9CkJBDATgK80k2Z2Ml7Hx8RD_GkGx2LMLFrbfbGL2YE6jzDC4NDooNdgx7eHUikXJEFWxtvt-pN4XPKpvn8ixXdfrfNq3J4cVAWVVNgAe_p6qKnsWfo5vAAAA__8", "2 attachment(s)")</f>
        <v>2 attachment(s)</v>
      </c>
      <c r="Y1701" t="inlineStr">
        <is>
          <t>Bank Transfer</t>
        </is>
      </c>
      <c r="Z1701" t="inlineStr">
        <is>
          <t>Lucky Rodriguez</t>
        </is>
      </c>
      <c r="AA1701" t="inlineStr">
        <is>
          <t>9809306523</t>
        </is>
      </c>
      <c r="AB1701" t="inlineStr">
        <is>
          <t>BPI</t>
        </is>
      </c>
      <c r="AC1701" t="inlineStr">
        <is>
          <t>Purok 3 Zone 1 Lot B Gumamela Drive, Mahabang Parang, Angono Rizal</t>
        </is>
      </c>
      <c r="AD1701" s="4">
        <v>45992</v>
      </c>
      <c r="AE1701" t="inlineStr">
        <is>
          <t>1st Payment - Dec. 19, 2025
Final Payment - Feb. 6, 2026</t>
        </is>
      </c>
      <c r="AF1701" s="2"/>
      <c r="AG1701" t="inlineStr">
        <is>
          <t>NzQyNTk5MTgyNzQ4MTg3MDM0MTpEREY2NEFBQy1FNTVFLTRGNUEtQkRFRi02RjkyNUIzRkQxMTQtMTo3ODlhYTgxNjhlN2ZhYzEyN2Q3ZTJjMGQ5MDE4Y2VjMzox</t>
        </is>
      </c>
      <c r="AH1701" t="inlineStr">
        <is>
          <t>Lucky Rodriguez</t>
        </is>
      </c>
      <c r="AI1701"/>
      <c r="AJ1701" t="inlineStr">
        <is>
          <t>LIQUIDITY PLAN (PAR # 202511050059 / 2025TEG-P0287)
MANPOWER &gt; Project Planning&gt;
Broadcast Associate
Total Budget = Php 20,000.00
Actual Cost = Php 20,000.00</t>
        </is>
      </c>
      <c r="AK1701"/>
    </row>
    <row r="1702" ht="25.5" customHeight="1">
      <c r="A1702" s="2" t="str">
        <f>=HYPERLINK("https://applink.larksuite.com/client/mini_program/open?appId=cli_9c7cc8a9a9edd105&amp;mode=appCenter&amp;path_pc=pc/pages/requested/index?instanceId=7582176142807813857&amp;source=bitable&amp;path=pages/detail/index?instanceId=7582176142807813857&amp;source=bitable", "202512100122")</f>
        <v>202512100122</v>
      </c>
      <c r="B1702" t="inlineStr">
        <is>
          <t>Approved</t>
        </is>
      </c>
      <c r="C1702" t="inlineStr">
        <is>
          <t>Procurement Order</t>
        </is>
      </c>
      <c r="D1702" s="3">
        <v>46001.77489583333</v>
      </c>
      <c r="E1702" s="3">
        <v>46002.63841435185</v>
      </c>
      <c r="F1702" t="inlineStr">
        <is>
          <t>Fatima Kathleen M. FLores</t>
        </is>
      </c>
      <c r="G1702" t="inlineStr">
        <is>
          <t>Procurement</t>
        </is>
      </c>
      <c r="H1702"/>
      <c r="I1702"/>
      <c r="J1702" t="inlineStr">
        <is>
          <t>Project</t>
        </is>
      </c>
      <c r="K1702" t="inlineStr">
        <is>
          <t>GG - Event Service</t>
        </is>
      </c>
      <c r="L1702" t="inlineStr">
        <is>
          <t>Crossfire Legends Public Test Launch</t>
        </is>
      </c>
      <c r="M1702" t="inlineStr">
        <is>
          <t>2025TEG-P0322</t>
        </is>
      </c>
      <c r="N1702" t="inlineStr">
        <is>
          <t>Vincent Bryan Velasco Tan</t>
        </is>
      </c>
      <c r="O1702" t="inlineStr">
        <is>
          <t>202512100043-Vincent Bryan Velasco Tan-费用报销 - 副本 - 副本 - 副本-2025-12-10 04:50:49</t>
        </is>
      </c>
      <c r="P1702" t="inlineStr">
        <is>
          <t>NO</t>
        </is>
      </c>
      <c r="Q1702"/>
      <c r="R1702" t="inlineStr">
        <is>
          <t>NO</t>
        </is>
      </c>
      <c r="S1702" t="inlineStr">
        <is>
          <t>Power Mac Center Spotlight Black Box Theater Rental (Dec. 14 to 16, 2025)</t>
        </is>
      </c>
      <c r="T1702">
        <v>1</v>
      </c>
      <c r="U1702">
        <v>574560</v>
      </c>
      <c r="V1702" t="inlineStr">
        <is>
          <t>PHP</t>
        </is>
      </c>
      <c r="W1702">
        <v>574560</v>
      </c>
      <c r="X1702" s="2" t="str">
        <f>=HYPERLINK("https://www.larksuite.com/approval/admin/previewAttachment?key=PMgxrgIxDATQK83YTsb-l_kNUQS7UCFt57MjUdC-mcTMQZ-FKFqBrZFGTYYllPQcamtKBVFhvV77_7Tn2m7HPq-HH6Ov-22vN0fJDPIITwD8-7krIqpm4Ov4BAAA__8", "2 attachment(s)")</f>
        <v>2 attachment(s)</v>
      </c>
      <c r="Y1702" t="inlineStr">
        <is>
          <t>Bank Transfer</t>
        </is>
      </c>
      <c r="Z1702" t="inlineStr">
        <is>
          <t>Sanshen Philippines Inc.</t>
        </is>
      </c>
      <c r="AA1702" t="inlineStr">
        <is>
          <t>071-01-000159-4</t>
        </is>
      </c>
      <c r="AB1702" t="inlineStr">
        <is>
          <t>AUB Bank</t>
        </is>
      </c>
      <c r="AC1702" t="inlineStr">
        <is>
          <t>5th floor Salustiana D Ty Tower 104 Paseo De Roxas Legaspi Village Makati City</t>
        </is>
      </c>
      <c r="AD1702" s="4">
        <v>46005</v>
      </c>
      <c r="AE1702" t="inlineStr">
        <is>
          <t>100% Full Payment - Dec. 12, 2025</t>
        </is>
      </c>
      <c r="AF1702" s="2"/>
      <c r="AG1702" t="inlineStr">
        <is>
          <t>NzQyNTk5MTgyNzQ4MTg3MDM0MTpCMjEwQTk5MS02RDQ2LTQzNjgtQTcxNS05QzE2MEM3QUM3NUItMTpjY2Y0YzUyMzQ5NWY3YzE5NTY3ZGNmNTUwZGUxZWUzOTox</t>
        </is>
      </c>
      <c r="AH1702" t="inlineStr">
        <is>
          <t>Sanshen Philippines Inc.</t>
        </is>
      </c>
      <c r="AI1702"/>
      <c r="AJ1702" t="inlineStr">
        <is>
          <t>LIQUIDITY PLAN (PAR # 202512040004 / 2025TEG-P0322)
Miscellaneous &gt;
Internet Cost
Venue Rental
Total Budget = Php 780,000.00
This Request = Phhp 776,160.00
Balance = Php 3,840.00</t>
        </is>
      </c>
      <c r="AK1702"/>
    </row>
    <row r="1703" ht="25.5" customHeight="1">
      <c r="A1703" s="2" t="str">
        <f>=HYPERLINK("https://applink.larksuite.com/client/mini_program/open?appId=cli_9c7cc8a9a9edd105&amp;mode=appCenter&amp;path_pc=pc/pages/requested/index?instanceId=7582176142807813857&amp;source=bitable&amp;path=pages/detail/index?instanceId=7582176142807813857&amp;source=bitable", "202512100122")</f>
        <v>202512100122</v>
      </c>
      <c r="B1703" t="inlineStr">
        <is>
          <t>Approved</t>
        </is>
      </c>
      <c r="C1703" t="inlineStr">
        <is>
          <t>Procurement Order</t>
        </is>
      </c>
      <c r="D1703" s="3">
        <v>46001.77489583333</v>
      </c>
      <c r="E1703" s="3">
        <v>46002.63841435185</v>
      </c>
      <c r="F1703" t="inlineStr">
        <is>
          <t>Fatima Kathleen M. FLores</t>
        </is>
      </c>
      <c r="G1703" t="inlineStr">
        <is>
          <t>Procurement</t>
        </is>
      </c>
      <c r="H1703"/>
      <c r="I1703"/>
      <c r="J1703" t="inlineStr">
        <is>
          <t>Project</t>
        </is>
      </c>
      <c r="K1703" t="inlineStr">
        <is>
          <t>GG - Event Service</t>
        </is>
      </c>
      <c r="L1703" t="inlineStr">
        <is>
          <t>Crossfire Legends Public Test Launch</t>
        </is>
      </c>
      <c r="M1703" t="inlineStr">
        <is>
          <t>2025TEG-P0322</t>
        </is>
      </c>
      <c r="N1703" t="inlineStr">
        <is>
          <t>Vincent Bryan Velasco Tan</t>
        </is>
      </c>
      <c r="O1703" t="inlineStr">
        <is>
          <t>202512100043-Vincent Bryan Velasco Tan-费用报销 - 副本 - 副本 - 副本-2025-12-10 04:50:49</t>
        </is>
      </c>
      <c r="P1703" t="inlineStr">
        <is>
          <t>NO</t>
        </is>
      </c>
      <c r="Q1703"/>
      <c r="R1703" t="inlineStr">
        <is>
          <t>NO</t>
        </is>
      </c>
      <c r="S1703" t="inlineStr">
        <is>
          <t>Globe Telecom Direct Internet Access (Dec. 15 to 16, 2025)</t>
        </is>
      </c>
      <c r="T1703">
        <v>1</v>
      </c>
      <c r="U1703">
        <v>201600</v>
      </c>
      <c r="V1703" t="inlineStr">
        <is>
          <t>PHP</t>
        </is>
      </c>
      <c r="W1703">
        <v>201600</v>
      </c>
      <c r="X1703" s="2" t="str">
        <f>=HYPERLINK("https://www.larksuite.com/approval/admin/previewAttachment?key=PMgxrgIxDATQK83YTsb-l_kNUQS7UCFt57MjUdC-mcTMQZ-FKFqBrZFGTYYllPQcamtKBVFhvV77_7Tn2m7HPq-HH6Ov-22vN0fJDPIITwD8-7krIqpm4Ov8BAAA__8", "2 attachment(s)")</f>
        <v>2 attachment(s)</v>
      </c>
      <c r="Y1703"/>
      <c r="Z1703"/>
      <c r="AA1703"/>
      <c r="AB1703"/>
      <c r="AC1703"/>
      <c r="AD1703" s="4"/>
      <c r="AE1703"/>
      <c r="AF1703" s="2"/>
      <c r="AG1703" t="inlineStr">
        <is>
          <t>NzQyNTk5MTgyNzQ4MTg3MDM0MTpCMjEwQTk5MS02RDQ2LTQzNjgtQTcxNS05QzE2MEM3QUM3NUItMjo4NzI5N2ZmN2FmNWFhMDVkYTgxYTY1YzgyZjg2YTg5ZDox</t>
        </is>
      </c>
      <c r="AH1703"/>
      <c r="AI1703"/>
      <c r="AJ1703" t="inlineStr">
        <is>
          <t>LIQUIDITY PLAN (PAR # 202512040004 / 2025TEG-P0322)
Miscellaneous &gt;
Internet Cost
Venue Rental
Total Budget = Php 780,000.00
This Request = Phhp 776,160.00
Balance = Php 3,840.00</t>
        </is>
      </c>
      <c r="AK1703"/>
    </row>
    <row r="1704" ht="25.5" customHeight="1">
      <c r="A1704" s="2" t="str">
        <f>=HYPERLINK("https://applink.larksuite.com/client/mini_program/open?appId=cli_9c7cc8a9a9edd105&amp;mode=appCenter&amp;path_pc=pc/pages/requested/index?instanceId=7582160881765584604&amp;source=bitable&amp;path=pages/detail/index?instanceId=7582160881765584604&amp;source=bitable", "202512100104")</f>
        <v>202512100104</v>
      </c>
      <c r="B1704" t="inlineStr">
        <is>
          <t>Approved</t>
        </is>
      </c>
      <c r="C1704" t="inlineStr">
        <is>
          <t>Procurement Order</t>
        </is>
      </c>
      <c r="D1704" s="3">
        <v>46001.733773148146</v>
      </c>
      <c r="E1704" s="3">
        <v>46007.57653935185</v>
      </c>
      <c r="F1704" t="inlineStr">
        <is>
          <t>Fatima Kathleen M. FLores</t>
        </is>
      </c>
      <c r="G1704" t="inlineStr">
        <is>
          <t>Procurement</t>
        </is>
      </c>
      <c r="H1704"/>
      <c r="I1704"/>
      <c r="J1704" t="inlineStr">
        <is>
          <t>Project</t>
        </is>
      </c>
      <c r="K1704" t="inlineStr">
        <is>
          <t>PDEI - Game Marketing</t>
        </is>
      </c>
      <c r="L1704" t="inlineStr">
        <is>
          <t>CCAP MLBB 2025</t>
        </is>
      </c>
      <c r="M1704" t="inlineStr">
        <is>
          <t>2025TEG-P0121</t>
        </is>
      </c>
      <c r="N1704" t="inlineStr">
        <is>
          <t>Maura Aurel Atilano Yap</t>
        </is>
      </c>
      <c r="O1704" t="inlineStr">
        <is>
          <t>202511260002-Maura Aurel Atilano Yap-费用报销 - 副本 - 副本 - 副本-2025-11-26 01:52:59</t>
        </is>
      </c>
      <c r="P1704" t="inlineStr">
        <is>
          <t>YES</t>
        </is>
      </c>
      <c r="Q1704"/>
      <c r="R1704" t="inlineStr">
        <is>
          <t>YES</t>
        </is>
      </c>
      <c r="S1704" t="inlineStr">
        <is>
          <t>Outsourced Game Director &amp; Observer</t>
        </is>
      </c>
      <c r="T1704">
        <v>1</v>
      </c>
      <c r="U1704">
        <v>33000</v>
      </c>
      <c r="V1704" t="inlineStr">
        <is>
          <t>PHP</t>
        </is>
      </c>
      <c r="W1704">
        <v>33000</v>
      </c>
      <c r="X1704" s="2" t="str">
        <f>=HYPERLINK("https://www.larksuite.com/approval/admin/previewAttachment?key=PMgxDsJADATAL-36fF6bz9AkOoGANEjp_HYkirQTSUROjih40QpszTQGMqmYMz3gbU2pIMqt98-6n3yu9_Ya5CHY0edjW_uXs2QGDfeRAHi7fMjdq8Lxd_wCAAD__w", "2 attachment(s)")</f>
        <v>2 attachment(s)</v>
      </c>
      <c r="Y1704" t="inlineStr">
        <is>
          <t>Bank Transfer</t>
        </is>
      </c>
      <c r="Z1704" t="inlineStr">
        <is>
          <t>John Benigno R. Magat</t>
        </is>
      </c>
      <c r="AA1704" t="inlineStr">
        <is>
          <t>046110005388</t>
        </is>
      </c>
      <c r="AB1704" t="inlineStr">
        <is>
          <t>PSBank</t>
        </is>
      </c>
      <c r="AC1704" t="inlineStr">
        <is>
          <t>228 Grissom st. Brgy Moonwalk Paranaque Metro Manila</t>
        </is>
      </c>
      <c r="AD1704" s="4">
        <v>45996</v>
      </c>
      <c r="AE1704" t="inlineStr">
        <is>
          <t>1st Payment - Dec. 19, 2025
Final Payment - Feb. 13, 2026</t>
        </is>
      </c>
      <c r="AF1704" s="2"/>
      <c r="AG1704" t="inlineStr">
        <is>
          <t>NzQyNTk5MTgyNzQ4MTg3MDM0MTpGQUI5RjVBNC00NjVGLTRBNDEtOTUyQS0wQkU5QjMyRTkxRjktMTo3MDZlOTkzYWYxOWVhMjdiMzY1ODY1NWU4NDRmZmI0Yjox</t>
        </is>
      </c>
      <c r="AH1704" t="inlineStr">
        <is>
          <t>John Benigno R. Magat</t>
        </is>
      </c>
      <c r="AI1704"/>
      <c r="AJ1704" t="inlineStr">
        <is>
          <t>LIQUIDITY PLAN (PAR # 202508120030 / 2025TEG-P0121)
BROADCAST &gt;
Game Observer
Game Director / Observer
STAGING AND PRODUCTION &gt; ONLINE QUALIS &gt;
Control Room Package (INTERNAL)
Total Budget = Php 116,900.00
Actual Cost = Php 33,000.00
Balance = Php 83,900.00
^ Tagged as over budget. One line item is INTERNAL.</t>
        </is>
      </c>
      <c r="AK1704"/>
    </row>
    <row r="1705" ht="25.5" customHeight="1">
      <c r="A1705" s="2" t="str">
        <f>=HYPERLINK("https://applink.larksuite.com/client/mini_program/open?appId=cli_9c7cc8a9a9edd105&amp;mode=appCenter&amp;path_pc=pc/pages/requested/index?instanceId=7582165530891521760&amp;source=bitable&amp;path=pages/detail/index?instanceId=7582165530891521760&amp;source=bitable", "202512100113")</f>
        <v>202512100113</v>
      </c>
      <c r="B1705" t="inlineStr">
        <is>
          <t>Approved</t>
        </is>
      </c>
      <c r="C1705" t="inlineStr">
        <is>
          <t>Procurement Order</t>
        </is>
      </c>
      <c r="D1705" s="3">
        <v>46001.74630787037</v>
      </c>
      <c r="E1705" s="3">
        <v>46007.542604166665</v>
      </c>
      <c r="F1705" t="inlineStr">
        <is>
          <t>Fatima Kathleen M. FLores</t>
        </is>
      </c>
      <c r="G1705" t="inlineStr">
        <is>
          <t>Procurement</t>
        </is>
      </c>
      <c r="H1705"/>
      <c r="I1705"/>
      <c r="J1705" t="inlineStr">
        <is>
          <t>Project</t>
        </is>
      </c>
      <c r="K1705" t="inlineStr">
        <is>
          <t>PDEI - Game Marketing</t>
        </is>
      </c>
      <c r="L1705" t="inlineStr">
        <is>
          <t>CCAP MLBB 2025</t>
        </is>
      </c>
      <c r="M1705" t="inlineStr">
        <is>
          <t>2025TEG-P0121</t>
        </is>
      </c>
      <c r="N1705" t="inlineStr">
        <is>
          <t>Maura Aurel Atilano Yap</t>
        </is>
      </c>
      <c r="O1705" t="inlineStr">
        <is>
          <t>202511270035-Maura Aurel Atilano Yap-费用报销 - 副本 - 副本 - 副本-2025-11-27 02:50:23</t>
        </is>
      </c>
      <c r="P1705" t="inlineStr">
        <is>
          <t>YES</t>
        </is>
      </c>
      <c r="Q1705"/>
      <c r="R1705" t="inlineStr">
        <is>
          <t>YES</t>
        </is>
      </c>
      <c r="S1705" t="inlineStr">
        <is>
          <t>Outsourced Unreal Engine Operator</t>
        </is>
      </c>
      <c r="T1705">
        <v>1</v>
      </c>
      <c r="U1705">
        <v>24000</v>
      </c>
      <c r="V1705" t="inlineStr">
        <is>
          <t>PHP</t>
        </is>
      </c>
      <c r="W1705">
        <v>24000</v>
      </c>
      <c r="X1705" s="2" t="str">
        <f>=HYPERLINK("https://www.larksuite.com/approval/admin/previewAttachment?key=PMgrDgJBEATQK1X1d4rLYNhMMIshEEyfnQSBfbWIWkkvIUQTOJ3LWJmOJaaxC2PDbqHZYXOc--pnP1wntD-xX5j3_baPJ1NthvYIXwB4-bt3REgV-Dm-AQAA__8", "2 attachment(s)")</f>
        <v>2 attachment(s)</v>
      </c>
      <c r="Y1705" t="inlineStr">
        <is>
          <t>Bank Transfer</t>
        </is>
      </c>
      <c r="Z1705" t="inlineStr">
        <is>
          <t>Patrick Adam Peralta</t>
        </is>
      </c>
      <c r="AA1705" t="inlineStr">
        <is>
          <t>109330391917</t>
        </is>
      </c>
      <c r="AB1705" t="inlineStr">
        <is>
          <t>Unionbank</t>
        </is>
      </c>
      <c r="AC1705" t="inlineStr">
        <is>
          <t>Blk 71 lot 20 Milflores St Rizal Makati City</t>
        </is>
      </c>
      <c r="AD1705" s="4">
        <v>45994</v>
      </c>
      <c r="AE1705" t="inlineStr">
        <is>
          <t>1st Payment - Dec. 19, 2025
2nd Payment - Jan. 16, 2026
Final Payment - Feb. 13, 2026</t>
        </is>
      </c>
      <c r="AF1705" s="2"/>
      <c r="AG1705" t="inlineStr">
        <is>
          <t>NzQyNTk5MTgyNzQ4MTg3MDM0MToxNjVBMzg3OC03NURBLTQ3MDAtQUJGNy1DODU0OTdDOTZDMjQtMTpkZTI0OTc0OWRiZTBlMzg2NDgzYmZmNGQ2NmI0ZjZkYzox</t>
        </is>
      </c>
      <c r="AH1705" t="inlineStr">
        <is>
          <t>Patrick Adam Peralta</t>
        </is>
      </c>
      <c r="AI1705"/>
      <c r="AJ1705" t="inlineStr">
        <is>
          <t>LIQUIDITY PLAN (PAR # 202508120030 / 2025TEG-P0121)
STAGING AND PRODUCTION &gt; ONLINE QUALIS &gt;
Control Room Package (INTERNAL)
Total Remaining Budget = Php 83,900.00
Actual Cost = Php 24,000.00
Balance = Php 59,900.00</t>
        </is>
      </c>
      <c r="AK1705"/>
    </row>
    <row r="1706" ht="25.5" customHeight="1">
      <c r="A1706" s="2" t="str">
        <f>=HYPERLINK("https://applink.larksuite.com/client/mini_program/open?appId=cli_9c7cc8a9a9edd105&amp;mode=appCenter&amp;path_pc=pc/pages/requested/index?instanceId=7582171195013893856&amp;source=bitable&amp;path=pages/detail/index?instanceId=7582171195013893856&amp;source=bitable", "202512100117")</f>
        <v>202512100117</v>
      </c>
      <c r="B1706" t="inlineStr">
        <is>
          <t>Approved</t>
        </is>
      </c>
      <c r="C1706" t="inlineStr">
        <is>
          <t>Procurement Order</t>
        </is>
      </c>
      <c r="D1706" s="3">
        <v>46001.7615625</v>
      </c>
      <c r="E1706" s="3">
        <v>46007.541875</v>
      </c>
      <c r="F1706" t="inlineStr">
        <is>
          <t>Fatima Kathleen M. FLores</t>
        </is>
      </c>
      <c r="G1706" t="inlineStr">
        <is>
          <t>Procurement</t>
        </is>
      </c>
      <c r="H1706"/>
      <c r="I1706"/>
      <c r="J1706" t="inlineStr">
        <is>
          <t>Project</t>
        </is>
      </c>
      <c r="K1706" t="inlineStr">
        <is>
          <t>PDEI - Game Marketing</t>
        </is>
      </c>
      <c r="L1706" t="inlineStr">
        <is>
          <t>CCAP MLBB 2025</t>
        </is>
      </c>
      <c r="M1706" t="inlineStr">
        <is>
          <t>2025TEG-P0121</t>
        </is>
      </c>
      <c r="N1706" t="inlineStr">
        <is>
          <t>Maura Aurel Atilano Yap</t>
        </is>
      </c>
      <c r="O1706" t="inlineStr">
        <is>
          <t>202511270035-Maura Aurel Atilano Yap-费用报销 - 副本 - 副本 - 副本-2025-11-27 02:50:23</t>
        </is>
      </c>
      <c r="P1706" t="inlineStr">
        <is>
          <t>YES</t>
        </is>
      </c>
      <c r="Q1706"/>
      <c r="R1706" t="inlineStr">
        <is>
          <t>YES</t>
        </is>
      </c>
      <c r="S1706" t="inlineStr">
        <is>
          <t>Outsourced Highlights/ Replay Operator</t>
        </is>
      </c>
      <c r="T1706">
        <v>1</v>
      </c>
      <c r="U1706">
        <v>18000</v>
      </c>
      <c r="V1706" t="inlineStr">
        <is>
          <t>PHP</t>
        </is>
      </c>
      <c r="W1706">
        <v>18000</v>
      </c>
      <c r="X1706" s="2" t="str">
        <f>=HYPERLINK("https://www.larksuite.com/approval/admin/previewAttachment?key=PMhBqgJBDATQK1Ul6a7kX-ZvHBoVHARh1EXOLrhw-2YSMwd9FqJoBbZGGkXWAD3Lc8y2plQQFdbbbf3fr5f1jpfl_tR-rD7Op7U9OEpmkEd4AuDfz10RUTUDX8cnAAD__w", "2 attachment(s)")</f>
        <v>2 attachment(s)</v>
      </c>
      <c r="Y1706" t="inlineStr">
        <is>
          <t>Bank Transfer</t>
        </is>
      </c>
      <c r="Z1706" t="inlineStr">
        <is>
          <t>Dannie Rizal N. Iremedio</t>
        </is>
      </c>
      <c r="AA1706" t="inlineStr">
        <is>
          <t>0000075157652</t>
        </is>
      </c>
      <c r="AB1706" t="inlineStr">
        <is>
          <t>Security Bank</t>
        </is>
      </c>
      <c r="AC1706" t="inlineStr">
        <is>
          <t>790 P. Ocampo St , Brgy 719, Zone 78 Malate, Manila</t>
        </is>
      </c>
      <c r="AD1706" s="4">
        <v>45996</v>
      </c>
      <c r="AE1706" t="inlineStr">
        <is>
          <t>1st Payment - Dec. 19, 2025
Final Payment - Feb. 13, 2026</t>
        </is>
      </c>
      <c r="AF1706" s="2"/>
      <c r="AG1706" t="inlineStr">
        <is>
          <t>NzQyNTk5MTgyNzQ4MTg3MDM0MTpCN0ZBMzBDMC1EQ0IxLTRDMDEtOTlEQy02MEZGNjQ0MzQ5OUUtMTo2ODAwNGY0OTRlMDAwYWMwN2YwNzk0YjczZmI2YmMzYjox</t>
        </is>
      </c>
      <c r="AH1706" t="inlineStr">
        <is>
          <t>Dannie Rizal N. Iremedio</t>
        </is>
      </c>
      <c r="AI1706"/>
      <c r="AJ1706" t="inlineStr">
        <is>
          <t>LIQUIDITY PLAN (PAR # 202508120030 / 2025TEG-P0121)
BROADCAST &gt;
Highlights Operator
Highlights / Replay
STAGING AND PRODUCTION &gt; ONLINE QUALIS &gt;
Control Room Package (INTERNAL)
Total Remaining Budget = Php 72,550.00
Actual Cost = Php 18,000.00
Balance = Php 67,250.00</t>
        </is>
      </c>
      <c r="AK1706"/>
    </row>
    <row r="1707" ht="25.5" customHeight="1">
      <c r="A1707" s="2" t="str">
        <f>=HYPERLINK("https://applink.larksuite.com/client/mini_program/open?appId=cli_9c7cc8a9a9edd105&amp;mode=appCenter&amp;path_pc=pc/pages/requested/index?instanceId=7582172632523493088&amp;source=bitable&amp;path=pages/detail/index?instanceId=7582172632523493088&amp;source=bitable", "202512100119")</f>
        <v>202512100119</v>
      </c>
      <c r="B1707" t="inlineStr">
        <is>
          <t>Approved</t>
        </is>
      </c>
      <c r="C1707" t="inlineStr">
        <is>
          <t>Procurement Order</t>
        </is>
      </c>
      <c r="D1707" s="3">
        <v>46001.765439814815</v>
      </c>
      <c r="E1707" s="3">
        <v>46007.54069444445</v>
      </c>
      <c r="F1707" t="inlineStr">
        <is>
          <t>Fatima Kathleen M. FLores</t>
        </is>
      </c>
      <c r="G1707" t="inlineStr">
        <is>
          <t>Procurement</t>
        </is>
      </c>
      <c r="H1707"/>
      <c r="I1707"/>
      <c r="J1707" t="inlineStr">
        <is>
          <t>Project</t>
        </is>
      </c>
      <c r="K1707" t="inlineStr">
        <is>
          <t>PDEI - Game Marketing</t>
        </is>
      </c>
      <c r="L1707" t="inlineStr">
        <is>
          <t>CCAP MLBB 2025</t>
        </is>
      </c>
      <c r="M1707" t="inlineStr">
        <is>
          <t>2025TEG-P0121</t>
        </is>
      </c>
      <c r="N1707" t="inlineStr">
        <is>
          <t>Maura Aurel Atilano Yap</t>
        </is>
      </c>
      <c r="O1707" t="inlineStr">
        <is>
          <t>202511270035-Maura Aurel Atilano Yap-费用报销 - 副本 - 副本 - 副本-2025-11-27 02:50:23</t>
        </is>
      </c>
      <c r="P1707" t="inlineStr">
        <is>
          <t>YES</t>
        </is>
      </c>
      <c r="Q1707"/>
      <c r="R1707" t="inlineStr">
        <is>
          <t>YES</t>
        </is>
      </c>
      <c r="S1707" t="inlineStr">
        <is>
          <t>Outsourced Stream Engineer</t>
        </is>
      </c>
      <c r="T1707">
        <v>1</v>
      </c>
      <c r="U1707">
        <v>16200</v>
      </c>
      <c r="V1707" t="inlineStr">
        <is>
          <t>PHP</t>
        </is>
      </c>
      <c r="W1707">
        <v>16200</v>
      </c>
      <c r="X1707" s="2" t="str">
        <f>=HYPERLINK("https://www.larksuite.com/approval/admin/previewAttachment?key=PMg7DgIxDATQK43Hjj9choYoQitCg9jOZ0ei2PZ5CjyHqBeshAXpGEkJunJQrRSZzZaIQkgYe-51P_Z7rlPnq76b4-jz-VjzI6OCRKiZJgC5Xa5hZlVu-Dt-AQAA__8", "2 attachment(s)")</f>
        <v>2 attachment(s)</v>
      </c>
      <c r="Y1707" t="inlineStr">
        <is>
          <t>Bank Transfer</t>
        </is>
      </c>
      <c r="Z1707" t="inlineStr">
        <is>
          <t>John Mark Ramos</t>
        </is>
      </c>
      <c r="AA1707" t="inlineStr">
        <is>
          <t>0000007591426151</t>
        </is>
      </c>
      <c r="AB1707" t="inlineStr">
        <is>
          <t>RCBC</t>
        </is>
      </c>
      <c r="AC1707" t="inlineStr">
        <is>
          <t>Camella St. Patdu Compound South Green Heights, Putatan Muntinlupa</t>
        </is>
      </c>
      <c r="AD1707" s="4">
        <v>45996</v>
      </c>
      <c r="AE1707" t="inlineStr">
        <is>
          <t>1st Payment - Dec. 19, 2025
Final Payment - Feb. 13, 2026</t>
        </is>
      </c>
      <c r="AF1707" s="2"/>
      <c r="AG1707" t="inlineStr">
        <is>
          <t>NzQyNTk5MTgyNzQ4MTg3MDM0MTo2NkE1Nzk5OC0yQjlELTQ5ODYtQTc2Ni03NDI2NTdEMEE4REItMToxNjRhNjkxMGE2NTc5ZWE0NmIwZDY2NmQ3MzRiNzNhODox</t>
        </is>
      </c>
      <c r="AH1707" t="inlineStr">
        <is>
          <t>John Mark Ramos</t>
        </is>
      </c>
      <c r="AI1707"/>
      <c r="AJ1707" t="inlineStr">
        <is>
          <t>LIQUIDITY PLAN (PAR # 202508120030 / 2025TEG-P0121)
BROADCAST &gt;
Lead Stream Engineer
Lead Stream Engineer
STAGING AND PRODUCTION &gt; ONLINE QUALIS &gt;
Control Room Package (INTERNAL)
Total Remaining Budget = Php 78,450.00
Actual Cost = Php 16,200.00
Balance = Php 62,250.00</t>
        </is>
      </c>
      <c r="AK1707"/>
    </row>
    <row r="1708" ht="25.5" customHeight="1">
      <c r="A1708" s="2" t="str">
        <f>=HYPERLINK("https://applink.larksuite.com/client/mini_program/open?appId=cli_9c7cc8a9a9edd105&amp;mode=appCenter&amp;path_pc=pc/pages/requested/index?instanceId=7582426533315432161&amp;source=bitable&amp;path=pages/detail/index?instanceId=7582426533315432161&amp;source=bitable", "202512110016")</f>
        <v>202512110016</v>
      </c>
      <c r="B1708" t="inlineStr">
        <is>
          <t>Approved</t>
        </is>
      </c>
      <c r="C1708" t="inlineStr">
        <is>
          <t>Procurement Order</t>
        </is>
      </c>
      <c r="D1708" s="3">
        <v>46002.44965277778</v>
      </c>
      <c r="E1708" s="3">
        <v>46002.600694444445</v>
      </c>
      <c r="F1708" t="inlineStr">
        <is>
          <t>Fatima Kathleen M. FLores</t>
        </is>
      </c>
      <c r="G1708" t="inlineStr">
        <is>
          <t>Procurement</t>
        </is>
      </c>
      <c r="H1708"/>
      <c r="I1708"/>
      <c r="J1708" t="inlineStr">
        <is>
          <t>Project</t>
        </is>
      </c>
      <c r="K1708" t="inlineStr">
        <is>
          <t>PDEI - Event Service</t>
        </is>
      </c>
      <c r="L1708" t="inlineStr">
        <is>
          <t>MPL PH S16 - Regular Season</t>
        </is>
      </c>
      <c r="M1708" t="inlineStr">
        <is>
          <t>2025TEG-P0214</t>
        </is>
      </c>
      <c r="N1708" t="inlineStr">
        <is>
          <t>Katherine Denise Lee Sy</t>
        </is>
      </c>
      <c r="O1708" t="inlineStr">
        <is>
          <t>202511180046-Katherine Denise Lee Sy-费用报销 - 副本 - 副本 - 副本-2025-11-18 06:03:07</t>
        </is>
      </c>
      <c r="P1708" t="inlineStr">
        <is>
          <t>NO</t>
        </is>
      </c>
      <c r="Q1708"/>
      <c r="R1708" t="inlineStr">
        <is>
          <t>NO</t>
        </is>
      </c>
      <c r="S1708" t="inlineStr">
        <is>
          <t>LGU CDRRMO Permit</t>
        </is>
      </c>
      <c r="T1708">
        <v>1</v>
      </c>
      <c r="U1708">
        <v>5000</v>
      </c>
      <c r="V1708" t="inlineStr">
        <is>
          <t>PHP</t>
        </is>
      </c>
      <c r="W1708">
        <v>5000</v>
      </c>
      <c r="X1708" s="2" t="str">
        <f>=HYPERLINK("https://www.larksuite.com/approval/admin/previewAttachment?key=PMg7CgJBEATQK1V1V_-8jInDIitGgpjM2QUD05dNZAc9BxragLuiTZbh7gy5Mblts2pQLNlez-NatM8sPM6zPVbv9_12rBdjygzlkjcAXv7uJWkmhZ_jGwAA__8", "2 attachment(s)")</f>
        <v>2 attachment(s)</v>
      </c>
      <c r="Y1708" t="inlineStr">
        <is>
          <t>Bank Transfer</t>
        </is>
      </c>
      <c r="Z1708" t="inlineStr">
        <is>
          <t>JEROME T. CAPOQUIAN</t>
        </is>
      </c>
      <c r="AA1708" t="inlineStr">
        <is>
          <t>9599094366</t>
        </is>
      </c>
      <c r="AB1708" t="inlineStr">
        <is>
          <t>BPI</t>
        </is>
      </c>
      <c r="AC1708" t="inlineStr">
        <is>
          <t>BLOCK 5 LOT 7 PHASE 2 SHINEVILL MAMBUGAN ANTIPOLO CITY</t>
        </is>
      </c>
      <c r="AD1708" s="4">
        <v>45976</v>
      </c>
      <c r="AE1708" t="inlineStr">
        <is>
          <t>100% Full Payment</t>
        </is>
      </c>
      <c r="AF1708" s="2"/>
      <c r="AG1708" t="inlineStr">
        <is>
          <t>NzQyNTk5MTgyNzQ4MTg3MDM0MToyRkIwREZFNi02RTY3LTRCQzQtQTFBQi1EQjQ0QTRDMzZENTMtMToxNWQ0M2M0NmRjYjkyMzA5Yjc0MWVjN2JiNGY0ZDUwZDox</t>
        </is>
      </c>
      <c r="AH1708" t="inlineStr">
        <is>
          <t>JC SAFETY AND MEDICAL SERVICES</t>
        </is>
      </c>
      <c r="AI1708"/>
      <c r="AJ1708" t="inlineStr">
        <is>
          <t>LIQUIDITY PLAN (PAR # 202509020093 / 2025TEG-P0214)
REGULAR SEASON CE TAB &gt; 1.2 Assets &amp; Facility Rates/Licenses - RS and Playoffs &gt;
Event Permit
Total Remaining Budget = Php 17,980.00
Actual Cost = Php 5,000.00
Balance = Php 12,980.00</t>
        </is>
      </c>
      <c r="AK1708"/>
    </row>
    <row r="1709" ht="25.5" customHeight="1">
      <c r="A1709" s="2" t="str">
        <f>=HYPERLINK("https://applink.larksuite.com/client/mini_program/open?appId=cli_9c7cc8a9a9edd105&amp;mode=appCenter&amp;path_pc=pc/pages/requested/index?instanceId=7582438975529291490&amp;source=bitable&amp;path=pages/detail/index?instanceId=7582438975529291490&amp;source=bitable", "202512110034")</f>
        <v>202512110034</v>
      </c>
      <c r="B1709" t="inlineStr">
        <is>
          <t>Approved</t>
        </is>
      </c>
      <c r="C1709" t="inlineStr">
        <is>
          <t>Procurement Order</t>
        </is>
      </c>
      <c r="D1709" s="3">
        <v>46002.48318287037</v>
      </c>
      <c r="E1709" s="3">
        <v>46002.64328703703</v>
      </c>
      <c r="F1709" t="inlineStr">
        <is>
          <t>Fatima Kathleen M. FLores</t>
        </is>
      </c>
      <c r="G1709" t="inlineStr">
        <is>
          <t>Procurement</t>
        </is>
      </c>
      <c r="H1709"/>
      <c r="I1709"/>
      <c r="J1709" t="inlineStr">
        <is>
          <t>Project</t>
        </is>
      </c>
      <c r="K1709" t="inlineStr">
        <is>
          <t>PDEI - Game Marketing</t>
        </is>
      </c>
      <c r="L1709" t="inlineStr">
        <is>
          <t>WCG 2025 Creator Rumble</t>
        </is>
      </c>
      <c r="M1709" t="inlineStr">
        <is>
          <t>2025TEG-P0041</t>
        </is>
      </c>
      <c r="N1709" t="inlineStr">
        <is>
          <t>Maura Aurel Atilano Yap</t>
        </is>
      </c>
      <c r="O1709" t="inlineStr">
        <is>
          <t>202511250080-Maura Aurel Atilano Yap-费用报销 - 副本 - 副本 - 副本-2025-11-25 06:44:19</t>
        </is>
      </c>
      <c r="P1709" t="inlineStr">
        <is>
          <t>NO</t>
        </is>
      </c>
      <c r="Q1709"/>
      <c r="R1709" t="inlineStr">
        <is>
          <t>NO</t>
        </is>
      </c>
      <c r="S1709" t="inlineStr">
        <is>
          <t>Outsourced Logistics Services (16ft closed van / Oct. 26, 2025)</t>
        </is>
      </c>
      <c r="T1709">
        <v>1</v>
      </c>
      <c r="U1709">
        <v>4256</v>
      </c>
      <c r="V1709" t="inlineStr">
        <is>
          <t>PHP</t>
        </is>
      </c>
      <c r="W1709">
        <v>4256</v>
      </c>
      <c r="X1709" s="2" t="str">
        <f>=HYPERLINK("https://www.larksuite.com/approval/admin/previewAttachment?key=PMg7CoJBDATgK02ys5uMl7Ex_PhgQRC0ytkFC9tvpWHltLEEylywjpnOkYo5XS6j0N4WIYQFvWsf5w9vx31XFh-1n9Xv6-Wol02FO2KQIwHY6e8jSEqL-Dm-AQAA__8", "3 attachment(s)")</f>
        <v>3 attachment(s)</v>
      </c>
      <c r="Y1709" t="inlineStr">
        <is>
          <t>Bank Transfer</t>
        </is>
      </c>
      <c r="Z1709" t="inlineStr">
        <is>
          <t>ONE-MAX TRUCKING SERVICES</t>
        </is>
      </c>
      <c r="AA1709" t="inlineStr">
        <is>
          <t>504-3-50448621-5</t>
        </is>
      </c>
      <c r="AB1709" t="inlineStr">
        <is>
          <t>Metrobank</t>
        </is>
      </c>
      <c r="AC1709" t="inlineStr">
        <is>
          <t>Eastdrive St., Marikina Heights, Marikina City</t>
        </is>
      </c>
      <c r="AD1709" s="4">
        <v>45971</v>
      </c>
      <c r="AE1709" t="inlineStr">
        <is>
          <t>100% Full Payment</t>
        </is>
      </c>
      <c r="AF1709" s="2"/>
      <c r="AG1709" t="inlineStr">
        <is>
          <t>NzQyNTk5MTgyNzQ4MTg3MDM0MToxNzVENjZGNy02NTg4LTREMUQtQjMxRi1FRUFDMDJGMzhBRUQtMTo0NTZmYjk3ZDQyMTM4YmQ1Y2JkZmQxMGFiYzU4OWM5Yjox</t>
        </is>
      </c>
      <c r="AH1709" t="inlineStr">
        <is>
          <t>ONE-MAX TRUCKING SERVICES</t>
        </is>
      </c>
      <c r="AI1709"/>
      <c r="AJ1709" t="inlineStr">
        <is>
          <t>LIQUIDITY PLAN (PAR # 202505160019 / 2025TEG-P0041)
PERMITS &amp; LOGISTICS &gt; Trucking and Delivery
Total Budget = Php 30,000.00
This Request = Php 4,256.00
Balance = Php 25,744.00</t>
        </is>
      </c>
      <c r="AK1709"/>
    </row>
    <row r="1710" ht="25.5" customHeight="1">
      <c r="A1710" s="2" t="str">
        <f>=HYPERLINK("https://applink.larksuite.com/client/mini_program/open?appId=cli_9c7cc8a9a9edd105&amp;mode=appCenter&amp;path_pc=pc/pages/requested/index?instanceId=7582462341535567581&amp;source=bitable&amp;path=pages/detail/index?instanceId=7582462341535567581&amp;source=bitable", "202512110060")</f>
        <v>202512110060</v>
      </c>
      <c r="B1710" t="inlineStr">
        <is>
          <t>Approved</t>
        </is>
      </c>
      <c r="C1710" t="inlineStr">
        <is>
          <t>Procurement Order</t>
        </is>
      </c>
      <c r="D1710" s="3">
        <v>46002.54614583333</v>
      </c>
      <c r="E1710" s="3">
        <v>46003.794965277775</v>
      </c>
      <c r="F1710" t="inlineStr">
        <is>
          <t>Fatima Kathleen M. FLores</t>
        </is>
      </c>
      <c r="G1710" t="inlineStr">
        <is>
          <t>Procurement</t>
        </is>
      </c>
      <c r="H1710"/>
      <c r="I1710"/>
      <c r="J1710" t="inlineStr">
        <is>
          <t>Project</t>
        </is>
      </c>
      <c r="K1710" t="inlineStr">
        <is>
          <t>GG - Event Service</t>
        </is>
      </c>
      <c r="L1710" t="inlineStr">
        <is>
          <t>KIC 2025 - Playoffs</t>
        </is>
      </c>
      <c r="M1710" t="inlineStr">
        <is>
          <t>2025TEG-P0321</t>
        </is>
      </c>
      <c r="N1710" t="inlineStr">
        <is>
          <t>Carla Andrea Calma Crespo</t>
        </is>
      </c>
      <c r="O1710" t="inlineStr">
        <is>
          <t>202511240044-Carla Andrea Calma Crespo-费用报销 - 副本 - 副本 - 副本-2025-11-24 06:07:22</t>
        </is>
      </c>
      <c r="P1710" t="inlineStr">
        <is>
          <t>YES</t>
        </is>
      </c>
      <c r="Q1710"/>
      <c r="R1710" t="inlineStr">
        <is>
          <t>NO</t>
        </is>
      </c>
      <c r="S1710" t="inlineStr">
        <is>
          <t>Outsourced Liaison Officer</t>
        </is>
      </c>
      <c r="T1710">
        <v>1</v>
      </c>
      <c r="U1710">
        <v>1650</v>
      </c>
      <c r="V1710" t="inlineStr">
        <is>
          <t>PHP</t>
        </is>
      </c>
      <c r="W1710">
        <v>1650</v>
      </c>
      <c r="X1710" s="2" t="str">
        <f>=HYPERLINK("https://www.larksuite.com/approval/admin/previewAttachment?key=PMgxCgJBDAXQK-UnP_kTL2PjMqiwlaBuMWcXLLZ9NWA1ElFtbHgblnI4y4PIyCzlwPIFqU0QY237vAr-7cd-zPhQx3O977e5vZAtd1OQMcwMl9NDJLuL9nf7BQAA__8", "2 attachment(s)")</f>
        <v>2 attachment(s)</v>
      </c>
      <c r="Y1710" t="inlineStr">
        <is>
          <t>Bank Transfer</t>
        </is>
      </c>
      <c r="Z1710" t="inlineStr">
        <is>
          <t>Lord JC Molines</t>
        </is>
      </c>
      <c r="AA1710" t="inlineStr">
        <is>
          <t>00005 8448 372</t>
        </is>
      </c>
      <c r="AB1710" t="inlineStr">
        <is>
          <t>Security Bank</t>
        </is>
      </c>
      <c r="AC1710" t="inlineStr">
        <is>
          <t>B7 L11 Kingston St. Greenland Ph.1 Nangka Marikina City</t>
        </is>
      </c>
      <c r="AD1710" s="4">
        <v>45992</v>
      </c>
      <c r="AE1710" t="inlineStr">
        <is>
          <t>100% Full Payment - Dec. 19, 2025</t>
        </is>
      </c>
      <c r="AF1710" s="2"/>
      <c r="AG1710" t="inlineStr">
        <is>
          <t>NzQyNTk5MTgyNzQ4MTg3MDM0MTozQjA1N0IyRC1FQzYzLTRFNjYtQkExRS1GNUNCNEU2NTcxQkUtMTplNmQxN2NlZjRkOGVhODQ0NWIyN2FmMWVlZTA4MjlkYzox</t>
        </is>
      </c>
      <c r="AH1710" t="inlineStr">
        <is>
          <t>Lord JC Molines</t>
        </is>
      </c>
      <c r="AI1710"/>
      <c r="AJ1710" t="inlineStr">
        <is>
          <t>LIQUIDITY PLAN (PAR # 202511200098 / 2025TEG-P0321)
PLAYOFFS &gt; LABOR COST (PH MANPOWER) &gt;
OPERATIONS TEAM &gt; Hospitality &gt; 
Liaison Officers - Players
Liaison Officers - Crew/Client
Liaison Officers - VIP/KOLs
Total Remaining Budget = Php 24,200.00
Actual Cost = Php 1,650.00
Balance = Php 22,550.00
^ REFERENCE IS THE UPDATED INTERNAL CE, UPLOADED VIA COMMENT ON DEC. 4, 2025</t>
        </is>
      </c>
      <c r="AK1710"/>
    </row>
    <row r="1711" ht="25.5" customHeight="1">
      <c r="A1711" s="2" t="str">
        <f>=HYPERLINK("https://applink.larksuite.com/client/mini_program/open?appId=cli_9c7cc8a9a9edd105&amp;mode=appCenter&amp;path_pc=pc/pages/requested/index?instanceId=7582463627152658143&amp;source=bitable&amp;path=pages/detail/index?instanceId=7582463627152658143&amp;source=bitable", "202512110061")</f>
        <v>202512110061</v>
      </c>
      <c r="B1711" t="inlineStr">
        <is>
          <t>Approved</t>
        </is>
      </c>
      <c r="C1711" t="inlineStr">
        <is>
          <t>Procurement Order</t>
        </is>
      </c>
      <c r="D1711" s="3">
        <v>46002.54960648148</v>
      </c>
      <c r="E1711" s="3">
        <v>46003.79467592593</v>
      </c>
      <c r="F1711" t="inlineStr">
        <is>
          <t>Fatima Kathleen M. FLores</t>
        </is>
      </c>
      <c r="G1711" t="inlineStr">
        <is>
          <t>Procurement</t>
        </is>
      </c>
      <c r="H1711"/>
      <c r="I1711"/>
      <c r="J1711" t="inlineStr">
        <is>
          <t>Project</t>
        </is>
      </c>
      <c r="K1711" t="inlineStr">
        <is>
          <t>GG - Event Service</t>
        </is>
      </c>
      <c r="L1711" t="inlineStr">
        <is>
          <t>KIC 2025 - Playoffs</t>
        </is>
      </c>
      <c r="M1711" t="inlineStr">
        <is>
          <t>2025TEG-P0321</t>
        </is>
      </c>
      <c r="N1711" t="inlineStr">
        <is>
          <t>Carla Andrea Calma Crespo</t>
        </is>
      </c>
      <c r="O1711" t="inlineStr">
        <is>
          <t>202511240044-Carla Andrea Calma Crespo-费用报销 - 副本 - 副本 - 副本-2025-11-24 06:07:22</t>
        </is>
      </c>
      <c r="P1711" t="inlineStr">
        <is>
          <t>YES</t>
        </is>
      </c>
      <c r="Q1711"/>
      <c r="R1711" t="inlineStr">
        <is>
          <t>NO</t>
        </is>
      </c>
      <c r="S1711" t="inlineStr">
        <is>
          <t>Outsourced Liaison Officer</t>
        </is>
      </c>
      <c r="T1711">
        <v>1</v>
      </c>
      <c r="U1711">
        <v>1650</v>
      </c>
      <c r="V1711" t="inlineStr">
        <is>
          <t>PHP</t>
        </is>
      </c>
      <c r="W1711">
        <v>1650</v>
      </c>
      <c r="X1711" s="2" t="str">
        <f>=HYPERLINK("https://www.larksuite.com/approval/admin/previewAttachment?key=PMgxqgJhDATgK02SSSZ5l3nNvywKaiNs959dsLD9qg3VaVEDjvnAtrKdFeWy9Mo2xvZt0kAmxj6e538zr9cC3Ffrcd_XbZ3H23LkDgUZDcD-fh4iOVPE1_EJAAD__w", "2 attachment(s)")</f>
        <v>2 attachment(s)</v>
      </c>
      <c r="Y1711" t="inlineStr">
        <is>
          <t>Bank Transfer</t>
        </is>
      </c>
      <c r="Z1711" t="inlineStr">
        <is>
          <t>Joana Mariz Pereda Diamse</t>
        </is>
      </c>
      <c r="AA1711" t="inlineStr">
        <is>
          <t>0000071440672</t>
        </is>
      </c>
      <c r="AB1711" t="inlineStr">
        <is>
          <t>Security Bank</t>
        </is>
      </c>
      <c r="AC1711" t="inlineStr">
        <is>
          <t>Building 10, Urban Deca Homes Manila</t>
        </is>
      </c>
      <c r="AD1711" s="4">
        <v>45992</v>
      </c>
      <c r="AE1711" t="inlineStr">
        <is>
          <t>100% Full Payment - Dec. 19, 2025</t>
        </is>
      </c>
      <c r="AF1711" s="2"/>
      <c r="AG1711" t="inlineStr">
        <is>
          <t>NzQyNTk5MTgyNzQ4MTg3MDM0MTo1QzcxQjkzNy0xMjE3LTQxRTYtOThDRS0zNDlFMjg1MERERUQtMTo3NThkZTUyYWViYzVhNDFhODhiZmIyODUwNjk3YjhiMjox</t>
        </is>
      </c>
      <c r="AH1711" t="inlineStr">
        <is>
          <t>Joana Mariz Pereda Diamse</t>
        </is>
      </c>
      <c r="AI1711"/>
      <c r="AJ1711" t="inlineStr">
        <is>
          <t>LIQUIDITY PLAN (PAR # 202511200098 / 2025TEG-P0321)
PLAYOFFS &gt; LABOR COST (PH MANPOWER) &gt;
OPERATIONS TEAM &gt; Hospitality &gt; 
Liaison Officers - Players
Liaison Officers - Crew/Client
Liaison Officers - VIP/KOLs
Total Remaining Budget = Php 22,550.00
Actual Cost = Php 1,650.00
Balance = Php 20,900.00</t>
        </is>
      </c>
      <c r="AK1711"/>
    </row>
    <row r="1712" ht="25.5" customHeight="1">
      <c r="A1712" s="2" t="str">
        <f>=HYPERLINK("https://applink.larksuite.com/client/mini_program/open?appId=cli_9c7cc8a9a9edd105&amp;mode=appCenter&amp;path_pc=pc/pages/requested/index?instanceId=7582464479271620321&amp;source=bitable&amp;path=pages/detail/index?instanceId=7582464479271620321&amp;source=bitable", "202512110062")</f>
        <v>202512110062</v>
      </c>
      <c r="B1712" t="inlineStr">
        <is>
          <t>Approved</t>
        </is>
      </c>
      <c r="C1712" t="inlineStr">
        <is>
          <t>Procurement Order</t>
        </is>
      </c>
      <c r="D1712" s="3">
        <v>46002.55190972222</v>
      </c>
      <c r="E1712" s="3">
        <v>46003.7944212963</v>
      </c>
      <c r="F1712" t="inlineStr">
        <is>
          <t>Fatima Kathleen M. FLores</t>
        </is>
      </c>
      <c r="G1712" t="inlineStr">
        <is>
          <t>Procurement</t>
        </is>
      </c>
      <c r="H1712"/>
      <c r="I1712"/>
      <c r="J1712" t="inlineStr">
        <is>
          <t>Project</t>
        </is>
      </c>
      <c r="K1712" t="inlineStr">
        <is>
          <t>GG - Event Service</t>
        </is>
      </c>
      <c r="L1712" t="inlineStr">
        <is>
          <t>KIC 2025 - Playoffs</t>
        </is>
      </c>
      <c r="M1712" t="inlineStr">
        <is>
          <t>2025TEG-P0321</t>
        </is>
      </c>
      <c r="N1712" t="inlineStr">
        <is>
          <t>Carla Andrea Calma Crespo</t>
        </is>
      </c>
      <c r="O1712" t="inlineStr">
        <is>
          <t>202511240044-Carla Andrea Calma Crespo-费用报销 - 副本 - 副本 - 副本-2025-11-24 06:07:22</t>
        </is>
      </c>
      <c r="P1712" t="inlineStr">
        <is>
          <t>YES</t>
        </is>
      </c>
      <c r="Q1712"/>
      <c r="R1712" t="inlineStr">
        <is>
          <t>NO</t>
        </is>
      </c>
      <c r="S1712" t="inlineStr">
        <is>
          <t>Outsourced Liaison Officer</t>
        </is>
      </c>
      <c r="T1712">
        <v>1</v>
      </c>
      <c r="U1712">
        <v>1650</v>
      </c>
      <c r="V1712" t="inlineStr">
        <is>
          <t>PHP</t>
        </is>
      </c>
      <c r="W1712">
        <v>1650</v>
      </c>
      <c r="X1712" s="2" t="str">
        <f>=HYPERLINK("https://www.larksuite.com/approval/admin/previewAttachment?key=PMgxCgJBDAXQK_2f_E0mXsbGZVBwtxGGbXJ2wcL2xSBibPQoqGgFdm7DFFKWJcPgxrZmZiGZ8t6PeV98Tfml63if60Sv52PuH26VZkiXfADg7e-ekqpC-Dm-AQAA__8", "2 attachment(s)")</f>
        <v>2 attachment(s)</v>
      </c>
      <c r="Y1712" t="inlineStr">
        <is>
          <t>Bank Transfer</t>
        </is>
      </c>
      <c r="Z1712" t="inlineStr">
        <is>
          <t>Gillian Marie Buhay</t>
        </is>
      </c>
      <c r="AA1712" t="inlineStr">
        <is>
          <t>004456001081</t>
        </is>
      </c>
      <c r="AB1712" t="inlineStr">
        <is>
          <t>BDO</t>
        </is>
      </c>
      <c r="AC1712" t="inlineStr">
        <is>
          <t>2511 Viera Residence Sct Tuason Quezon City</t>
        </is>
      </c>
      <c r="AD1712" s="4">
        <v>45992</v>
      </c>
      <c r="AE1712" t="inlineStr">
        <is>
          <t>100% Full Payment - Dec. 19, 2025</t>
        </is>
      </c>
      <c r="AF1712" s="2"/>
      <c r="AG1712" t="inlineStr">
        <is>
          <t>NzQyNTk5MTgyNzQ4MTg3MDM0MTo1RjQzMzRCNi04Mzg0LTREQjEtQjJFMy0wRjE5Q0E5NzFEODItMTowY2M1ZTMwZDUyMWE4YTJkOTlmN2E1NzNlMjVhOTE4MDox</t>
        </is>
      </c>
      <c r="AH1712" t="inlineStr">
        <is>
          <t>Gillian Marie Buhay</t>
        </is>
      </c>
      <c r="AI1712"/>
      <c r="AJ1712" t="inlineStr">
        <is>
          <t>LIQUIDITY PLAN (PAR # 202511200098 / 2025TEG-P0321)
PLAYOFFS &gt; LABOR COST (PH MANPOWER) &gt;
OPERATIONS TEAM &gt; Hospitality &gt; 
Liaison Officers - Players
Liaison Officers - Crew/Client
Liaison Officers - VIP/KOLs
Total Remaining Budget = Php 20,900.00
Actual Cost = Php 1,650.00
Balance = Php 19,250.00</t>
        </is>
      </c>
      <c r="AK1712"/>
    </row>
    <row r="1713" ht="25.5" customHeight="1">
      <c r="A1713" s="2" t="str">
        <f>=HYPERLINK("https://applink.larksuite.com/client/mini_program/open?appId=cli_9c7cc8a9a9edd105&amp;mode=appCenter&amp;path_pc=pc/pages/requested/index?instanceId=7582465720278126301&amp;source=bitable&amp;path=pages/detail/index?instanceId=7582465720278126301&amp;source=bitable", "202512110067")</f>
        <v>202512110067</v>
      </c>
      <c r="B1713" t="inlineStr">
        <is>
          <t>Approved</t>
        </is>
      </c>
      <c r="C1713" t="inlineStr">
        <is>
          <t>Procurement Order</t>
        </is>
      </c>
      <c r="D1713" s="3">
        <v>46002.55525462963</v>
      </c>
      <c r="E1713" s="3">
        <v>46003.793969907405</v>
      </c>
      <c r="F1713" t="inlineStr">
        <is>
          <t>Fatima Kathleen M. FLores</t>
        </is>
      </c>
      <c r="G1713" t="inlineStr">
        <is>
          <t>Procurement</t>
        </is>
      </c>
      <c r="H1713"/>
      <c r="I1713"/>
      <c r="J1713" t="inlineStr">
        <is>
          <t>Project</t>
        </is>
      </c>
      <c r="K1713" t="inlineStr">
        <is>
          <t>GG - Event Service</t>
        </is>
      </c>
      <c r="L1713" t="inlineStr">
        <is>
          <t>KIC 2025 - Playoffs</t>
        </is>
      </c>
      <c r="M1713" t="inlineStr">
        <is>
          <t>2025TEG-P0321</t>
        </is>
      </c>
      <c r="N1713" t="inlineStr">
        <is>
          <t>Carla Andrea Calma Crespo</t>
        </is>
      </c>
      <c r="O1713" t="inlineStr">
        <is>
          <t>202511240044-Carla Andrea Calma Crespo-费用报销 - 副本 - 副本 - 副本-2025-11-24 06:07:22</t>
        </is>
      </c>
      <c r="P1713" t="inlineStr">
        <is>
          <t>YES</t>
        </is>
      </c>
      <c r="Q1713"/>
      <c r="R1713" t="inlineStr">
        <is>
          <t>NO</t>
        </is>
      </c>
      <c r="S1713" t="inlineStr">
        <is>
          <t>Outsourced Liaison Officer</t>
        </is>
      </c>
      <c r="T1713">
        <v>1</v>
      </c>
      <c r="U1713">
        <v>3300</v>
      </c>
      <c r="V1713" t="inlineStr">
        <is>
          <t>PHP</t>
        </is>
      </c>
      <c r="W1713">
        <v>3300</v>
      </c>
      <c r="X1713" s="2" t="str">
        <f>=HYPERLINK("https://www.larksuite.com/approval/admin/previewAttachment?key=PMgxCsJQEATQK83szt_562VsEoKCVmLA4p9dsLB9NYmag1kNNaPB5TFDNRwIT0YluGLRbphWrv15XE_eD2V7e-jTb6zzth37i6MdAaeUEwAvf09L6i7h5_gGAAD__w", "2 attachment(s)")</f>
        <v>2 attachment(s)</v>
      </c>
      <c r="Y1713" t="inlineStr">
        <is>
          <t>Bank Transfer</t>
        </is>
      </c>
      <c r="Z1713" t="inlineStr">
        <is>
          <t>Marc Kevin Serrano</t>
        </is>
      </c>
      <c r="AA1713" t="inlineStr">
        <is>
          <t>1519218972</t>
        </is>
      </c>
      <c r="AB1713" t="inlineStr">
        <is>
          <t>BPI</t>
        </is>
      </c>
      <c r="AC1713" t="inlineStr">
        <is>
          <t>3 Don Guillermo Street, Barangay Holy Spirit, Commonwealth, Quezon City</t>
        </is>
      </c>
      <c r="AD1713" s="4">
        <v>45992</v>
      </c>
      <c r="AE1713" t="inlineStr">
        <is>
          <t>100% Final Payment - Dec. 19, 2025</t>
        </is>
      </c>
      <c r="AF1713" s="2"/>
      <c r="AG1713" t="inlineStr">
        <is>
          <t>NzQyNTk5MTgyNzQ4MTg3MDM0MTpGRDNGMkM0Qi0wMzAzLTQ4QUEtQjFGQy0xOEVBNjI1NDM4QzgtMTpmYjA0NTc3MTI2MTlmOWUxYTI1NDE3YzBjMjk5NThmMTox</t>
        </is>
      </c>
      <c r="AH1713" t="inlineStr">
        <is>
          <t>Marc Kevin Serrano</t>
        </is>
      </c>
      <c r="AI1713"/>
      <c r="AJ1713" t="inlineStr">
        <is>
          <t>LIQUIDITY PLAN (PAR # 202511200098 / 2025TEG-P0321)
PLAYOFFS &gt; LABOR COST (PH MANPOWER) &gt;
OPERATIONS TEAM &gt; Hospitality &gt; 
Liaison Officers - Players
Liaison Officers - Crew/Client
Liaison Officers - VIP/KOLs
Total Remaining Budget = Php 19,250.00
Actual Cost = Php 3,300.00
Balance = Php 15,950.00</t>
        </is>
      </c>
      <c r="AK1713"/>
    </row>
    <row r="1714" ht="25.5" customHeight="1">
      <c r="A1714" s="2" t="str">
        <f>=HYPERLINK("https://applink.larksuite.com/client/mini_program/open?appId=cli_9c7cc8a9a9edd105&amp;mode=appCenter&amp;path_pc=pc/pages/requested/index?instanceId=7582466457204707037&amp;source=bitable&amp;path=pages/detail/index?instanceId=7582466457204707037&amp;source=bitable", "202512110069")</f>
        <v>202512110069</v>
      </c>
      <c r="B1714" t="inlineStr">
        <is>
          <t>Approved</t>
        </is>
      </c>
      <c r="C1714" t="inlineStr">
        <is>
          <t>Procurement Order</t>
        </is>
      </c>
      <c r="D1714" s="3">
        <v>46002.557233796295</v>
      </c>
      <c r="E1714" s="3">
        <v>46003.7934837963</v>
      </c>
      <c r="F1714" t="inlineStr">
        <is>
          <t>Fatima Kathleen M. FLores</t>
        </is>
      </c>
      <c r="G1714" t="inlineStr">
        <is>
          <t>Procurement</t>
        </is>
      </c>
      <c r="H1714"/>
      <c r="I1714"/>
      <c r="J1714" t="inlineStr">
        <is>
          <t>Project</t>
        </is>
      </c>
      <c r="K1714" t="inlineStr">
        <is>
          <t>GG - Event Service</t>
        </is>
      </c>
      <c r="L1714" t="inlineStr">
        <is>
          <t>KIC 2025 - Playoffs</t>
        </is>
      </c>
      <c r="M1714" t="inlineStr">
        <is>
          <t>2025TEG-P0321</t>
        </is>
      </c>
      <c r="N1714" t="inlineStr">
        <is>
          <t>Carla Andrea Calma Crespo</t>
        </is>
      </c>
      <c r="O1714" t="inlineStr">
        <is>
          <t>202511240044-Carla Andrea Calma Crespo-费用报销 - 副本 - 副本 - 副本-2025-11-24 06:07:22</t>
        </is>
      </c>
      <c r="P1714" t="inlineStr">
        <is>
          <t>YES</t>
        </is>
      </c>
      <c r="Q1714"/>
      <c r="R1714" t="inlineStr">
        <is>
          <t>NO</t>
        </is>
      </c>
      <c r="S1714" t="inlineStr">
        <is>
          <t>Outsourced Liaison Officer</t>
        </is>
      </c>
      <c r="T1714">
        <v>1</v>
      </c>
      <c r="U1714">
        <v>1650</v>
      </c>
      <c r="V1714" t="inlineStr">
        <is>
          <t>PHP</t>
        </is>
      </c>
      <c r="W1714">
        <v>1650</v>
      </c>
      <c r="X1714" s="2" t="str">
        <f>=HYPERLINK("https://www.larksuite.com/approval/admin/previewAttachment?key=PMgxDsIwDAXQK33bP_4xl2FpFYEoLEitOuTsSAxdX3ZD9maRBZZ5waZad2ayyUFBCE2fJhVkYsz1Pe7n_hyf7dj8rKOW19wfy1i_1kruUJDRAdjt8hDJqiT-jl8AAAD__w", "2 attachment(s)")</f>
        <v>2 attachment(s)</v>
      </c>
      <c r="Y1714" t="inlineStr">
        <is>
          <t>Bank Transfer</t>
        </is>
      </c>
      <c r="Z1714" t="inlineStr">
        <is>
          <t>Anne Chrisbell M. Regondola</t>
        </is>
      </c>
      <c r="AA1714" t="inlineStr">
        <is>
          <t>09497333227</t>
        </is>
      </c>
      <c r="AB1714" t="inlineStr">
        <is>
          <t>Gcash</t>
        </is>
      </c>
      <c r="AC1714" t="inlineStr">
        <is>
          <t>Blk, 87, Lot 16, CHE-2, Bgry. Dalig, Teresa, Rizal</t>
        </is>
      </c>
      <c r="AD1714" s="4">
        <v>45992</v>
      </c>
      <c r="AE1714" t="inlineStr">
        <is>
          <t>100% Full Payment - Dec. 19, 2025</t>
        </is>
      </c>
      <c r="AF1714" s="2"/>
      <c r="AG1714" t="inlineStr">
        <is>
          <t>NzQyNTk5MTgyNzQ4MTg3MDM0MTo1OTYxRUJFRC1FNDEzLTQyNTItOEVCRS03QjY2MUZDNUE5NkMtMTplZDFkYTdmNmJmZjk2NWMwMDU4ODUxZWUzYjdmYTdkNDox</t>
        </is>
      </c>
      <c r="AH1714" t="inlineStr">
        <is>
          <t>Anne Chrisbell M. Regondola</t>
        </is>
      </c>
      <c r="AI1714"/>
      <c r="AJ1714" t="inlineStr">
        <is>
          <t>LIQUIDITY PLAN (PAR # 202511200098 / 2025TEG-P0321)
PLAYOFFS &gt; LABOR COST (PH MANPOWER) &gt;
OPERATIONS TEAM &gt; Hospitality &gt; 
Liaison Officers - Players
Liaison Officers - Crew/Client
Liaison Officers - VIP/KOLs
Total Remaining Budget = Php 15,950.00
Actual Cost = Php 1,650.00
Balance = Php 14,300.00</t>
        </is>
      </c>
      <c r="AK1714"/>
    </row>
    <row r="1715" ht="25.5" customHeight="1">
      <c r="A1715" s="2" t="str">
        <f>=HYPERLINK("https://applink.larksuite.com/client/mini_program/open?appId=cli_9c7cc8a9a9edd105&amp;mode=appCenter&amp;path_pc=pc/pages/requested/index?instanceId=7582467010802519776&amp;source=bitable&amp;path=pages/detail/index?instanceId=7582467010802519776&amp;source=bitable", "202512110071")</f>
        <v>202512110071</v>
      </c>
      <c r="B1715" t="inlineStr">
        <is>
          <t>Approved</t>
        </is>
      </c>
      <c r="C1715" t="inlineStr">
        <is>
          <t>Procurement Order</t>
        </is>
      </c>
      <c r="D1715" s="3">
        <v>46002.55872685185</v>
      </c>
      <c r="E1715" s="3">
        <v>46003.793229166666</v>
      </c>
      <c r="F1715" t="inlineStr">
        <is>
          <t>Fatima Kathleen M. FLores</t>
        </is>
      </c>
      <c r="G1715" t="inlineStr">
        <is>
          <t>Procurement</t>
        </is>
      </c>
      <c r="H1715"/>
      <c r="I1715"/>
      <c r="J1715" t="inlineStr">
        <is>
          <t>Project</t>
        </is>
      </c>
      <c r="K1715" t="inlineStr">
        <is>
          <t>GG - Event Service</t>
        </is>
      </c>
      <c r="L1715" t="inlineStr">
        <is>
          <t>KIC 2025 - Playoffs</t>
        </is>
      </c>
      <c r="M1715" t="inlineStr">
        <is>
          <t>2025TEG-P0321</t>
        </is>
      </c>
      <c r="N1715" t="inlineStr">
        <is>
          <t>Carla Andrea Calma Crespo</t>
        </is>
      </c>
      <c r="O1715" t="inlineStr">
        <is>
          <t>202511240044-Carla Andrea Calma Crespo-费用报销 - 副本 - 副本 - 副本-2025-11-24 06:07:22</t>
        </is>
      </c>
      <c r="P1715" t="inlineStr">
        <is>
          <t>YES</t>
        </is>
      </c>
      <c r="Q1715"/>
      <c r="R1715" t="inlineStr">
        <is>
          <t>NO</t>
        </is>
      </c>
      <c r="S1715" t="inlineStr">
        <is>
          <t>Outsourced Liaison Officer</t>
        </is>
      </c>
      <c r="T1715">
        <v>1</v>
      </c>
      <c r="U1715">
        <v>1650</v>
      </c>
      <c r="V1715" t="inlineStr">
        <is>
          <t>PHP</t>
        </is>
      </c>
      <c r="W1715">
        <v>1650</v>
      </c>
      <c r="X1715" s="2" t="str">
        <f>=HYPERLINK("https://www.larksuite.com/approval/admin/previewAttachment?key=PMgxrgIxDATQK804E4_9L_MbVhEFWyEtosjZkShoXxaRNTmyoWY0uD0rlAZRiMm2c8em3TCtsY9z_SteD85FnfWe19rX_baOJ2c7Ah7SKAD8-_mwpO4Uvo5PAAAA__8", "2 attachment(s)")</f>
        <v>2 attachment(s)</v>
      </c>
      <c r="Y1715" t="inlineStr">
        <is>
          <t>Bank Transfer</t>
        </is>
      </c>
      <c r="Z1715" t="inlineStr">
        <is>
          <t>JOHN JOSEPH SANCHEZ</t>
        </is>
      </c>
      <c r="AA1715" t="inlineStr">
        <is>
          <t>2487023763</t>
        </is>
      </c>
      <c r="AB1715" t="inlineStr">
        <is>
          <t>Landbank</t>
        </is>
      </c>
      <c r="AC1715" t="inlineStr">
        <is>
          <t>B7 L11 Kingston St. Greenland Ph.1 Nangka Marikina City</t>
        </is>
      </c>
      <c r="AD1715" s="4">
        <v>45992</v>
      </c>
      <c r="AE1715" t="inlineStr">
        <is>
          <t>100% Full Payment - Dec. 19, 2025</t>
        </is>
      </c>
      <c r="AF1715" s="2"/>
      <c r="AG1715" t="inlineStr">
        <is>
          <t>NzQyNTk5MTgyNzQ4MTg3MDM0MTo4NjFDNUQ1RC0zQ0YyLTQwOUItODE3Qi0xMzBDOERGMDU1RjgtMTpmMWU2YTMyMzg3MWIzM2E2MTIyMmYwODRkODhlMzJiMzox</t>
        </is>
      </c>
      <c r="AH1715" t="inlineStr">
        <is>
          <t>JOHN JOSEPH SANCHEZ</t>
        </is>
      </c>
      <c r="AI1715"/>
      <c r="AJ1715" t="inlineStr">
        <is>
          <t>LIQUIDITY PLAN (PAR # 202511200098 / 2025TEG-P0321)
PLAYOFFS &gt; LABOR COST (PH MANPOWER) &gt;
OPERATIONS TEAM &gt; Hospitality &gt; 
Liaison Officers - Players
Liaison Officers - Crew/Client
Liaison Officers - VIP/KOLs
Total Remaining Budget = Php 14,300.00
Actual Cost = Php 1,650.00
Balance = Php 12,650.00</t>
        </is>
      </c>
      <c r="AK1715"/>
    </row>
    <row r="1716" ht="25.5" customHeight="1">
      <c r="A1716" s="2" t="str">
        <f>=HYPERLINK("https://applink.larksuite.com/client/mini_program/open?appId=cli_9c7cc8a9a9edd105&amp;mode=appCenter&amp;path_pc=pc/pages/requested/index?instanceId=7582484967234522849&amp;source=bitable&amp;path=pages/detail/index?instanceId=7582484967234522849&amp;source=bitable", "202512110089")</f>
        <v>202512110089</v>
      </c>
      <c r="B1716" t="inlineStr">
        <is>
          <t>Approved</t>
        </is>
      </c>
      <c r="C1716" t="inlineStr">
        <is>
          <t>Procurement Order</t>
        </is>
      </c>
      <c r="D1716" s="3">
        <v>46002.60711805556</v>
      </c>
      <c r="E1716" s="3">
        <v>46002.8303125</v>
      </c>
      <c r="F1716" t="inlineStr">
        <is>
          <t>Fatima Kathleen M. FLores</t>
        </is>
      </c>
      <c r="G1716" t="inlineStr">
        <is>
          <t>Procurement</t>
        </is>
      </c>
      <c r="H1716"/>
      <c r="I1716"/>
      <c r="J1716" t="inlineStr">
        <is>
          <t>Project</t>
        </is>
      </c>
      <c r="K1716" t="inlineStr">
        <is>
          <t>GG - Event Service</t>
        </is>
      </c>
      <c r="L1716" t="inlineStr">
        <is>
          <t>KIC 2025 - Carnival [Playoffs]</t>
        </is>
      </c>
      <c r="M1716" t="inlineStr">
        <is>
          <t>2025TEG-P0316</t>
        </is>
      </c>
      <c r="N1716" t="inlineStr">
        <is>
          <t>Maura Aurel Atilano Yap</t>
        </is>
      </c>
      <c r="O1716" t="inlineStr">
        <is>
          <t>202511200099-Maura Aurel Atilano Yap-费用报销 - 副本 - 副本 - 副本-2025-11-20 08:37:15</t>
        </is>
      </c>
      <c r="P1716" t="inlineStr">
        <is>
          <t>YES</t>
        </is>
      </c>
      <c r="Q1716"/>
      <c r="R1716" t="inlineStr">
        <is>
          <t>NO</t>
        </is>
      </c>
      <c r="S1716" t="inlineStr">
        <is>
          <t>Outsourced Registration Manpower</t>
        </is>
      </c>
      <c r="T1716">
        <v>1</v>
      </c>
      <c r="U1716">
        <v>10800</v>
      </c>
      <c r="V1716" t="inlineStr">
        <is>
          <t>PHP</t>
        </is>
      </c>
      <c r="W1716">
        <v>10800</v>
      </c>
      <c r="X1716" s="2" t="str">
        <f>=HYPERLINK("https://www.larksuite.com/approval/admin/previewAttachment?key=PMgxCsJQEATQK83uzv-z42VsDEEMgiAEm392wcL2zQ7MHlHToCONWBqdbHoqiyOz6ZUrJEMh1tqe-1WRn1dtj_aJYxzrvN_27R3DyoSKrAYQl7-XSNqT-Dm-AQAA__8", "2 attachment(s)")</f>
        <v>2 attachment(s)</v>
      </c>
      <c r="Y1716" t="inlineStr">
        <is>
          <t>Bank Transfer</t>
        </is>
      </c>
      <c r="Z1716" t="inlineStr">
        <is>
          <t>Jhun Aldrin Manes</t>
        </is>
      </c>
      <c r="AA1716" t="inlineStr">
        <is>
          <t>09668330217</t>
        </is>
      </c>
      <c r="AB1716" t="inlineStr">
        <is>
          <t>GCASH</t>
        </is>
      </c>
      <c r="AC1716" t="inlineStr">
        <is>
          <t>2042 Candido St. Brgy. Mapulang Lupa. Valenzuela City</t>
        </is>
      </c>
      <c r="AD1716" s="4">
        <v>45989</v>
      </c>
      <c r="AE1716" t="inlineStr">
        <is>
          <t>100% Full Payment - Dec. 12, 2025</t>
        </is>
      </c>
      <c r="AF1716" s="2"/>
      <c r="AG1716" t="inlineStr">
        <is>
          <t>NzQyNTk5MTgyNzQ4MTg3MDM0MTpBOEM1QUVDRC0wODgxLTRCNDgtQjVCMC0zMTg3NUY4MTM4MTUtMTo2ZDI3NTMxMWRlYTMzNzY5YmNlODA0NWQ5YjRlMzBjNDox</t>
        </is>
      </c>
      <c r="AH1716" t="inlineStr">
        <is>
          <t>Jhun Aldrin Manes</t>
        </is>
      </c>
      <c r="AI1716"/>
      <c r="AJ1716" t="inlineStr">
        <is>
          <t>LIQUIDITY PLAN (PAR # 202511190039 / 2025TEG-P0316)
MANPOWER &gt; GRAND FINALS &gt;
Registration - Manpower
Total Remaining Budget = Php 6,000.00
Actual Cost = Php 10,800.00
Balance = (Php 4,800.00) OVER BUDGET TO BE CHARGED TO MINI BATTLE CE:
LIQUIDITY PLAN (PAR # 202511190046 / 2025TEG-P0319)
MANPOWER &gt; GRAND FINALS &gt;
Logistics &gt; Registration - Manpower
Total Budget = Php 5,400.00
Actual Cost = Php 4,800.00
Balance = Php 600.00</t>
        </is>
      </c>
      <c r="AK1716"/>
    </row>
    <row r="1717" ht="25.5" customHeight="1">
      <c r="A1717" s="2" t="str">
        <f>=HYPERLINK("https://applink.larksuite.com/client/mini_program/open?appId=cli_9c7cc8a9a9edd105&amp;mode=appCenter&amp;path_pc=pc/pages/requested/index?instanceId=7582556221991882463&amp;source=bitable&amp;path=pages/detail/index?instanceId=7582556221991882463&amp;source=bitable", "202512110136")</f>
        <v>202512110136</v>
      </c>
      <c r="B1717" t="inlineStr">
        <is>
          <t>Approved</t>
        </is>
      </c>
      <c r="C1717" t="inlineStr">
        <is>
          <t>Procurement Order</t>
        </is>
      </c>
      <c r="D1717" s="3">
        <v>46002.79913194444</v>
      </c>
      <c r="E1717" s="3">
        <v>46003.824953703705</v>
      </c>
      <c r="F1717" t="inlineStr">
        <is>
          <t>Fatima Kathleen M. FLores</t>
        </is>
      </c>
      <c r="G1717" t="inlineStr">
        <is>
          <t>Procurement</t>
        </is>
      </c>
      <c r="H1717"/>
      <c r="I1717"/>
      <c r="J1717" t="inlineStr">
        <is>
          <t>Project</t>
        </is>
      </c>
      <c r="K1717" t="inlineStr">
        <is>
          <t>GG - Event Service</t>
        </is>
      </c>
      <c r="L1717" t="inlineStr">
        <is>
          <t>KIC 2025 - Playoffs</t>
        </is>
      </c>
      <c r="M1717" t="inlineStr">
        <is>
          <t>2025TEG-P0321</t>
        </is>
      </c>
      <c r="N1717" t="inlineStr">
        <is>
          <t>Carla Andrea Calma Crespo</t>
        </is>
      </c>
      <c r="O1717" t="inlineStr">
        <is>
          <t>202512010175-Carla Andrea Calma Crespo-费用报销 - 副本 - 副本 - 副本-2025-12-01 12:19:10</t>
        </is>
      </c>
      <c r="P1717" t="inlineStr">
        <is>
          <t>YES</t>
        </is>
      </c>
      <c r="Q1717"/>
      <c r="R1717" t="inlineStr">
        <is>
          <t>YES</t>
        </is>
      </c>
      <c r="S1717" t="inlineStr">
        <is>
          <t>Outsourced Road Manager</t>
        </is>
      </c>
      <c r="T1717">
        <v>1</v>
      </c>
      <c r="U1717">
        <v>14000</v>
      </c>
      <c r="V1717" t="inlineStr">
        <is>
          <t>PHP</t>
        </is>
      </c>
      <c r="W1717">
        <v>14000</v>
      </c>
      <c r="X1717" s="2" t="str">
        <f>=HYPERLINK("https://www.larksuite.com/approval/admin/previewAttachment?key=PMg9CsJAEAXgK8178-9lbAxBDAmCkNVizy5Y2H5RkCiHRos12IKZXnQPEt2oooVOTmS2JNJ0Lvt65TnG4-C27cfz4-953m_r8oJ3kpJqpiUiuPxd08y6w-Tn8g0AAP__", "2 attachment(s)")</f>
        <v>2 attachment(s)</v>
      </c>
      <c r="Y1717" t="inlineStr">
        <is>
          <t>Bank Transfer</t>
        </is>
      </c>
      <c r="Z1717" t="inlineStr">
        <is>
          <t>Lorenzo S. Joaquin</t>
        </is>
      </c>
      <c r="AA1717" t="inlineStr">
        <is>
          <t>09670566726</t>
        </is>
      </c>
      <c r="AB1717" t="inlineStr">
        <is>
          <t>GCash</t>
        </is>
      </c>
      <c r="AC1717" t="inlineStr">
        <is>
          <t>31a Allajur St Zone 3 Nia Npc Fairview Q.C</t>
        </is>
      </c>
      <c r="AD1717" s="4">
        <v>45985</v>
      </c>
      <c r="AE1717" t="inlineStr">
        <is>
          <t>100% Full Payment - Dec. 19, 2025</t>
        </is>
      </c>
      <c r="AF1717" s="2"/>
      <c r="AG1717" t="inlineStr">
        <is>
          <t>NzQyNTk5MTgyNzQ4MTg3MDM0MTpGNTUxRDJFNy03NDcwLTQxOEEtQjJCRS1DRUUxMDIwNkJBQzQtMTpjYWM3Y2RlMTRmZjkyZDk4YjYzMmY3ZWJmYTE2NzU5Yzox</t>
        </is>
      </c>
      <c r="AH1717" t="inlineStr">
        <is>
          <t>Lorenzo S. Joaquin</t>
        </is>
      </c>
      <c r="AI1717"/>
      <c r="AJ1717" t="inlineStr">
        <is>
          <t>No line item in internal CE.
^ REFERENCE INTERNAL CE IS THE ONE ATTACHED AS COMMENT IN PAR, DATED DEC. 4, 2025</t>
        </is>
      </c>
      <c r="AK1717"/>
    </row>
    <row r="1718" ht="25.5" customHeight="1">
      <c r="A1718" s="2" t="str">
        <f>=HYPERLINK("https://applink.larksuite.com/client/mini_program/open?appId=cli_9c7cc8a9a9edd105&amp;mode=appCenter&amp;path_pc=pc/pages/requested/index?instanceId=7582127763025366749&amp;source=bitable&amp;path=pages/detail/index?instanceId=7582127763025366749&amp;source=bitable", "202512100074")</f>
        <v>202512100074</v>
      </c>
      <c r="B1718" t="inlineStr">
        <is>
          <t>Approved</t>
        </is>
      </c>
      <c r="C1718" t="inlineStr">
        <is>
          <t>Procurement Order</t>
        </is>
      </c>
      <c r="D1718" s="3">
        <v>46001.644525462965</v>
      </c>
      <c r="E1718" s="3">
        <v>46003.79855324074</v>
      </c>
      <c r="F1718" t="inlineStr">
        <is>
          <t>Fatima Kathleen M. FLores</t>
        </is>
      </c>
      <c r="G1718" t="inlineStr">
        <is>
          <t>Procurement</t>
        </is>
      </c>
      <c r="H1718"/>
      <c r="I1718"/>
      <c r="J1718" t="inlineStr">
        <is>
          <t>Project</t>
        </is>
      </c>
      <c r="K1718" t="inlineStr">
        <is>
          <t>GG - Event Service</t>
        </is>
      </c>
      <c r="L1718" t="inlineStr">
        <is>
          <t>KIC 2025 - Playoffs</t>
        </is>
      </c>
      <c r="M1718" t="inlineStr">
        <is>
          <t>2025TEG-P0321</t>
        </is>
      </c>
      <c r="N1718" t="inlineStr">
        <is>
          <t>Carla Andrea Calma Crespo</t>
        </is>
      </c>
      <c r="O1718" t="inlineStr">
        <is>
          <t>202511250028-Carla Andrea Calma Crespo-费用报销 - 副本 - 副本 - 副本-2025-11-25 04:28:22</t>
        </is>
      </c>
      <c r="P1718" t="inlineStr">
        <is>
          <t>YES</t>
        </is>
      </c>
      <c r="Q1718"/>
      <c r="R1718" t="inlineStr">
        <is>
          <t>YES</t>
        </is>
      </c>
      <c r="S1718" t="inlineStr">
        <is>
          <t>Outsourced Assistant Talent Manager</t>
        </is>
      </c>
      <c r="T1718">
        <v>1</v>
      </c>
      <c r="U1718">
        <v>6600</v>
      </c>
      <c r="V1718" t="inlineStr">
        <is>
          <t>PHP</t>
        </is>
      </c>
      <c r="W1718">
        <v>6600</v>
      </c>
      <c r="X1718" s="2" t="str">
        <f>=HYPERLINK("https://www.larksuite.com/approval/admin/previewAttachment?key=PMgxCkIxEATQK83sbnayXsYmIShoJXy1yNkFi9--7ET2Rs9CFK3ArdaNJqXDmmcqatumVBAVvudzXZdzHt_3_WFD49P2cRtrvthKZpBHeAfAy-muiKjKwN_xCwAA__8", "2 attachment(s)")</f>
        <v>2 attachment(s)</v>
      </c>
      <c r="Y1718" t="inlineStr">
        <is>
          <t>Bank Transfer</t>
        </is>
      </c>
      <c r="Z1718" t="inlineStr">
        <is>
          <t>Kimberly Diamse</t>
        </is>
      </c>
      <c r="AA1718" t="inlineStr">
        <is>
          <t>0905-279-4340</t>
        </is>
      </c>
      <c r="AB1718" t="inlineStr">
        <is>
          <t>PayMaya</t>
        </is>
      </c>
      <c r="AC1718" t="inlineStr">
        <is>
          <t>2364 Coral Street San Andres Bukid Manila</t>
        </is>
      </c>
      <c r="AD1718" s="4">
        <v>45988</v>
      </c>
      <c r="AE1718" t="inlineStr">
        <is>
          <t>100% Full Payment - Dec. 19, 2025</t>
        </is>
      </c>
      <c r="AF1718" s="2"/>
      <c r="AG1718" t="inlineStr">
        <is>
          <t>NzQyNTk5MTgyNzQ4MTg3MDM0MTo4RjQwNjMxNy1DQzkyLTQ2RTItQjYyNS1CNEE3NjA4NEY0NjctMTo2ZGU3MGQzYzU1ZGM0MzM5NWQxNDMzN2M5NDUwY2E4ODox</t>
        </is>
      </c>
      <c r="AH1718" t="inlineStr">
        <is>
          <t>Kimberly Diamse</t>
        </is>
      </c>
      <c r="AI1718"/>
      <c r="AJ1718" t="inlineStr">
        <is>
          <t>No line item in the internal CE. Unbudgeted.
^ THIS IS BASED ON AN UPDATED INTERNAL CE, ATTACHED AS A COMMENT TO THE PAR ON DEC. 4, 2025</t>
        </is>
      </c>
      <c r="AK1718"/>
    </row>
    <row r="1719" ht="25.5" customHeight="1">
      <c r="A1719" s="2" t="str">
        <f>=HYPERLINK("https://applink.larksuite.com/client/mini_program/open?appId=cli_9c7cc8a9a9edd105&amp;mode=appCenter&amp;path_pc=pc/pages/requested/index?instanceId=7582431311764197088&amp;source=bitable&amp;path=pages/detail/index?instanceId=7582431311764197088&amp;source=bitable", "202512110023")</f>
        <v>202512110023</v>
      </c>
      <c r="B1719" t="inlineStr">
        <is>
          <t>Approved</t>
        </is>
      </c>
      <c r="C1719" t="inlineStr">
        <is>
          <t>Procurement Order</t>
        </is>
      </c>
      <c r="D1719" s="3">
        <v>46002.46252314815</v>
      </c>
      <c r="E1719" s="3">
        <v>46003.79704861111</v>
      </c>
      <c r="F1719" t="inlineStr">
        <is>
          <t>Fatima Kathleen M. FLores</t>
        </is>
      </c>
      <c r="G1719" t="inlineStr">
        <is>
          <t>Procurement</t>
        </is>
      </c>
      <c r="H1719"/>
      <c r="I1719"/>
      <c r="J1719" t="inlineStr">
        <is>
          <t>Project</t>
        </is>
      </c>
      <c r="K1719" t="inlineStr">
        <is>
          <t>GG - Event Service</t>
        </is>
      </c>
      <c r="L1719" t="inlineStr">
        <is>
          <t>KIC 2025 - Playoffs</t>
        </is>
      </c>
      <c r="M1719" t="inlineStr">
        <is>
          <t>2025TEG-P0321</t>
        </is>
      </c>
      <c r="N1719" t="inlineStr">
        <is>
          <t>Carla Andrea Calma Crespo</t>
        </is>
      </c>
      <c r="O1719" t="inlineStr">
        <is>
          <t>202511280092-Carla Andrea Calma Crespo-费用报销 - 副本 - 副本 - 副本-2025-11-28 11:17:23</t>
        </is>
      </c>
      <c r="P1719" t="inlineStr">
        <is>
          <t>NO</t>
        </is>
      </c>
      <c r="Q1719"/>
      <c r="R1719" t="inlineStr">
        <is>
          <t>YES</t>
        </is>
      </c>
      <c r="S1719" t="inlineStr">
        <is>
          <t>A4 CUECARD</t>
        </is>
      </c>
      <c r="T1719">
        <v>8</v>
      </c>
      <c r="U1719">
        <v>115</v>
      </c>
      <c r="V1719" t="inlineStr">
        <is>
          <t>PHP</t>
        </is>
      </c>
      <c r="W1719">
        <v>920</v>
      </c>
      <c r="X1719" s="2"/>
      <c r="Y1719" t="inlineStr">
        <is>
          <t>Bank Transfer</t>
        </is>
      </c>
      <c r="Z1719" t="inlineStr">
        <is>
          <t>iLIGHT PRODUCTION</t>
        </is>
      </c>
      <c r="AA1719" t="inlineStr">
        <is>
          <t>007960010274</t>
        </is>
      </c>
      <c r="AB1719" t="inlineStr">
        <is>
          <t>BDO</t>
        </is>
      </c>
      <c r="AC1719" t="inlineStr">
        <is>
          <t>3791 Mascardo St. Brgy, Sta Cruz, Makati City</t>
        </is>
      </c>
      <c r="AD1719" s="4">
        <v>45987</v>
      </c>
      <c r="AE1719" t="inlineStr">
        <is>
          <t>100% Full Payment</t>
        </is>
      </c>
      <c r="AF1719" s="2"/>
      <c r="AG1719" t="inlineStr">
        <is>
          <t>NzQyNTk5MTgyNzQ4MTg3MDM0MTo3Qzk0MUVEQy1BMzM3LTRBNzEtQjU0Mi02RjgxQzdBNkVGMTItMTo2YTljMTBlNDhlMmVkYjRkOTE1YmYyNGFhYWI4MTU2ODox</t>
        </is>
      </c>
      <c r="AH1719" t="inlineStr">
        <is>
          <t>iLIGHT PRODUCTION</t>
        </is>
      </c>
      <c r="AI1719"/>
      <c r="AJ1719" t="inlineStr">
        <is>
          <t>LIQUIDITY PLAN (PAR # 202511200098 / 2025TEG-P0321)
COLLATERAL &amp; VENUE SKINNING &gt; Print &amp; Collateral &gt;
Print &amp; Collateral (INTERNAL)
Total Budget = Php 14,000.00
Actual Cost = Php 3,575.00
Balance = Php 10,425.00
^ THIS IS BASED ON THE UPDATED INTERNAL CE, ATTACHED AS A COMMENT ON DEC. 4, 2025.</t>
        </is>
      </c>
      <c r="AK1719"/>
    </row>
    <row r="1720" ht="25.5" customHeight="1">
      <c r="A1720" s="2" t="str">
        <f>=HYPERLINK("https://applink.larksuite.com/client/mini_program/open?appId=cli_9c7cc8a9a9edd105&amp;mode=appCenter&amp;path_pc=pc/pages/requested/index?instanceId=7582431311764197088&amp;source=bitable&amp;path=pages/detail/index?instanceId=7582431311764197088&amp;source=bitable", "202512110023")</f>
        <v>202512110023</v>
      </c>
      <c r="B1720" t="inlineStr">
        <is>
          <t>Approved</t>
        </is>
      </c>
      <c r="C1720" t="inlineStr">
        <is>
          <t>Procurement Order</t>
        </is>
      </c>
      <c r="D1720" s="3">
        <v>46002.46252314815</v>
      </c>
      <c r="E1720" s="3">
        <v>46003.79704861111</v>
      </c>
      <c r="F1720" t="inlineStr">
        <is>
          <t>Fatima Kathleen M. FLores</t>
        </is>
      </c>
      <c r="G1720" t="inlineStr">
        <is>
          <t>Procurement</t>
        </is>
      </c>
      <c r="H1720"/>
      <c r="I1720"/>
      <c r="J1720" t="inlineStr">
        <is>
          <t>Project</t>
        </is>
      </c>
      <c r="K1720" t="inlineStr">
        <is>
          <t>GG - Event Service</t>
        </is>
      </c>
      <c r="L1720" t="inlineStr">
        <is>
          <t>KIC 2025 - Playoffs</t>
        </is>
      </c>
      <c r="M1720" t="inlineStr">
        <is>
          <t>2025TEG-P0321</t>
        </is>
      </c>
      <c r="N1720" t="inlineStr">
        <is>
          <t>Carla Andrea Calma Crespo</t>
        </is>
      </c>
      <c r="O1720" t="inlineStr">
        <is>
          <t>202511280092-Carla Andrea Calma Crespo-费用报销 - 副本 - 副本 - 副本-2025-11-28 11:17:23</t>
        </is>
      </c>
      <c r="P1720" t="inlineStr">
        <is>
          <t>NO</t>
        </is>
      </c>
      <c r="Q1720"/>
      <c r="R1720" t="inlineStr">
        <is>
          <t>YES</t>
        </is>
      </c>
      <c r="S1720" t="inlineStr">
        <is>
          <t>16.5” X 23.39” EXIT/ENTRANCE SIGNAGE</t>
        </is>
      </c>
      <c r="T1720">
        <v>2</v>
      </c>
      <c r="U1720">
        <v>580</v>
      </c>
      <c r="V1720" t="inlineStr">
        <is>
          <t>PHP</t>
        </is>
      </c>
      <c r="W1720">
        <v>1160</v>
      </c>
      <c r="X1720" s="2"/>
      <c r="Y1720"/>
      <c r="Z1720"/>
      <c r="AA1720"/>
      <c r="AB1720"/>
      <c r="AC1720"/>
      <c r="AD1720" s="4"/>
      <c r="AE1720"/>
      <c r="AF1720" s="2"/>
      <c r="AG1720" t="inlineStr">
        <is>
          <t>NzQyNTk5MTgyNzQ4MTg3MDM0MTo3Qzk0MUVEQy1BMzM3LTRBNzEtQjU0Mi02RjgxQzdBNkVGMTItMjpkNDU5YjFjODdmZjdlMTM2NmJmYjNkZjdjN2MxOTdjYjox</t>
        </is>
      </c>
      <c r="AH1720"/>
      <c r="AI1720"/>
      <c r="AJ1720" t="inlineStr">
        <is>
          <t>LIQUIDITY PLAN (PAR # 202511200098 / 2025TEG-P0321)
COLLATERAL &amp; VENUE SKINNING &gt; Print &amp; Collateral &gt;
Print &amp; Collateral (INTERNAL)
Total Budget = Php 14,000.00
Actual Cost = Php 3,575.00
Balance = Php 10,425.00
^ THIS IS BASED ON THE UPDATED INTERNAL CE, ATTACHED AS A COMMENT ON DEC. 4, 2025.</t>
        </is>
      </c>
      <c r="AK1720"/>
    </row>
    <row r="1721" ht="25.5" customHeight="1">
      <c r="A1721" s="2" t="str">
        <f>=HYPERLINK("https://applink.larksuite.com/client/mini_program/open?appId=cli_9c7cc8a9a9edd105&amp;mode=appCenter&amp;path_pc=pc/pages/requested/index?instanceId=7582431311764197088&amp;source=bitable&amp;path=pages/detail/index?instanceId=7582431311764197088&amp;source=bitable", "202512110023")</f>
        <v>202512110023</v>
      </c>
      <c r="B1721" t="inlineStr">
        <is>
          <t>Approved</t>
        </is>
      </c>
      <c r="C1721" t="inlineStr">
        <is>
          <t>Procurement Order</t>
        </is>
      </c>
      <c r="D1721" s="3">
        <v>46002.46252314815</v>
      </c>
      <c r="E1721" s="3">
        <v>46003.79704861111</v>
      </c>
      <c r="F1721" t="inlineStr">
        <is>
          <t>Fatima Kathleen M. FLores</t>
        </is>
      </c>
      <c r="G1721" t="inlineStr">
        <is>
          <t>Procurement</t>
        </is>
      </c>
      <c r="H1721"/>
      <c r="I1721"/>
      <c r="J1721" t="inlineStr">
        <is>
          <t>Project</t>
        </is>
      </c>
      <c r="K1721" t="inlineStr">
        <is>
          <t>GG - Event Service</t>
        </is>
      </c>
      <c r="L1721" t="inlineStr">
        <is>
          <t>KIC 2025 - Playoffs</t>
        </is>
      </c>
      <c r="M1721" t="inlineStr">
        <is>
          <t>2025TEG-P0321</t>
        </is>
      </c>
      <c r="N1721" t="inlineStr">
        <is>
          <t>Carla Andrea Calma Crespo</t>
        </is>
      </c>
      <c r="O1721" t="inlineStr">
        <is>
          <t>202511280092-Carla Andrea Calma Crespo-费用报销 - 副本 - 副本 - 副本-2025-11-28 11:17:23</t>
        </is>
      </c>
      <c r="P1721" t="inlineStr">
        <is>
          <t>NO</t>
        </is>
      </c>
      <c r="Q1721"/>
      <c r="R1721" t="inlineStr">
        <is>
          <t>YES</t>
        </is>
      </c>
      <c r="S1721" t="inlineStr">
        <is>
          <t>A4 DIRECTION SIGNAGE</t>
        </is>
      </c>
      <c r="T1721">
        <v>13</v>
      </c>
      <c r="U1721">
        <v>115</v>
      </c>
      <c r="V1721" t="inlineStr">
        <is>
          <t>PHP</t>
        </is>
      </c>
      <c r="W1721">
        <v>1495</v>
      </c>
      <c r="X1721" s="2" t="str">
        <f>=HYPERLINK("https://www.larksuite.com/approval/admin/previewAttachment?key=PMgxrsJADATQK83Yszv2v8xviCIUJRUCqj07EgXtm0XMGszZUDMaXB4VSibpKbZRtWLRbphWru3a_xXvk-bJY_R1PNfrftu3B0c7Ak4pCwD_fp6W1D2Fr8cnAAD__w", "2 attachment(s)")</f>
        <v>2 attachment(s)</v>
      </c>
      <c r="Y1721"/>
      <c r="Z1721"/>
      <c r="AA1721"/>
      <c r="AB1721"/>
      <c r="AC1721"/>
      <c r="AD1721" s="4"/>
      <c r="AE1721"/>
      <c r="AF1721" s="2"/>
      <c r="AG1721" t="inlineStr">
        <is>
          <t>NzQyNTk5MTgyNzQ4MTg3MDM0MTo3Qzk0MUVEQy1BMzM3LTRBNzEtQjU0Mi02RjgxQzdBNkVGMTItMzoxMjU0YzIxMWFkOTU0NDkwMDNiNWE2NDc0OTY0OWZhYTox</t>
        </is>
      </c>
      <c r="AH1721"/>
      <c r="AI1721"/>
      <c r="AJ1721" t="inlineStr">
        <is>
          <t>LIQUIDITY PLAN (PAR # 202511200098 / 2025TEG-P0321)
COLLATERAL &amp; VENUE SKINNING &gt; Print &amp; Collateral &gt;
Print &amp; Collateral (INTERNAL)
Total Budget = Php 14,000.00
Actual Cost = Php 3,575.00
Balance = Php 10,425.00
^ THIS IS BASED ON THE UPDATED INTERNAL CE, ATTACHED AS A COMMENT ON DEC. 4, 2025.</t>
        </is>
      </c>
      <c r="AK1721"/>
    </row>
    <row r="1722" ht="25.5" customHeight="1">
      <c r="A1722" s="2" t="str">
        <f>=HYPERLINK("https://applink.larksuite.com/client/mini_program/open?appId=cli_9c7cc8a9a9edd105&amp;mode=appCenter&amp;path_pc=pc/pages/requested/index?instanceId=7583919644155580128&amp;source=bitable&amp;path=pages/detail/index?instanceId=7583919644155580128&amp;source=bitable", "202512150020")</f>
        <v>202512150020</v>
      </c>
      <c r="B1722" t="inlineStr">
        <is>
          <t>Approved</t>
        </is>
      </c>
      <c r="C1722" t="inlineStr">
        <is>
          <t>Procurement Order</t>
        </is>
      </c>
      <c r="D1722" s="3">
        <v>46006.473287037035</v>
      </c>
      <c r="E1722" s="3">
        <v>46006.710023148145</v>
      </c>
      <c r="F1722" t="inlineStr">
        <is>
          <t>Fatima Kathleen M. FLores</t>
        </is>
      </c>
      <c r="G1722" t="inlineStr">
        <is>
          <t>Procurement</t>
        </is>
      </c>
      <c r="H1722"/>
      <c r="I1722"/>
      <c r="J1722" t="inlineStr">
        <is>
          <t>Project</t>
        </is>
      </c>
      <c r="K1722" t="inlineStr">
        <is>
          <t>GG - Event Service</t>
        </is>
      </c>
      <c r="L1722" t="inlineStr">
        <is>
          <t>Crossfire Legends Public Test Launch</t>
        </is>
      </c>
      <c r="M1722" t="inlineStr">
        <is>
          <t>2025TEG-P0322</t>
        </is>
      </c>
      <c r="N1722" t="inlineStr">
        <is>
          <t>Vincent Bryan Velasco Tan</t>
        </is>
      </c>
      <c r="O1722" t="inlineStr">
        <is>
          <t>202512080033-Vincent Bryan Velasco Tan-费用报销 - 副本 - 副本 - 副本-2025-12-08 06:56:46</t>
        </is>
      </c>
      <c r="P1722" t="inlineStr">
        <is>
          <t>YES</t>
        </is>
      </c>
      <c r="Q1722"/>
      <c r="R1722" t="inlineStr">
        <is>
          <t>NO</t>
        </is>
      </c>
      <c r="S1722" t="inlineStr">
        <is>
          <t>Outsourced Interpreter (Bahasa Indonesia to English)</t>
        </is>
      </c>
      <c r="T1722">
        <v>1</v>
      </c>
      <c r="U1722">
        <v>10000</v>
      </c>
      <c r="V1722" t="inlineStr">
        <is>
          <t>PHP</t>
        </is>
      </c>
      <c r="W1722">
        <v>10000</v>
      </c>
      <c r="X1722" s="2" t="str">
        <f>=HYPERLINK("https://www.larksuite.com/approval/admin/previewAttachment?key=PMhBCsJQDATQK838JD8ZL-OmpahoEaTd5eyCC7dvFjEraFNwcQjsjDJR050RUeCoHs1MIZluvb626zOO48794OPcF737vC3b-mEox0CauxUAXv5u6e7SdPwc3wAAAP__", "2 attachment(s)")</f>
        <v>2 attachment(s)</v>
      </c>
      <c r="Y1722" t="inlineStr">
        <is>
          <t>Bank Transfer</t>
        </is>
      </c>
      <c r="Z1722" t="inlineStr">
        <is>
          <t>Maria Cristina Paraguya</t>
        </is>
      </c>
      <c r="AA1722" t="inlineStr">
        <is>
          <t>3199228586</t>
        </is>
      </c>
      <c r="AB1722" t="inlineStr">
        <is>
          <t>BPI</t>
        </is>
      </c>
      <c r="AC1722" t="inlineStr">
        <is>
          <t>39 Almonte St. Vista Verde Cainta</t>
        </is>
      </c>
      <c r="AD1722" s="4">
        <v>46006</v>
      </c>
      <c r="AE1722" t="inlineStr">
        <is>
          <t>100% Full Payment - Dec. 19, 2025</t>
        </is>
      </c>
      <c r="AF1722" s="2"/>
      <c r="AG1722" t="inlineStr">
        <is>
          <t>NzQyNTk5MTgyNzQ4MTg3MDM0MTo2MDNBMzJBNC1CQzQyLTQwOTEtQUNDNC1DRjlFMDc0QzVDQTYtMTphY2Y2MzY4YzNhYWU5M2E0YzUyNTJmNDJjMDcyYzQ4MTox</t>
        </is>
      </c>
      <c r="AH1722" t="inlineStr">
        <is>
          <t>Maria Cristina Paraguya</t>
        </is>
      </c>
      <c r="AI1722"/>
      <c r="AJ1722" t="inlineStr">
        <is>
          <t>LIQUIDITY PLAN (PAR # 202512090150 / 2025TEG-P0322)
MANPOWER &gt; Others &gt;
Indonesian to EN Translator
Total Budget = Php 10,000.00
Actual Cost = Php 10,000.00</t>
        </is>
      </c>
      <c r="AK1722"/>
    </row>
    <row r="1723" ht="25.5" customHeight="1">
      <c r="A1723" s="2" t="str">
        <f>=HYPERLINK("https://applink.larksuite.com/client/mini_program/open?appId=cli_9c7cc8a9a9edd105&amp;mode=appCenter&amp;path_pc=pc/pages/requested/index?instanceId=7583921184555732705&amp;source=bitable&amp;path=pages/detail/index?instanceId=7583921184555732705&amp;source=bitable", "202512150022")</f>
        <v>202512150022</v>
      </c>
      <c r="B1723" t="inlineStr">
        <is>
          <t>Approved</t>
        </is>
      </c>
      <c r="C1723" t="inlineStr">
        <is>
          <t>Procurement Order</t>
        </is>
      </c>
      <c r="D1723" s="3">
        <v>46006.477430555555</v>
      </c>
      <c r="E1723" s="3">
        <v>46006.70962962963</v>
      </c>
      <c r="F1723" t="inlineStr">
        <is>
          <t>Fatima Kathleen M. FLores</t>
        </is>
      </c>
      <c r="G1723" t="inlineStr">
        <is>
          <t>Procurement</t>
        </is>
      </c>
      <c r="H1723"/>
      <c r="I1723"/>
      <c r="J1723" t="inlineStr">
        <is>
          <t>Project</t>
        </is>
      </c>
      <c r="K1723" t="inlineStr">
        <is>
          <t>GG - Event Service</t>
        </is>
      </c>
      <c r="L1723" t="inlineStr">
        <is>
          <t>Crossfire Legends Public Test Launch</t>
        </is>
      </c>
      <c r="M1723" t="inlineStr">
        <is>
          <t>2025TEG-P0322</t>
        </is>
      </c>
      <c r="N1723" t="inlineStr">
        <is>
          <t>Vincent Bryan Velasco Tan</t>
        </is>
      </c>
      <c r="O1723" t="inlineStr">
        <is>
          <t>202512080033-Vincent Bryan Velasco Tan-费用报销 - 副本 - 副本 - 副本-2025-12-08 06:56:46</t>
        </is>
      </c>
      <c r="P1723" t="inlineStr">
        <is>
          <t>YES</t>
        </is>
      </c>
      <c r="Q1723"/>
      <c r="R1723" t="inlineStr">
        <is>
          <t>NO</t>
        </is>
      </c>
      <c r="S1723" t="inlineStr">
        <is>
          <t>Outsourced Interpreter (Malay to English)</t>
        </is>
      </c>
      <c r="T1723">
        <v>1</v>
      </c>
      <c r="U1723">
        <v>10000</v>
      </c>
      <c r="V1723" t="inlineStr">
        <is>
          <t>PHP</t>
        </is>
      </c>
      <c r="W1723">
        <v>10000</v>
      </c>
      <c r="X1723" s="2" t="str">
        <f>=HYPERLINK("https://www.larksuite.com/approval/admin/previewAttachment?key=PMg7DsIwEATQK83sx-PlMjREFi5SIYVqz45EkfaNSYyZ9FGIohXYyull5IzMlJuQbU2pICq8j3M9_ZRsm7Svnd_V1_u1jg-zZAZ5hE8AfNzuioiqEfg7fgEAAP__", "2 attachment(s)")</f>
        <v>2 attachment(s)</v>
      </c>
      <c r="Y1723" t="inlineStr">
        <is>
          <t>Bank Transfer</t>
        </is>
      </c>
      <c r="Z1723" t="inlineStr">
        <is>
          <t>Wusma Sulaiman Musa</t>
        </is>
      </c>
      <c r="AA1723" t="inlineStr">
        <is>
          <t>123210116179</t>
        </is>
      </c>
      <c r="AB1723" t="inlineStr">
        <is>
          <t>Philippines National Bank</t>
        </is>
      </c>
      <c r="AC1723" t="inlineStr">
        <is>
          <t>1b medina Santa Lucia Pasig</t>
        </is>
      </c>
      <c r="AD1723" s="4">
        <v>46006</v>
      </c>
      <c r="AE1723" t="inlineStr">
        <is>
          <t>100% Full Payment - Dec. 19, 2025</t>
        </is>
      </c>
      <c r="AF1723" s="2"/>
      <c r="AG1723" t="inlineStr">
        <is>
          <t>NzQyNTk5MTgyNzQ4MTg3MDM0MTo4MTY2MjFDRi1ENTIyLTQxOEQtQTY0Mi00MDc5NzMwMEIzMkYtMTo3MWZmNTBlM2IwZGNhZjA2MDgwMTZjNWE5MTkzZGE0OTox</t>
        </is>
      </c>
      <c r="AH1723" t="inlineStr">
        <is>
          <t>Wusma Sulaiman Musa</t>
        </is>
      </c>
      <c r="AI1723"/>
      <c r="AJ1723" t="inlineStr">
        <is>
          <t>LIQUIDITY PLAN (PAR # 202512090150 / 2025TEG-P0322)
MANPOWER &gt; Others &gt;
Malay to EN Translator
Total Budget = Php 10,000.00
Actual Cost = Php 10,000.00</t>
        </is>
      </c>
      <c r="AK1723"/>
    </row>
    <row r="1724" ht="25.5" customHeight="1">
      <c r="A1724" s="2" t="str">
        <f>=HYPERLINK("https://applink.larksuite.com/client/mini_program/open?appId=cli_9c7cc8a9a9edd105&amp;mode=appCenter&amp;path_pc=pc/pages/requested/index?instanceId=7583924797998894817&amp;source=bitable&amp;path=pages/detail/index?instanceId=7583924797998894817&amp;source=bitable", "202512150027")</f>
        <v>202512150027</v>
      </c>
      <c r="B1724" t="inlineStr">
        <is>
          <t>Approved</t>
        </is>
      </c>
      <c r="C1724" t="inlineStr">
        <is>
          <t>Procurement Order</t>
        </is>
      </c>
      <c r="D1724" s="3">
        <v>46006.487175925926</v>
      </c>
      <c r="E1724" s="3">
        <v>46007.6962037037</v>
      </c>
      <c r="F1724" t="inlineStr">
        <is>
          <t>Fatima Kathleen M. FLores</t>
        </is>
      </c>
      <c r="G1724" t="inlineStr">
        <is>
          <t>Procurement</t>
        </is>
      </c>
      <c r="H1724"/>
      <c r="I1724"/>
      <c r="J1724" t="inlineStr">
        <is>
          <t>GAE</t>
        </is>
      </c>
      <c r="K1724"/>
      <c r="L1724"/>
      <c r="M1724"/>
      <c r="N1724"/>
      <c r="O1724" t="inlineStr">
        <is>
          <t>202511070075-Madelyn Espanto-费用报销 - 副本 - 副本 - 副本-2025-11-07 07:18:23</t>
        </is>
      </c>
      <c r="P1724"/>
      <c r="Q1724" t="inlineStr">
        <is>
          <t>Mineski PH</t>
        </is>
      </c>
      <c r="R1724"/>
      <c r="S1724" t="inlineStr">
        <is>
          <t>Outsourced Host (YEP 2025)</t>
        </is>
      </c>
      <c r="T1724">
        <v>1</v>
      </c>
      <c r="U1724">
        <v>3000</v>
      </c>
      <c r="V1724" t="inlineStr">
        <is>
          <t>PHP</t>
        </is>
      </c>
      <c r="W1724">
        <v>3000</v>
      </c>
      <c r="X1724" s="2" t="str">
        <f>=HYPERLINK("https://www.larksuite.com/approval/admin/previewAttachment?key=PMhNCsIwFATgK72fSeaNl3GTUhQJCEKLi5xdcNHt18utV_PsMshD5outUgGKUpVQzhXLSRmdyLXN_R7Hec75_o7XzPFs63iMfft4EyOMCWSZmd8uTwKQOuzv9gsAAP__", "2 attachment(s)")</f>
        <v>2 attachment(s)</v>
      </c>
      <c r="Y1724" t="inlineStr">
        <is>
          <t>Bank Transfer</t>
        </is>
      </c>
      <c r="Z1724" t="inlineStr">
        <is>
          <t>Charles Matthew Binay</t>
        </is>
      </c>
      <c r="AA1724" t="inlineStr">
        <is>
          <t>016174330730</t>
        </is>
      </c>
      <c r="AB1724" t="inlineStr">
        <is>
          <t>GoTyme</t>
        </is>
      </c>
      <c r="AC1724" t="inlineStr">
        <is>
          <t>Cedar Crest Acacia Estates Taguig City</t>
        </is>
      </c>
      <c r="AD1724" s="4">
        <v>46009</v>
      </c>
      <c r="AE1724" t="inlineStr">
        <is>
          <t>100% Full Payment</t>
        </is>
      </c>
      <c r="AF1724" s="2"/>
      <c r="AG1724" t="inlineStr">
        <is>
          <t>NzQyNTk5MTgyNzQ4MTg3MDM0MTpCQTIwNEEzQS1DRDkzLTQ2RkEtQkM0MS1CRUEzNzFENkU4RkUtMToxYTg4MTlkYjI4NmEyMDFhYjM4MzE5MGJkMWJlZmU0MDox</t>
        </is>
      </c>
      <c r="AH1724" t="inlineStr">
        <is>
          <t>Charles Matthew Binay</t>
        </is>
      </c>
      <c r="AI1724"/>
      <c r="AJ1724"/>
      <c r="AK1724"/>
    </row>
    <row r="1725" ht="25.5" customHeight="1">
      <c r="A1725" s="2" t="str">
        <f>=HYPERLINK("https://applink.larksuite.com/client/mini_program/open?appId=cli_9c7cc8a9a9edd105&amp;mode=appCenter&amp;path_pc=pc/pages/requested/index?instanceId=7583945645610782434&amp;source=bitable&amp;path=pages/detail/index?instanceId=7583945645610782434&amp;source=bitable", "202512150072")</f>
        <v>202512150072</v>
      </c>
      <c r="B1725" t="inlineStr">
        <is>
          <t>Approved</t>
        </is>
      </c>
      <c r="C1725" t="inlineStr">
        <is>
          <t>Procurement Order</t>
        </is>
      </c>
      <c r="D1725" s="3">
        <v>46006.54335648148</v>
      </c>
      <c r="E1725" s="3">
        <v>46007.58912037037</v>
      </c>
      <c r="F1725" t="inlineStr">
        <is>
          <t>Fatima Kathleen M. FLores</t>
        </is>
      </c>
      <c r="G1725" t="inlineStr">
        <is>
          <t>Procurement</t>
        </is>
      </c>
      <c r="H1725"/>
      <c r="I1725"/>
      <c r="J1725" t="inlineStr">
        <is>
          <t>Project</t>
        </is>
      </c>
      <c r="K1725" t="inlineStr">
        <is>
          <t>GG - Event Service</t>
        </is>
      </c>
      <c r="L1725" t="inlineStr">
        <is>
          <t>KIC 2025 - Playoffs</t>
        </is>
      </c>
      <c r="M1725" t="inlineStr">
        <is>
          <t>2025TEG-P0321</t>
        </is>
      </c>
      <c r="N1725" t="inlineStr">
        <is>
          <t>Carla Andrea Calma Crespo</t>
        </is>
      </c>
      <c r="O1725" t="inlineStr">
        <is>
          <t>202511250033-Carla Andrea Calma Crespo-费用报销 - 副本 - 副本 - 副本-2025-11-25 04:43:37</t>
        </is>
      </c>
      <c r="P1725" t="inlineStr">
        <is>
          <t>NO</t>
        </is>
      </c>
      <c r="Q1725"/>
      <c r="R1725" t="inlineStr">
        <is>
          <t>NO</t>
        </is>
      </c>
      <c r="S1725" t="inlineStr">
        <is>
          <t>Customized Coupon</t>
        </is>
      </c>
      <c r="T1725">
        <v>500</v>
      </c>
      <c r="U1725">
        <v>7</v>
      </c>
      <c r="V1725" t="inlineStr">
        <is>
          <t>PHP</t>
        </is>
      </c>
      <c r="W1725">
        <v>3500</v>
      </c>
      <c r="X1725" s="2" t="str">
        <f>=HYPERLINK("https://www.larksuite.com/approval/admin/previewAttachment?key=PMgxCgJBDAXQK_1MfvInXsbGZbBQWZBVLHJ2wcL25TTkDPMssGwUrBXTi5GMNGgOOnu0SQWZ6L3d1_kWx7G_9dntAfnq1_WytqdFaQzISZ8A7PR3F8mqJH6ObwAAAP__", "2 attachment(s)")</f>
        <v>2 attachment(s)</v>
      </c>
      <c r="Y1725" t="inlineStr">
        <is>
          <t>Bank Transfer</t>
        </is>
      </c>
      <c r="Z1725" t="inlineStr">
        <is>
          <t>iLIGHT PRODUCTION</t>
        </is>
      </c>
      <c r="AA1725" t="inlineStr">
        <is>
          <t>007960010274</t>
        </is>
      </c>
      <c r="AB1725" t="inlineStr">
        <is>
          <t>BDO</t>
        </is>
      </c>
      <c r="AC1725" t="inlineStr">
        <is>
          <t>3791 Mascardo St. Brgy, Sta Cruz, Makati City</t>
        </is>
      </c>
      <c r="AD1725" s="4">
        <v>45987</v>
      </c>
      <c r="AE1725" t="inlineStr">
        <is>
          <t>100% Full Payment</t>
        </is>
      </c>
      <c r="AF1725" s="2"/>
      <c r="AG1725" t="inlineStr">
        <is>
          <t>NzQyNTk5MTgyNzQ4MTg3MDM0MTowODk1ODVEMC0xRTE4LTRGRTgtQjlBQS1GOUJGRkI0ODg0NEItMTo3ZWI1YTU1OTZkOTlhMDdhMzdiMjhmYzUyMDU5Yzc4Yjox</t>
        </is>
      </c>
      <c r="AH1725" t="inlineStr">
        <is>
          <t>iLIGHT PRODUCTION</t>
        </is>
      </c>
      <c r="AI1725"/>
      <c r="AJ1725" t="inlineStr">
        <is>
          <t>LIQUIDITY PLAN (PAR # 202511200098 / 2025TEG-P0321)
Additional Misc Requests &gt; After Party Wrist Tags - Coupons
Total Budget = Php 9,000.00
Actual Cost = Php 3,500.00
Balance = Php 5,500.00
(NOTE: PLEASE REFER TO ITEM NO. 2 IN VENDOR'S QUOTATION)</t>
        </is>
      </c>
      <c r="AK1725"/>
    </row>
    <row r="1726" ht="25.5" customHeight="1">
      <c r="A1726" s="2" t="str">
        <f>=HYPERLINK("https://applink.larksuite.com/client/mini_program/open?appId=cli_9c7cc8a9a9edd105&amp;mode=appCenter&amp;path_pc=pc/pages/requested/index?instanceId=7583913569016647388&amp;source=bitable&amp;path=pages/detail/index?instanceId=7583913569016647388&amp;source=bitable", "202512150015")</f>
        <v>202512150015</v>
      </c>
      <c r="B1726" t="inlineStr">
        <is>
          <t>Approved</t>
        </is>
      </c>
      <c r="C1726" t="inlineStr">
        <is>
          <t>Procurement Order</t>
        </is>
      </c>
      <c r="D1726" s="3">
        <v>46006.45690972222</v>
      </c>
      <c r="E1726" s="3">
        <v>46006.71172453704</v>
      </c>
      <c r="F1726" t="inlineStr">
        <is>
          <t>Fatima Kathleen M. FLores</t>
        </is>
      </c>
      <c r="G1726" t="inlineStr">
        <is>
          <t>Procurement</t>
        </is>
      </c>
      <c r="H1726"/>
      <c r="I1726"/>
      <c r="J1726" t="inlineStr">
        <is>
          <t>Project</t>
        </is>
      </c>
      <c r="K1726" t="inlineStr">
        <is>
          <t>GG - Event Service</t>
        </is>
      </c>
      <c r="L1726" t="inlineStr">
        <is>
          <t>Crossfire Legends Public Test Launch</t>
        </is>
      </c>
      <c r="M1726" t="inlineStr">
        <is>
          <t>2025TEG-P0322</t>
        </is>
      </c>
      <c r="N1726" t="inlineStr">
        <is>
          <t>Vincent Bryan Velasco Tan</t>
        </is>
      </c>
      <c r="O1726" t="inlineStr">
        <is>
          <t>202512090135-Vincent Bryan Velasco Tan-费用报销 - 副本 - 副本 - 副本-2025-12-09 12:01:31</t>
        </is>
      </c>
      <c r="P1726" t="inlineStr">
        <is>
          <t>NO</t>
        </is>
      </c>
      <c r="Q1726"/>
      <c r="R1726" t="inlineStr">
        <is>
          <t>YES</t>
        </is>
      </c>
      <c r="S1726" t="inlineStr">
        <is>
          <t>Outsourced Technical Services (Lights and Sounds)</t>
        </is>
      </c>
      <c r="T1726">
        <v>1</v>
      </c>
      <c r="U1726">
        <v>210000</v>
      </c>
      <c r="V1726" t="inlineStr">
        <is>
          <t>PHP</t>
        </is>
      </c>
      <c r="W1726">
        <v>210000</v>
      </c>
      <c r="X1726" s="2" t="str">
        <f>=HYPERLINK("https://www.larksuite.com/approval/admin/previewAttachment?key=PMgxDsIwDAXQK_0fO_42l2GhiiioXZAgS86OxMD6IonITouCF1uBSz2taD0KjHBZ5mqLUkGU29qOcZ2PfT-PnM8x8qNzve-3sb3YS61B5m4JgJe_m9y9Khw_xzcAAP__", "2 attachment(s)")</f>
        <v>2 attachment(s)</v>
      </c>
      <c r="Y1726" t="inlineStr">
        <is>
          <t>Bank Transfer</t>
        </is>
      </c>
      <c r="Z1726" t="inlineStr">
        <is>
          <t>EL KAPITAN PRO SOUNDS &amp; LIGHTS SYSTEM INC.</t>
        </is>
      </c>
      <c r="AA1726" t="inlineStr">
        <is>
          <t>350-7-35080571-7</t>
        </is>
      </c>
      <c r="AB1726" t="inlineStr">
        <is>
          <t>METROPOLITAN BANK &amp; TRUST COMPANY</t>
        </is>
      </c>
      <c r="AC1726" t="inlineStr">
        <is>
          <t>Naga Rd., Cor. Country Homes Drive, Pulang Lupa II, Las Piñas City</t>
        </is>
      </c>
      <c r="AD1726" s="4">
        <v>46005</v>
      </c>
      <c r="AE1726" t="inlineStr">
        <is>
          <t>50% Down payment upon confirmation
50% balance upon completion of services</t>
        </is>
      </c>
      <c r="AF1726" s="2" t="str">
        <f>=HYPERLINK("https://www.larksuite.com/approval/admin/previewAttachment?key=TMixDcJQDATQle5if9vHMjREXwSUNEiQxrMjUdG-KCJq0EJwcRHYOcpEGyEwwtOqemlmCsl063Wf1_Oxbcde53PO-uTR7_ttri9GWcA13CkAvPw5CZWF_RzfAAAA__8", "2 attachment(s)")</f>
        <v>2 attachment(s)</v>
      </c>
      <c r="AG1726" t="inlineStr">
        <is>
          <t>NzQyNTk5MTgyNzQ4MTg3MDM0MTpFMjY0OTZCQy1GMEVELTRGMTUtQTQ3MS1DMDFDNjhEQTAxREItMToxODk2ZmQxNjg2ZDhlMTJlMTY3OTBjMDNhODI0M2E5OTox</t>
        </is>
      </c>
      <c r="AH1726" t="inlineStr">
        <is>
          <t>EL KAPITAN PRO SOUNDS &amp; LIGHTS SYSTEM INC.</t>
        </is>
      </c>
      <c r="AI1726"/>
      <c r="AJ1726" t="inlineStr">
        <is>
          <t>LIQUIDITY PLAN (PAR # 202512090150 / 2025TEG-P0322)
Equipment &gt; Lights and Sounds Package
Miscellaneous &gt; Genset
Total Budget = Php 205,000.00
Actual Cost = Php 210,000.00
Balance = (Php 5,000.00) OVER BUDGET</t>
        </is>
      </c>
      <c r="AK1726"/>
    </row>
    <row r="1727" ht="25.5" customHeight="1">
      <c r="A1727" s="2" t="str">
        <f>=HYPERLINK("https://applink.larksuite.com/client/mini_program/open?appId=cli_9c7cc8a9a9edd105&amp;mode=appCenter&amp;path_pc=pc/pages/requested/index?instanceId=7583922785072713436&amp;source=bitable&amp;path=pages/detail/index?instanceId=7583922785072713436&amp;source=bitable", "202512150024")</f>
        <v>202512150024</v>
      </c>
      <c r="B1727" t="inlineStr">
        <is>
          <t>Approved</t>
        </is>
      </c>
      <c r="C1727" t="inlineStr">
        <is>
          <t>Procurement Order</t>
        </is>
      </c>
      <c r="D1727" s="3">
        <v>46006.48174768518</v>
      </c>
      <c r="E1727" s="3">
        <v>46008.51803240741</v>
      </c>
      <c r="F1727" t="inlineStr">
        <is>
          <t>Fatima Kathleen M. FLores</t>
        </is>
      </c>
      <c r="G1727" t="inlineStr">
        <is>
          <t>Procurement</t>
        </is>
      </c>
      <c r="H1727"/>
      <c r="I1727"/>
      <c r="J1727" t="inlineStr">
        <is>
          <t>Project</t>
        </is>
      </c>
      <c r="K1727" t="inlineStr">
        <is>
          <t>GG - Event Service</t>
        </is>
      </c>
      <c r="L1727" t="inlineStr">
        <is>
          <t>Crossfire Legends Public Test Launch</t>
        </is>
      </c>
      <c r="M1727" t="inlineStr">
        <is>
          <t>2025TEG-P0322</t>
        </is>
      </c>
      <c r="N1727" t="inlineStr">
        <is>
          <t>Vincent Bryan Velasco Tan</t>
        </is>
      </c>
      <c r="O1727" t="inlineStr">
        <is>
          <t>202512080033-Vincent Bryan Velasco Tan-费用报销 - 副本 - 副本 - 副本-2025-12-08 06:56:46</t>
        </is>
      </c>
      <c r="P1727" t="inlineStr">
        <is>
          <t>YES</t>
        </is>
      </c>
      <c r="Q1727"/>
      <c r="R1727" t="inlineStr">
        <is>
          <t>YES</t>
        </is>
      </c>
      <c r="S1727" t="inlineStr">
        <is>
          <t>Outsourced Interpreter (Thai to English)</t>
        </is>
      </c>
      <c r="T1727">
        <v>1</v>
      </c>
      <c r="U1727">
        <v>16670</v>
      </c>
      <c r="V1727" t="inlineStr">
        <is>
          <t>PHP</t>
        </is>
      </c>
      <c r="W1727">
        <v>16670</v>
      </c>
      <c r="X1727" s="2" t="str">
        <f>=HYPERLINK("https://www.larksuite.com/approval/admin/previewAttachment?key=PMg7CoJBDATgK02Syc7Gy9i4_LiFIAg-ipxdsLD9xjSMmRajwDIvWCtnlLtmQi4LxmhvkwoyMXrdjvOKzP16M_2-9_r083o51sOy5A4FGROAnf4eIlk1iJ_jGwAA__8", "2 attachment(s)")</f>
        <v>2 attachment(s)</v>
      </c>
      <c r="Y1727" t="inlineStr">
        <is>
          <t>Bank Transfer</t>
        </is>
      </c>
      <c r="Z1727" t="inlineStr">
        <is>
          <t>Jutapan Siriruknapha</t>
        </is>
      </c>
      <c r="AA1727" t="inlineStr">
        <is>
          <t>102420024095</t>
        </is>
      </c>
      <c r="AB1727" t="inlineStr">
        <is>
          <t>Union bank</t>
        </is>
      </c>
      <c r="AC1727" t="inlineStr">
        <is>
          <t>Avenue Hotel, Makati, Metro Manila</t>
        </is>
      </c>
      <c r="AD1727" s="4">
        <v>46006</v>
      </c>
      <c r="AE1727" t="inlineStr">
        <is>
          <t>100% Full Payment - Dec. 19, 2025</t>
        </is>
      </c>
      <c r="AF1727" s="2"/>
      <c r="AG1727" t="inlineStr">
        <is>
          <t>NzQyNTk5MTgyNzQ4MTg3MDM0MTpEM0RCNEZBMC0zM0IwLTREQTItOTFEQS0wNkEyODIwOTJGMDAtMTo2YTEzZGNiZWUxY2E1MjgzN2E3YjE1M2ZlNjFhYjVhYjox</t>
        </is>
      </c>
      <c r="AH1727" t="inlineStr">
        <is>
          <t>Jutapan Siriruknapha</t>
        </is>
      </c>
      <c r="AI1727"/>
      <c r="AJ1727" t="inlineStr">
        <is>
          <t>LIQUIDITY PLAN (PAR # 202512090150 / 2025TEG-P0322)
MANPOWER &gt; Others &gt;
Thai to EN Translator
Total Budget = Php 10,000.00
Actual Cost = Php 16,670.00
Balance = (Php 6,670.00) OVER BUDGET</t>
        </is>
      </c>
      <c r="AK1727"/>
    </row>
    <row r="1728" ht="25.5" customHeight="1">
      <c r="A1728" s="2" t="str">
        <f>=HYPERLINK("https://applink.larksuite.com/client/mini_program/open?appId=cli_9c7cc8a9a9edd105&amp;mode=appCenter&amp;path_pc=pc/pages/requested/index?instanceId=7583993747604541152&amp;source=bitable&amp;path=pages/detail/index?instanceId=7583993747604541152&amp;source=bitable", "202512150115")</f>
        <v>202512150115</v>
      </c>
      <c r="B1728" t="inlineStr">
        <is>
          <t>Approved</t>
        </is>
      </c>
      <c r="C1728" t="inlineStr">
        <is>
          <t>Procurement Order</t>
        </is>
      </c>
      <c r="D1728" s="3">
        <v>46006.67297453704</v>
      </c>
      <c r="E1728" s="3">
        <v>46007.58627314815</v>
      </c>
      <c r="F1728" t="inlineStr">
        <is>
          <t>Fatima Kathleen M. FLores</t>
        </is>
      </c>
      <c r="G1728" t="inlineStr">
        <is>
          <t>Procurement</t>
        </is>
      </c>
      <c r="H1728"/>
      <c r="I1728"/>
      <c r="J1728" t="inlineStr">
        <is>
          <t>Project</t>
        </is>
      </c>
      <c r="K1728" t="inlineStr">
        <is>
          <t>PDEI - Slash</t>
        </is>
      </c>
      <c r="L1728" t="inlineStr">
        <is>
          <t>Slash x WCG 2025</t>
        </is>
      </c>
      <c r="M1728" t="inlineStr">
        <is>
          <t>2025TEG-P0334</t>
        </is>
      </c>
      <c r="N1728" t="inlineStr">
        <is>
          <t>Yuki Berico</t>
        </is>
      </c>
      <c r="O1728" t="inlineStr">
        <is>
          <t>202512090004-Yuki Berico-费用报销 - 副本 - 副本 - 副本-2025-12-09 00:44:46</t>
        </is>
      </c>
      <c r="P1728" t="inlineStr">
        <is>
          <t>YES</t>
        </is>
      </c>
      <c r="Q1728"/>
      <c r="R1728" t="inlineStr">
        <is>
          <t>NO</t>
        </is>
      </c>
      <c r="S1728" t="inlineStr">
        <is>
          <t>Outsourced On ground and Tech Support</t>
        </is>
      </c>
      <c r="T1728">
        <v>1</v>
      </c>
      <c r="U1728">
        <v>6600</v>
      </c>
      <c r="V1728" t="inlineStr">
        <is>
          <t>PHP</t>
        </is>
      </c>
      <c r="W1728">
        <v>6600</v>
      </c>
      <c r="X1728" s="2" t="str">
        <f>=HYPERLINK("https://www.larksuite.com/approval/admin/previewAttachment?key=PMgxDsIwDAXQK33bP_kxl2FpVUFEuiCBGHx2JAbW14ehj2bRE0zzhJXaiMwQ1cFGs-blZVJCJkbt67jOdZ7vufwzH_eNs1637dif1lLuUJAxANjl7yGSmZ34Ob4BAAD__w", "2 attachment(s)")</f>
        <v>2 attachment(s)</v>
      </c>
      <c r="Y1728" t="inlineStr">
        <is>
          <t>Bank Transfer</t>
        </is>
      </c>
      <c r="Z1728" t="inlineStr">
        <is>
          <t>Jhun Aldrin Manes</t>
        </is>
      </c>
      <c r="AA1728" t="inlineStr">
        <is>
          <t>09668330217</t>
        </is>
      </c>
      <c r="AB1728" t="inlineStr">
        <is>
          <t>GCash</t>
        </is>
      </c>
      <c r="AC1728" t="inlineStr">
        <is>
          <t>2042 Candido St. Brgy. Mapulang Lupa. Valenzuela City</t>
        </is>
      </c>
      <c r="AD1728" s="4">
        <v>46003</v>
      </c>
      <c r="AE1728" t="inlineStr">
        <is>
          <t>100% Full Payment - Jan. 9, 2026</t>
        </is>
      </c>
      <c r="AF1728" s="2"/>
      <c r="AG1728" t="inlineStr">
        <is>
          <t>NzQyNTk5MTgyNzQ4MTg3MDM0MTowRTlFNTE0RS03RTBBLTQ1NTAtQTlDQy1FRDAxMDcwNzNCM0UtMTpkN2VlOGQ2YzdiOTNhYWU1ZDljODBiMWMxYTFiMDNhNTox</t>
        </is>
      </c>
      <c r="AH1728" t="inlineStr">
        <is>
          <t>Jhun Aldrin Manes</t>
        </is>
      </c>
      <c r="AI1728"/>
      <c r="AJ1728" t="inlineStr">
        <is>
          <t>LIQUIDITY PLAN (PAR # 202512090003 / 2025TEG-P0334)
Outsource On-Ground Support (Tech)
Total Budget = Php 6,600.00
Actual Cost = Php 6,600.00</t>
        </is>
      </c>
      <c r="AK1728"/>
    </row>
    <row r="1729" ht="25.5" customHeight="1">
      <c r="A1729" s="2" t="str">
        <f>=HYPERLINK("https://applink.larksuite.com/client/mini_program/open?appId=cli_9c7cc8a9a9edd105&amp;mode=appCenter&amp;path_pc=pc/pages/requested/index?instanceId=7583990691571781341&amp;source=bitable&amp;path=pages/detail/index?instanceId=7583990691571781341&amp;source=bitable", "202512150110")</f>
        <v>202512150110</v>
      </c>
      <c r="B1729" t="inlineStr">
        <is>
          <t>Approved</t>
        </is>
      </c>
      <c r="C1729" t="inlineStr">
        <is>
          <t>Procurement Order</t>
        </is>
      </c>
      <c r="D1729" s="3">
        <v>46006.66474537037</v>
      </c>
      <c r="E1729" s="3">
        <v>46007.56321759259</v>
      </c>
      <c r="F1729" t="inlineStr">
        <is>
          <t>Fatima Kathleen M. FLores</t>
        </is>
      </c>
      <c r="G1729" t="inlineStr">
        <is>
          <t>Procurement</t>
        </is>
      </c>
      <c r="H1729"/>
      <c r="I1729"/>
      <c r="J1729" t="inlineStr">
        <is>
          <t>Project</t>
        </is>
      </c>
      <c r="K1729" t="inlineStr">
        <is>
          <t>GG - Event Service</t>
        </is>
      </c>
      <c r="L1729" t="inlineStr">
        <is>
          <t>HOK Philippine Kings League - Fall Season</t>
        </is>
      </c>
      <c r="M1729" t="inlineStr">
        <is>
          <t>2025TEG-P0219</t>
        </is>
      </c>
      <c r="N1729" t="inlineStr">
        <is>
          <t>Carla Andrea Calma Crespo</t>
        </is>
      </c>
      <c r="O1729" t="inlineStr">
        <is>
          <t>202512050067-Carla Andrea Calma Crespo-费用报销 - 副本 - 副本 - 副本-2025-12-05 07:31:29</t>
        </is>
      </c>
      <c r="P1729" t="inlineStr">
        <is>
          <t>NO</t>
        </is>
      </c>
      <c r="Q1729"/>
      <c r="R1729" t="inlineStr">
        <is>
          <t>NO</t>
        </is>
      </c>
      <c r="S1729" t="inlineStr">
        <is>
          <t>Outsourced Photography and Videography Team</t>
        </is>
      </c>
      <c r="T1729">
        <v>1</v>
      </c>
      <c r="U1729">
        <v>253680</v>
      </c>
      <c r="V1729" t="inlineStr">
        <is>
          <t>PHP</t>
        </is>
      </c>
      <c r="W1729">
        <v>253680</v>
      </c>
      <c r="X1729" s="2" t="str">
        <f>=HYPERLINK("https://www.larksuite.com/approval/admin/previewAttachment?key=PMgxCgIxFATQK83kTzL5XsZml8WA2gjp_tkFC9s3JjFmZ4yEki3Bcp-RiZHspidDrFa0E6YVdb6u--ZakvvmOp5v1H4c1_lhT7cGhxQTAG9_D0vKHMLP8Q0AAP__", "2 attachment(s)")</f>
        <v>2 attachment(s)</v>
      </c>
      <c r="Y1729" t="inlineStr">
        <is>
          <t>Bank Transfer</t>
        </is>
      </c>
      <c r="Z1729" t="inlineStr">
        <is>
          <t>Ryan Matias</t>
        </is>
      </c>
      <c r="AA1729" t="inlineStr">
        <is>
          <t>1996 2285 79</t>
        </is>
      </c>
      <c r="AB1729" t="inlineStr">
        <is>
          <t>BPI</t>
        </is>
      </c>
      <c r="AC1729" t="inlineStr">
        <is>
          <t>Kingsville, Antipolo</t>
        </is>
      </c>
      <c r="AD1729" s="4">
        <v>45939</v>
      </c>
      <c r="AE1729" t="inlineStr">
        <is>
          <t>50% Down Payment upon confirmation
50% balance - 30 days upon completion of services</t>
        </is>
      </c>
      <c r="AF1729" s="2"/>
      <c r="AG1729" t="inlineStr">
        <is>
          <t>NzQyNTk5MTgyNzQ4MTg3MDM0MTpBNEY4MUUwRC1ENzFGLTQyQjMtOTE5RC01RTBGRjcxNTcyNTctMTo0OGEzZDA0NWE0NDA2NjJmYjUzY2UyMzYyYmM5NjgyZTox</t>
        </is>
      </c>
      <c r="AH1729" t="inlineStr">
        <is>
          <t>RY MATIAS PHOTO &amp; VIDEO SERVICES</t>
        </is>
      </c>
      <c r="AI1729"/>
      <c r="AJ1729" t="inlineStr">
        <is>
          <t>LIQUIDITY PLAN (PAR # 202508190134 / 2025TEG-P0219)
INTERNAL 0820 COST ESTIMATE &gt; PLAYOFFS &gt;
Labor Cost &gt; Camera Operators (Gimbal)
Total Budget = Php 280,000.00
Actual Cost = Php 253,680.00
Balance = Php 26,320.00</t>
        </is>
      </c>
      <c r="AK1729"/>
    </row>
    <row r="1730" ht="25.5" customHeight="1">
      <c r="A1730" s="2" t="str">
        <f>=HYPERLINK("https://applink.larksuite.com/client/mini_program/open?appId=cli_9c7cc8a9a9edd105&amp;mode=appCenter&amp;path_pc=pc/pages/requested/index?instanceId=7584041537697287906&amp;source=bitable&amp;path=pages/detail/index?instanceId=7584041537697287906&amp;source=bitable", "202512150165")</f>
        <v>202512150165</v>
      </c>
      <c r="B1730" t="inlineStr">
        <is>
          <t>Approved</t>
        </is>
      </c>
      <c r="C1730" t="inlineStr">
        <is>
          <t>Procurement Order</t>
        </is>
      </c>
      <c r="D1730" s="3">
        <v>46006.80175925926</v>
      </c>
      <c r="E1730" s="3">
        <v>46007.52271990741</v>
      </c>
      <c r="F1730" t="inlineStr">
        <is>
          <t>Fatima Kathleen M. FLores</t>
        </is>
      </c>
      <c r="G1730" t="inlineStr">
        <is>
          <t>Procurement</t>
        </is>
      </c>
      <c r="H1730"/>
      <c r="I1730"/>
      <c r="J1730" t="inlineStr">
        <is>
          <t>Project</t>
        </is>
      </c>
      <c r="K1730" t="inlineStr">
        <is>
          <t>PDEI - Game Marketing</t>
        </is>
      </c>
      <c r="L1730" t="inlineStr">
        <is>
          <t>Crossfire Legends Public Test Launch</t>
        </is>
      </c>
      <c r="M1730" t="inlineStr">
        <is>
          <t>2025TEG-P0322</t>
        </is>
      </c>
      <c r="N1730" t="inlineStr">
        <is>
          <t>Vincent Bryan Velasco Tan</t>
        </is>
      </c>
      <c r="O1730" t="inlineStr">
        <is>
          <t>202512080037-Vincent Bryan Velasco Tan-费用报销 - 副本 - 副本 - 副本-2025-12-08 07:07:36</t>
        </is>
      </c>
      <c r="P1730" t="inlineStr">
        <is>
          <t>NO</t>
        </is>
      </c>
      <c r="Q1730"/>
      <c r="R1730" t="inlineStr">
        <is>
          <t>NO</t>
        </is>
      </c>
      <c r="S1730" t="inlineStr">
        <is>
          <t>Outsourced Safety Officer (Dec. 14 to 16, 2025)</t>
        </is>
      </c>
      <c r="T1730">
        <v>5</v>
      </c>
      <c r="U1730">
        <v>2500</v>
      </c>
      <c r="V1730" t="inlineStr">
        <is>
          <t>PHP</t>
        </is>
      </c>
      <c r="W1730">
        <v>12500</v>
      </c>
      <c r="X1730" s="2"/>
      <c r="Y1730" t="inlineStr">
        <is>
          <t>Bank Transfer</t>
        </is>
      </c>
      <c r="Z1730" t="inlineStr">
        <is>
          <t>Juanito T. Acedo Jr.</t>
        </is>
      </c>
      <c r="AA1730" t="inlineStr">
        <is>
          <t>010670126934</t>
        </is>
      </c>
      <c r="AB1730" t="inlineStr">
        <is>
          <t>BDO</t>
        </is>
      </c>
      <c r="AC1730" t="inlineStr">
        <is>
          <t>127-68 Bronze St., Tugatog District II, Malabon City</t>
        </is>
      </c>
      <c r="AD1730" s="4">
        <v>46005</v>
      </c>
      <c r="AE1730" t="inlineStr">
        <is>
          <t>100% Full Payment upon completion of services - Dec. 19, 2025</t>
        </is>
      </c>
      <c r="AF1730" s="2"/>
      <c r="AG1730" t="inlineStr">
        <is>
          <t>NzQyNTk5MTgyNzQ4MTg3MDM0MTpFQ0M3NTZCRC1CQTQyLTQ5NjctQTQ2OS02QzE1ODdDMkU1RjgtMTpmOTcyZGJlMjQ3NDE1YWVmMzEzOGI3NDM2ZjVhMjVmYjox</t>
        </is>
      </c>
      <c r="AH1730" t="inlineStr">
        <is>
          <t>ACE88 Event Security Management</t>
        </is>
      </c>
      <c r="AI1730"/>
      <c r="AJ1730" t="inlineStr">
        <is>
          <t>LIQUIDITY PLAN (PAR # 202512090150 / 2025TEG-P0322)
MANPOWER &gt; Others &gt;
Security Team
Safety Officer
Total Budget = Php 23,000.00
Actual Cost = Php 17,000.00
Balance = Php 6,000.00</t>
        </is>
      </c>
      <c r="AK1730"/>
    </row>
    <row r="1731" ht="25.5" customHeight="1">
      <c r="A1731" s="2" t="str">
        <f>=HYPERLINK("https://applink.larksuite.com/client/mini_program/open?appId=cli_9c7cc8a9a9edd105&amp;mode=appCenter&amp;path_pc=pc/pages/requested/index?instanceId=7584041537697287906&amp;source=bitable&amp;path=pages/detail/index?instanceId=7584041537697287906&amp;source=bitable", "202512150165")</f>
        <v>202512150165</v>
      </c>
      <c r="B1731" t="inlineStr">
        <is>
          <t>Approved</t>
        </is>
      </c>
      <c r="C1731" t="inlineStr">
        <is>
          <t>Procurement Order</t>
        </is>
      </c>
      <c r="D1731" s="3">
        <v>46006.80175925926</v>
      </c>
      <c r="E1731" s="3">
        <v>46007.52271990741</v>
      </c>
      <c r="F1731" t="inlineStr">
        <is>
          <t>Fatima Kathleen M. FLores</t>
        </is>
      </c>
      <c r="G1731" t="inlineStr">
        <is>
          <t>Procurement</t>
        </is>
      </c>
      <c r="H1731"/>
      <c r="I1731"/>
      <c r="J1731" t="inlineStr">
        <is>
          <t>Project</t>
        </is>
      </c>
      <c r="K1731" t="inlineStr">
        <is>
          <t>PDEI - Game Marketing</t>
        </is>
      </c>
      <c r="L1731" t="inlineStr">
        <is>
          <t>Crossfire Legends Public Test Launch</t>
        </is>
      </c>
      <c r="M1731" t="inlineStr">
        <is>
          <t>2025TEG-P0322</t>
        </is>
      </c>
      <c r="N1731" t="inlineStr">
        <is>
          <t>Vincent Bryan Velasco Tan</t>
        </is>
      </c>
      <c r="O1731" t="inlineStr">
        <is>
          <t>202512080037-Vincent Bryan Velasco Tan-费用报销 - 副本 - 副本 - 副本-2025-12-08 07:07:36</t>
        </is>
      </c>
      <c r="P1731" t="inlineStr">
        <is>
          <t>NO</t>
        </is>
      </c>
      <c r="Q1731"/>
      <c r="R1731" t="inlineStr">
        <is>
          <t>NO</t>
        </is>
      </c>
      <c r="S1731" t="inlineStr">
        <is>
          <t>Outsourced Event Marshalls (1 day)</t>
        </is>
      </c>
      <c r="T1731">
        <v>3</v>
      </c>
      <c r="U1731">
        <v>1500</v>
      </c>
      <c r="V1731" t="inlineStr">
        <is>
          <t>PHP</t>
        </is>
      </c>
      <c r="W1731">
        <v>4500</v>
      </c>
      <c r="X1731" s="2" t="str">
        <f>=HYPERLINK("https://www.larksuite.com/approval/admin/previewAttachment?key=PMgxCgIxFATQK83k__zJeBmbDYtbCIK42uTsgoXtq0HU6Iwy0mwGl_pIJHuorDZk1GqLkiEqY837fj15HH5_8Jr9MTeu87bt88lutQZFZgwAvPw9lJl2JX7ObwAAAP__", "2 attachment(s)")</f>
        <v>2 attachment(s)</v>
      </c>
      <c r="Y1731"/>
      <c r="Z1731"/>
      <c r="AA1731"/>
      <c r="AB1731"/>
      <c r="AC1731"/>
      <c r="AD1731" s="4"/>
      <c r="AE1731"/>
      <c r="AF1731" s="2"/>
      <c r="AG1731" t="inlineStr">
        <is>
          <t>NzQyNTk5MTgyNzQ4MTg3MDM0MTpFQ0M3NTZCRC1CQTQyLTQ5NjctQTQ2OS02QzE1ODdDMkU1RjgtMjo2MjRhODMzYjk1NDdjNWRmZWNmYTAxYTg1ZDQ0MjVjMTox</t>
        </is>
      </c>
      <c r="AH1731"/>
      <c r="AI1731"/>
      <c r="AJ1731" t="inlineStr">
        <is>
          <t>LIQUIDITY PLAN (PAR # 202512090150 / 2025TEG-P0322)
MANPOWER &gt; Others &gt;
Security Team
Safety Officer
Total Budget = Php 23,000.00
Actual Cost = Php 17,000.00
Balance = Php 6,000.00</t>
        </is>
      </c>
      <c r="AK1731"/>
    </row>
    <row r="1732" ht="25.5" customHeight="1">
      <c r="A1732" s="2" t="str">
        <f>=HYPERLINK("https://applink.larksuite.com/client/mini_program/open?appId=cli_9c7cc8a9a9edd105&amp;mode=appCenter&amp;path_pc=pc/pages/requested/index?instanceId=7584035537812491998&amp;source=bitable&amp;path=pages/detail/index?instanceId=7584035537812491998&amp;source=bitable", "202512150153")</f>
        <v>202512150153</v>
      </c>
      <c r="B1732" t="inlineStr">
        <is>
          <t>Approved</t>
        </is>
      </c>
      <c r="C1732" t="inlineStr">
        <is>
          <t>Procurement Order</t>
        </is>
      </c>
      <c r="D1732" s="3">
        <v>46006.78559027778</v>
      </c>
      <c r="E1732" s="3">
        <v>46007.52211805555</v>
      </c>
      <c r="F1732" t="inlineStr">
        <is>
          <t>Fatima Kathleen M. FLores</t>
        </is>
      </c>
      <c r="G1732" t="inlineStr">
        <is>
          <t>Procurement</t>
        </is>
      </c>
      <c r="H1732"/>
      <c r="I1732"/>
      <c r="J1732" t="inlineStr">
        <is>
          <t>Project</t>
        </is>
      </c>
      <c r="K1732" t="inlineStr">
        <is>
          <t>GG - Event Service</t>
        </is>
      </c>
      <c r="L1732" t="inlineStr">
        <is>
          <t>Crossfire Legends Public Test Launch</t>
        </is>
      </c>
      <c r="M1732" t="inlineStr">
        <is>
          <t>2025TEG-P0322</t>
        </is>
      </c>
      <c r="N1732" t="inlineStr">
        <is>
          <t>Vincent Bryan Velasco Tan</t>
        </is>
      </c>
      <c r="O1732" t="inlineStr">
        <is>
          <t>202512080023-Vincent Bryan Velasco Tan-费用报销 - 副本 - 副本 - 副本-2025-12-08 06:01:50</t>
        </is>
      </c>
      <c r="P1732" t="inlineStr">
        <is>
          <t>YES</t>
        </is>
      </c>
      <c r="Q1732"/>
      <c r="R1732" t="inlineStr">
        <is>
          <t>NO</t>
        </is>
      </c>
      <c r="S1732" t="inlineStr">
        <is>
          <t>Outsourced Hospitality Crew</t>
        </is>
      </c>
      <c r="T1732">
        <v>1</v>
      </c>
      <c r="U1732">
        <v>1500</v>
      </c>
      <c r="V1732" t="inlineStr">
        <is>
          <t>PHP</t>
        </is>
      </c>
      <c r="W1732">
        <v>1500</v>
      </c>
      <c r="X1732" s="2" t="str">
        <f>=HYPERLINK("https://www.larksuite.com/approval/admin/previewAttachment?key=PMgxCgJBDAXQK_2fZCb5XsbGZXFAbcTFJmcXLLZ9s4hZgz6FEE1g56iAj-FZtBClamtmCskM7-25Xw-upfX68Et7lPdxv-3bm0NphvQILwC8nO4ZEdIM_B2_AAAA__8", "2 attachment(s)")</f>
        <v>2 attachment(s)</v>
      </c>
      <c r="Y1732" t="inlineStr">
        <is>
          <t>Bank Transfer</t>
        </is>
      </c>
      <c r="Z1732" t="inlineStr">
        <is>
          <t>John Ravean Cabrera</t>
        </is>
      </c>
      <c r="AA1732" t="inlineStr">
        <is>
          <t>011249098679</t>
        </is>
      </c>
      <c r="AB1732" t="inlineStr">
        <is>
          <t>Gotyme</t>
        </is>
      </c>
      <c r="AC1732" t="inlineStr">
        <is>
          <t>330 Marulas A. Caloocan City</t>
        </is>
      </c>
      <c r="AD1732" s="4">
        <v>46007</v>
      </c>
      <c r="AE1732" t="inlineStr">
        <is>
          <t>100% Full Payment - Jan. 9, 2026</t>
        </is>
      </c>
      <c r="AF1732" s="2"/>
      <c r="AG1732" t="inlineStr">
        <is>
          <t>NzQyNTk5MTgyNzQ4MTg3MDM0MTo4MTYyNEI5Ri03QzVGLTQ3MTctOTIyMi02RkZCNDIwM0Y3M0EtMTo3ODE2YTVkNTc0MTdiNTA5YmY4M2ZkYzkwZjIxNTMwODox</t>
        </is>
      </c>
      <c r="AH1732" t="inlineStr">
        <is>
          <t>John Ravean Cabrera</t>
        </is>
      </c>
      <c r="AI1732"/>
      <c r="AJ1732" t="inlineStr">
        <is>
          <t>LIQUIDITY PLAN (PAR # 202512090150 / 2025TEG-P0322)
MANPOWER &gt; Hospitality &gt;
Hospitality Crew
Total Remaining Budget = Php 5,700.00
Actual Cost = Php 1,500.00
Balance = Php 4,200.00</t>
        </is>
      </c>
      <c r="AK1732"/>
    </row>
    <row r="1733" ht="25.5" customHeight="1">
      <c r="A1733" s="2" t="str">
        <f>=HYPERLINK("https://applink.larksuite.com/client/mini_program/open?appId=cli_9c7cc8a9a9edd105&amp;mode=appCenter&amp;path_pc=pc/pages/requested/index?instanceId=7584034766295453409&amp;source=bitable&amp;path=pages/detail/index?instanceId=7584034766295453409&amp;source=bitable", "202512150150")</f>
        <v>202512150150</v>
      </c>
      <c r="B1733" t="inlineStr">
        <is>
          <t>Approved</t>
        </is>
      </c>
      <c r="C1733" t="inlineStr">
        <is>
          <t>Procurement Order</t>
        </is>
      </c>
      <c r="D1733" s="3">
        <v>46006.78351851852</v>
      </c>
      <c r="E1733" s="3">
        <v>46007.521828703706</v>
      </c>
      <c r="F1733" t="inlineStr">
        <is>
          <t>Fatima Kathleen M. FLores</t>
        </is>
      </c>
      <c r="G1733" t="inlineStr">
        <is>
          <t>Procurement</t>
        </is>
      </c>
      <c r="H1733"/>
      <c r="I1733"/>
      <c r="J1733" t="inlineStr">
        <is>
          <t>Project</t>
        </is>
      </c>
      <c r="K1733" t="inlineStr">
        <is>
          <t>GG - Event Service</t>
        </is>
      </c>
      <c r="L1733" t="inlineStr">
        <is>
          <t>Crossfire Legends Public Test Launch</t>
        </is>
      </c>
      <c r="M1733" t="inlineStr">
        <is>
          <t>2025TEG-P0322</t>
        </is>
      </c>
      <c r="N1733" t="inlineStr">
        <is>
          <t>Vincent Bryan Velasco Tan</t>
        </is>
      </c>
      <c r="O1733" t="inlineStr">
        <is>
          <t>202512080023-Vincent Bryan Velasco Tan-费用报销 - 副本 - 副本 - 副本-2025-12-08 06:01:50</t>
        </is>
      </c>
      <c r="P1733" t="inlineStr">
        <is>
          <t>YES</t>
        </is>
      </c>
      <c r="Q1733"/>
      <c r="R1733" t="inlineStr">
        <is>
          <t>NO</t>
        </is>
      </c>
      <c r="S1733" t="inlineStr">
        <is>
          <t>Outsourced Hospitality Crew</t>
        </is>
      </c>
      <c r="T1733">
        <v>1</v>
      </c>
      <c r="U1733">
        <v>1500</v>
      </c>
      <c r="V1733" t="inlineStr">
        <is>
          <t>PHP</t>
        </is>
      </c>
      <c r="W1733">
        <v>1500</v>
      </c>
      <c r="X1733" s="2" t="str">
        <f>=HYPERLINK("https://www.larksuite.com/approval/admin/previewAttachment?key=PMg9qgJRDAXgLZ0kJ39vM6_xcnEEK5kBi6xdsLD9ogRRLhYNtmhDJr0IY0ZoO92IHh3JbKQkbdZz_5_v4-A-H7rqquVz3W97vcQ7VZFGWgGQv59bkuwO4uv4BAAA__8", "2 attachment(s)")</f>
        <v>2 attachment(s)</v>
      </c>
      <c r="Y1733" t="inlineStr">
        <is>
          <t>Bank Transfer</t>
        </is>
      </c>
      <c r="Z1733" t="inlineStr">
        <is>
          <t>Kimberly Rose Culala</t>
        </is>
      </c>
      <c r="AA1733" t="inlineStr">
        <is>
          <t>1010-1024-0818</t>
        </is>
      </c>
      <c r="AB1733" t="inlineStr">
        <is>
          <t>PNB</t>
        </is>
      </c>
      <c r="AC1733" t="inlineStr">
        <is>
          <t>12 Little Tagaytay Marulas Valenzuela City</t>
        </is>
      </c>
      <c r="AD1733" s="4">
        <v>46007</v>
      </c>
      <c r="AE1733" t="inlineStr">
        <is>
          <t>100% Full Payment - Jan. 9, 2026</t>
        </is>
      </c>
      <c r="AF1733" s="2"/>
      <c r="AG1733" t="inlineStr">
        <is>
          <t>NzQyNTk5MTgyNzQ4MTg3MDM0MTo2RDQzNjZCNS1GNEU2LTQzQkQtQTA0RC1CRDU0QUJENTZGMjctMTplMzQ3ZDQ3ZTk3MWMxODRkNDIxOTA2ZmEyNmY3ZDg1MDox</t>
        </is>
      </c>
      <c r="AH1733" t="inlineStr">
        <is>
          <t>Kimberly Rose Culala</t>
        </is>
      </c>
      <c r="AI1733"/>
      <c r="AJ1733" t="inlineStr">
        <is>
          <t>LIQUIDITY PLAN (PAR # 202512090150 / 2025TEG-P0322)
MANPOWER &gt; Hospitality &gt;
Hospitality Crew
Total Budget = Php 7,200.00
Actual Cost = Php 1,500.00
Balance = Php 5,700.00</t>
        </is>
      </c>
      <c r="AK1733"/>
    </row>
    <row r="1734" ht="25.5" customHeight="1">
      <c r="A1734" s="2" t="str">
        <f>=HYPERLINK("https://applink.larksuite.com/client/mini_program/open?appId=cli_9c7cc8a9a9edd105&amp;mode=appCenter&amp;path_pc=pc/pages/requested/index?instanceId=7584033391717142240&amp;source=bitable&amp;path=pages/detail/index?instanceId=7584033391717142240&amp;source=bitable", "202512150147")</f>
        <v>202512150147</v>
      </c>
      <c r="B1734" t="inlineStr">
        <is>
          <t>Approved</t>
        </is>
      </c>
      <c r="C1734" t="inlineStr">
        <is>
          <t>Procurement Order</t>
        </is>
      </c>
      <c r="D1734" s="3">
        <v>46006.779814814814</v>
      </c>
      <c r="E1734" s="3">
        <v>46007.52108796296</v>
      </c>
      <c r="F1734" t="inlineStr">
        <is>
          <t>Fatima Kathleen M. FLores</t>
        </is>
      </c>
      <c r="G1734" t="inlineStr">
        <is>
          <t>Procurement</t>
        </is>
      </c>
      <c r="H1734"/>
      <c r="I1734"/>
      <c r="J1734" t="inlineStr">
        <is>
          <t>Project</t>
        </is>
      </c>
      <c r="K1734" t="inlineStr">
        <is>
          <t>GG - Event Service</t>
        </is>
      </c>
      <c r="L1734" t="inlineStr">
        <is>
          <t>Crossfire Legends Public Test Launch</t>
        </is>
      </c>
      <c r="M1734" t="inlineStr">
        <is>
          <t>2025TEG-P0322</t>
        </is>
      </c>
      <c r="N1734" t="inlineStr">
        <is>
          <t>Vincent Bryan Velasco Tan</t>
        </is>
      </c>
      <c r="O1734" t="inlineStr">
        <is>
          <t>202512080023-Vincent Bryan Velasco Tan-费用报销 - 副本 - 副本 - 副本-2025-12-08 06:01:50</t>
        </is>
      </c>
      <c r="P1734" t="inlineStr">
        <is>
          <t>YES</t>
        </is>
      </c>
      <c r="Q1734"/>
      <c r="R1734" t="inlineStr">
        <is>
          <t>NO</t>
        </is>
      </c>
      <c r="S1734" t="inlineStr">
        <is>
          <t>Outsourced League Operations Marshal</t>
        </is>
      </c>
      <c r="T1734">
        <v>1</v>
      </c>
      <c r="U1734">
        <v>3000</v>
      </c>
      <c r="V1734" t="inlineStr">
        <is>
          <t>PHP</t>
        </is>
      </c>
      <c r="W1734">
        <v>3000</v>
      </c>
      <c r="X1734" s="2" t="str">
        <f>=HYPERLINK("https://www.larksuite.com/approval/admin/previewAttachment?key=PMgxDkIxDAPQK9mJf91wGRa-Kv7AhOiWsyMxsL4xiTEP5iioGAW2jylkZtE0FSF0NO2CaWWfr3XfvK5agf1JI9j7-Vjnm0c5Ak4pJwDe_p6WVDWEn-MbAAD__w", "2 attachment(s)")</f>
        <v>2 attachment(s)</v>
      </c>
      <c r="Y1734" t="inlineStr">
        <is>
          <t>Bank Transfer</t>
        </is>
      </c>
      <c r="Z1734" t="inlineStr">
        <is>
          <t>Jimmy Montero Zapata Jr.</t>
        </is>
      </c>
      <c r="AA1734" t="inlineStr">
        <is>
          <t>8419297101</t>
        </is>
      </c>
      <c r="AB1734" t="inlineStr">
        <is>
          <t>BPI</t>
        </is>
      </c>
      <c r="AC1734" t="inlineStr">
        <is>
          <t>278E Sta, Teresita St, Sampaloc Manila</t>
        </is>
      </c>
      <c r="AD1734" s="4">
        <v>46006</v>
      </c>
      <c r="AE1734" t="inlineStr">
        <is>
          <t>100% Full Payment - Jan. 9, 2026</t>
        </is>
      </c>
      <c r="AF1734" s="2"/>
      <c r="AG1734" t="inlineStr">
        <is>
          <t>NzQyNTk5MTgyNzQ4MTg3MDM0MToxNUY2RDhDMy0wMEY3LTRDMDctQUY4RS0zQjc2NzMyQkFGRUYtMTplOGVkZDg0ZDVkNThiMDJiNTQyODk5NzY5OGMyMDVhMTox</t>
        </is>
      </c>
      <c r="AH1734" t="inlineStr">
        <is>
          <t>Jimmy Montero Zapata Jr.</t>
        </is>
      </c>
      <c r="AI1734"/>
      <c r="AJ1734" t="inlineStr">
        <is>
          <t>LIQUIDITY PLAN (PAR # 202512090150 / 2025TEG-P0322)
MANPOWER &gt; League Operations &gt;
Marshalls
Total Remaining Budget = Php 3,920.00
Actual Cost = Php 3,000.00
Balance = Php 920.00</t>
        </is>
      </c>
      <c r="AK1734"/>
    </row>
    <row r="1735" ht="25.5" customHeight="1">
      <c r="A1735" s="2" t="str">
        <f>=HYPERLINK("https://applink.larksuite.com/client/mini_program/open?appId=cli_9c7cc8a9a9edd105&amp;mode=appCenter&amp;path_pc=pc/pages/requested/index?instanceId=7584032676617719522&amp;source=bitable&amp;path=pages/detail/index?instanceId=7584032676617719522&amp;source=bitable", "202512150146")</f>
        <v>202512150146</v>
      </c>
      <c r="B1735" t="inlineStr">
        <is>
          <t>Approved</t>
        </is>
      </c>
      <c r="C1735" t="inlineStr">
        <is>
          <t>Procurement Order</t>
        </is>
      </c>
      <c r="D1735" s="3">
        <v>46006.77788194444</v>
      </c>
      <c r="E1735" s="3">
        <v>46007.52069444444</v>
      </c>
      <c r="F1735" t="inlineStr">
        <is>
          <t>Fatima Kathleen M. FLores</t>
        </is>
      </c>
      <c r="G1735" t="inlineStr">
        <is>
          <t>Procurement</t>
        </is>
      </c>
      <c r="H1735"/>
      <c r="I1735"/>
      <c r="J1735" t="inlineStr">
        <is>
          <t>Project</t>
        </is>
      </c>
      <c r="K1735" t="inlineStr">
        <is>
          <t>GG - Event Service</t>
        </is>
      </c>
      <c r="L1735" t="inlineStr">
        <is>
          <t>Crossfire Legends Public Test Launch</t>
        </is>
      </c>
      <c r="M1735" t="inlineStr">
        <is>
          <t>2025TEG-P0322</t>
        </is>
      </c>
      <c r="N1735" t="inlineStr">
        <is>
          <t>Vincent Bryan Velasco Tan</t>
        </is>
      </c>
      <c r="O1735" t="inlineStr">
        <is>
          <t>202512080023-Vincent Bryan Velasco Tan-费用报销 - 副本 - 副本 - 副本-2025-12-08 06:01:50</t>
        </is>
      </c>
      <c r="P1735" t="inlineStr">
        <is>
          <t>YES</t>
        </is>
      </c>
      <c r="Q1735"/>
      <c r="R1735" t="inlineStr">
        <is>
          <t>NO</t>
        </is>
      </c>
      <c r="S1735" t="inlineStr">
        <is>
          <t>Outsourced League Operations Marshal</t>
        </is>
      </c>
      <c r="T1735">
        <v>1</v>
      </c>
      <c r="U1735">
        <v>3000</v>
      </c>
      <c r="V1735" t="inlineStr">
        <is>
          <t>PHP</t>
        </is>
      </c>
      <c r="W1735">
        <v>3000</v>
      </c>
      <c r="X1735" s="2" t="str">
        <f>=HYPERLINK("https://www.larksuite.com/approval/admin/previewAttachment?key=PMhNCsJADAXgK72XZPImXsaNpfg3Igitmzm74KLbLzuRvdGzEEUrcKr1gFsqkxKrmU2blAqiwucy1vNtq-J7_96f4_UY-9yul3X5sJXMII_wDoCnw10RUZWBv-MXAAD__w", "2 attachment(s)")</f>
        <v>2 attachment(s)</v>
      </c>
      <c r="Y1735" t="inlineStr">
        <is>
          <t>Bank Transfer</t>
        </is>
      </c>
      <c r="Z1735" t="inlineStr">
        <is>
          <t>Nathaniel Razo Enriquez</t>
        </is>
      </c>
      <c r="AA1735" t="inlineStr">
        <is>
          <t>0696-1256-60</t>
        </is>
      </c>
      <c r="AB1735" t="inlineStr">
        <is>
          <t>LandBank</t>
        </is>
      </c>
      <c r="AC1735" t="inlineStr">
        <is>
          <t>13th Pangasinan st. Bago Bantay Quezon City</t>
        </is>
      </c>
      <c r="AD1735" s="4">
        <v>46006</v>
      </c>
      <c r="AE1735" t="inlineStr">
        <is>
          <t>100% Full Payment - Jan. 9, 2026</t>
        </is>
      </c>
      <c r="AF1735" s="2"/>
      <c r="AG1735" t="inlineStr">
        <is>
          <t>NzQyNTk5MTgyNzQ4MTg3MDM0MTpDRjlFRjE4Ni0yRjhFLTQ1QzEtQTA5OC1FMTE1NjQ2NUY5NTgtMTo4NTJhNjc0MDI2OTg2OTA2NzExZWE4Mzc3NjNkZGViNDox</t>
        </is>
      </c>
      <c r="AH1735" t="inlineStr">
        <is>
          <t>Nathaniel Razo Enriquez</t>
        </is>
      </c>
      <c r="AI1735"/>
      <c r="AJ1735" t="inlineStr">
        <is>
          <t>LIQUIDITY PLAN (PAR # 202512090150 / 2025TEG-P0322)
MANPOWER &gt; League Operations &gt;
Marshalls
Total Budget = Php 6,920.00
Actual Cost = Php 3,000.00
Balance = Php 3,920.00</t>
        </is>
      </c>
      <c r="AK1735"/>
    </row>
    <row r="1736" ht="25.5" customHeight="1">
      <c r="A1736" s="2" t="str">
        <f>=HYPERLINK("https://applink.larksuite.com/client/mini_program/open?appId=cli_9c7cc8a9a9edd105&amp;mode=appCenter&amp;path_pc=pc/pages/requested/index?instanceId=7584031360948408033&amp;source=bitable&amp;path=pages/detail/index?instanceId=7584031360948408033&amp;source=bitable", "202512150145")</f>
        <v>202512150145</v>
      </c>
      <c r="B1736" t="inlineStr">
        <is>
          <t>Approved</t>
        </is>
      </c>
      <c r="C1736" t="inlineStr">
        <is>
          <t>Procurement Order</t>
        </is>
      </c>
      <c r="D1736" s="3">
        <v>46006.77434027778</v>
      </c>
      <c r="E1736" s="3">
        <v>46007.51836805556</v>
      </c>
      <c r="F1736" t="inlineStr">
        <is>
          <t>Fatima Kathleen M. FLores</t>
        </is>
      </c>
      <c r="G1736" t="inlineStr">
        <is>
          <t>Procurement</t>
        </is>
      </c>
      <c r="H1736"/>
      <c r="I1736"/>
      <c r="J1736" t="inlineStr">
        <is>
          <t>Project</t>
        </is>
      </c>
      <c r="K1736" t="inlineStr">
        <is>
          <t>GG - Event Service</t>
        </is>
      </c>
      <c r="L1736" t="inlineStr">
        <is>
          <t>Crossfire Legends Public Test Launch</t>
        </is>
      </c>
      <c r="M1736" t="inlineStr">
        <is>
          <t>2025TEG-P0322</t>
        </is>
      </c>
      <c r="N1736" t="inlineStr">
        <is>
          <t>Vincent Bryan Velasco Tan</t>
        </is>
      </c>
      <c r="O1736" t="inlineStr">
        <is>
          <t>202512080023-Vincent Bryan Velasco Tan-费用报销 - 副本 - 副本 - 副本-2025-12-08 06:01:50</t>
        </is>
      </c>
      <c r="P1736" t="inlineStr">
        <is>
          <t>YES</t>
        </is>
      </c>
      <c r="Q1736"/>
      <c r="R1736" t="inlineStr">
        <is>
          <t>NO</t>
        </is>
      </c>
      <c r="S1736" t="inlineStr">
        <is>
          <t>Outsourced Assistant Project Manager</t>
        </is>
      </c>
      <c r="T1736">
        <v>1</v>
      </c>
      <c r="U1736">
        <v>15000</v>
      </c>
      <c r="V1736" t="inlineStr">
        <is>
          <t>PHP</t>
        </is>
      </c>
      <c r="W1736">
        <v>15000</v>
      </c>
      <c r="X1736" s="2" t="str">
        <f>=HYPERLINK("https://www.larksuite.com/approval/admin/previewAttachment?key=PMhLCgJBDATQK1Ul1Z3Ey7hxaGRAEQQ_i5xdcDHbN5OYOeizoKIV2DFScPpEKYWEe1szohAMeW-3dQ6aPfKTY333-_7u1_WytidHhRnCJU8APB3uIalqCn_HLwAA__8", "2 attachment(s)")</f>
        <v>2 attachment(s)</v>
      </c>
      <c r="Y1736" t="inlineStr">
        <is>
          <t>Bank Transfer</t>
        </is>
      </c>
      <c r="Z1736" t="inlineStr">
        <is>
          <t>Glean F. Roque</t>
        </is>
      </c>
      <c r="AA1736" t="inlineStr">
        <is>
          <t>0707201681</t>
        </is>
      </c>
      <c r="AB1736" t="inlineStr">
        <is>
          <t>LandBank</t>
        </is>
      </c>
      <c r="AC1736" t="inlineStr">
        <is>
          <t>30 Interior 5 Salvador Street, Krus na Ligas, Quezon City</t>
        </is>
      </c>
      <c r="AD1736" s="4">
        <v>45996</v>
      </c>
      <c r="AE1736" t="inlineStr">
        <is>
          <t>100% Full Payment - Jan. 9, 2026</t>
        </is>
      </c>
      <c r="AF1736" s="2"/>
      <c r="AG1736" t="inlineStr">
        <is>
          <t>NzQyNTk5MTgyNzQ4MTg3MDM0MToxNDlFOThDMi1DQkI1LTQ4MDQtQjU3NC0xMjU5OTIwQjZFNDItMToyMzJmMDA2MTVlZjIzMmVjZWY3ZmExZjNhYzA1ZTU5Nzox</t>
        </is>
      </c>
      <c r="AH1736" t="inlineStr">
        <is>
          <t>Glean F. Roque</t>
        </is>
      </c>
      <c r="AI1736"/>
      <c r="AJ1736" t="inlineStr">
        <is>
          <t>LIQUIDITY PLAN (PAR # 202512090150 / 2025TEG-P0322)
MANPOWER &gt; Project Management &gt;
Assistant Project Manager 
Total Budget = Php 20,000.00
Actual Cost = Php 15,000.00
Balance = Php 5,000.00</t>
        </is>
      </c>
      <c r="AK1736"/>
    </row>
    <row r="1737" ht="25.5" customHeight="1">
      <c r="A1737" s="2" t="str">
        <f>=HYPERLINK("https://applink.larksuite.com/client/mini_program/open?appId=cli_9c7cc8a9a9edd105&amp;mode=appCenter&amp;path_pc=pc/pages/requested/index?instanceId=7584038260377161435&amp;source=bitable&amp;path=pages/detail/index?instanceId=7584038260377161435&amp;source=bitable", "202512150162")</f>
        <v>202512150162</v>
      </c>
      <c r="B1737" t="inlineStr">
        <is>
          <t>Approved</t>
        </is>
      </c>
      <c r="C1737" t="inlineStr">
        <is>
          <t>Procurement Order</t>
        </is>
      </c>
      <c r="D1737" s="3">
        <v>46006.79292824074</v>
      </c>
      <c r="E1737" s="3">
        <v>46027.765914351854</v>
      </c>
      <c r="F1737" t="inlineStr">
        <is>
          <t>Fatima Kathleen M. FLores</t>
        </is>
      </c>
      <c r="G1737" t="inlineStr">
        <is>
          <t>Procurement</t>
        </is>
      </c>
      <c r="H1737"/>
      <c r="I1737"/>
      <c r="J1737" t="inlineStr">
        <is>
          <t>Project</t>
        </is>
      </c>
      <c r="K1737" t="inlineStr">
        <is>
          <t>GG - Event Service</t>
        </is>
      </c>
      <c r="L1737" t="inlineStr">
        <is>
          <t>KIC 2025 - Playoffs</t>
        </is>
      </c>
      <c r="M1737" t="inlineStr">
        <is>
          <t>2025TEG-P0321</t>
        </is>
      </c>
      <c r="N1737" t="inlineStr">
        <is>
          <t>Carla Andrea Calma Crespo</t>
        </is>
      </c>
      <c r="O1737" t="inlineStr">
        <is>
          <t>202512090017-Carla Andrea Calma Crespo-费用报销 - 副本 - 副本 - 副本-2025-12-09 02:23:13</t>
        </is>
      </c>
      <c r="P1737" t="inlineStr">
        <is>
          <t>YES</t>
        </is>
      </c>
      <c r="Q1737"/>
      <c r="R1737" t="inlineStr">
        <is>
          <t>YES</t>
        </is>
      </c>
      <c r="S1737" t="inlineStr">
        <is>
          <t>Printer Rental (Nov. 14 to 30, 2025)</t>
        </is>
      </c>
      <c r="T1737">
        <v>1</v>
      </c>
      <c r="U1737">
        <v>8050</v>
      </c>
      <c r="V1737" t="inlineStr">
        <is>
          <t>PHP</t>
        </is>
      </c>
      <c r="W1737">
        <v>8050</v>
      </c>
      <c r="X1737" s="2" t="str">
        <f>=HYPERLINK("https://www.larksuite.com/approval/admin/previewAttachment?key=PMixDUIxDATQle7isx2zDA1RRAEVUvQbz45EQftiEjGdFgUVR4GdPgWbI2CZDMq8RzOzkEyp13vf3c-xdV3mrP2yPs_HXh965RhIk2wC4O3vlpKqQvg5vgEAAP__", "2 attachment(s)")</f>
        <v>2 attachment(s)</v>
      </c>
      <c r="Y1737" t="inlineStr">
        <is>
          <t>Bank Transfer</t>
        </is>
      </c>
      <c r="Z1737" t="inlineStr">
        <is>
          <t>Sheilla Mae Songalia</t>
        </is>
      </c>
      <c r="AA1737" t="inlineStr">
        <is>
          <t>09497767800</t>
        </is>
      </c>
      <c r="AB1737" t="inlineStr">
        <is>
          <t>GCash</t>
        </is>
      </c>
      <c r="AC1737" t="inlineStr">
        <is>
          <t>19-B Acacia St. Old Cabuyao Brgy. Sauyo, QC</t>
        </is>
      </c>
      <c r="AD1737" s="4">
        <v>45975</v>
      </c>
      <c r="AE1737" t="inlineStr">
        <is>
          <t>100% Full Payment - Jan. 9, 2026</t>
        </is>
      </c>
      <c r="AF1737" s="2"/>
      <c r="AG1737" t="inlineStr">
        <is>
          <t>NzQyNTk5MTgyNzQ4MTg3MDM0MTo1RTM2RkNCQS1DMjEwLTREMEUtODIxNC02MURBN0E3QjIzNkYtMTo3ZjdiNjhkZDFiOWI3YjBkZGMxZTExOGFhYmQ0Mzc3Zjox</t>
        </is>
      </c>
      <c r="AH1737" t="inlineStr">
        <is>
          <t>Sheilla Mae Songalia</t>
        </is>
      </c>
      <c r="AI1737"/>
      <c r="AJ1737" t="inlineStr">
        <is>
          <t>LIQUIDITY PLAN (PAR # 202511200098 / 2025TEG-P0321)
MISCELLANEOUS &gt; For Rent &gt; Printer (INTERNAL)
Total Budget = Php 10,500.00
Actual Cost = Php 8,050.00
Balance = Php 2,450.00</t>
        </is>
      </c>
      <c r="AK1737"/>
    </row>
    <row r="1738" ht="25.5" customHeight="1">
      <c r="A1738" s="2" t="str">
        <f>=HYPERLINK("https://applink.larksuite.com/client/mini_program/open?appId=cli_9c7cc8a9a9edd105&amp;mode=appCenter&amp;path_pc=pc/pages/requested/index?instanceId=7584307786813607648&amp;source=bitable&amp;path=pages/detail/index?instanceId=7584307786813607648&amp;source=bitable", "202512160030")</f>
        <v>202512160030</v>
      </c>
      <c r="B1738" t="inlineStr">
        <is>
          <t>Approved</t>
        </is>
      </c>
      <c r="C1738" t="inlineStr">
        <is>
          <t>Procurement Order</t>
        </is>
      </c>
      <c r="D1738" s="3">
        <v>46007.51924768519</v>
      </c>
      <c r="E1738" s="3">
        <v>46007.56516203703</v>
      </c>
      <c r="F1738" t="inlineStr">
        <is>
          <t>Fatima Kathleen M. FLores</t>
        </is>
      </c>
      <c r="G1738" t="inlineStr">
        <is>
          <t>Procurement</t>
        </is>
      </c>
      <c r="H1738"/>
      <c r="I1738"/>
      <c r="J1738" t="inlineStr">
        <is>
          <t>Project</t>
        </is>
      </c>
      <c r="K1738" t="inlineStr">
        <is>
          <t>GG - Event Service</t>
        </is>
      </c>
      <c r="L1738" t="inlineStr">
        <is>
          <t>HOK Philippine Kings League - Fall Season</t>
        </is>
      </c>
      <c r="M1738" t="inlineStr">
        <is>
          <t>2025TEG-P0219</t>
        </is>
      </c>
      <c r="N1738" t="inlineStr">
        <is>
          <t>Frances Angelita Arreglado</t>
        </is>
      </c>
      <c r="O1738" t="inlineStr">
        <is>
          <t>202508200129-Frances Angelita Arreglado-费用报销 - 副本 - 副本 - 副本-2025-08-20 11:07:03</t>
        </is>
      </c>
      <c r="P1738" t="inlineStr">
        <is>
          <t>NO</t>
        </is>
      </c>
      <c r="Q1738"/>
      <c r="R1738" t="inlineStr">
        <is>
          <t>NO</t>
        </is>
      </c>
      <c r="S1738" t="inlineStr">
        <is>
          <t>Outsourced Creatives Team</t>
        </is>
      </c>
      <c r="T1738">
        <v>1</v>
      </c>
      <c r="U1738">
        <v>595056</v>
      </c>
      <c r="V1738" t="inlineStr">
        <is>
          <t>PHP</t>
        </is>
      </c>
      <c r="W1738">
        <v>595056</v>
      </c>
      <c r="X1738" s="2" t="str">
        <f>=HYPERLINK("https://www.larksuite.com/approval/admin/previewAttachment?key=PMgxCgJBDAXQK_0kf_ITL2Ozw6KgsCCu1ZxdsLB9WYasYZENtnnDlkYxIFWWRULJWr5MashErvncr35-EMPv2zEf83iv87bt82Wj5Q4FGQXALn8PkexO4uf4BgAA__8", "3 attachment(s)")</f>
        <v>3 attachment(s)</v>
      </c>
      <c r="Y1738" t="inlineStr">
        <is>
          <t>Bank Transfer</t>
        </is>
      </c>
      <c r="Z1738" t="inlineStr">
        <is>
          <t>WILDMNDS PRODUCTION INC.</t>
        </is>
      </c>
      <c r="AA1738" t="inlineStr">
        <is>
          <t>3111032784</t>
        </is>
      </c>
      <c r="AB1738" t="inlineStr">
        <is>
          <t>BPI</t>
        </is>
      </c>
      <c r="AC1738" t="inlineStr">
        <is>
          <t>2 Batay St., Kaunlaran, Cubao, QC</t>
        </is>
      </c>
      <c r="AD1738" s="4">
        <v>45890</v>
      </c>
      <c r="AE1738" t="inlineStr">
        <is>
          <t>100% Full Payment</t>
        </is>
      </c>
      <c r="AF1738" s="2" t="str">
        <f>=HYPERLINK("https://www.larksuite.com/approval/admin/previewAttachment?key=TMgxCgJBDAXQK_0_yfwkXsZmh0VBYUFcq5xdsLJ9SkI5aSp4cRTYMdMNEamkCSHPHs2IQjDcez336zg_sDnu27Ee63j3edv29aLSBK_pzgLAy5-TqDTZz_ENAAD__w", "3 attachment(s)")</f>
        <v>3 attachment(s)</v>
      </c>
      <c r="AG1738" t="inlineStr">
        <is>
          <t>NzQyNTk5MTgyNzQ4MTg3MDM0MTpCN0NFMDg3QS0zOUYzLTREMzktOTBBRS1GQjM3NTRCMzlENTItMTphYWEzZDFiNTc0OGJjNWIzMDk5YTlmMjRlMzVmMzc1Yzox</t>
        </is>
      </c>
      <c r="AH1738" t="inlineStr">
        <is>
          <t>WILDMNDS PRODUCTION INC.</t>
        </is>
      </c>
      <c r="AI1738"/>
      <c r="AJ1738" t="inlineStr">
        <is>
          <t>LIQUIDITY PLAN (PAR # 202508190134 / 2025TEG-P0219)
INTERNAL 0820 COST ESTIMATE &gt; MEDIA DAY &gt;
CREATIVE SERVICES &gt; TEAMS' MEDIA DAY (Package)
Total Budget = Php 596,000.00
Actual Cost = Php 595,056.00
Balance = Php 944.00</t>
        </is>
      </c>
      <c r="AK1738"/>
    </row>
    <row r="1739" ht="25.5" customHeight="1">
      <c r="A1739" s="2" t="str">
        <f>=HYPERLINK("https://applink.larksuite.com/client/mini_program/open?appId=cli_9c7cc8a9a9edd105&amp;mode=appCenter&amp;path_pc=pc/pages/requested/index?instanceId=7584294023641239263&amp;source=bitable&amp;path=pages/detail/index?instanceId=7584294023641239263&amp;source=bitable", "202512160021")</f>
        <v>202512160021</v>
      </c>
      <c r="B1739" t="inlineStr">
        <is>
          <t>Approved</t>
        </is>
      </c>
      <c r="C1739" t="inlineStr">
        <is>
          <t>Procurement Order</t>
        </is>
      </c>
      <c r="D1739" s="3">
        <v>46007.48216435185</v>
      </c>
      <c r="E1739" s="3">
        <v>46008.838587962964</v>
      </c>
      <c r="F1739" t="inlineStr">
        <is>
          <t>Fatima Kathleen M. FLores</t>
        </is>
      </c>
      <c r="G1739" t="inlineStr">
        <is>
          <t>Procurement</t>
        </is>
      </c>
      <c r="H1739"/>
      <c r="I1739"/>
      <c r="J1739" t="inlineStr">
        <is>
          <t>Project</t>
        </is>
      </c>
      <c r="K1739" t="inlineStr">
        <is>
          <t>GG - Event Service</t>
        </is>
      </c>
      <c r="L1739" t="inlineStr">
        <is>
          <t>KIC 2025 - Group Stage &amp; Knockouts</t>
        </is>
      </c>
      <c r="M1739" t="inlineStr">
        <is>
          <t>2025TEG-P0286</t>
        </is>
      </c>
      <c r="N1739" t="inlineStr">
        <is>
          <t>Frances Angelita Arreglado</t>
        </is>
      </c>
      <c r="O1739" t="inlineStr">
        <is>
          <t>202511180037-Carla Andrea Calma Crespo-费用报销 - 副本 - 副本 - 副本-2025-11-18 05:31:28</t>
        </is>
      </c>
      <c r="P1739" t="inlineStr">
        <is>
          <t>YES</t>
        </is>
      </c>
      <c r="Q1739"/>
      <c r="R1739" t="inlineStr">
        <is>
          <t>YES</t>
        </is>
      </c>
      <c r="S1739" t="inlineStr">
        <is>
          <t>Outsourced Media Manager (Additional)</t>
        </is>
      </c>
      <c r="T1739">
        <v>1</v>
      </c>
      <c r="U1739">
        <v>5000</v>
      </c>
      <c r="V1739" t="inlineStr">
        <is>
          <t>PHP</t>
        </is>
      </c>
      <c r="W1739">
        <v>5000</v>
      </c>
      <c r="X1739" s="2" t="str">
        <f>=HYPERLINK("https://www.larksuite.com/approval/admin/previewAttachment?key=PMgxCgJBDAXQK_2f_E0mXsbGZRDWtRFGm5xdsLB9MYgYGz0KKlqBnduQlWAeonlZeFszs5BMqfdzXqfzfK73PD6H5Xr0ut_m_uJWaYZ0yQcAXv7uKakqhJ_jGwAA__8", "2 attachment(s)")</f>
        <v>2 attachment(s)</v>
      </c>
      <c r="Y1739" t="inlineStr">
        <is>
          <t>Bank Transfer</t>
        </is>
      </c>
      <c r="Z1739" t="inlineStr">
        <is>
          <t>Marc Kevin Serrano</t>
        </is>
      </c>
      <c r="AA1739" t="inlineStr">
        <is>
          <t>1519218972</t>
        </is>
      </c>
      <c r="AB1739" t="inlineStr">
        <is>
          <t>BPI</t>
        </is>
      </c>
      <c r="AC1739" t="inlineStr">
        <is>
          <t>3 Don Guillermo Street, Barangay Holy Spirit, Commonwealth, Quezon City</t>
        </is>
      </c>
      <c r="AD1739" s="4">
        <v>45979</v>
      </c>
      <c r="AE1739" t="inlineStr">
        <is>
          <t>100% Full Payment - Dec. 12, 2025</t>
        </is>
      </c>
      <c r="AF1739" s="2"/>
      <c r="AG1739" t="inlineStr">
        <is>
          <t>NzQyNTk5MTgyNzQ4MTg3MDM0MTo4MUQ0RjBDNy1EOTAxLTRFOTktOTRBOC0xMTUzRUE0MzlGQzgtMToxMDkzNzkyZjI3NDkwNDBiY2VkYmEwNjgwNTk4NjY5YTox</t>
        </is>
      </c>
      <c r="AH1739" t="inlineStr">
        <is>
          <t>Marc Kevin Serrano</t>
        </is>
      </c>
      <c r="AI1739"/>
      <c r="AJ1739" t="inlineStr">
        <is>
          <t>No line item in internal CE. To be charged to playoffs CE.</t>
        </is>
      </c>
      <c r="AK1739"/>
    </row>
    <row r="1740" ht="25.5" customHeight="1">
      <c r="A1740" s="2" t="str">
        <f>=HYPERLINK("https://applink.larksuite.com/client/mini_program/open?appId=cli_9c7cc8a9a9edd105&amp;mode=appCenter&amp;path_pc=pc/pages/requested/index?instanceId=7583927905843941086&amp;source=bitable&amp;path=pages/detail/index?instanceId=7583927905843941086&amp;source=bitable", "202512150029")</f>
        <v>202512150029</v>
      </c>
      <c r="B1740" t="inlineStr">
        <is>
          <t>Approved</t>
        </is>
      </c>
      <c r="C1740" t="inlineStr">
        <is>
          <t>Procurement Order</t>
        </is>
      </c>
      <c r="D1740" s="3">
        <v>46006.49554398148</v>
      </c>
      <c r="E1740" s="3">
        <v>46008.50784722222</v>
      </c>
      <c r="F1740" t="inlineStr">
        <is>
          <t>Fatima Kathleen M. FLores</t>
        </is>
      </c>
      <c r="G1740" t="inlineStr">
        <is>
          <t>Procurement</t>
        </is>
      </c>
      <c r="H1740"/>
      <c r="I1740"/>
      <c r="J1740" t="inlineStr">
        <is>
          <t>Project</t>
        </is>
      </c>
      <c r="K1740" t="inlineStr">
        <is>
          <t>GG - Event Service</t>
        </is>
      </c>
      <c r="L1740" t="inlineStr">
        <is>
          <t>KIC 2025 - Playoffs</t>
        </is>
      </c>
      <c r="M1740" t="inlineStr">
        <is>
          <t>2025TEG-P0321</t>
        </is>
      </c>
      <c r="N1740" t="inlineStr">
        <is>
          <t>Carla Andrea Calma Crespo</t>
        </is>
      </c>
      <c r="O1740" t="inlineStr">
        <is>
          <t>202511250111-Carla Andrea Calma Crespo-费用报销 - 副本 - 副本 - 副本-2025-11-25 07:56:13</t>
        </is>
      </c>
      <c r="P1740" t="inlineStr">
        <is>
          <t>YES</t>
        </is>
      </c>
      <c r="Q1740"/>
      <c r="R1740" t="inlineStr">
        <is>
          <t>YES</t>
        </is>
      </c>
      <c r="S1740" t="inlineStr">
        <is>
          <t>Outsourced CG Operator (PH)</t>
        </is>
      </c>
      <c r="T1740">
        <v>1</v>
      </c>
      <c r="U1740">
        <v>21000</v>
      </c>
      <c r="V1740" t="inlineStr">
        <is>
          <t>PHP</t>
        </is>
      </c>
      <c r="W1740">
        <v>21000</v>
      </c>
      <c r="X1740" s="2" t="str">
        <f>=HYPERLINK("https://www.larksuite.com/approval/admin/previewAttachment?key=PMgxCgJBDAXQK_0kfyb5XsbGZRBEEMRdm5xdsNj2zTLMGhZToMwF6xwV8hRGMURDzfa2TCEtyd6e62p5HLuv-LzEx7d6v9_W9rahdEcGGQXALqdHkpQm8Xf8AgAA__8", "2 attachment(s)")</f>
        <v>2 attachment(s)</v>
      </c>
      <c r="Y1740" t="inlineStr">
        <is>
          <t>Bank Transfer</t>
        </is>
      </c>
      <c r="Z1740" t="inlineStr">
        <is>
          <t>Remar John Bayona</t>
        </is>
      </c>
      <c r="AA1740" t="inlineStr">
        <is>
          <t>09458591894</t>
        </is>
      </c>
      <c r="AB1740" t="inlineStr">
        <is>
          <t>GCash</t>
        </is>
      </c>
      <c r="AC1740" t="inlineStr">
        <is>
          <t>Puntales Road,Concepcion,Iloilo</t>
        </is>
      </c>
      <c r="AD1740" s="4">
        <v>45986</v>
      </c>
      <c r="AE1740" t="inlineStr">
        <is>
          <t>100% Full Payment - Dec. 19, 2025</t>
        </is>
      </c>
      <c r="AF1740" s="2"/>
      <c r="AG1740" t="inlineStr">
        <is>
          <t>NzQyNTk5MTgyNzQ4MTg3MDM0MTo3RkNBMTU5Ny1FQzJBLTQxQ0YtQTU1OC03RTZGNDY2RjNERjUtMTphMWIyY2VlZGRlZmY5NWU2N2E5NjBlNWFkMTRhNjU0YTox</t>
        </is>
      </c>
      <c r="AH1740" t="inlineStr">
        <is>
          <t>Remar John Bayona</t>
        </is>
      </c>
      <c r="AI1740"/>
      <c r="AJ1740" t="inlineStr">
        <is>
          <t>LIQUIDITY PLAN (PAR # 202511200098 / 2025TEG-P0321)
BROADCAST TEAM &gt; PH CG Operator
Total Budget = Php 18,000.00
Actual Cost = Php 21,000.00
Balance = (Php 3,000.00) OVER BUDGET
^ THIS IS BASED ON AN UPDATED INTERNAL CE, ATTACHED AS A COMMENT TO THE PAR ON DEC. 4, 2025</t>
        </is>
      </c>
      <c r="AK1740"/>
    </row>
    <row r="1741" ht="25.5" customHeight="1">
      <c r="A1741" s="2" t="str">
        <f>=HYPERLINK("https://applink.larksuite.com/client/mini_program/open?appId=cli_9c7cc8a9a9edd105&amp;mode=appCenter&amp;path_pc=pc/pages/requested/index?instanceId=7583948631800057565&amp;source=bitable&amp;path=pages/detail/index?instanceId=7583948631800057565&amp;source=bitable", "202512150074")</f>
        <v>202512150074</v>
      </c>
      <c r="B1741" t="inlineStr">
        <is>
          <t>Approved</t>
        </is>
      </c>
      <c r="C1741" t="inlineStr">
        <is>
          <t>Procurement Order</t>
        </is>
      </c>
      <c r="D1741" s="3">
        <v>46006.551400462966</v>
      </c>
      <c r="E1741" s="3">
        <v>46027.751284722224</v>
      </c>
      <c r="F1741" t="inlineStr">
        <is>
          <t>Fatima Kathleen M. FLores</t>
        </is>
      </c>
      <c r="G1741" t="inlineStr">
        <is>
          <t>Procurement</t>
        </is>
      </c>
      <c r="H1741"/>
      <c r="I1741"/>
      <c r="J1741" t="inlineStr">
        <is>
          <t>Project</t>
        </is>
      </c>
      <c r="K1741" t="inlineStr">
        <is>
          <t>GG - Event Service</t>
        </is>
      </c>
      <c r="L1741" t="inlineStr">
        <is>
          <t>KIC 2025 - Playoffs</t>
        </is>
      </c>
      <c r="M1741" t="inlineStr">
        <is>
          <t>2025TEG-P0321</t>
        </is>
      </c>
      <c r="N1741" t="inlineStr">
        <is>
          <t>Carla Andrea Calma Crespo</t>
        </is>
      </c>
      <c r="O1741" t="inlineStr">
        <is>
          <t>202511250078-Carla Andrea Calma Crespo-费用报销 - 副本 - 副本 - 副本-2025-11-25 06:35:41</t>
        </is>
      </c>
      <c r="P1741" t="inlineStr">
        <is>
          <t>NO</t>
        </is>
      </c>
      <c r="Q1741"/>
      <c r="R1741" t="inlineStr">
        <is>
          <t>YES</t>
        </is>
      </c>
      <c r="S1741" t="inlineStr">
        <is>
          <t>Crew Meals - Ingress, Rehearsals &amp; Event Day 1 (Nov. 24 to 28, 2025)</t>
        </is>
      </c>
      <c r="T1741">
        <v>3720</v>
      </c>
      <c r="U1741">
        <v>130</v>
      </c>
      <c r="V1741" t="inlineStr">
        <is>
          <t>PHP</t>
        </is>
      </c>
      <c r="W1741">
        <v>483600</v>
      </c>
      <c r="X1741" s="2"/>
      <c r="Y1741" t="inlineStr">
        <is>
          <t>Bank Transfer</t>
        </is>
      </c>
      <c r="Z1741" t="inlineStr">
        <is>
          <t>Michelle Francine G. Manuntag</t>
        </is>
      </c>
      <c r="AA1741" t="inlineStr">
        <is>
          <t>000170292002</t>
        </is>
      </c>
      <c r="AB1741" t="inlineStr">
        <is>
          <t>BDO</t>
        </is>
      </c>
      <c r="AC1741" t="inlineStr">
        <is>
          <t>Makati City</t>
        </is>
      </c>
      <c r="AD1741" s="4">
        <v>45985</v>
      </c>
      <c r="AE1741" t="inlineStr">
        <is>
          <t>100% Full Payment</t>
        </is>
      </c>
      <c r="AF1741" s="2"/>
      <c r="AG1741" t="inlineStr">
        <is>
          <t>NzQyNTk5MTgyNzQ4MTg3MDM0MTo2MkIyNkZERi0yRDQ1LTQzMTUtQUFCQy0wMjZFNEY3MzQ5N0YtMTo3ZTVkMjI1NGE1NWYzNWEyMGJhOTc0NjgwZjQ0NGIxNTox</t>
        </is>
      </c>
      <c r="AH1741" t="inlineStr">
        <is>
          <t>Michelle Francine G. Manuntag</t>
        </is>
      </c>
      <c r="AI1741"/>
      <c r="AJ1741" t="inlineStr">
        <is>
          <t>LIQUIDITY PLAN (PAR # 202511200098 / 2025TEG-P0321)
Crew Meals &gt;
Ingress (Nov 24-25)
Rehearsals (Nov 26-27)
Event Days (Nov 28-30)
Total Budget = Php 608,600.00
Actual Cost = Php 491,666.00
Balance = Php 116,934.00</t>
        </is>
      </c>
      <c r="AK1741"/>
    </row>
    <row r="1742" ht="25.5" customHeight="1">
      <c r="A1742" s="2" t="str">
        <f>=HYPERLINK("https://applink.larksuite.com/client/mini_program/open?appId=cli_9c7cc8a9a9edd105&amp;mode=appCenter&amp;path_pc=pc/pages/requested/index?instanceId=7583948631800057565&amp;source=bitable&amp;path=pages/detail/index?instanceId=7583948631800057565&amp;source=bitable", "202512150074")</f>
        <v>202512150074</v>
      </c>
      <c r="B1742" t="inlineStr">
        <is>
          <t>Approved</t>
        </is>
      </c>
      <c r="C1742" t="inlineStr">
        <is>
          <t>Procurement Order</t>
        </is>
      </c>
      <c r="D1742" s="3">
        <v>46006.551400462966</v>
      </c>
      <c r="E1742" s="3">
        <v>46027.751284722224</v>
      </c>
      <c r="F1742" t="inlineStr">
        <is>
          <t>Fatima Kathleen M. FLores</t>
        </is>
      </c>
      <c r="G1742" t="inlineStr">
        <is>
          <t>Procurement</t>
        </is>
      </c>
      <c r="H1742"/>
      <c r="I1742"/>
      <c r="J1742" t="inlineStr">
        <is>
          <t>Project</t>
        </is>
      </c>
      <c r="K1742" t="inlineStr">
        <is>
          <t>GG - Event Service</t>
        </is>
      </c>
      <c r="L1742" t="inlineStr">
        <is>
          <t>KIC 2025 - Playoffs</t>
        </is>
      </c>
      <c r="M1742" t="inlineStr">
        <is>
          <t>2025TEG-P0321</t>
        </is>
      </c>
      <c r="N1742" t="inlineStr">
        <is>
          <t>Carla Andrea Calma Crespo</t>
        </is>
      </c>
      <c r="O1742" t="inlineStr">
        <is>
          <t>202511250078-Carla Andrea Calma Crespo-费用报销 - 副本 - 副本 - 副本-2025-11-25 06:35:41</t>
        </is>
      </c>
      <c r="P1742" t="inlineStr">
        <is>
          <t>NO</t>
        </is>
      </c>
      <c r="Q1742"/>
      <c r="R1742" t="inlineStr">
        <is>
          <t>YES</t>
        </is>
      </c>
      <c r="S1742" t="inlineStr">
        <is>
          <t>Delivery Fee</t>
        </is>
      </c>
      <c r="T1742">
        <v>1</v>
      </c>
      <c r="U1742">
        <v>8066</v>
      </c>
      <c r="V1742" t="inlineStr">
        <is>
          <t>PHP</t>
        </is>
      </c>
      <c r="W1742">
        <v>8066</v>
      </c>
      <c r="X1742" s="2" t="str">
        <f>=HYPERLINK("https://www.larksuite.com/approval/admin/previewAttachment?key=PMuxDQJBDATAlrzntX1LMyS8XhyICPFErh1BQDrS5ITlDHjKKAwZumK6ONMxzSwqMno0qmSFInt77Oc317q9cC8u6WAf18u-PRGqMayc9G_G6e9eJKWk_RyfAAAA__8", "2 attachment(s)")</f>
        <v>2 attachment(s)</v>
      </c>
      <c r="Y1742"/>
      <c r="Z1742"/>
      <c r="AA1742"/>
      <c r="AB1742"/>
      <c r="AC1742"/>
      <c r="AD1742" s="4"/>
      <c r="AE1742"/>
      <c r="AF1742" s="2"/>
      <c r="AG1742" t="inlineStr">
        <is>
          <t>NzQyNTk5MTgyNzQ4MTg3MDM0MTo2MkIyNkZERi0yRDQ1LTQzMTUtQUFCQy0wMjZFNEY3MzQ5N0YtMjo1ZjcwNjRlNGM5NjI3OTdmYjU0MzYwN2M4MmY4NDIzODox</t>
        </is>
      </c>
      <c r="AH1742"/>
      <c r="AI1742"/>
      <c r="AJ1742" t="inlineStr">
        <is>
          <t>LIQUIDITY PLAN (PAR # 202511200098 / 2025TEG-P0321)
Crew Meals &gt;
Ingress (Nov 24-25)
Rehearsals (Nov 26-27)
Event Days (Nov 28-30)
Total Budget = Php 608,600.00
Actual Cost = Php 491,666.00
Balance = Php 116,934.00</t>
        </is>
      </c>
      <c r="AK1742"/>
    </row>
    <row r="1743" ht="25.5" customHeight="1">
      <c r="A1743" s="2" t="str">
        <f>=HYPERLINK("https://applink.larksuite.com/client/mini_program/open?appId=cli_9c7cc8a9a9edd105&amp;mode=appCenter&amp;path_pc=pc/pages/requested/index?instanceId=7583941780538674910&amp;source=bitable&amp;path=pages/detail/index?instanceId=7583941780538674910&amp;source=bitable", "202512150058")</f>
        <v>202512150058</v>
      </c>
      <c r="B1743" t="inlineStr">
        <is>
          <t>Approved</t>
        </is>
      </c>
      <c r="C1743" t="inlineStr">
        <is>
          <t>Procurement Order</t>
        </is>
      </c>
      <c r="D1743" s="3">
        <v>46006.53293981482</v>
      </c>
      <c r="E1743" s="3">
        <v>46027.74232638889</v>
      </c>
      <c r="F1743" t="inlineStr">
        <is>
          <t>Fatima Kathleen M. FLores</t>
        </is>
      </c>
      <c r="G1743" t="inlineStr">
        <is>
          <t>Procurement</t>
        </is>
      </c>
      <c r="H1743"/>
      <c r="I1743"/>
      <c r="J1743" t="inlineStr">
        <is>
          <t>Project</t>
        </is>
      </c>
      <c r="K1743" t="inlineStr">
        <is>
          <t>GG - Event Service</t>
        </is>
      </c>
      <c r="L1743" t="inlineStr">
        <is>
          <t>KIC 2025 - Playoffs</t>
        </is>
      </c>
      <c r="M1743" t="inlineStr">
        <is>
          <t>2025TEG-P0321</t>
        </is>
      </c>
      <c r="N1743" t="inlineStr">
        <is>
          <t>Carla Andrea Calma Crespo</t>
        </is>
      </c>
      <c r="O1743" t="inlineStr">
        <is>
          <t>202511240044-Carla Andrea Calma Crespo-费用报销 - 副本 - 副本 - 副本-2025-11-24 06:07:22</t>
        </is>
      </c>
      <c r="P1743" t="inlineStr">
        <is>
          <t>YES</t>
        </is>
      </c>
      <c r="Q1743"/>
      <c r="R1743" t="inlineStr">
        <is>
          <t>YES</t>
        </is>
      </c>
      <c r="S1743" t="inlineStr">
        <is>
          <t>Outsourced Liaison Officer</t>
        </is>
      </c>
      <c r="T1743">
        <v>1</v>
      </c>
      <c r="U1743">
        <v>13200</v>
      </c>
      <c r="V1743" t="inlineStr">
        <is>
          <t>PHP</t>
        </is>
      </c>
      <c r="W1743">
        <v>13200</v>
      </c>
      <c r="X1743" s="2" t="str">
        <f>=HYPERLINK("https://www.larksuite.com/approval/admin/previewAttachment?key=PMgxCgIxFATQK83kTzL_exmbXYLoLgiCVjm7YGH7RhIjO2MUVGwFLveMEp3okcMqYrVFu2BaWvs5r492HP5obnHH89R637a5v9jLrcEhRQLg5e9hSVVD-Dm-AQAA__8", "2 attachment(s)")</f>
        <v>2 attachment(s)</v>
      </c>
      <c r="Y1743" t="inlineStr">
        <is>
          <t>Bank Transfer</t>
        </is>
      </c>
      <c r="Z1743" t="inlineStr">
        <is>
          <t>Marjon Bensig</t>
        </is>
      </c>
      <c r="AA1743" t="inlineStr">
        <is>
          <t>0967-243-3106</t>
        </is>
      </c>
      <c r="AB1743" t="inlineStr">
        <is>
          <t>GCash</t>
        </is>
      </c>
      <c r="AC1743" t="inlineStr">
        <is>
          <t>17 2nd Street A. Marcelo Dalandanan Valenzuela City</t>
        </is>
      </c>
      <c r="AD1743" s="4">
        <v>45985</v>
      </c>
      <c r="AE1743" t="inlineStr">
        <is>
          <t>100% Full Payment - Dec. 19, 2025</t>
        </is>
      </c>
      <c r="AF1743" s="2"/>
      <c r="AG1743" t="inlineStr">
        <is>
          <t>NzQyNTk5MTgyNzQ4MTg3MDM0MTpEMjM3M0M1MS03RDU5LTQyN0ItQTgxQi05OEMyMEZDOTIyOUMtMTpiOGQ3ZjZmNjI2NjM3ZGEzOTNlNjkzOTVlZDFiZThkNTox</t>
        </is>
      </c>
      <c r="AH1743" t="inlineStr">
        <is>
          <t>Marjon Bensig</t>
        </is>
      </c>
      <c r="AI1743"/>
      <c r="AJ1743" t="inlineStr">
        <is>
          <t>LIQUIDITY PLAN (PAR # 202511200098 / 2025TEG-P0321)
PLAYOFFS &gt; LABOR COST (PH MANPOWER) &gt;
OPERATIONS TEAM &gt; Hospitality &gt; 
Liaison Officers - Players
Liaison Officers - Crew/Client
Liaison Officers - VIP/KOLs
Total Remaining Budget = Php 12,650.00
Actual Cost = Php 13,200.00
Balance = (Php 550.00) OVER BUDGET</t>
        </is>
      </c>
      <c r="AK1743"/>
    </row>
    <row r="1744" ht="25.5" customHeight="1">
      <c r="A1744" s="2" t="str">
        <f>=HYPERLINK("https://applink.larksuite.com/client/mini_program/open?appId=cli_9c7cc8a9a9edd105&amp;mode=appCenter&amp;path_pc=pc/pages/requested/index?instanceId=7584356714879651548&amp;source=bitable&amp;path=pages/detail/index?instanceId=7584356714879651548&amp;source=bitable", "202512160086")</f>
        <v>202512160086</v>
      </c>
      <c r="B1744" t="inlineStr">
        <is>
          <t>Approved</t>
        </is>
      </c>
      <c r="C1744" t="inlineStr">
        <is>
          <t>Procurement Order</t>
        </is>
      </c>
      <c r="D1744" s="3">
        <v>46007.65109953703</v>
      </c>
      <c r="E1744" s="3">
        <v>46008.48693287037</v>
      </c>
      <c r="F1744" t="inlineStr">
        <is>
          <t>Fatima Kathleen M. FLores</t>
        </is>
      </c>
      <c r="G1744" t="inlineStr">
        <is>
          <t>Procurement</t>
        </is>
      </c>
      <c r="H1744"/>
      <c r="I1744"/>
      <c r="J1744" t="inlineStr">
        <is>
          <t>Project</t>
        </is>
      </c>
      <c r="K1744" t="inlineStr">
        <is>
          <t>PDEI - Event Service</t>
        </is>
      </c>
      <c r="L1744" t="inlineStr">
        <is>
          <t>TTRacing x MPL S15 &amp; MDL S5</t>
        </is>
      </c>
      <c r="M1744" t="inlineStr">
        <is>
          <t>2025TEG-P0056</t>
        </is>
      </c>
      <c r="N1744" t="inlineStr">
        <is>
          <t>Kervin</t>
        </is>
      </c>
      <c r="O1744" t="inlineStr">
        <is>
          <t>202512020051-Kervin-费用报销 - 副本 - 副本 - 副本-2025-12-02 06:35:33</t>
        </is>
      </c>
      <c r="P1744" t="inlineStr">
        <is>
          <t>NO</t>
        </is>
      </c>
      <c r="Q1744"/>
      <c r="R1744" t="inlineStr">
        <is>
          <t>NO</t>
        </is>
      </c>
      <c r="S1744" t="inlineStr">
        <is>
          <t>MET x Moonton PH: Rev Share</t>
        </is>
      </c>
      <c r="T1744">
        <v>1</v>
      </c>
      <c r="U1744">
        <v>1400000</v>
      </c>
      <c r="V1744" t="inlineStr">
        <is>
          <t>PHP</t>
        </is>
      </c>
      <c r="W1744">
        <v>1400000</v>
      </c>
      <c r="X1744" s="2" t="str">
        <f>=HYPERLINK("https://www.larksuite.com/approval/admin/previewAttachment?key=PMgxCgJBDAXQK-VPfvITL2PjMmixIIjLWszZBQvblwXLCni2sTHasBRFjxRY6gwEa40FqU0QubZ9Xn3X-T79OSP6eHzWcb_N7YVojWFy0svMcPm7i2R30n5u3wAAAP__", "4 attachment(s)")</f>
        <v>4 attachment(s)</v>
      </c>
      <c r="Y1744" t="inlineStr">
        <is>
          <t>Bank Transfer</t>
        </is>
      </c>
      <c r="Z1744" t="inlineStr">
        <is>
          <t>Moonton Philippines Technology Inc</t>
        </is>
      </c>
      <c r="AA1744" t="inlineStr">
        <is>
          <t>026-266106-040</t>
        </is>
      </c>
      <c r="AB1744" t="inlineStr">
        <is>
          <t>HSBC BANK (PHILIPPINES) LTD</t>
        </is>
      </c>
      <c r="AC1744" t="inlineStr">
        <is>
          <t>23F The Curve Building 3rd Avenue cor 32nd Street, Bonifacio Global City Fort Bonifacio 1634 Taguig City</t>
        </is>
      </c>
      <c r="AD1744" s="4">
        <v>45931</v>
      </c>
      <c r="AE1744" t="inlineStr">
        <is>
          <t>100% Full Payment</t>
        </is>
      </c>
      <c r="AF1744" s="2"/>
      <c r="AG1744" t="inlineStr">
        <is>
          <t>NzQyNTk5MTgyNzQ4MTg3MDM0MTowMTFDNDg2Ni1CNTZBLTRGN0EtODc5OS04MDgyMDlEN0MzQkItMTpiMjcxMGY2NmQxYmE2N2U3MDViZDllM2M5ZTA2MjJlNTox</t>
        </is>
      </c>
      <c r="AH1744" t="inlineStr">
        <is>
          <t>Moonton Philippines Technology Inc</t>
        </is>
      </c>
      <c r="AI1744"/>
      <c r="AJ1744" t="inlineStr">
        <is>
          <t>Revenue Sharing.</t>
        </is>
      </c>
      <c r="AK1744"/>
    </row>
    <row r="1745" ht="25.5" customHeight="1">
      <c r="A1745" s="2" t="str">
        <f>=HYPERLINK("https://applink.larksuite.com/client/mini_program/open?appId=cli_9c7cc8a9a9edd105&amp;mode=appCenter&amp;path_pc=pc/pages/requested/index?instanceId=7583944365794430687&amp;source=bitable&amp;path=pages/detail/index?instanceId=7583944365794430687&amp;source=bitable", "202512150068")</f>
        <v>202512150068</v>
      </c>
      <c r="B1745" t="inlineStr">
        <is>
          <t>Approved</t>
        </is>
      </c>
      <c r="C1745" t="inlineStr">
        <is>
          <t>Procurement Order</t>
        </is>
      </c>
      <c r="D1745" s="3">
        <v>46006.53990740741</v>
      </c>
      <c r="E1745" s="3">
        <v>46027.73931712963</v>
      </c>
      <c r="F1745" t="inlineStr">
        <is>
          <t>Fatima Kathleen M. FLores</t>
        </is>
      </c>
      <c r="G1745" t="inlineStr">
        <is>
          <t>Procurement</t>
        </is>
      </c>
      <c r="H1745"/>
      <c r="I1745"/>
      <c r="J1745" t="inlineStr">
        <is>
          <t>Project</t>
        </is>
      </c>
      <c r="K1745" t="inlineStr">
        <is>
          <t>GG - Event Service</t>
        </is>
      </c>
      <c r="L1745" t="inlineStr">
        <is>
          <t>KIC 2025 - Carnival [Playoffs]</t>
        </is>
      </c>
      <c r="M1745" t="inlineStr">
        <is>
          <t>2025TEG-P0316</t>
        </is>
      </c>
      <c r="N1745" t="inlineStr">
        <is>
          <t>Maura Aurel Atilano Yap</t>
        </is>
      </c>
      <c r="O1745" t="inlineStr">
        <is>
          <t>202511240053-Maura Aurel Atilano Yap-费用报销 - 副本 - 副本 - 副本-2025-11-24 06:50:11</t>
        </is>
      </c>
      <c r="P1745" t="inlineStr">
        <is>
          <t>NO</t>
        </is>
      </c>
      <c r="Q1745"/>
      <c r="R1745" t="inlineStr">
        <is>
          <t>YES</t>
        </is>
      </c>
      <c r="S1745" t="inlineStr">
        <is>
          <t>Mock Check (100cm x 60cm)</t>
        </is>
      </c>
      <c r="T1745">
        <v>3</v>
      </c>
      <c r="U1745">
        <v>1350</v>
      </c>
      <c r="V1745" t="inlineStr">
        <is>
          <t>PHP</t>
        </is>
      </c>
      <c r="W1745">
        <v>4050</v>
      </c>
      <c r="X1745" s="2" t="str">
        <f>=HYPERLINK("https://www.larksuite.com/approval/admin/previewAttachment?key=PMhBqgIxEATQK1WnK13pf5m_SRiMMiAIs-uziy5cPXgxDDG6eSSY1hJW6sOT9Oj6gBiqViYlZCJrncf_87739Zg859zTVl23eayX9VRrkJM-ANjf710kM4P4Pt4BAAD__w", "2 attachment(s)")</f>
        <v>2 attachment(s)</v>
      </c>
      <c r="Y1745" t="inlineStr">
        <is>
          <t>Bank Transfer</t>
        </is>
      </c>
      <c r="Z1745" t="inlineStr">
        <is>
          <t>iLIGHT PRODUCTION</t>
        </is>
      </c>
      <c r="AA1745" t="inlineStr">
        <is>
          <t>007960010274</t>
        </is>
      </c>
      <c r="AB1745" t="inlineStr">
        <is>
          <t>BDO</t>
        </is>
      </c>
      <c r="AC1745" t="inlineStr">
        <is>
          <t>3791 Mascardo St. Brgy, Sta Cruz, Makati City</t>
        </is>
      </c>
      <c r="AD1745" s="4">
        <v>45987</v>
      </c>
      <c r="AE1745" t="inlineStr">
        <is>
          <t>100% Full Payment</t>
        </is>
      </c>
      <c r="AF1745" s="2"/>
      <c r="AG1745" t="inlineStr">
        <is>
          <t>NzQyNTk5MTgyNzQ4MTg3MDM0MTo2QjI5NjMzQi01MDU5LTRBMzUtOEM5Ri0xNTEzRjE0QTJFMzgtMTowNGZlNWVkNDU2MjhkMTlhZTVjMmNiZDgwZDI5MDZkYjox</t>
        </is>
      </c>
      <c r="AH1745" t="inlineStr">
        <is>
          <t>iLIGHT PRODUCTION</t>
        </is>
      </c>
      <c r="AI1745"/>
      <c r="AJ1745" t="inlineStr">
        <is>
          <t>No line item in internal CE. Unbudgeted.
(PLEASE REFER TO ITEM NO. 1 IN VENDOR'S QUOTATION.</t>
        </is>
      </c>
      <c r="AK1745"/>
    </row>
    <row r="1746" ht="25.5" customHeight="1">
      <c r="A1746" s="2" t="str">
        <f>=HYPERLINK("https://applink.larksuite.com/client/mini_program/open?appId=cli_9c7cc8a9a9edd105&amp;mode=appCenter&amp;path_pc=pc/pages/requested/index?instanceId=7584386056556908252&amp;source=bitable&amp;path=pages/detail/index?instanceId=7584386056556908252&amp;source=bitable", "202512160126")</f>
        <v>202512160126</v>
      </c>
      <c r="B1746" t="inlineStr">
        <is>
          <t>Approved</t>
        </is>
      </c>
      <c r="C1746" t="inlineStr">
        <is>
          <t>Procurement Order</t>
        </is>
      </c>
      <c r="D1746" s="3">
        <v>46007.73017361111</v>
      </c>
      <c r="E1746" s="3">
        <v>46008.49581018519</v>
      </c>
      <c r="F1746" t="inlineStr">
        <is>
          <t>Fatima Kathleen M. FLores</t>
        </is>
      </c>
      <c r="G1746" t="inlineStr">
        <is>
          <t>Procurement</t>
        </is>
      </c>
      <c r="H1746"/>
      <c r="I1746"/>
      <c r="J1746" t="inlineStr">
        <is>
          <t>Project</t>
        </is>
      </c>
      <c r="K1746" t="inlineStr">
        <is>
          <t>GG - Event Service</t>
        </is>
      </c>
      <c r="L1746" t="inlineStr">
        <is>
          <t>Crossfire Legends Public Test Launch</t>
        </is>
      </c>
      <c r="M1746" t="inlineStr">
        <is>
          <t>2025TEG-P0322</t>
        </is>
      </c>
      <c r="N1746" t="inlineStr">
        <is>
          <t>Vincent Bryan Velasco Tan</t>
        </is>
      </c>
      <c r="O1746" t="inlineStr">
        <is>
          <t>202512080026-Vincent Bryan Velasco Tan-费用报销 - 副本 - 副本 - 副本-2025-12-08 06:17:47</t>
        </is>
      </c>
      <c r="P1746" t="inlineStr">
        <is>
          <t>YES</t>
        </is>
      </c>
      <c r="Q1746"/>
      <c r="R1746" t="inlineStr">
        <is>
          <t>NO</t>
        </is>
      </c>
      <c r="S1746" t="inlineStr">
        <is>
          <t>Outsourced Show Producer /Scriptwriter</t>
        </is>
      </c>
      <c r="T1746">
        <v>1</v>
      </c>
      <c r="U1746">
        <v>30000</v>
      </c>
      <c r="V1746" t="inlineStr">
        <is>
          <t>PHP</t>
        </is>
      </c>
      <c r="W1746">
        <v>30000</v>
      </c>
      <c r="X1746" s="2" t="str">
        <f>=HYPERLINK("https://www.larksuite.com/approval/admin/previewAttachment?key=PMg7CgJBEATQK1X3VH_Ky5i4LLo4JsKCwZxdMDB92YbssJECZS7YqmiOTkRGpNAevnxZlVBW5Nrmfn2c-lTPOY9Dz9e-zvtt394WKnfUIEcDsMvfR5GUkvg5vgEAAP__", "2 attachment(s)")</f>
        <v>2 attachment(s)</v>
      </c>
      <c r="Y1746" t="inlineStr">
        <is>
          <t>Bank Transfer</t>
        </is>
      </c>
      <c r="Z1746" t="inlineStr">
        <is>
          <t>Jessamine Elise C. Sagcal</t>
        </is>
      </c>
      <c r="AA1746" t="inlineStr">
        <is>
          <t>2679-1185-63</t>
        </is>
      </c>
      <c r="AB1746" t="inlineStr">
        <is>
          <t>BPI</t>
        </is>
      </c>
      <c r="AC1746" t="inlineStr">
        <is>
          <t>30 TLR Town Homes, Fast Track St., Moonwalk, Paranaque</t>
        </is>
      </c>
      <c r="AD1746" s="4">
        <v>45999</v>
      </c>
      <c r="AE1746" t="inlineStr">
        <is>
          <t>100% Full Payment - Jan. 9, 2026</t>
        </is>
      </c>
      <c r="AF1746" s="2"/>
      <c r="AG1746" t="inlineStr">
        <is>
          <t>NzQyNTk5MTgyNzQ4MTg3MDM0MTozNTlERTQ2Ni05MjM1LTRDNDAtODEyRC1BRjI0MzQwOEFEMEMtMTo3ZjhhZDcyMjhmNjZjZWEwNWE4NTdlOTFkZWY5ODk0Yzox</t>
        </is>
      </c>
      <c r="AH1746" t="inlineStr">
        <is>
          <t>Jessamine Elise C. Sagcal</t>
        </is>
      </c>
      <c r="AI1746"/>
      <c r="AJ1746" t="inlineStr">
        <is>
          <t>LIQUIDITY PLAN (PAR # 202512090150 / 2025TEG-P0322)
MANPOWER &gt; Broadcast &gt; Producer
Total Budget = Php 30,000.00
Actual Cost = Php 30,000.00</t>
        </is>
      </c>
      <c r="AK1746"/>
    </row>
    <row r="1747" ht="25.5" customHeight="1">
      <c r="A1747" s="2" t="str">
        <f>=HYPERLINK("https://applink.larksuite.com/client/mini_program/open?appId=cli_9c7cc8a9a9edd105&amp;mode=appCenter&amp;path_pc=pc/pages/requested/index?instanceId=7584398159728660188&amp;source=bitable&amp;path=pages/detail/index?instanceId=7584398159728660188&amp;source=bitable", "202512160146")</f>
        <v>202512160146</v>
      </c>
      <c r="B1747" t="inlineStr">
        <is>
          <t>Approved</t>
        </is>
      </c>
      <c r="C1747" t="inlineStr">
        <is>
          <t>Procurement Order</t>
        </is>
      </c>
      <c r="D1747" s="3">
        <v>46007.76278935185</v>
      </c>
      <c r="E1747" s="3">
        <v>46008.51550925926</v>
      </c>
      <c r="F1747" t="inlineStr">
        <is>
          <t>Fatima Kathleen M. FLores</t>
        </is>
      </c>
      <c r="G1747" t="inlineStr">
        <is>
          <t>Procurement</t>
        </is>
      </c>
      <c r="H1747"/>
      <c r="I1747"/>
      <c r="J1747" t="inlineStr">
        <is>
          <t>Project</t>
        </is>
      </c>
      <c r="K1747" t="inlineStr">
        <is>
          <t>GG - Event Service</t>
        </is>
      </c>
      <c r="L1747" t="inlineStr">
        <is>
          <t>KIC 2025 -Talents</t>
        </is>
      </c>
      <c r="M1747" t="inlineStr">
        <is>
          <t>2025TEG-P0318</t>
        </is>
      </c>
      <c r="N1747" t="inlineStr">
        <is>
          <t>Carla Andrea Calma Crespo</t>
        </is>
      </c>
      <c r="O1747" t="inlineStr">
        <is>
          <t>202511190072-Carla Andrea Calma Crespo-费用报销 - 副本 - 副本 - 副本-2025-11-19 07:00:02</t>
        </is>
      </c>
      <c r="P1747" t="inlineStr">
        <is>
          <t>YES</t>
        </is>
      </c>
      <c r="Q1747"/>
      <c r="R1747" t="inlineStr">
        <is>
          <t>NO</t>
        </is>
      </c>
      <c r="S1747" t="inlineStr">
        <is>
          <t>Outsourced Host (Mara)</t>
        </is>
      </c>
      <c r="T1747">
        <v>1</v>
      </c>
      <c r="U1747">
        <v>889720</v>
      </c>
      <c r="V1747" t="inlineStr">
        <is>
          <t>PHP</t>
        </is>
      </c>
      <c r="W1747">
        <v>889720</v>
      </c>
      <c r="X1747" s="2" t="str">
        <f>=HYPERLINK("https://www.larksuite.com/approval/admin/previewAttachment?key=PMs7CsNADATQK42kWX1ymTRZlrhIFXBwobMHtnD74HkKPIeYF1iiBekYSauUUaHpDslsbYkohATZ87Oe1J9duo5Zelzn6vP9WvO7jyKMtAQgj9stSFY5sR3_AAAA__8", "2 attachment(s)")</f>
        <v>2 attachment(s)</v>
      </c>
      <c r="Y1747" t="inlineStr">
        <is>
          <t>Bank Transfer</t>
        </is>
      </c>
      <c r="Z1747" t="inlineStr">
        <is>
          <t>Mara Patricia Dimailig</t>
        </is>
      </c>
      <c r="AA1747" t="inlineStr">
        <is>
          <t>4149170257</t>
        </is>
      </c>
      <c r="AB1747" t="inlineStr">
        <is>
          <t>BPI</t>
        </is>
      </c>
      <c r="AC1747" t="inlineStr">
        <is>
          <t>351 Captain Henry Javier, Brgy Oranbo, Pasig</t>
        </is>
      </c>
      <c r="AD1747" s="4">
        <v>45974</v>
      </c>
      <c r="AE1747" t="inlineStr">
        <is>
          <t>1st Payment - Nov. 28, 2025
2nd Payment - Dec. 12, 2025
Final Payment - Dec. 19, 2025</t>
        </is>
      </c>
      <c r="AF1747" s="2"/>
      <c r="AG1747" t="inlineStr">
        <is>
          <t>NzQyNTk5MTgyNzQ4MTg3MDM0MTpGRTlGNzcyRC0wRTcyLTRCNEUtQUMzRS01RUUzRUYzNEJFNjYtMTo5YTRlYjZjOGQ4NTliYzI2Nzk0NmIyZDgzNWE0ZTIyOTox</t>
        </is>
      </c>
      <c r="AH1747" t="inlineStr">
        <is>
          <t>Mara Patricia Dimailig</t>
        </is>
      </c>
      <c r="AI1747"/>
      <c r="AJ1747" t="inlineStr">
        <is>
          <t>LIQUIDITY PLAN (PAR # 202511190052 / 2025TEG-P0318)
HOST &amp; CASTERS &gt; MARA
Total Budget = Php 889,720.00
Actual Cost = Php 889,720.00</t>
        </is>
      </c>
      <c r="AK1747"/>
    </row>
    <row r="1748" ht="25.5" customHeight="1">
      <c r="A1748" s="2" t="str">
        <f>=HYPERLINK("https://applink.larksuite.com/client/mini_program/open?appId=cli_9c7cc8a9a9edd105&amp;mode=appCenter&amp;path_pc=pc/pages/requested/index?instanceId=7584396197289266907&amp;source=bitable&amp;path=pages/detail/index?instanceId=7584396197289266907&amp;source=bitable", "202512160144")</f>
        <v>202512160144</v>
      </c>
      <c r="B1748" t="inlineStr">
        <is>
          <t>Approved</t>
        </is>
      </c>
      <c r="C1748" t="inlineStr">
        <is>
          <t>Procurement Order</t>
        </is>
      </c>
      <c r="D1748" s="3">
        <v>46007.7575</v>
      </c>
      <c r="E1748" s="3">
        <v>46008.498761574076</v>
      </c>
      <c r="F1748" t="inlineStr">
        <is>
          <t>Fatima Kathleen M. FLores</t>
        </is>
      </c>
      <c r="G1748" t="inlineStr">
        <is>
          <t>Procurement</t>
        </is>
      </c>
      <c r="H1748"/>
      <c r="I1748"/>
      <c r="J1748" t="inlineStr">
        <is>
          <t>Project</t>
        </is>
      </c>
      <c r="K1748" t="inlineStr">
        <is>
          <t>GG - Event Service</t>
        </is>
      </c>
      <c r="L1748" t="inlineStr">
        <is>
          <t>Crossfire Legends Public Test Launch</t>
        </is>
      </c>
      <c r="M1748" t="inlineStr">
        <is>
          <t>2025TEG-P0322</t>
        </is>
      </c>
      <c r="N1748" t="inlineStr">
        <is>
          <t>Vincent Bryan Velasco Tan</t>
        </is>
      </c>
      <c r="O1748" t="inlineStr">
        <is>
          <t>202512080028-Vincent Bryan Velasco Tan-费用报销 - 副本 - 副本 - 副本-2025-12-08 06:23:41</t>
        </is>
      </c>
      <c r="P1748" t="inlineStr">
        <is>
          <t>YES</t>
        </is>
      </c>
      <c r="Q1748"/>
      <c r="R1748" t="inlineStr">
        <is>
          <t>NO</t>
        </is>
      </c>
      <c r="S1748" t="inlineStr">
        <is>
          <t>Outsourced Audio Engineer</t>
        </is>
      </c>
      <c r="T1748">
        <v>1</v>
      </c>
      <c r="U1748">
        <v>4800</v>
      </c>
      <c r="V1748" t="inlineStr">
        <is>
          <t>PHP</t>
        </is>
      </c>
      <c r="W1748">
        <v>4800</v>
      </c>
      <c r="X1748" s="2" t="str">
        <f>=HYPERLINK("https://www.larksuite.com/approval/admin/previewAttachment?key=PMgxqoJBDATgK02ys0nmXeY1Lov8qI3wi0XOLljYflGGqGkjBMpcsM5ZHApTeskjhGxvyxTSkux13_9-vuCPddz4PmrtPq-XvZ42le7IQY4CYH8_H0lSCuLr-AQAAP__", "2 attachment(s)")</f>
        <v>2 attachment(s)</v>
      </c>
      <c r="Y1748" t="inlineStr">
        <is>
          <t>Bank Transfer</t>
        </is>
      </c>
      <c r="Z1748" t="inlineStr">
        <is>
          <t>James Alvin Christian P. Romero</t>
        </is>
      </c>
      <c r="AA1748" t="inlineStr">
        <is>
          <t>09274449760</t>
        </is>
      </c>
      <c r="AB1748" t="inlineStr">
        <is>
          <t>GCash</t>
        </is>
      </c>
      <c r="AC1748" t="inlineStr">
        <is>
          <t>Block 28 Lot 6 Brgy Nicolasa Virata G.M.A., Cavite</t>
        </is>
      </c>
      <c r="AD1748" s="4">
        <v>46006</v>
      </c>
      <c r="AE1748" t="inlineStr">
        <is>
          <t>100% Full Payment - Jan. 9, 2026</t>
        </is>
      </c>
      <c r="AF1748" s="2"/>
      <c r="AG1748" t="inlineStr">
        <is>
          <t>NzQyNTk5MTgyNzQ4MTg3MDM0MTpERTg1MUYxNy0wMjhGLTRDRkQtQTY3Ri1COENBOTBBQzNDMzgtMTo4YmUwYjY5MmQyNWQ4Mjk3ZmY4OGQ0NDA1OGU4MTk4Yzox</t>
        </is>
      </c>
      <c r="AH1748" t="inlineStr">
        <is>
          <t>James Alvin Christian P. Romero</t>
        </is>
      </c>
      <c r="AI1748"/>
      <c r="AJ1748" t="inlineStr">
        <is>
          <t>LIQUIDITY PLAN (PAR # 202512090150 / 2025TEG-P0322)
MANPOWER &gt; Broadcast &gt; Audio Engineer
Total Budget = Php 6,000.00
Actual Cost = Php 4,800.00
Balance = Php 1,200.00</t>
        </is>
      </c>
      <c r="AK1748"/>
    </row>
    <row r="1749" ht="25.5" customHeight="1">
      <c r="A1749" s="2" t="str">
        <f>=HYPERLINK("https://applink.larksuite.com/client/mini_program/open?appId=cli_9c7cc8a9a9edd105&amp;mode=appCenter&amp;path_pc=pc/pages/requested/index?instanceId=7584394489545002718&amp;source=bitable&amp;path=pages/detail/index?instanceId=7584394489545002718&amp;source=bitable", "202512160138")</f>
        <v>202512160138</v>
      </c>
      <c r="B1749" t="inlineStr">
        <is>
          <t>Approved</t>
        </is>
      </c>
      <c r="C1749" t="inlineStr">
        <is>
          <t>Procurement Order</t>
        </is>
      </c>
      <c r="D1749" s="3">
        <v>46007.75289351852</v>
      </c>
      <c r="E1749" s="3">
        <v>46008.49729166667</v>
      </c>
      <c r="F1749" t="inlineStr">
        <is>
          <t>Fatima Kathleen M. FLores</t>
        </is>
      </c>
      <c r="G1749" t="inlineStr">
        <is>
          <t>Procurement</t>
        </is>
      </c>
      <c r="H1749"/>
      <c r="I1749"/>
      <c r="J1749" t="inlineStr">
        <is>
          <t>Project</t>
        </is>
      </c>
      <c r="K1749" t="inlineStr">
        <is>
          <t>GG - Event Service</t>
        </is>
      </c>
      <c r="L1749" t="inlineStr">
        <is>
          <t>Crossfire Legends Public Test Launch</t>
        </is>
      </c>
      <c r="M1749" t="inlineStr">
        <is>
          <t>2025TEG-P0322</t>
        </is>
      </c>
      <c r="N1749" t="inlineStr">
        <is>
          <t>Vincent Bryan Velasco Tan</t>
        </is>
      </c>
      <c r="O1749" t="inlineStr">
        <is>
          <t>202512080028-Vincent Bryan Velasco Tan-费用报销 - 副本 - 副本 - 副本-2025-12-08 06:23:41</t>
        </is>
      </c>
      <c r="P1749" t="inlineStr">
        <is>
          <t>YES</t>
        </is>
      </c>
      <c r="Q1749"/>
      <c r="R1749" t="inlineStr">
        <is>
          <t>NO</t>
        </is>
      </c>
      <c r="S1749" t="inlineStr">
        <is>
          <t>Outsourced Audio Spinner</t>
        </is>
      </c>
      <c r="T1749">
        <v>1</v>
      </c>
      <c r="U1749">
        <v>4000</v>
      </c>
      <c r="V1749" t="inlineStr">
        <is>
          <t>PHP</t>
        </is>
      </c>
      <c r="W1749">
        <v>4000</v>
      </c>
      <c r="X1749" s="2" t="str">
        <f>=HYPERLINK("https://www.larksuite.com/approval/admin/previewAttachment?key=PMhBikJBDATQK1XSlU5qLjOb33xEEASxdZOzCy7cvlmGWWFjCpS5YJ1RHCJLwQA8rdrbMoW0JHvdzv-Ivd6Jq7_0vB-79-U418NC6Y4c5CgA9vfzkSSlSXwdnwAAAP__", "2 attachment(s)")</f>
        <v>2 attachment(s)</v>
      </c>
      <c r="Y1749" t="inlineStr">
        <is>
          <t>Bank Transfer</t>
        </is>
      </c>
      <c r="Z1749" t="inlineStr">
        <is>
          <t>Emir Ryan Concepcion</t>
        </is>
      </c>
      <c r="AA1749" t="inlineStr">
        <is>
          <t>3179710829</t>
        </is>
      </c>
      <c r="AB1749" t="inlineStr">
        <is>
          <t>BPI</t>
        </is>
      </c>
      <c r="AC1749" t="inlineStr">
        <is>
          <t>116 J.Molina Corner Blue Bird Street, Strip 70 Village, Concepcion Uno, Marikina City</t>
        </is>
      </c>
      <c r="AD1749" s="4">
        <v>46006</v>
      </c>
      <c r="AE1749" t="inlineStr">
        <is>
          <t>100% Full Payment - Jan. 9, 2026</t>
        </is>
      </c>
      <c r="AF1749" s="2"/>
      <c r="AG1749" t="inlineStr">
        <is>
          <t>NzQyNTk5MTgyNzQ4MTg3MDM0MToxRDczODM3Ri0xMzkzLTRCNEQtOEQ0RS1FMzQyNjlEM0YzQzItMTozZDBiYjVlZGY2MGM3MDYwYzIwMjQ2N2I1NjI1NDAzMDox</t>
        </is>
      </c>
      <c r="AH1749" t="inlineStr">
        <is>
          <t>Emir Ryan Concepcion</t>
        </is>
      </c>
      <c r="AI1749"/>
      <c r="AJ1749" t="inlineStr">
        <is>
          <t>LIQUIDITY PLAN (PAR # 202512090150 / 2025TEG-P0322)
MANPOWER &gt; Broadcast &gt; Audio Spinner
Total Budget = Php 6,000.00
Actual Cost = Php 4,000.00
Balance = Php 2,000.00</t>
        </is>
      </c>
      <c r="AK1749"/>
    </row>
    <row r="1750" ht="25.5" customHeight="1">
      <c r="A1750" s="2" t="str">
        <f>=HYPERLINK("https://applink.larksuite.com/client/mini_program/open?appId=cli_9c7cc8a9a9edd105&amp;mode=appCenter&amp;path_pc=pc/pages/requested/index?instanceId=7584391043978792674&amp;source=bitable&amp;path=pages/detail/index?instanceId=7584391043978792674&amp;source=bitable", "202512160134")</f>
        <v>202512160134</v>
      </c>
      <c r="B1750" t="inlineStr">
        <is>
          <t>Approved</t>
        </is>
      </c>
      <c r="C1750" t="inlineStr">
        <is>
          <t>Procurement Order</t>
        </is>
      </c>
      <c r="D1750" s="3">
        <v>46007.74361111111</v>
      </c>
      <c r="E1750" s="3">
        <v>46008.4966087963</v>
      </c>
      <c r="F1750" t="inlineStr">
        <is>
          <t>Fatima Kathleen M. FLores</t>
        </is>
      </c>
      <c r="G1750" t="inlineStr">
        <is>
          <t>Procurement</t>
        </is>
      </c>
      <c r="H1750"/>
      <c r="I1750"/>
      <c r="J1750" t="inlineStr">
        <is>
          <t>Project</t>
        </is>
      </c>
      <c r="K1750" t="inlineStr">
        <is>
          <t>GG - Event Service</t>
        </is>
      </c>
      <c r="L1750" t="inlineStr">
        <is>
          <t>Crossfire Legends Public Test Launch</t>
        </is>
      </c>
      <c r="M1750" t="inlineStr">
        <is>
          <t>2025TEG-P0322</t>
        </is>
      </c>
      <c r="N1750" t="inlineStr">
        <is>
          <t>Vincent Bryan Velasco Tan</t>
        </is>
      </c>
      <c r="O1750" t="inlineStr">
        <is>
          <t>202512080026-Vincent Bryan Velasco Tan-费用报销 - 副本 - 副本 - 副本-2025-12-08 06:17:47</t>
        </is>
      </c>
      <c r="P1750" t="inlineStr">
        <is>
          <t>YES</t>
        </is>
      </c>
      <c r="Q1750"/>
      <c r="R1750" t="inlineStr">
        <is>
          <t>NO</t>
        </is>
      </c>
      <c r="S1750" t="inlineStr">
        <is>
          <t>Outsourced Vision Mixer</t>
        </is>
      </c>
      <c r="T1750">
        <v>1</v>
      </c>
      <c r="U1750">
        <v>5400</v>
      </c>
      <c r="V1750" t="inlineStr">
        <is>
          <t>PHP</t>
        </is>
      </c>
      <c r="W1750">
        <v>5400</v>
      </c>
      <c r="X1750" s="2" t="str">
        <f>=HYPERLINK("https://www.larksuite.com/approval/admin/previewAttachment?key=PMgxCsJQEATQK83sTv789TI2hqBigiCk27MLFrZvTGLMhTkKKkaB7WUqi1CWpyuG1dG0C6alXvftevKx26-D-X4ijj7vt239cClHwCnlBMDL39OSqobwc3wDAAD__w", "2 attachment(s)")</f>
        <v>2 attachment(s)</v>
      </c>
      <c r="Y1750" t="inlineStr">
        <is>
          <t>Bank Transfer</t>
        </is>
      </c>
      <c r="Z1750" t="inlineStr">
        <is>
          <t>Khim Segovia</t>
        </is>
      </c>
      <c r="AA1750" t="inlineStr">
        <is>
          <t>09053390100</t>
        </is>
      </c>
      <c r="AB1750" t="inlineStr">
        <is>
          <t>GCash</t>
        </is>
      </c>
      <c r="AC1750" t="inlineStr">
        <is>
          <t>105 K-6th Street Cubao Quezon City</t>
        </is>
      </c>
      <c r="AD1750" s="4">
        <v>46006</v>
      </c>
      <c r="AE1750" t="inlineStr">
        <is>
          <t>100% Full Payment - Jan. 9, 2026</t>
        </is>
      </c>
      <c r="AF1750" s="2"/>
      <c r="AG1750" t="inlineStr">
        <is>
          <t>NzQyNTk5MTgyNzQ4MTg3MDM0MTo4QzJDNTg5NS1DQjMwLTQyQTItOEE4Ni1GRDgyOTM0MDlGODUtMTo3MjRmZTI0MjJkODA2ZDkwZWU4N2NkNWM0YTMxYzJlZTox</t>
        </is>
      </c>
      <c r="AH1750" t="inlineStr">
        <is>
          <t>Khim Segovia</t>
        </is>
      </c>
      <c r="AI1750"/>
      <c r="AJ1750" t="inlineStr">
        <is>
          <t>LIQUIDITY PLAN (PAR # 202512090150 / 2025TEG-P0322)
MANPOWER &gt; Broadcast &gt; Vision Mixer
Total Budget = Php 10,000.00
Actual Cost = Php 5,400.00
Balance = Php 4,600.00</t>
        </is>
      </c>
      <c r="AK1750"/>
    </row>
    <row r="1751" ht="25.5" customHeight="1">
      <c r="A1751" s="2" t="str">
        <f>=HYPERLINK("https://applink.larksuite.com/client/mini_program/open?appId=cli_9c7cc8a9a9edd105&amp;mode=appCenter&amp;path_pc=pc/pages/requested/index?instanceId=7584390175099195099&amp;source=bitable&amp;path=pages/detail/index?instanceId=7584390175099195099&amp;source=bitable", "202512160132")</f>
        <v>202512160132</v>
      </c>
      <c r="B1751" t="inlineStr">
        <is>
          <t>Approved</t>
        </is>
      </c>
      <c r="C1751" t="inlineStr">
        <is>
          <t>Procurement Order</t>
        </is>
      </c>
      <c r="D1751" s="3">
        <v>46007.741273148145</v>
      </c>
      <c r="E1751" s="3">
        <v>46008.49625</v>
      </c>
      <c r="F1751" t="inlineStr">
        <is>
          <t>Fatima Kathleen M. FLores</t>
        </is>
      </c>
      <c r="G1751" t="inlineStr">
        <is>
          <t>Procurement</t>
        </is>
      </c>
      <c r="H1751"/>
      <c r="I1751"/>
      <c r="J1751" t="inlineStr">
        <is>
          <t>Project</t>
        </is>
      </c>
      <c r="K1751" t="inlineStr">
        <is>
          <t>GG - Event Service</t>
        </is>
      </c>
      <c r="L1751" t="inlineStr">
        <is>
          <t>Crossfire Legends Public Test Launch</t>
        </is>
      </c>
      <c r="M1751" t="inlineStr">
        <is>
          <t>2025TEG-P0322</t>
        </is>
      </c>
      <c r="N1751" t="inlineStr">
        <is>
          <t>Vincent Bryan Velasco Tan</t>
        </is>
      </c>
      <c r="O1751" t="inlineStr">
        <is>
          <t>202512080026-Vincent Bryan Velasco Tan-费用报销 - 副本 - 副本 - 副本-2025-12-08 06:17:47</t>
        </is>
      </c>
      <c r="P1751" t="inlineStr">
        <is>
          <t>YES</t>
        </is>
      </c>
      <c r="Q1751"/>
      <c r="R1751" t="inlineStr">
        <is>
          <t>NO</t>
        </is>
      </c>
      <c r="S1751" t="inlineStr">
        <is>
          <t>Outsourced Show Director</t>
        </is>
      </c>
      <c r="T1751">
        <v>1</v>
      </c>
      <c r="U1751">
        <v>30000</v>
      </c>
      <c r="V1751" t="inlineStr">
        <is>
          <t>PHP</t>
        </is>
      </c>
      <c r="W1751">
        <v>30000</v>
      </c>
      <c r="X1751" s="2" t="str">
        <f>=HYPERLINK("https://www.larksuite.com/approval/admin/previewAttachment?key=PMixqgIxFATQX5pJJrmZ9zOvMSxqWFgQdJv77aKFzSlOH0QfjbUbMovBjDZUDUaDTX_MkowwgiHl3Lf_835ra5XjteZxes_n9bLNB5ujFESV6gDAv9_XkGR34ft4BwAA__8", "2 attachment(s)")</f>
        <v>2 attachment(s)</v>
      </c>
      <c r="Y1751" t="inlineStr">
        <is>
          <t>Bank Transfer</t>
        </is>
      </c>
      <c r="Z1751" t="inlineStr">
        <is>
          <t>James Christopher Magallanes</t>
        </is>
      </c>
      <c r="AA1751" t="inlineStr">
        <is>
          <t>109670084621</t>
        </is>
      </c>
      <c r="AB1751" t="inlineStr">
        <is>
          <t>Unionbank</t>
        </is>
      </c>
      <c r="AC1751" t="inlineStr">
        <is>
          <t>Unit 16J Tower 2, Xavier Hills Condominium, N. Domingo St., Quezon City</t>
        </is>
      </c>
      <c r="AD1751" s="4">
        <v>45996</v>
      </c>
      <c r="AE1751" t="inlineStr">
        <is>
          <t>100% Full Payment - Jan. 9, 2026</t>
        </is>
      </c>
      <c r="AF1751" s="2"/>
      <c r="AG1751" t="inlineStr">
        <is>
          <t>NzQyNTk5MTgyNzQ4MTg3MDM0MToyMzA3ODJCMS1BRTRELTRBMjctQkFCRC0yODY0NkQ3MjM2N0YtMTpkM2MwNWZhYzQyZmIyZjUwZTAzNWRiM2U2MjhmYmU1ZDox</t>
        </is>
      </c>
      <c r="AH1751" t="inlineStr">
        <is>
          <t>James Christopher Magallanes</t>
        </is>
      </c>
      <c r="AI1751"/>
      <c r="AJ1751" t="inlineStr">
        <is>
          <t>LIQUIDITY PLAN (PAR # 202512090150 / 2025TEG-P0322)
MANPOWER &gt; Broadcast &gt; Director
Total Budget = Php 50,000.00
Actual Cost = Php 30,000.00
Balance = Php 20,000.00</t>
        </is>
      </c>
      <c r="AK1751"/>
    </row>
    <row r="1752" ht="25.5" customHeight="1">
      <c r="A1752" s="2" t="str">
        <f>=HYPERLINK("https://applink.larksuite.com/client/mini_program/open?appId=cli_9c7cc8a9a9edd105&amp;mode=appCenter&amp;path_pc=pc/pages/requested/index?instanceId=7584405227151871711&amp;source=bitable&amp;path=pages/detail/index?instanceId=7584405227151871711&amp;source=bitable", "202512160153")</f>
        <v>202512160153</v>
      </c>
      <c r="B1752" t="inlineStr">
        <is>
          <t>Approved</t>
        </is>
      </c>
      <c r="C1752" t="inlineStr">
        <is>
          <t>Procurement Order</t>
        </is>
      </c>
      <c r="D1752" s="3">
        <v>46007.7818287037</v>
      </c>
      <c r="E1752" s="3">
        <v>46008.51967592593</v>
      </c>
      <c r="F1752" t="inlineStr">
        <is>
          <t>Fatima Kathleen M. FLores</t>
        </is>
      </c>
      <c r="G1752" t="inlineStr">
        <is>
          <t>Procurement</t>
        </is>
      </c>
      <c r="H1752"/>
      <c r="I1752"/>
      <c r="J1752" t="inlineStr">
        <is>
          <t>Project</t>
        </is>
      </c>
      <c r="K1752" t="inlineStr">
        <is>
          <t>PDEI - Game Marketing</t>
        </is>
      </c>
      <c r="L1752" t="inlineStr">
        <is>
          <t>CCAP MLBB 2025</t>
        </is>
      </c>
      <c r="M1752" t="inlineStr">
        <is>
          <t>2025TEG-P0121</t>
        </is>
      </c>
      <c r="N1752" t="inlineStr">
        <is>
          <t>Maura Aurel Atilano Yap</t>
        </is>
      </c>
      <c r="O1752" t="inlineStr">
        <is>
          <t>202511030061-Maura Aurel Atilano Yap-费用报销 - 副本 - 副本 - 副本-2025-11-03 06:17:23</t>
        </is>
      </c>
      <c r="P1752" t="inlineStr">
        <is>
          <t>YES</t>
        </is>
      </c>
      <c r="Q1752"/>
      <c r="R1752" t="inlineStr">
        <is>
          <t>NO</t>
        </is>
      </c>
      <c r="S1752" t="inlineStr">
        <is>
          <t>Outsourced Project Manager</t>
        </is>
      </c>
      <c r="T1752">
        <v>1</v>
      </c>
      <c r="U1752">
        <v>25000</v>
      </c>
      <c r="V1752" t="inlineStr">
        <is>
          <t>PHP</t>
        </is>
      </c>
      <c r="W1752">
        <v>25000</v>
      </c>
      <c r="X1752" s="2" t="str">
        <f>=HYPERLINK("https://www.larksuite.com/approval/admin/previewAttachment?key=PMgxCgIxFATQK838TDL5XsYmSxCW2AhulbMLFtu-1onWK0tLKBkJbtcuoUaYld00uWPTTpiW9rHm04x1vjHWHOe4rv19jXl8WNMRcJFKB8DH7cWSMpvwd_wCAAD__w", "2 attachment(s)")</f>
        <v>2 attachment(s)</v>
      </c>
      <c r="Y1752" t="inlineStr">
        <is>
          <t>Bank Transfer</t>
        </is>
      </c>
      <c r="Z1752" t="inlineStr">
        <is>
          <t>Glean F. Roque</t>
        </is>
      </c>
      <c r="AA1752" t="inlineStr">
        <is>
          <t>0707201681</t>
        </is>
      </c>
      <c r="AB1752" t="inlineStr">
        <is>
          <t>Landbank</t>
        </is>
      </c>
      <c r="AC1752" t="inlineStr">
        <is>
          <t>30 Interior 5 Salvador Street, Krus na Ligas, Quezon City</t>
        </is>
      </c>
      <c r="AD1752" s="4">
        <v>45965</v>
      </c>
      <c r="AE1752" t="inlineStr">
        <is>
          <t>100% Final Payment - Feb. 13, 2026</t>
        </is>
      </c>
      <c r="AF1752" s="2"/>
      <c r="AG1752" t="inlineStr">
        <is>
          <t>NzQyNTk5MTgyNzQ4MTg3MDM0MTozMjEwMkZERS1GNkE1LTQyNTktODQ4Ny04QzE0QjBFQTA4RkEtMTpiNDhjMGRmMDcxOGY3ZjI4ZGIzM2M2OTFkNjdiNGFlNDox</t>
        </is>
      </c>
      <c r="AH1752" t="inlineStr">
        <is>
          <t>Glean F. Roque</t>
        </is>
      </c>
      <c r="AI1752"/>
      <c r="AJ1752" t="inlineStr">
        <is>
          <t>LIQUIDITY PLAN (PAR # 202512120012 / 2025TEG-P0121)
MANPOWER &gt; PROJECT PLANNING &gt;
Project Manager
Total Budget = Php 25,000.00
Actual Cost = Php 25,000.00</t>
        </is>
      </c>
      <c r="AK1752"/>
    </row>
    <row r="1753" ht="25.5" customHeight="1">
      <c r="A1753" s="2" t="str">
        <f>=HYPERLINK("https://applink.larksuite.com/client/mini_program/open?appId=cli_9c7cc8a9a9edd105&amp;mode=appCenter&amp;path_pc=pc/pages/requested/index?instanceId=7584679710035021534&amp;source=bitable&amp;path=pages/detail/index?instanceId=7584679710035021534&amp;source=bitable", "202512170035")</f>
        <v>202512170035</v>
      </c>
      <c r="B1753" t="inlineStr">
        <is>
          <t>Approved</t>
        </is>
      </c>
      <c r="C1753" t="inlineStr">
        <is>
          <t>Procurement Order</t>
        </is>
      </c>
      <c r="D1753" s="3">
        <v>46008.52150462963</v>
      </c>
      <c r="E1753" s="3">
        <v>46008.83167824074</v>
      </c>
      <c r="F1753" t="inlineStr">
        <is>
          <t>Fatima Kathleen M. FLores</t>
        </is>
      </c>
      <c r="G1753" t="inlineStr">
        <is>
          <t>Procurement</t>
        </is>
      </c>
      <c r="H1753"/>
      <c r="I1753"/>
      <c r="J1753" t="inlineStr">
        <is>
          <t>Project</t>
        </is>
      </c>
      <c r="K1753" t="inlineStr">
        <is>
          <t>GG - Event Service</t>
        </is>
      </c>
      <c r="L1753" t="inlineStr">
        <is>
          <t>Crossfire Legends Public Test Launch</t>
        </is>
      </c>
      <c r="M1753" t="inlineStr">
        <is>
          <t>2025TEG-P0322</t>
        </is>
      </c>
      <c r="N1753" t="inlineStr">
        <is>
          <t>Vincent Bryan Velasco Tan</t>
        </is>
      </c>
      <c r="O1753" t="inlineStr">
        <is>
          <t>202512080029-Vincent Bryan Velasco Tan-费用报销 - 副本 - 副本 - 副本-2025-12-08 06:28:37</t>
        </is>
      </c>
      <c r="P1753" t="inlineStr">
        <is>
          <t>YES</t>
        </is>
      </c>
      <c r="Q1753"/>
      <c r="R1753" t="inlineStr">
        <is>
          <t>NO</t>
        </is>
      </c>
      <c r="S1753" t="inlineStr">
        <is>
          <t>Outsourced Broadcast Manpower</t>
        </is>
      </c>
      <c r="T1753">
        <v>1</v>
      </c>
      <c r="U1753">
        <v>11200</v>
      </c>
      <c r="V1753" t="inlineStr">
        <is>
          <t>PHP</t>
        </is>
      </c>
      <c r="W1753">
        <v>11200</v>
      </c>
      <c r="X1753" s="2" t="str">
        <f>=HYPERLINK("https://www.larksuite.com/approval/admin/previewAttachment?key=PMgxCgIxFATQK838P8nkexkbw-KigiCsWOTsgoXt64PoozF7QcUocLkNdZcJZEOwpVYs2gXT0pqP7bwf9bmHnvv7NiOxjutlmy-2cgScUg4APP09LamqCz_HNwAA__8", "2 attachment(s)")</f>
        <v>2 attachment(s)</v>
      </c>
      <c r="Y1753" t="inlineStr">
        <is>
          <t>Bank Transfer</t>
        </is>
      </c>
      <c r="Z1753" t="inlineStr">
        <is>
          <t>John Benigno R. Magat</t>
        </is>
      </c>
      <c r="AA1753" t="inlineStr">
        <is>
          <t>046110005388</t>
        </is>
      </c>
      <c r="AB1753" t="inlineStr">
        <is>
          <t>PSBank</t>
        </is>
      </c>
      <c r="AC1753" t="inlineStr">
        <is>
          <t>228 Grissom st. Brgy Moonwalk Paranaque</t>
        </is>
      </c>
      <c r="AD1753" s="4">
        <v>46006</v>
      </c>
      <c r="AE1753" t="inlineStr">
        <is>
          <t>100% Full Payment - Jan. 9, 2026</t>
        </is>
      </c>
      <c r="AF1753" s="2"/>
      <c r="AG1753" t="inlineStr">
        <is>
          <t>NzQyNTk5MTgyNzQ4MTg3MDM0MTpDMjc5OUIxNy03RkNELTQzOUItQjUxRS0zNzVDQjREOENFQkItMTphZGM4OTI3ZGQwMzM1ZWE0YzI2NDk2OGY1YjFjMjA2Nzox</t>
        </is>
      </c>
      <c r="AH1753" t="inlineStr">
        <is>
          <t>John Benigno R. Magat</t>
        </is>
      </c>
      <c r="AI1753"/>
      <c r="AJ1753" t="inlineStr">
        <is>
          <t>LIQUIDITY PLAN (PAR # 202512090150 / 2025TEG-P0322)
MANPOWER &gt; Broadcast &gt; 
Game Director / Observer
Game Observer
Stage Hands
Total Budget = Php 17,200
Actual Cost = Php 11,200.00
Balance = Php 6,000.00</t>
        </is>
      </c>
      <c r="AK1753"/>
    </row>
    <row r="1754" ht="25.5" customHeight="1">
      <c r="A1754" s="2" t="str">
        <f>=HYPERLINK("https://applink.larksuite.com/client/mini_program/open?appId=cli_9c7cc8a9a9edd105&amp;mode=appCenter&amp;path_pc=pc/pages/requested/index?instanceId=7584675939037023964&amp;source=bitable&amp;path=pages/detail/index?instanceId=7584675939037023964&amp;source=bitable", "202512170028")</f>
        <v>202512170028</v>
      </c>
      <c r="B1754" t="inlineStr">
        <is>
          <t>Approved</t>
        </is>
      </c>
      <c r="C1754" t="inlineStr">
        <is>
          <t>Procurement Order</t>
        </is>
      </c>
      <c r="D1754" s="3">
        <v>46008.511342592596</v>
      </c>
      <c r="E1754" s="3">
        <v>46008.5187037037</v>
      </c>
      <c r="F1754" t="inlineStr">
        <is>
          <t>Fatima Kathleen M. FLores</t>
        </is>
      </c>
      <c r="G1754" t="inlineStr">
        <is>
          <t>Procurement</t>
        </is>
      </c>
      <c r="H1754"/>
      <c r="I1754"/>
      <c r="J1754" t="inlineStr">
        <is>
          <t>Project</t>
        </is>
      </c>
      <c r="K1754" t="inlineStr">
        <is>
          <t>GG - Event Service</t>
        </is>
      </c>
      <c r="L1754" t="inlineStr">
        <is>
          <t>Crossfire Legends Public Test Launch</t>
        </is>
      </c>
      <c r="M1754" t="inlineStr">
        <is>
          <t>2025TEG-P0322</t>
        </is>
      </c>
      <c r="N1754" t="inlineStr">
        <is>
          <t>Vincent Bryan Velasco Tan</t>
        </is>
      </c>
      <c r="O1754" t="inlineStr">
        <is>
          <t>202512080029-Vincent Bryan Velasco Tan-费用报销 - 副本 - 副本 - 副本-2025-12-08 06:28:37</t>
        </is>
      </c>
      <c r="P1754" t="inlineStr">
        <is>
          <t>YES</t>
        </is>
      </c>
      <c r="Q1754"/>
      <c r="R1754" t="inlineStr">
        <is>
          <t>NO</t>
        </is>
      </c>
      <c r="S1754" t="inlineStr">
        <is>
          <t>Outsourced Stream Engineer</t>
        </is>
      </c>
      <c r="T1754">
        <v>1</v>
      </c>
      <c r="U1754">
        <v>5400</v>
      </c>
      <c r="V1754" t="inlineStr">
        <is>
          <t>PHP</t>
        </is>
      </c>
      <c r="W1754">
        <v>5400</v>
      </c>
      <c r="X1754" s="2" t="str">
        <f>=HYPERLINK("https://www.larksuite.com/approval/admin/previewAttachment?key=PMgxrsIwEATQK816xzuef5nfEFkkUiokAoXPjkRB-2oEavTIMuhoRiz1wVJ3Gim0dHG1FZKhELm2c_6_jr2_z3ns17XJuZ7329we0a3WoCRzAIi_n6dI2kV8HZ8AAAD__w", "2 attachment(s)")</f>
        <v>2 attachment(s)</v>
      </c>
      <c r="Y1754" t="inlineStr">
        <is>
          <t>Bank Transfer</t>
        </is>
      </c>
      <c r="Z1754" t="inlineStr">
        <is>
          <t>John Mark Ramos</t>
        </is>
      </c>
      <c r="AA1754" t="inlineStr">
        <is>
          <t>0000007591426151</t>
        </is>
      </c>
      <c r="AB1754" t="inlineStr">
        <is>
          <t>RCBC</t>
        </is>
      </c>
      <c r="AC1754" t="inlineStr">
        <is>
          <t>Camella St. Patdu Compound South Green Heights, Putatan Muntinlupa</t>
        </is>
      </c>
      <c r="AD1754" s="4">
        <v>46005</v>
      </c>
      <c r="AE1754" t="inlineStr">
        <is>
          <t>100% Full Payment - Jan. 9, 2026</t>
        </is>
      </c>
      <c r="AF1754" s="2"/>
      <c r="AG1754" t="inlineStr">
        <is>
          <t>NzQyNTk5MTgyNzQ4MTg3MDM0MTpCM0ZGNTU4Qy0yMzYxLTRBRUQtQjlDQy0xMzNEOThGODBCRkItMTozNTFmNGJjZTcwZjhlMjE4YmNhZDhlYWVjODIxMDE4Nzox</t>
        </is>
      </c>
      <c r="AH1754" t="inlineStr">
        <is>
          <t>John Mark Ramos</t>
        </is>
      </c>
      <c r="AI1754"/>
      <c r="AJ1754" t="inlineStr">
        <is>
          <t>LIQUIDITY PLAN (PAR # 202512090150 / 2025TEG-P0322)
MANPOWER &gt; Broadcast &gt; Stream Engineer
Total Budget = Php 6,000.00
Actual Cost = Php 5,400.00
Balance = Php 600.00</t>
        </is>
      </c>
      <c r="AK1754"/>
    </row>
    <row r="1755" ht="25.5" customHeight="1">
      <c r="A1755" s="2" t="str">
        <f>=HYPERLINK("https://applink.larksuite.com/client/mini_program/open?appId=cli_9c7cc8a9a9edd105&amp;mode=appCenter&amp;path_pc=pc/pages/requested/index?instanceId=7584681831795003105&amp;source=bitable&amp;path=pages/detail/index?instanceId=7584681831795003105&amp;source=bitable", "202512170037")</f>
        <v>202512170037</v>
      </c>
      <c r="B1755" t="inlineStr">
        <is>
          <t>Approved</t>
        </is>
      </c>
      <c r="C1755" t="inlineStr">
        <is>
          <t>Procurement Order</t>
        </is>
      </c>
      <c r="D1755" s="3">
        <v>46008.52722222222</v>
      </c>
      <c r="E1755" s="3">
        <v>46008.830775462964</v>
      </c>
      <c r="F1755" t="inlineStr">
        <is>
          <t>Fatima Kathleen M. FLores</t>
        </is>
      </c>
      <c r="G1755" t="inlineStr">
        <is>
          <t>Procurement</t>
        </is>
      </c>
      <c r="H1755"/>
      <c r="I1755"/>
      <c r="J1755" t="inlineStr">
        <is>
          <t>Project</t>
        </is>
      </c>
      <c r="K1755" t="inlineStr">
        <is>
          <t>GG - Event Service</t>
        </is>
      </c>
      <c r="L1755" t="inlineStr">
        <is>
          <t>Crossfire Legends Public Test Launch</t>
        </is>
      </c>
      <c r="M1755" t="inlineStr">
        <is>
          <t>2025TEG-P0322</t>
        </is>
      </c>
      <c r="N1755" t="inlineStr">
        <is>
          <t>Vincent Bryan Velasco Tan</t>
        </is>
      </c>
      <c r="O1755" t="inlineStr">
        <is>
          <t>202512080029-Vincent Bryan Velasco Tan-费用报销 - 副本 - 副本 - 副本-2025-12-08 06:28:37</t>
        </is>
      </c>
      <c r="P1755" t="inlineStr">
        <is>
          <t>YES</t>
        </is>
      </c>
      <c r="Q1755"/>
      <c r="R1755" t="inlineStr">
        <is>
          <t>NO</t>
        </is>
      </c>
      <c r="S1755" t="inlineStr">
        <is>
          <t>Outsourced Highlights/ Replay Operator</t>
        </is>
      </c>
      <c r="T1755">
        <v>1</v>
      </c>
      <c r="U1755">
        <v>3600</v>
      </c>
      <c r="V1755" t="inlineStr">
        <is>
          <t>PHP</t>
        </is>
      </c>
      <c r="W1755">
        <v>3600</v>
      </c>
      <c r="X1755" s="2" t="str">
        <f>=HYPERLINK("https://www.larksuite.com/approval/admin/previewAttachment?key=PMgxDsJADATAL-3a67PNZ2iIIoK4CoFo7u1IFGlnFDEq6KOhpjW4MkqjWM7sAJyIZYuZjWRKa5v79RnvxySP_tpR09bnftu3F6PTDOmSFwBeTveU1D2Ev-MXAAD__w", "2 attachment(s)")</f>
        <v>2 attachment(s)</v>
      </c>
      <c r="Y1755" t="inlineStr">
        <is>
          <t>Bank Transfer</t>
        </is>
      </c>
      <c r="Z1755" t="inlineStr">
        <is>
          <t>Dannie Rizal N. Iremedio</t>
        </is>
      </c>
      <c r="AA1755" t="inlineStr">
        <is>
          <t>0000075157652</t>
        </is>
      </c>
      <c r="AB1755" t="inlineStr">
        <is>
          <t>Security Bank</t>
        </is>
      </c>
      <c r="AC1755" t="inlineStr">
        <is>
          <t>790 P. Ocampo St , Brgy 719, Zone 78 Malate, Manila</t>
        </is>
      </c>
      <c r="AD1755" s="4">
        <v>46006</v>
      </c>
      <c r="AE1755" t="inlineStr">
        <is>
          <t>100% Full Payment - Jan. 9, 2026</t>
        </is>
      </c>
      <c r="AF1755" s="2"/>
      <c r="AG1755" t="inlineStr">
        <is>
          <t>NzQyNTk5MTgyNzQ4MTg3MDM0MTpEOUZFQzNDQy1DOTA3LTRBMDQtQTg5RS05NUU5Q0QyMjVBQTgtMTo5ODdjM2ZkNGQ2ZDk4OWY1Yzg3NTM5YjQzMzNiMzBkZjox</t>
        </is>
      </c>
      <c r="AH1755" t="inlineStr">
        <is>
          <t>Dannie Rizal N. Iremedio</t>
        </is>
      </c>
      <c r="AI1755"/>
      <c r="AJ1755" t="inlineStr">
        <is>
          <t>LIQUIDITY PLAN (PAR # 202512090150 / 2025TEG-P0322)
MANPOWER &gt; Broadcast &gt; Highlights/Replay Operator
Total Budget = Php 3,600.00
Actual Cost = Php 3,600.00</t>
        </is>
      </c>
      <c r="AK1755"/>
    </row>
    <row r="1756" ht="25.5" customHeight="1">
      <c r="A1756" s="2" t="str">
        <f>=HYPERLINK("https://applink.larksuite.com/client/mini_program/open?appId=cli_9c7cc8a9a9edd105&amp;mode=appCenter&amp;path_pc=pc/pages/requested/index?instanceId=7584684077970640603&amp;source=bitable&amp;path=pages/detail/index?instanceId=7584684077970640603&amp;source=bitable", "202512170042")</f>
        <v>202512170042</v>
      </c>
      <c r="B1756" t="inlineStr">
        <is>
          <t>Approved</t>
        </is>
      </c>
      <c r="C1756" t="inlineStr">
        <is>
          <t>Procurement Order</t>
        </is>
      </c>
      <c r="D1756" s="3">
        <v>46008.53327546296</v>
      </c>
      <c r="E1756" s="3">
        <v>46008.829988425925</v>
      </c>
      <c r="F1756" t="inlineStr">
        <is>
          <t>Fatima Kathleen M. FLores</t>
        </is>
      </c>
      <c r="G1756" t="inlineStr">
        <is>
          <t>Procurement</t>
        </is>
      </c>
      <c r="H1756"/>
      <c r="I1756"/>
      <c r="J1756" t="inlineStr">
        <is>
          <t>Project</t>
        </is>
      </c>
      <c r="K1756" t="inlineStr">
        <is>
          <t>GG - Event Service</t>
        </is>
      </c>
      <c r="L1756" t="inlineStr">
        <is>
          <t>Crossfire Legends Public Test Launch</t>
        </is>
      </c>
      <c r="M1756" t="inlineStr">
        <is>
          <t>2025TEG-P0322</t>
        </is>
      </c>
      <c r="N1756" t="inlineStr">
        <is>
          <t>Vincent Bryan Velasco Tan</t>
        </is>
      </c>
      <c r="O1756" t="inlineStr">
        <is>
          <t>202512080030-Vincent Bryan Velasco Tan-费用报销 - 副本 - 副本 - 副本-2025-12-08 06:35:59</t>
        </is>
      </c>
      <c r="P1756" t="inlineStr">
        <is>
          <t>YES</t>
        </is>
      </c>
      <c r="Q1756"/>
      <c r="R1756" t="inlineStr">
        <is>
          <t>NO</t>
        </is>
      </c>
      <c r="S1756" t="inlineStr">
        <is>
          <t>Outsourced Road Manager</t>
        </is>
      </c>
      <c r="T1756">
        <v>1</v>
      </c>
      <c r="U1756">
        <v>6000</v>
      </c>
      <c r="V1756" t="inlineStr">
        <is>
          <t>PHP</t>
        </is>
      </c>
      <c r="W1756">
        <v>6000</v>
      </c>
      <c r="X1756" s="2" t="str">
        <f>=HYPERLINK("https://www.larksuite.com/approval/admin/previewAttachment?key=PMgxCsJAFATQK83sTv7s9zI2CcEIVsLKFv_sgoXti0HE2NgjoWRLsLwNxRDsNEII9GpFO2FaquN13te8Fr3y89yvxVnzsZ_Hm1u6NbhLfQDg7e_dkjJD-Dm-AQAA__8", "2 attachment(s)")</f>
        <v>2 attachment(s)</v>
      </c>
      <c r="Y1756" t="inlineStr">
        <is>
          <t>Bank Transfer</t>
        </is>
      </c>
      <c r="Z1756" t="inlineStr">
        <is>
          <t>Juan Diego Villarama Legislador</t>
        </is>
      </c>
      <c r="AA1756" t="inlineStr">
        <is>
          <t>1096 7009 1261</t>
        </is>
      </c>
      <c r="AB1756" t="inlineStr">
        <is>
          <t>Unionbank</t>
        </is>
      </c>
      <c r="AC1756" t="inlineStr">
        <is>
          <t>1246 Cardona St. Rizal Village Makati City</t>
        </is>
      </c>
      <c r="AD1756" s="4">
        <v>46006</v>
      </c>
      <c r="AE1756" t="inlineStr">
        <is>
          <t>100% Full Payment - Jan. 9, 2026</t>
        </is>
      </c>
      <c r="AF1756" s="2"/>
      <c r="AG1756" t="inlineStr">
        <is>
          <t>NzQyNTk5MTgyNzQ4MTg3MDM0MTpCRDZENUZBNi1GNkIzLTQwQjYtOTFGQS1BM0JFNzRFM0ZGRTctMTo5YjViYTIzOWRhZjgzYWJkZjBiYWViZWZmY2UzNTRiMzox</t>
        </is>
      </c>
      <c r="AH1756" t="inlineStr">
        <is>
          <t>Juan Diego Villarama Legislador</t>
        </is>
      </c>
      <c r="AI1756"/>
      <c r="AJ1756" t="inlineStr">
        <is>
          <t>LIQUIDITY PLAN (PAR # 202512090150 / 2025TEG-P0322)
MANPOWER &gt; Broadcast &gt; Assistant Talent Manager / Road Manager (Event Day)
Total Budget = Php 9,000.00
Actual Cost = Php 6,000.00
Balance = Php 3,000.00</t>
        </is>
      </c>
      <c r="AK1756"/>
    </row>
    <row r="1757" ht="25.5" customHeight="1">
      <c r="A1757" s="2" t="str">
        <f>=HYPERLINK("https://applink.larksuite.com/client/mini_program/open?appId=cli_9c7cc8a9a9edd105&amp;mode=appCenter&amp;path_pc=pc/pages/requested/index?instanceId=7584684971135094491&amp;source=bitable&amp;path=pages/detail/index?instanceId=7584684971135094491&amp;source=bitable", "202512170044")</f>
        <v>202512170044</v>
      </c>
      <c r="B1757" t="inlineStr">
        <is>
          <t>Approved</t>
        </is>
      </c>
      <c r="C1757" t="inlineStr">
        <is>
          <t>Procurement Order</t>
        </is>
      </c>
      <c r="D1757" s="3">
        <v>46008.53568287037</v>
      </c>
      <c r="E1757" s="3">
        <v>46008.82876157408</v>
      </c>
      <c r="F1757" t="inlineStr">
        <is>
          <t>Fatima Kathleen M. FLores</t>
        </is>
      </c>
      <c r="G1757" t="inlineStr">
        <is>
          <t>Procurement</t>
        </is>
      </c>
      <c r="H1757"/>
      <c r="I1757"/>
      <c r="J1757" t="inlineStr">
        <is>
          <t>Project</t>
        </is>
      </c>
      <c r="K1757" t="inlineStr">
        <is>
          <t>GG - Event Service</t>
        </is>
      </c>
      <c r="L1757" t="inlineStr">
        <is>
          <t>Crossfire Legends Public Test Launch</t>
        </is>
      </c>
      <c r="M1757" t="inlineStr">
        <is>
          <t>2025TEG-P0322</t>
        </is>
      </c>
      <c r="N1757" t="inlineStr">
        <is>
          <t>Vincent Bryan Velasco Tan</t>
        </is>
      </c>
      <c r="O1757" t="inlineStr">
        <is>
          <t>202512080030-Vincent Bryan Velasco Tan-费用报销 - 副本 - 副本 - 副本-2025-12-08 06:35:59</t>
        </is>
      </c>
      <c r="P1757" t="inlineStr">
        <is>
          <t>YES</t>
        </is>
      </c>
      <c r="Q1757"/>
      <c r="R1757" t="inlineStr">
        <is>
          <t>NO</t>
        </is>
      </c>
      <c r="S1757" t="inlineStr">
        <is>
          <t>Outsourced Road Manager</t>
        </is>
      </c>
      <c r="T1757">
        <v>1</v>
      </c>
      <c r="U1757">
        <v>1500</v>
      </c>
      <c r="V1757" t="inlineStr">
        <is>
          <t>PHP</t>
        </is>
      </c>
      <c r="W1757">
        <v>1500</v>
      </c>
      <c r="X1757" s="2" t="str">
        <f>=HYPERLINK("https://www.larksuite.com/approval/admin/previewAttachment?key=PMg7DsIwEATQK83YY-8Ol6EhivgkNEiRUuzZkSho30xi5mCfhsxmsGKkZspB9gFLZrVihBEMqZZ9vZ7H4-T24nt7-uRex_22Lh8OR2uILvUEwMvfe0iyp_BzfAMAAP__", "2 attachment(s)")</f>
        <v>2 attachment(s)</v>
      </c>
      <c r="Y1757" t="inlineStr">
        <is>
          <t>Bank Transfer</t>
        </is>
      </c>
      <c r="Z1757" t="inlineStr">
        <is>
          <t>Sandee Garcia</t>
        </is>
      </c>
      <c r="AA1757" t="inlineStr">
        <is>
          <t>09289769063</t>
        </is>
      </c>
      <c r="AB1757" t="inlineStr">
        <is>
          <t>GCash</t>
        </is>
      </c>
      <c r="AC1757" t="inlineStr">
        <is>
          <t>33 Countryside Barangka Ibaba Mandaluyong City</t>
        </is>
      </c>
      <c r="AD1757" s="4">
        <v>46007</v>
      </c>
      <c r="AE1757" t="inlineStr">
        <is>
          <t>100% Full Payment - Jan. 9, 2026</t>
        </is>
      </c>
      <c r="AF1757" s="2"/>
      <c r="AG1757" t="inlineStr">
        <is>
          <t>NzQyNTk5MTgyNzQ4MTg3MDM0MToyMDBDRTRCRS03QTAzLTQ0QkEtOTE2Ni1GRDZFQjY5ODk0RjQtMTpjZGM2MzdlMTIxMGU1ZjViM2ZkZGI4NTYxODhhM2UzZDox</t>
        </is>
      </c>
      <c r="AH1757" t="inlineStr">
        <is>
          <t>Sandee Garcia</t>
        </is>
      </c>
      <c r="AI1757"/>
      <c r="AJ1757" t="inlineStr">
        <is>
          <t>LIQUIDITY PLAN (PAR # 202512090150 / 2025TEG-P0322)
MANPOWER &gt; Broadcast &gt; Assistant Talent Manager / Road Manager (Rehearsal Day)
Total Budget = Php 3,600.00
Actual Cost = Php 1,500.00
Balance = Php 2,100.00</t>
        </is>
      </c>
      <c r="AK1757"/>
    </row>
    <row r="1758" ht="25.5" customHeight="1">
      <c r="A1758" s="2" t="str">
        <f>=HYPERLINK("https://applink.larksuite.com/client/mini_program/open?appId=cli_9c7cc8a9a9edd105&amp;mode=appCenter&amp;path_pc=pc/pages/requested/index?instanceId=7584687993571528411&amp;source=bitable&amp;path=pages/detail/index?instanceId=7584687993571528411&amp;source=bitable", "202512170048")</f>
        <v>202512170048</v>
      </c>
      <c r="B1758" t="inlineStr">
        <is>
          <t>Approved</t>
        </is>
      </c>
      <c r="C1758" t="inlineStr">
        <is>
          <t>Procurement Order</t>
        </is>
      </c>
      <c r="D1758" s="3">
        <v>46008.54383101852</v>
      </c>
      <c r="E1758" s="3">
        <v>46008.82769675926</v>
      </c>
      <c r="F1758" t="inlineStr">
        <is>
          <t>Fatima Kathleen M. FLores</t>
        </is>
      </c>
      <c r="G1758" t="inlineStr">
        <is>
          <t>Procurement</t>
        </is>
      </c>
      <c r="H1758"/>
      <c r="I1758"/>
      <c r="J1758" t="inlineStr">
        <is>
          <t>Project</t>
        </is>
      </c>
      <c r="K1758" t="inlineStr">
        <is>
          <t>GG - Event Service</t>
        </is>
      </c>
      <c r="L1758" t="inlineStr">
        <is>
          <t>Crossfire Legends Public Test Launch</t>
        </is>
      </c>
      <c r="M1758" t="inlineStr">
        <is>
          <t>2025TEG-P0322</t>
        </is>
      </c>
      <c r="N1758" t="inlineStr">
        <is>
          <t>Vincent Bryan Velasco Tan</t>
        </is>
      </c>
      <c r="O1758" t="inlineStr">
        <is>
          <t>202512080031-Vincent Bryan Velasco Tan-费用报销 - 副本 - 副本 - 副本-2025-12-08 06:45:13</t>
        </is>
      </c>
      <c r="P1758" t="inlineStr">
        <is>
          <t>YES</t>
        </is>
      </c>
      <c r="Q1758"/>
      <c r="R1758" t="inlineStr">
        <is>
          <t>NO</t>
        </is>
      </c>
      <c r="S1758" t="inlineStr">
        <is>
          <t>Outsourced Logistics Associate</t>
        </is>
      </c>
      <c r="T1758">
        <v>1</v>
      </c>
      <c r="U1758">
        <v>16500</v>
      </c>
      <c r="V1758" t="inlineStr">
        <is>
          <t>PHP</t>
        </is>
      </c>
      <c r="W1758">
        <v>16500</v>
      </c>
      <c r="X1758" s="2" t="str">
        <f>=HYPERLINK("https://www.larksuite.com/approval/admin/previewAttachment?key=PMg9rsIwEATgK814x57dd5nXJLL4ETRIQSl8diQK2m8kMbIzRkHFVuByT410VXSztxS52qJdMC2t_TH_z-N68nlzvH3H3NZx2eb-Yi-3BocUCYB_Pw9LqhrC1_EJAAD__w", "2 attachment(s)")</f>
        <v>2 attachment(s)</v>
      </c>
      <c r="Y1758" t="inlineStr">
        <is>
          <t>Bank Transfer</t>
        </is>
      </c>
      <c r="Z1758" t="inlineStr">
        <is>
          <t>RIC JACA</t>
        </is>
      </c>
      <c r="AA1758" t="inlineStr">
        <is>
          <t>09509516216</t>
        </is>
      </c>
      <c r="AB1758" t="inlineStr">
        <is>
          <t>GCash</t>
        </is>
      </c>
      <c r="AC1758" t="inlineStr">
        <is>
          <t>321 Sitio Langhaya Brgy. Dela Paz Antipolo Rizal</t>
        </is>
      </c>
      <c r="AD1758" s="4">
        <v>46005</v>
      </c>
      <c r="AE1758" t="inlineStr">
        <is>
          <t>100% Full Payment - Jan. 9, 2026</t>
        </is>
      </c>
      <c r="AF1758" s="2"/>
      <c r="AG1758" t="inlineStr">
        <is>
          <t>NzQyNTk5MTgyNzQ4MTg3MDM0MTo4NEY0QjIwNS1ENDNDLTRCNTMtQkU2RC1ERTVDRkM3MzkzNTgtMTo2NjllYmRkOTZhYTUwODE2MDg5OTBiNDFmYTk2NGY1YTox</t>
        </is>
      </c>
      <c r="AH1758" t="inlineStr">
        <is>
          <t>RIC JACA</t>
        </is>
      </c>
      <c r="AI1758"/>
      <c r="AJ1758" t="inlineStr">
        <is>
          <t>LIQUIDITY PLAN (PAR # 202512090150 / 2025TEG-P0322)
MANPOWER &gt; Others &gt;
Ingress Manpower
Egress Manpower
Event Day Manpower
Total Budget = Php 79,200.00
Actual Cost = Php 16,500.00
Balance = Php 62,700.00</t>
        </is>
      </c>
      <c r="AK1758"/>
    </row>
    <row r="1759" ht="25.5" customHeight="1">
      <c r="A1759" s="2" t="str">
        <f>=HYPERLINK("https://applink.larksuite.com/client/mini_program/open?appId=cli_9c7cc8a9a9edd105&amp;mode=appCenter&amp;path_pc=pc/pages/requested/index?instanceId=7584403136660377309&amp;source=bitable&amp;path=pages/detail/index?instanceId=7584403136660377309&amp;source=bitable", "202512160151")</f>
        <v>202512160151</v>
      </c>
      <c r="B1759" t="inlineStr">
        <is>
          <t>Approved</t>
        </is>
      </c>
      <c r="C1759" t="inlineStr">
        <is>
          <t>Procurement Order</t>
        </is>
      </c>
      <c r="D1759" s="3">
        <v>46007.7762037037</v>
      </c>
      <c r="E1759" s="3">
        <v>46008.68962962963</v>
      </c>
      <c r="F1759" t="inlineStr">
        <is>
          <t>Fatima Kathleen M. FLores</t>
        </is>
      </c>
      <c r="G1759" t="inlineStr">
        <is>
          <t>Procurement</t>
        </is>
      </c>
      <c r="H1759"/>
      <c r="I1759"/>
      <c r="J1759" t="inlineStr">
        <is>
          <t>Project</t>
        </is>
      </c>
      <c r="K1759" t="inlineStr">
        <is>
          <t>PDEI - Game Marketing</t>
        </is>
      </c>
      <c r="L1759" t="inlineStr">
        <is>
          <t>CCAP MLBB 2025</t>
        </is>
      </c>
      <c r="M1759" t="inlineStr">
        <is>
          <t>2025TEG-P0121</t>
        </is>
      </c>
      <c r="N1759" t="inlineStr">
        <is>
          <t>Maura Aurel Atilano Yap</t>
        </is>
      </c>
      <c r="O1759" t="inlineStr">
        <is>
          <t>202511290011-Maura Aurel Atilano Yap-费用报销 - 副本 - 副本 - 副本-2025-11-29 12:27:06</t>
        </is>
      </c>
      <c r="P1759" t="inlineStr">
        <is>
          <t>YES</t>
        </is>
      </c>
      <c r="Q1759"/>
      <c r="R1759" t="inlineStr">
        <is>
          <t>YES</t>
        </is>
      </c>
      <c r="S1759" t="inlineStr">
        <is>
          <t>Outsourced Talent / Host (Odin)</t>
        </is>
      </c>
      <c r="T1759">
        <v>1</v>
      </c>
      <c r="U1759">
        <v>33350</v>
      </c>
      <c r="V1759" t="inlineStr">
        <is>
          <t>PHP</t>
        </is>
      </c>
      <c r="W1759">
        <v>33350</v>
      </c>
      <c r="X1759" s="2" t="str">
        <f>=HYPERLINK("https://www.larksuite.com/approval/admin/previewAttachment?key=PMhNCsJADAXgK71M3uRNvIyblqKVwoD4s8nZBRfdfjEMMbp5JJjWElbqg4SbRwRccmS1MikhE1nrsV3nfl8498_x-rb56PW-Ldv6tJ5qDXLSBwC7nO4imRnE3_ELAAD__w", "2 attachment(s)")</f>
        <v>2 attachment(s)</v>
      </c>
      <c r="Y1759" t="inlineStr">
        <is>
          <t>Bank Transfer</t>
        </is>
      </c>
      <c r="Z1759" t="inlineStr">
        <is>
          <t>Claudine E. Tayco</t>
        </is>
      </c>
      <c r="AA1759" t="inlineStr">
        <is>
          <t>2419004314</t>
        </is>
      </c>
      <c r="AB1759" t="inlineStr">
        <is>
          <t>BPI</t>
        </is>
      </c>
      <c r="AC1759" t="inlineStr">
        <is>
          <t>193 Magdalo St. Buna Lejos II, Indang, Cavite Apalit, Pampanga</t>
        </is>
      </c>
      <c r="AD1759" s="4">
        <v>45997</v>
      </c>
      <c r="AE1759" t="inlineStr">
        <is>
          <t>1st Payment - Dec. 19, 2025
Final Payment - Feb. 6, 2026</t>
        </is>
      </c>
      <c r="AF1759" s="2"/>
      <c r="AG1759" t="inlineStr">
        <is>
          <t>NzQyNTk5MTgyNzQ4MTg3MDM0MTowNjQzOTIxMC0zOUUzLTRBQTMtOEY2MS02NEVCNTM0RTQ3ODQtMToyYmNjYTkwYzA2NDg1MGE3MjkwZTg1ZDM5ZjliNmZlZTox</t>
        </is>
      </c>
      <c r="AH1759" t="inlineStr">
        <is>
          <t>Claudine E. Tayco</t>
        </is>
      </c>
      <c r="AI1759"/>
      <c r="AJ1759" t="inlineStr">
        <is>
          <t>LIQUIDITY PLAN (PAR # 202512120012 / 2025TEG-P0121)
MANPOWER &gt; TALENTS &gt;
Host (Finals)
Total Budget = Php 15,000.00
Actual Cost = Php 33,350.00
Balance = (Php 18,350.00) OVER BUDGET</t>
        </is>
      </c>
      <c r="AK1759"/>
    </row>
    <row r="1760" ht="25.5" customHeight="1">
      <c r="A1760" s="2" t="str">
        <f>=HYPERLINK("https://applink.larksuite.com/client/mini_program/open?appId=cli_9c7cc8a9a9edd105&amp;mode=appCenter&amp;path_pc=pc/pages/requested/index?instanceId=7584689041539387101&amp;source=bitable&amp;path=pages/detail/index?instanceId=7584689041539387101&amp;source=bitable", "202512170050")</f>
        <v>202512170050</v>
      </c>
      <c r="B1760" t="inlineStr">
        <is>
          <t>Approved</t>
        </is>
      </c>
      <c r="C1760" t="inlineStr">
        <is>
          <t>Procurement Order</t>
        </is>
      </c>
      <c r="D1760" s="3">
        <v>46008.54665509259</v>
      </c>
      <c r="E1760" s="3">
        <v>46008.82690972222</v>
      </c>
      <c r="F1760" t="inlineStr">
        <is>
          <t>Fatima Kathleen M. FLores</t>
        </is>
      </c>
      <c r="G1760" t="inlineStr">
        <is>
          <t>Procurement</t>
        </is>
      </c>
      <c r="H1760"/>
      <c r="I1760"/>
      <c r="J1760" t="inlineStr">
        <is>
          <t>Project</t>
        </is>
      </c>
      <c r="K1760" t="inlineStr">
        <is>
          <t>GG - Event Service</t>
        </is>
      </c>
      <c r="L1760" t="inlineStr">
        <is>
          <t>Crossfire Legends Public Test Launch</t>
        </is>
      </c>
      <c r="M1760" t="inlineStr">
        <is>
          <t>2025TEG-P0322</t>
        </is>
      </c>
      <c r="N1760" t="inlineStr">
        <is>
          <t>Vincent Bryan Velasco Tan</t>
        </is>
      </c>
      <c r="O1760" t="inlineStr">
        <is>
          <t>202512080031-Vincent Bryan Velasco Tan-费用报销 - 副本 - 副本 - 副本-2025-12-08 06:45:13</t>
        </is>
      </c>
      <c r="P1760" t="inlineStr">
        <is>
          <t>YES</t>
        </is>
      </c>
      <c r="Q1760"/>
      <c r="R1760" t="inlineStr">
        <is>
          <t>NO</t>
        </is>
      </c>
      <c r="S1760" t="inlineStr">
        <is>
          <t>Outsourced Logistics Associate</t>
        </is>
      </c>
      <c r="T1760">
        <v>1</v>
      </c>
      <c r="U1760">
        <v>27000</v>
      </c>
      <c r="V1760" t="inlineStr">
        <is>
          <t>PHP</t>
        </is>
      </c>
      <c r="W1760">
        <v>27000</v>
      </c>
      <c r="X1760" s="2" t="str">
        <f>=HYPERLINK("https://www.larksuite.com/approval/admin/previewAttachment?key=PMgxDsIwFAPQK9n5Tv43l2GhqkDAhBp1ydmRGFjfKGJUZwxDZjO4spdGGWIPRyXB1RYzjWRKa3vv12d7aeYxcR6POL3m_bZvH3Zna8iQogDw8vdISfYQfo5vAAAA__8", "2 attachment(s)")</f>
        <v>2 attachment(s)</v>
      </c>
      <c r="Y1760" t="inlineStr">
        <is>
          <t>Bank Transfer</t>
        </is>
      </c>
      <c r="Z1760" t="inlineStr">
        <is>
          <t>Angelo Nicole Alexus Santos</t>
        </is>
      </c>
      <c r="AA1760" t="inlineStr">
        <is>
          <t>09935250106</t>
        </is>
      </c>
      <c r="AB1760" t="inlineStr">
        <is>
          <t>GCash</t>
        </is>
      </c>
      <c r="AC1760" t="inlineStr">
        <is>
          <t>3852 F. Nazario St. Brgy. Singkamas Makati</t>
        </is>
      </c>
      <c r="AD1760" s="4">
        <v>46005</v>
      </c>
      <c r="AE1760" t="inlineStr">
        <is>
          <t>100% Full Payment - Jan. 9, 2026</t>
        </is>
      </c>
      <c r="AF1760" s="2"/>
      <c r="AG1760" t="inlineStr">
        <is>
          <t>NzQyNTk5MTgyNzQ4MTg3MDM0MTo5REUzQjE5Qi0xNEFELTQ3MkQtOTMyNC0zNzFGQzREOTgyQ0ItMTo0N2VkMjVhZWQ4ZWI4NDA2ZDI5YzZjZWU4ZDI0MzM0OTox</t>
        </is>
      </c>
      <c r="AH1760" t="inlineStr">
        <is>
          <t>Angelo Nicole Alexus Santos</t>
        </is>
      </c>
      <c r="AI1760"/>
      <c r="AJ1760" t="inlineStr">
        <is>
          <t>LIQUIDITY PLAN (PAR # 202512090150 / 2025TEG-P0322)
MANPOWER &gt; Others &gt;
Ingress Manpower
Egress Manpower
Event Day Manpower
Total Remaining Budget = Php 62,700.00
Actual Cost = Php 27,000.00
Balance = Php 35,700.00</t>
        </is>
      </c>
      <c r="AK1760"/>
    </row>
    <row r="1761" ht="25.5" customHeight="1">
      <c r="A1761" s="2" t="str">
        <f>=HYPERLINK("https://applink.larksuite.com/client/mini_program/open?appId=cli_9c7cc8a9a9edd105&amp;mode=appCenter&amp;path_pc=pc/pages/requested/index?instanceId=7584691256298737372&amp;source=bitable&amp;path=pages/detail/index?instanceId=7584691256298737372&amp;source=bitable", "202512170052")</f>
        <v>202512170052</v>
      </c>
      <c r="B1761" t="inlineStr">
        <is>
          <t>Approved</t>
        </is>
      </c>
      <c r="C1761" t="inlineStr">
        <is>
          <t>Procurement Order</t>
        </is>
      </c>
      <c r="D1761" s="3">
        <v>46008.55262731481</v>
      </c>
      <c r="E1761" s="3">
        <v>46008.82386574074</v>
      </c>
      <c r="F1761" t="inlineStr">
        <is>
          <t>Fatima Kathleen M. FLores</t>
        </is>
      </c>
      <c r="G1761" t="inlineStr">
        <is>
          <t>Procurement</t>
        </is>
      </c>
      <c r="H1761"/>
      <c r="I1761"/>
      <c r="J1761" t="inlineStr">
        <is>
          <t>Project</t>
        </is>
      </c>
      <c r="K1761" t="inlineStr">
        <is>
          <t>GG - Event Service</t>
        </is>
      </c>
      <c r="L1761" t="inlineStr">
        <is>
          <t>Crossfire Legends Public Test Launch</t>
        </is>
      </c>
      <c r="M1761" t="inlineStr">
        <is>
          <t>2025TEG-P0322</t>
        </is>
      </c>
      <c r="N1761" t="inlineStr">
        <is>
          <t>Vincent Bryan Velasco Tan</t>
        </is>
      </c>
      <c r="O1761" t="inlineStr">
        <is>
          <t>202512080031-Vincent Bryan Velasco Tan-费用报销 - 副本 - 副本 - 副本-2025-12-08 06:45:13</t>
        </is>
      </c>
      <c r="P1761" t="inlineStr">
        <is>
          <t>YES</t>
        </is>
      </c>
      <c r="Q1761"/>
      <c r="R1761" t="inlineStr">
        <is>
          <t>NO</t>
        </is>
      </c>
      <c r="S1761" t="inlineStr">
        <is>
          <t>Outsourced Logistics Associate</t>
        </is>
      </c>
      <c r="T1761">
        <v>1</v>
      </c>
      <c r="U1761">
        <v>22500</v>
      </c>
      <c r="V1761" t="inlineStr">
        <is>
          <t>PHP</t>
        </is>
      </c>
      <c r="W1761">
        <v>22500</v>
      </c>
      <c r="X1761" s="2" t="str">
        <f>=HYPERLINK("https://www.larksuite.com/approval/admin/previewAttachment?key=PMgxrgIxDATQK83YjifzL_MbViuarRCIFDk7EgXt60n0HMw2ygyDW2NWmzE6PJVKxY5NyRBVtY_r_L8WHO94rmWT537db-fx4LAioKzKCYB_P09Vld2Fr-MTAAD__w", "2 attachment(s)")</f>
        <v>2 attachment(s)</v>
      </c>
      <c r="Y1761" t="inlineStr">
        <is>
          <t>Bank Transfer</t>
        </is>
      </c>
      <c r="Z1761" t="inlineStr">
        <is>
          <t>Nordan Burabo</t>
        </is>
      </c>
      <c r="AA1761" t="inlineStr">
        <is>
          <t>09636201512</t>
        </is>
      </c>
      <c r="AB1761" t="inlineStr">
        <is>
          <t>GCash</t>
        </is>
      </c>
      <c r="AC1761" t="inlineStr">
        <is>
          <t>Blk 1 Lot 23 Agoncillo St. Sta Lucia Novaliches, Quezon City</t>
        </is>
      </c>
      <c r="AD1761" s="4">
        <v>46005</v>
      </c>
      <c r="AE1761" t="inlineStr">
        <is>
          <t>100% Full Payment - Jan. 9, 2026</t>
        </is>
      </c>
      <c r="AF1761" s="2"/>
      <c r="AG1761" t="inlineStr">
        <is>
          <t>NzQyNTk5MTgyNzQ4MTg3MDM0MToxREQ1QjM2MS0zNkU2LTQyNzktQjlCMC0wRTc2Qjk2RDFEQjItMTpiOTAxMzIyNjYyYTg0MzlmZTJhZjFjNTVmZDE1NjEwZDox</t>
        </is>
      </c>
      <c r="AH1761" t="inlineStr">
        <is>
          <t>Nordan Burabo</t>
        </is>
      </c>
      <c r="AI1761"/>
      <c r="AJ1761" t="inlineStr">
        <is>
          <t>LIQUIDITY PLAN (PAR # 202512090150 / 2025TEG-P0322)
MANPOWER &gt; Others &gt;
Ingress Manpower
Egress Manpower
Event Day Manpower
Total Remaining Budget = Php 35,700.00
Actual Cost = Php 22,500.00
Balance = Php 13,200.00</t>
        </is>
      </c>
      <c r="AK1761"/>
    </row>
    <row r="1762" ht="25.5" customHeight="1">
      <c r="A1762" s="2" t="str">
        <f>=HYPERLINK("https://applink.larksuite.com/client/mini_program/open?appId=cli_9c7cc8a9a9edd105&amp;mode=appCenter&amp;path_pc=pc/pages/requested/index?instanceId=7584709634385006299&amp;source=bitable&amp;path=pages/detail/index?instanceId=7584709634385006299&amp;source=bitable", "202512170066")</f>
        <v>202512170066</v>
      </c>
      <c r="B1762" t="inlineStr">
        <is>
          <t>Approved</t>
        </is>
      </c>
      <c r="C1762" t="inlineStr">
        <is>
          <t>Procurement Order</t>
        </is>
      </c>
      <c r="D1762" s="3">
        <v>46008.60215277778</v>
      </c>
      <c r="E1762" s="3">
        <v>46008.835497685184</v>
      </c>
      <c r="F1762" t="inlineStr">
        <is>
          <t>Fatima Kathleen M. FLores</t>
        </is>
      </c>
      <c r="G1762" t="inlineStr">
        <is>
          <t>Procurement</t>
        </is>
      </c>
      <c r="H1762"/>
      <c r="I1762"/>
      <c r="J1762" t="inlineStr">
        <is>
          <t>Project</t>
        </is>
      </c>
      <c r="K1762" t="inlineStr">
        <is>
          <t>GG - Event Service</t>
        </is>
      </c>
      <c r="L1762" t="inlineStr">
        <is>
          <t>Crossfire Legends Public Test Launch</t>
        </is>
      </c>
      <c r="M1762" t="inlineStr">
        <is>
          <t>2025TEG-P0322</t>
        </is>
      </c>
      <c r="N1762" t="inlineStr">
        <is>
          <t>Vincent Bryan Velasco Tan</t>
        </is>
      </c>
      <c r="O1762" t="inlineStr">
        <is>
          <t>202512090128-Vincent Bryan Velasco Tan-费用报销 - 副本 - 副本 - 副本-2025-12-09 11:29:18</t>
        </is>
      </c>
      <c r="P1762" t="inlineStr">
        <is>
          <t>YES</t>
        </is>
      </c>
      <c r="Q1762"/>
      <c r="R1762" t="inlineStr">
        <is>
          <t>NO</t>
        </is>
      </c>
      <c r="S1762" t="inlineStr">
        <is>
          <t>Outsourced Stage Director</t>
        </is>
      </c>
      <c r="T1762">
        <v>1</v>
      </c>
      <c r="U1762">
        <v>4000</v>
      </c>
      <c r="V1762" t="inlineStr">
        <is>
          <t>PHP</t>
        </is>
      </c>
      <c r="W1762">
        <v>4000</v>
      </c>
      <c r="X1762" s="2" t="str">
        <f>=HYPERLINK("https://www.larksuite.com/approval/admin/previewAttachment?key=PMg9CgIxEAXgK73J_D4vY5MliLAiCAsp5uyChe0XJYhy0SCMMgjp9LIEQ03LgRhkj5ZMIiXN-zjX_dzg2_drz-e6avb1mOv4iDPHQKqZFgC5_V3TzMgw_BzfAAAA__8", "2 attachment(s)")</f>
        <v>2 attachment(s)</v>
      </c>
      <c r="Y1762" t="inlineStr">
        <is>
          <t>Bank Transfer</t>
        </is>
      </c>
      <c r="Z1762" t="inlineStr">
        <is>
          <t>Ralph Renzo V. Desamparado</t>
        </is>
      </c>
      <c r="AA1762" t="inlineStr">
        <is>
          <t>09682222986</t>
        </is>
      </c>
      <c r="AB1762" t="inlineStr">
        <is>
          <t>GCash</t>
        </is>
      </c>
      <c r="AC1762" t="inlineStr">
        <is>
          <t>Blk 8 lot 9 Valencia St. Phase 1 Avida Santa Catalina Barangay Salawag City of Dasmariñas Cavite</t>
        </is>
      </c>
      <c r="AD1762" s="4">
        <v>46006</v>
      </c>
      <c r="AE1762" t="inlineStr">
        <is>
          <t>100% Full Payment - Jan. 9, 2026</t>
        </is>
      </c>
      <c r="AF1762" s="2"/>
      <c r="AG1762" t="inlineStr">
        <is>
          <t>NzQyNTk5MTgyNzQ4MTg3MDM0MTpENkQ0RDI5Mi0yODRBLTRGNTEtOEMwMi04NjQxQzY5Mzk2QkItMTo1NjgyOTY5NWNiYThhYzllNWJlYzZhM2ZiZDBmMDNiODox</t>
        </is>
      </c>
      <c r="AH1762" t="inlineStr">
        <is>
          <t>Ralph Renzo V. Desamparado</t>
        </is>
      </c>
      <c r="AI1762"/>
      <c r="AJ1762" t="inlineStr">
        <is>
          <t>LIQUIDITY PLAN (PAR # 202512090150 / 2025TEG-P0322)
MANPOWER &gt; Broadcast &gt; Stage Director
Total Budget = Php 7,000.00
Actual Cost = Php 4,000.00
Balance = Php 3,000.00</t>
        </is>
      </c>
      <c r="AK1762"/>
    </row>
    <row r="1763" ht="25.5" customHeight="1">
      <c r="A1763" s="2" t="str">
        <f>=HYPERLINK("https://applink.larksuite.com/client/mini_program/open?appId=cli_9c7cc8a9a9edd105&amp;mode=appCenter&amp;path_pc=pc/pages/requested/index?instanceId=7584714974728048347&amp;source=bitable&amp;path=pages/detail/index?instanceId=7584714974728048347&amp;source=bitable", "202512170077")</f>
        <v>202512170077</v>
      </c>
      <c r="B1763" t="inlineStr">
        <is>
          <t>Approved</t>
        </is>
      </c>
      <c r="C1763" t="inlineStr">
        <is>
          <t>Procurement Order</t>
        </is>
      </c>
      <c r="D1763" s="3">
        <v>46008.61653935185</v>
      </c>
      <c r="E1763" s="3">
        <v>46008.833958333336</v>
      </c>
      <c r="F1763" t="inlineStr">
        <is>
          <t>Fatima Kathleen M. FLores</t>
        </is>
      </c>
      <c r="G1763" t="inlineStr">
        <is>
          <t>Procurement</t>
        </is>
      </c>
      <c r="H1763"/>
      <c r="I1763"/>
      <c r="J1763" t="inlineStr">
        <is>
          <t>Project</t>
        </is>
      </c>
      <c r="K1763" t="inlineStr">
        <is>
          <t>GG - Event Service</t>
        </is>
      </c>
      <c r="L1763" t="inlineStr">
        <is>
          <t>Crossfire Legends Public Test Launch</t>
        </is>
      </c>
      <c r="M1763" t="inlineStr">
        <is>
          <t>2025TEG-P0322</t>
        </is>
      </c>
      <c r="N1763" t="inlineStr">
        <is>
          <t>Vincent Bryan Velasco Tan</t>
        </is>
      </c>
      <c r="O1763" t="inlineStr">
        <is>
          <t>202512110131-Vincent Bryan Velasco Tan-费用报销 - 副本 - 副本 - 副本-2025-12-11 10:31:24</t>
        </is>
      </c>
      <c r="P1763" t="inlineStr">
        <is>
          <t>YES</t>
        </is>
      </c>
      <c r="Q1763"/>
      <c r="R1763" t="inlineStr">
        <is>
          <t>NO</t>
        </is>
      </c>
      <c r="S1763" t="inlineStr">
        <is>
          <t>Outsourced Talent / Cosplayer</t>
        </is>
      </c>
      <c r="T1763">
        <v>1</v>
      </c>
      <c r="U1763">
        <v>8000</v>
      </c>
      <c r="V1763" t="inlineStr">
        <is>
          <t>PHP</t>
        </is>
      </c>
      <c r="W1763">
        <v>8000</v>
      </c>
      <c r="X1763" s="2" t="str">
        <f>=HYPERLINK("https://www.larksuite.com/approval/admin/previewAttachment?key=PMgxCkIxEATQK81uJpldL2PjJ2gREYSPKfbsgoXtG2EY0a2NBNM8YaUelDFFeYDRqPIyKSETex1rXtdGvvb-rPPhz-l13m_zeFtPuUONbAHALn9vIpk5iJ_jGwAA__8", "2 attachment(s)")</f>
        <v>2 attachment(s)</v>
      </c>
      <c r="Y1763" t="inlineStr">
        <is>
          <t>Bank Transfer</t>
        </is>
      </c>
      <c r="Z1763" t="inlineStr">
        <is>
          <t>Kristinaiyn Hernandez</t>
        </is>
      </c>
      <c r="AA1763" t="inlineStr">
        <is>
          <t>0954 306 3074</t>
        </is>
      </c>
      <c r="AB1763" t="inlineStr">
        <is>
          <t>Maya</t>
        </is>
      </c>
      <c r="AC1763" t="inlineStr">
        <is>
          <t>Blk 5 lot 3 sm Bernardo Avenue brgy 167 North Caloocan</t>
        </is>
      </c>
      <c r="AD1763" s="4">
        <v>46006</v>
      </c>
      <c r="AE1763" t="inlineStr">
        <is>
          <t>100% Full Payment - Jan. 9, 2026</t>
        </is>
      </c>
      <c r="AF1763" s="2"/>
      <c r="AG1763" t="inlineStr">
        <is>
          <t>NzQyNTk5MTgyNzQ4MTg3MDM0MTo2QjBGODBFMC0yQkQ0LTREMDgtQjc0RC1EM0E0MEE3MEE3QzctMTphNmI4NWEyZmU0YTZlOGEyNDBmN2MzMWRjZDUzYjJjYzox</t>
        </is>
      </c>
      <c r="AH1763" t="inlineStr">
        <is>
          <t>Kristinaiyn Hernandez</t>
        </is>
      </c>
      <c r="AI1763"/>
      <c r="AJ1763" t="inlineStr">
        <is>
          <t>LIQUIDITY PLAN (PAR # 202512090150 / 2025TEG-P0322)
MANPOWER &gt; Others
Total Budget = Php 32,000.00
Actual Cost = Php 8,000.00
Balance = Php 24,000.00</t>
        </is>
      </c>
      <c r="AK1763"/>
    </row>
    <row r="1764" ht="25.5" customHeight="1">
      <c r="A1764" s="2" t="str">
        <f>=HYPERLINK("https://applink.larksuite.com/client/mini_program/open?appId=cli_9c7cc8a9a9edd105&amp;mode=appCenter&amp;path_pc=pc/pages/requested/index?instanceId=7584716808880443099&amp;source=bitable&amp;path=pages/detail/index?instanceId=7584716808880443099&amp;source=bitable", "202512170082")</f>
        <v>202512170082</v>
      </c>
      <c r="B1764" t="inlineStr">
        <is>
          <t>Approved</t>
        </is>
      </c>
      <c r="C1764" t="inlineStr">
        <is>
          <t>Procurement Order</t>
        </is>
      </c>
      <c r="D1764" s="3">
        <v>46008.62149305556</v>
      </c>
      <c r="E1764" s="3">
        <v>46008.8334375</v>
      </c>
      <c r="F1764" t="inlineStr">
        <is>
          <t>Fatima Kathleen M. FLores</t>
        </is>
      </c>
      <c r="G1764" t="inlineStr">
        <is>
          <t>Procurement</t>
        </is>
      </c>
      <c r="H1764"/>
      <c r="I1764"/>
      <c r="J1764" t="inlineStr">
        <is>
          <t>Project</t>
        </is>
      </c>
      <c r="K1764" t="inlineStr">
        <is>
          <t>GG - Event Service</t>
        </is>
      </c>
      <c r="L1764" t="inlineStr">
        <is>
          <t>Crossfire Legends Public Test Launch</t>
        </is>
      </c>
      <c r="M1764" t="inlineStr">
        <is>
          <t>2025TEG-P0322</t>
        </is>
      </c>
      <c r="N1764" t="inlineStr">
        <is>
          <t>Vincent Bryan Velasco Tan</t>
        </is>
      </c>
      <c r="O1764" t="inlineStr">
        <is>
          <t>202512110131-Vincent Bryan Velasco Tan-费用报销 - 副本 - 副本 - 副本-2025-12-11 10:31:24</t>
        </is>
      </c>
      <c r="P1764" t="inlineStr">
        <is>
          <t>YES</t>
        </is>
      </c>
      <c r="Q1764"/>
      <c r="R1764" t="inlineStr">
        <is>
          <t>NO</t>
        </is>
      </c>
      <c r="S1764" t="inlineStr">
        <is>
          <t>Outsourced Talent / Cosplayer</t>
        </is>
      </c>
      <c r="T1764">
        <v>1</v>
      </c>
      <c r="U1764">
        <v>8000</v>
      </c>
      <c r="V1764" t="inlineStr">
        <is>
          <t>PHP</t>
        </is>
      </c>
      <c r="W1764">
        <v>8000</v>
      </c>
      <c r="X1764" s="2" t="str">
        <f>=HYPERLINK("https://www.larksuite.com/approval/admin/previewAttachment?key=PMjBqoIhFATgV5rR0TnnvszdKBLED0GUK589aNH260H0aKw9oWRJ8LiFzB6ICEgVmacc2gnTamde65_eY93n1tiP17zO-zbWfLKlS4GrVAMA_35eLSmzC1_HJwAA__8", "2 attachment(s)")</f>
        <v>2 attachment(s)</v>
      </c>
      <c r="Y1764" t="inlineStr">
        <is>
          <t>Bank Transfer</t>
        </is>
      </c>
      <c r="Z1764" t="inlineStr">
        <is>
          <t>Erika Bautista</t>
        </is>
      </c>
      <c r="AA1764" t="inlineStr">
        <is>
          <t>09294516154</t>
        </is>
      </c>
      <c r="AB1764" t="inlineStr">
        <is>
          <t>GCash</t>
        </is>
      </c>
      <c r="AC1764" t="inlineStr">
        <is>
          <t>13th ave Cubao, Quezon City</t>
        </is>
      </c>
      <c r="AD1764" s="4">
        <v>46006</v>
      </c>
      <c r="AE1764" t="inlineStr">
        <is>
          <t>100% Full Payment - Jan. 9, 2026</t>
        </is>
      </c>
      <c r="AF1764" s="2"/>
      <c r="AG1764" t="inlineStr">
        <is>
          <t>NzQyNTk5MTgyNzQ4MTg3MDM0MTpDNUVBREQ4MS0yQTJBLTRGMUQtODk3Ri1BRDM1NjIzNDNFQTUtMTo4NTg4ZGQxMTExMjgzYjM4MzIyMzhjYmVmMGFiODczODox</t>
        </is>
      </c>
      <c r="AH1764" t="inlineStr">
        <is>
          <t>Erika Bautista</t>
        </is>
      </c>
      <c r="AI1764"/>
      <c r="AJ1764" t="inlineStr">
        <is>
          <t>LIQUIDITY PLAN (PAR # 202512090150 / 2025TEG-P0322)
MANPOWER &gt; Others &gt; Actors / Staff for Mutation Mode
Total Remaining Budget = Php 16,000.00
Actual Cost = Php 8,000.00
Balance = Php 8,000.00</t>
        </is>
      </c>
      <c r="AK1764"/>
    </row>
    <row r="1765" ht="25.5" customHeight="1">
      <c r="A1765" s="2" t="str">
        <f>=HYPERLINK("https://applink.larksuite.com/client/mini_program/open?appId=cli_9c7cc8a9a9edd105&amp;mode=appCenter&amp;path_pc=pc/pages/requested/index?instanceId=7584717632792743644&amp;source=bitable&amp;path=pages/detail/index?instanceId=7584717632792743644&amp;source=bitable", "202512170084")</f>
        <v>202512170084</v>
      </c>
      <c r="B1765" t="inlineStr">
        <is>
          <t>Approved</t>
        </is>
      </c>
      <c r="C1765" t="inlineStr">
        <is>
          <t>Procurement Order</t>
        </is>
      </c>
      <c r="D1765" s="3">
        <v>46008.623703703706</v>
      </c>
      <c r="E1765" s="3">
        <v>46008.83277777778</v>
      </c>
      <c r="F1765" t="inlineStr">
        <is>
          <t>Fatima Kathleen M. FLores</t>
        </is>
      </c>
      <c r="G1765" t="inlineStr">
        <is>
          <t>Procurement</t>
        </is>
      </c>
      <c r="H1765"/>
      <c r="I1765"/>
      <c r="J1765" t="inlineStr">
        <is>
          <t>Project</t>
        </is>
      </c>
      <c r="K1765" t="inlineStr">
        <is>
          <t>GG - Event Service</t>
        </is>
      </c>
      <c r="L1765" t="inlineStr">
        <is>
          <t>Crossfire Legends Public Test Launch</t>
        </is>
      </c>
      <c r="M1765" t="inlineStr">
        <is>
          <t>2025TEG-P0322</t>
        </is>
      </c>
      <c r="N1765" t="inlineStr">
        <is>
          <t>Vincent Bryan Velasco Tan</t>
        </is>
      </c>
      <c r="O1765" t="inlineStr">
        <is>
          <t>202512110131-Vincent Bryan Velasco Tan-费用报销 - 副本 - 副本 - 副本-2025-12-11 10:31:24</t>
        </is>
      </c>
      <c r="P1765" t="inlineStr">
        <is>
          <t>YES</t>
        </is>
      </c>
      <c r="Q1765"/>
      <c r="R1765" t="inlineStr">
        <is>
          <t>NO</t>
        </is>
      </c>
      <c r="S1765" t="inlineStr">
        <is>
          <t>Outsourced Talent / Cosplayer</t>
        </is>
      </c>
      <c r="T1765">
        <v>1</v>
      </c>
      <c r="U1765">
        <v>8000</v>
      </c>
      <c r="V1765" t="inlineStr">
        <is>
          <t>PHP</t>
        </is>
      </c>
      <c r="W1765">
        <v>8000</v>
      </c>
      <c r="X1765" s="2" t="str">
        <f>=HYPERLINK("https://www.larksuite.com/approval/admin/previewAttachment?key=PMhBCkIxDATQK02SaabxMm4sRcSCIH5XPbvg4m9fdkP2ZpEFlnnBtlqnTBmucjGS3L5NKsjEtsea12f7POZacn99xzj2cb_N8bZWcoeCjA7ALqeHSFYl8Xf8AgAA__8", "2 attachment(s)")</f>
        <v>2 attachment(s)</v>
      </c>
      <c r="Y1765" t="inlineStr">
        <is>
          <t>Bank Transfer</t>
        </is>
      </c>
      <c r="Z1765" t="inlineStr">
        <is>
          <t>Emmalyn Perez</t>
        </is>
      </c>
      <c r="AA1765" t="inlineStr">
        <is>
          <t>0025 4031 4232</t>
        </is>
      </c>
      <c r="AB1765" t="inlineStr">
        <is>
          <t>BDO</t>
        </is>
      </c>
      <c r="AC1765" t="inlineStr">
        <is>
          <t>Jewel’s Water Refilling Station. Brgy. Sta. Monica. Novaliches, QC.</t>
        </is>
      </c>
      <c r="AD1765" s="4">
        <v>46006</v>
      </c>
      <c r="AE1765" t="inlineStr">
        <is>
          <t>100% Full Payment - Jan. 9, 2026</t>
        </is>
      </c>
      <c r="AF1765" s="2"/>
      <c r="AG1765" t="inlineStr">
        <is>
          <t>NzQyNTk5MTgyNzQ4MTg3MDM0MTo2QjMzMkQ3Mi05RjBCLTRBRUQtQjQwMC0wNDJEMDdFRjlBQzItMTo4YzQ5OTEzYjljYzI2NTJjNDIyN2VhODVjNDU1NGNkNjox</t>
        </is>
      </c>
      <c r="AH1765" t="inlineStr">
        <is>
          <t>Emmalyn Perez</t>
        </is>
      </c>
      <c r="AI1765"/>
      <c r="AJ1765" t="inlineStr">
        <is>
          <t>LIQUIDITY PLAN (PAR # 202512090150 / 2025TEG-P0322)
MANPOWER &gt; Others &gt; Actors / Staff for Mutation Mode
Total Remaining Budget = Php 32,000.00
Actual Cost = Php 8,000.00
Balance = Php 16,000.00</t>
        </is>
      </c>
      <c r="AK1765"/>
    </row>
    <row r="1766" ht="25.5" customHeight="1">
      <c r="A1766" s="2" t="str">
        <f>=HYPERLINK("https://applink.larksuite.com/client/mini_program/open?appId=cli_9c7cc8a9a9edd105&amp;mode=appCenter&amp;path_pc=pc/pages/requested/index?instanceId=7584718345446903520&amp;source=bitable&amp;path=pages/detail/index?instanceId=7584718345446903520&amp;source=bitable", "202512170085")</f>
        <v>202512170085</v>
      </c>
      <c r="B1766" t="inlineStr">
        <is>
          <t>Approved</t>
        </is>
      </c>
      <c r="C1766" t="inlineStr">
        <is>
          <t>Procurement Order</t>
        </is>
      </c>
      <c r="D1766" s="3">
        <v>46008.625625</v>
      </c>
      <c r="E1766" s="3">
        <v>46008.832291666666</v>
      </c>
      <c r="F1766" t="inlineStr">
        <is>
          <t>Fatima Kathleen M. FLores</t>
        </is>
      </c>
      <c r="G1766" t="inlineStr">
        <is>
          <t>Procurement</t>
        </is>
      </c>
      <c r="H1766"/>
      <c r="I1766"/>
      <c r="J1766" t="inlineStr">
        <is>
          <t>Project</t>
        </is>
      </c>
      <c r="K1766" t="inlineStr">
        <is>
          <t>GG - Event Service</t>
        </is>
      </c>
      <c r="L1766" t="inlineStr">
        <is>
          <t>Crossfire Legends Public Test Launch</t>
        </is>
      </c>
      <c r="M1766" t="inlineStr">
        <is>
          <t>2025TEG-P0322</t>
        </is>
      </c>
      <c r="N1766" t="inlineStr">
        <is>
          <t>Vincent Bryan Velasco Tan</t>
        </is>
      </c>
      <c r="O1766" t="inlineStr">
        <is>
          <t>202512110131-Vincent Bryan Velasco Tan-费用报销 - 副本 - 副本 - 副本-2025-12-11 10:31:24</t>
        </is>
      </c>
      <c r="P1766" t="inlineStr">
        <is>
          <t>YES</t>
        </is>
      </c>
      <c r="Q1766"/>
      <c r="R1766" t="inlineStr">
        <is>
          <t>NO</t>
        </is>
      </c>
      <c r="S1766" t="inlineStr">
        <is>
          <t>Outsourced Talent / Cosplayer</t>
        </is>
      </c>
      <c r="T1766">
        <v>1</v>
      </c>
      <c r="U1766">
        <v>8000</v>
      </c>
      <c r="V1766" t="inlineStr">
        <is>
          <t>PHP</t>
        </is>
      </c>
      <c r="W1766">
        <v>8000</v>
      </c>
      <c r="X1766" s="2" t="str">
        <f>=HYPERLINK("https://www.larksuite.com/approval/admin/previewAttachment?key=PMgxjkIxEAPQK9kzTpzZy2zDV4RAqZCAX-TsSBS0rw-ij8bsBRWjwO02ZI5Uk3ohW2DHpl0wLe1jzX8z1nzFe524-7zt5_UyjwdbOQJOKQcA_v08LamqC1_HJwAA__8", "2 attachment(s)")</f>
        <v>2 attachment(s)</v>
      </c>
      <c r="Y1766" t="inlineStr">
        <is>
          <t>Bank Transfer</t>
        </is>
      </c>
      <c r="Z1766" t="inlineStr">
        <is>
          <t>Carol Labandelo</t>
        </is>
      </c>
      <c r="AA1766" t="inlineStr">
        <is>
          <t>09054481839</t>
        </is>
      </c>
      <c r="AB1766" t="inlineStr">
        <is>
          <t>GCash</t>
        </is>
      </c>
      <c r="AC1766" t="inlineStr">
        <is>
          <t>1273 Carnation Street, Brgy. Malinta, Valenzuela City</t>
        </is>
      </c>
      <c r="AD1766" s="4">
        <v>46006</v>
      </c>
      <c r="AE1766" t="inlineStr">
        <is>
          <t>100% Full Payment - Jan. 9, 2026</t>
        </is>
      </c>
      <c r="AF1766" s="2"/>
      <c r="AG1766" t="inlineStr">
        <is>
          <t>NzQyNTk5MTgyNzQ4MTg3MDM0MTo0NEI5RjA4Mi1EN0FCLTRBMTktQUUwRC0zQzgyNzhENzlGQTAtMTo2ODk1MWEyZjA1NjMxYmYzNDk3NjViN2Y2N2ViMGYwYjox</t>
        </is>
      </c>
      <c r="AH1766" t="inlineStr">
        <is>
          <t>Carol Labandelo</t>
        </is>
      </c>
      <c r="AI1766"/>
      <c r="AJ1766" t="inlineStr">
        <is>
          <t>LIQUIDITY PLAN (PAR # 202512090150 / 2025TEG-P0322)
MANPOWER &gt; Others &gt; Actors / Staff for Mutation Mode
Total Remaining Budget = Php 8,000.00
Actual Cost = Php 8,000.00</t>
        </is>
      </c>
      <c r="AK1766"/>
    </row>
    <row r="1767" ht="25.5" customHeight="1">
      <c r="A1767" s="2" t="str">
        <f>=HYPERLINK("https://applink.larksuite.com/client/mini_program/open?appId=cli_9c7cc8a9a9edd105&amp;mode=appCenter&amp;path_pc=pc/pages/requested/index?instanceId=7584733415300157147&amp;source=bitable&amp;path=pages/detail/index?instanceId=7584733415300157147&amp;source=bitable", "202512170098")</f>
        <v>202512170098</v>
      </c>
      <c r="B1767" t="inlineStr">
        <is>
          <t>Approved</t>
        </is>
      </c>
      <c r="C1767" t="inlineStr">
        <is>
          <t>Procurement Order</t>
        </is>
      </c>
      <c r="D1767" s="3">
        <v>46008.666238425925</v>
      </c>
      <c r="E1767" s="3">
        <v>46009.63134259259</v>
      </c>
      <c r="F1767" t="inlineStr">
        <is>
          <t>Fatima Kathleen M. FLores</t>
        </is>
      </c>
      <c r="G1767" t="inlineStr">
        <is>
          <t>Procurement</t>
        </is>
      </c>
      <c r="H1767"/>
      <c r="I1767"/>
      <c r="J1767" t="inlineStr">
        <is>
          <t>Project</t>
        </is>
      </c>
      <c r="K1767" t="inlineStr">
        <is>
          <t>PDEI - Game Marketing</t>
        </is>
      </c>
      <c r="L1767" t="inlineStr">
        <is>
          <t>RO3 GvG Empyrean Showdown PR</t>
        </is>
      </c>
      <c r="M1767" t="inlineStr">
        <is>
          <t>2025TEG-P0333</t>
        </is>
      </c>
      <c r="N1767" t="inlineStr">
        <is>
          <t>Ronelle Kylene Chaneco Lim</t>
        </is>
      </c>
      <c r="O1767" t="inlineStr">
        <is>
          <t>202512110031-Ronelle Kylene Chaneco Lim-费用报销 - 副本 - 副本 - 副本-2025-12-11 03:24:59</t>
        </is>
      </c>
      <c r="P1767" t="inlineStr">
        <is>
          <t>NO</t>
        </is>
      </c>
      <c r="Q1767"/>
      <c r="R1767" t="inlineStr">
        <is>
          <t>NO</t>
        </is>
      </c>
      <c r="S1767" t="inlineStr">
        <is>
          <t>Outsourced PR Support / Placement</t>
        </is>
      </c>
      <c r="T1767">
        <v>1</v>
      </c>
      <c r="U1767">
        <v>25200</v>
      </c>
      <c r="V1767" t="inlineStr">
        <is>
          <t>PHP</t>
        </is>
      </c>
      <c r="W1767">
        <v>25200</v>
      </c>
      <c r="X1767" s="2" t="str">
        <f>=HYPERLINK("https://www.larksuite.com/approval/admin/previewAttachment?key=PMgxCsJAFATQK83sn7-z38vYJAQDWokLKfbsgoXt64PoIxm9oGIrcDmHHCFmAExTXm3RLphWrv113K95XnnOjfvxeba55mM79jez3BocUgwAvP09LKmqCz_HNwAA__8", "2 attachment(s)")</f>
        <v>2 attachment(s)</v>
      </c>
      <c r="Y1767" t="inlineStr">
        <is>
          <t>Bank Transfer</t>
        </is>
      </c>
      <c r="Z1767" t="inlineStr">
        <is>
          <t>UnGeek Media, Inc.</t>
        </is>
      </c>
      <c r="AA1767" t="inlineStr">
        <is>
          <t>0000056320493</t>
        </is>
      </c>
      <c r="AB1767" t="inlineStr">
        <is>
          <t>Security Bank</t>
        </is>
      </c>
      <c r="AC1767" t="inlineStr">
        <is>
          <t>Unit 1402A Escolta Twin Towers, 288 Escolta St., Brgy. 291 Zone 027, Binondo, Manila</t>
        </is>
      </c>
      <c r="AD1767" s="4">
        <v>46001</v>
      </c>
      <c r="AE1767" t="inlineStr">
        <is>
          <t>100% Full Payment - 12 days upon completion of services</t>
        </is>
      </c>
      <c r="AF1767" s="2"/>
      <c r="AG1767" t="inlineStr">
        <is>
          <t>NzQyNTk5MTgyNzQ4MTg3MDM0MTo2OUY0NUM0RC01MDM3LTRBNDItQkY0MC01RDkyOUI2MTA0MjEtMTo1MWUwZDNhMjUyN2Y3YzlkOTdkNjQzNjY0YWNjZmYzNjox</t>
        </is>
      </c>
      <c r="AH1767" t="inlineStr">
        <is>
          <t>UnGeek Media, Inc.</t>
        </is>
      </c>
      <c r="AI1767"/>
      <c r="AJ1767" t="inlineStr">
        <is>
          <t>LIQUIDITY PLAN (PAR # 202512090023 / 2025TEG-P0333)
1203 COST ESTIMATE TAB &gt; GAMING MEDIA &gt;
UnGeek
Total Balance = Php 25,200.00
Actual Cost = Php 25,200.00</t>
        </is>
      </c>
      <c r="AK1767"/>
    </row>
    <row r="1768" ht="25.5" customHeight="1">
      <c r="A1768" s="2" t="str">
        <f>=HYPERLINK("https://applink.larksuite.com/client/mini_program/open?appId=cli_9c7cc8a9a9edd105&amp;mode=appCenter&amp;path_pc=pc/pages/requested/index?instanceId=7584736871327026910&amp;source=bitable&amp;path=pages/detail/index?instanceId=7584736871327026910&amp;source=bitable", "202512170103")</f>
        <v>202512170103</v>
      </c>
      <c r="B1768" t="inlineStr">
        <is>
          <t>Approved</t>
        </is>
      </c>
      <c r="C1768" t="inlineStr">
        <is>
          <t>Procurement Order</t>
        </is>
      </c>
      <c r="D1768" s="3">
        <v>46008.67554398148</v>
      </c>
      <c r="E1768" s="3">
        <v>46009.631875</v>
      </c>
      <c r="F1768" t="inlineStr">
        <is>
          <t>Fatima Kathleen M. FLores</t>
        </is>
      </c>
      <c r="G1768" t="inlineStr">
        <is>
          <t>Procurement</t>
        </is>
      </c>
      <c r="H1768"/>
      <c r="I1768"/>
      <c r="J1768" t="inlineStr">
        <is>
          <t>Project</t>
        </is>
      </c>
      <c r="K1768" t="inlineStr">
        <is>
          <t>PDEI - Game Marketing</t>
        </is>
      </c>
      <c r="L1768" t="inlineStr">
        <is>
          <t>RO3 GvG Empyrean Showdown PR</t>
        </is>
      </c>
      <c r="M1768" t="inlineStr">
        <is>
          <t>2025TEG-P0333</t>
        </is>
      </c>
      <c r="N1768" t="inlineStr">
        <is>
          <t>Ronelle Kylene Chaneco Lim</t>
        </is>
      </c>
      <c r="O1768" t="inlineStr">
        <is>
          <t>202512110033-Ronelle Kylene Chaneco Lim-费用报销 - 副本 - 副本 - 副本-2025-12-11 03:31:49</t>
        </is>
      </c>
      <c r="P1768" t="inlineStr">
        <is>
          <t>NO</t>
        </is>
      </c>
      <c r="Q1768"/>
      <c r="R1768" t="inlineStr">
        <is>
          <t>NO</t>
        </is>
      </c>
      <c r="S1768" t="inlineStr">
        <is>
          <t>Article Posting</t>
        </is>
      </c>
      <c r="T1768">
        <v>1</v>
      </c>
      <c r="U1768">
        <v>28000</v>
      </c>
      <c r="V1768" t="inlineStr">
        <is>
          <t>PHP</t>
        </is>
      </c>
      <c r="W1768">
        <v>28000</v>
      </c>
      <c r="X1768" s="2" t="str">
        <f>=HYPERLINK("https://www.larksuite.com/approval/admin/previewAttachment?key=PMgxrgIxDATQK83Yjif-l_kNqwgJpULs0vjsSBS0LyeRc9CzEEUrsDVmyHOKboJlEW1NqSAqRh97_dt5YeHa-8E1Xu8-77d1PDlKZpBH-ATAv5-7IqIqA1_HJwAA__8", "2 attachment(s)")</f>
        <v>2 attachment(s)</v>
      </c>
      <c r="Y1768" t="inlineStr">
        <is>
          <t>Bank Transfer</t>
        </is>
      </c>
      <c r="Z1768" t="inlineStr">
        <is>
          <t>Yugen Media Incorporated</t>
        </is>
      </c>
      <c r="AA1768" t="inlineStr">
        <is>
          <t>26-7100-2612</t>
        </is>
      </c>
      <c r="AB1768" t="inlineStr">
        <is>
          <t>Bank of the Philippine Islands (BPI)</t>
        </is>
      </c>
      <c r="AC1768" t="inlineStr">
        <is>
          <t>Unit 305 Silver City, 1 Frontera Drive, Ortigas East, Ugong, Pasig City</t>
        </is>
      </c>
      <c r="AD1768" s="4">
        <v>46000</v>
      </c>
      <c r="AE1768" t="inlineStr">
        <is>
          <t>50% Down Payment - Jan. 12, 2026
50% Balance - 7 days upon completion of services</t>
        </is>
      </c>
      <c r="AF1768" s="2" t="str">
        <f>=HYPERLINK("https://www.larksuite.com/approval/admin/previewAttachment?key=TMg9igJBEAXgK71X_7WX2cShEaQjccakzi4YmX5RRJRTo2FNaXDSy1KjkioJiSZGhpmNZJrPsde_nBcWrr0fXP56z3m_rePJKA1YuxkbAP9-nESXhn4dnwAAAP__", "2 attachment(s)")</f>
        <v>2 attachment(s)</v>
      </c>
      <c r="AG1768" t="inlineStr">
        <is>
          <t>NzQyNTk5MTgyNzQ4MTg3MDM0MTpBQzQwQUJDMy05RjhBLTQ0MDctQjRCOS1FNzYzQTE3MUYwMTctMTpkZjc0MjYxMzcwYzI4MGY5YWE3Yzc1NDA0YmU5YzgyOTox</t>
        </is>
      </c>
      <c r="AH1768" t="inlineStr">
        <is>
          <t>Yugen Media Incorporated</t>
        </is>
      </c>
      <c r="AI1768"/>
      <c r="AJ1768" t="inlineStr">
        <is>
          <t>LIQUIDITY PLAN (PAR # 202512090023 / 2025TEG-P0333)
1203 COST ESTIMATE TAB &gt; GAMING MEDIA &gt;
Enduins Gaming
Total Balance = Php 33,600.00
Actual Cost = Php 28,000.00
Balance = Php 5,600.00</t>
        </is>
      </c>
      <c r="AK1768"/>
    </row>
    <row r="1769" ht="25.5" customHeight="1">
      <c r="A1769" s="2" t="str">
        <f>=HYPERLINK("https://applink.larksuite.com/client/mini_program/open?appId=cli_9c7cc8a9a9edd105&amp;mode=appCenter&amp;path_pc=pc/pages/requested/index?instanceId=7584739804426358494&amp;source=bitable&amp;path=pages/detail/index?instanceId=7584739804426358494&amp;source=bitable", "202512170104")</f>
        <v>202512170104</v>
      </c>
      <c r="B1769" t="inlineStr">
        <is>
          <t>Approved</t>
        </is>
      </c>
      <c r="C1769" t="inlineStr">
        <is>
          <t>Procurement Order</t>
        </is>
      </c>
      <c r="D1769" s="3">
        <v>46008.68344907407</v>
      </c>
      <c r="E1769" s="3">
        <v>46008.83635416667</v>
      </c>
      <c r="F1769" t="inlineStr">
        <is>
          <t>Fatima Kathleen M. FLores</t>
        </is>
      </c>
      <c r="G1769" t="inlineStr">
        <is>
          <t>Procurement</t>
        </is>
      </c>
      <c r="H1769"/>
      <c r="I1769"/>
      <c r="J1769" t="inlineStr">
        <is>
          <t>Project</t>
        </is>
      </c>
      <c r="K1769" t="inlineStr">
        <is>
          <t>GG - Event Service</t>
        </is>
      </c>
      <c r="L1769" t="inlineStr">
        <is>
          <t>Crossfire Legends Public Test Launch</t>
        </is>
      </c>
      <c r="M1769" t="inlineStr">
        <is>
          <t>2025TEG-P0322</t>
        </is>
      </c>
      <c r="N1769" t="inlineStr">
        <is>
          <t>Katherine Denise Lee Sy</t>
        </is>
      </c>
      <c r="O1769" t="inlineStr">
        <is>
          <t>202512140002-Katherine Denise Lee Sy-费用报销 - 副本 - 副本 - 副本-2025-12-14 00:14:00</t>
        </is>
      </c>
      <c r="P1769" t="inlineStr">
        <is>
          <t>YES</t>
        </is>
      </c>
      <c r="Q1769"/>
      <c r="R1769" t="inlineStr">
        <is>
          <t>NO</t>
        </is>
      </c>
      <c r="S1769" t="inlineStr">
        <is>
          <t>Outsourced Lighting Operator</t>
        </is>
      </c>
      <c r="T1769">
        <v>1</v>
      </c>
      <c r="U1769">
        <v>7000</v>
      </c>
      <c r="V1769" t="inlineStr">
        <is>
          <t>PHP</t>
        </is>
      </c>
      <c r="W1769">
        <v>7000</v>
      </c>
      <c r="X1769" s="2" t="str">
        <f>=HYPERLINK("https://www.larksuite.com/approval/admin/previewAttachment?key=PMgxCgJBDAXQK_0kP_MTL2PjMgi6lTBWc3bBYts3yjAqLUaDbd6wrSwqukD6iCw2t2-TGjIx93HOu8zPmau-71XM117Pxzw-li13KMgoAHa7PESyexB_xy8AAP__", "2 attachment(s)")</f>
        <v>2 attachment(s)</v>
      </c>
      <c r="Y1769" t="inlineStr">
        <is>
          <t>Bank Transfer</t>
        </is>
      </c>
      <c r="Z1769" t="inlineStr">
        <is>
          <t>Mark Anthony Flor</t>
        </is>
      </c>
      <c r="AA1769" t="inlineStr">
        <is>
          <t>09199712271</t>
        </is>
      </c>
      <c r="AB1769" t="inlineStr">
        <is>
          <t>GCash</t>
        </is>
      </c>
      <c r="AC1769" t="inlineStr">
        <is>
          <t>Blk179 Lot44 St. Cecilia Street, Deca Homes Loma de Gato, Marilao, Bulacan</t>
        </is>
      </c>
      <c r="AD1769" s="4">
        <v>46006</v>
      </c>
      <c r="AE1769" t="inlineStr">
        <is>
          <t>100% Full Payment - Jan. 9, 2026</t>
        </is>
      </c>
      <c r="AF1769" s="2"/>
      <c r="AG1769" t="inlineStr">
        <is>
          <t>NzQyNTk5MTgyNzQ4MTg3MDM0MTpFNTVCNTlEMy01M0FCLTRBODAtODRFQy1COUE4NjdBQzYwNTgtMTo0NzhiOWIzZDE5Y2JkNjI3YTk3Y2RhNmEwOWM5ZWFhYTox</t>
        </is>
      </c>
      <c r="AH1769" t="inlineStr">
        <is>
          <t>Mark Anthony Flor</t>
        </is>
      </c>
      <c r="AI1769"/>
      <c r="AJ1769" t="inlineStr">
        <is>
          <t>LIQUIDITY PLAN (PAR # 202512090150 / 2025TEG-P0322)
MANPOWER &gt; Broadcast &gt; Lights Operator
Total Budget = Php 13,000.00
Actual Cost = Php 7,000.00
Balance = Php 6,000.00</t>
        </is>
      </c>
      <c r="AK1769"/>
    </row>
    <row r="1770" ht="25.5" customHeight="1">
      <c r="A1770" s="2" t="str">
        <f>=HYPERLINK("https://applink.larksuite.com/client/mini_program/open?appId=cli_9c7cc8a9a9edd105&amp;mode=appCenter&amp;path_pc=pc/pages/requested/index?instanceId=7584712330682404578&amp;source=bitable&amp;path=pages/detail/index?instanceId=7584712330682404578&amp;source=bitable", "202512170074")</f>
        <v>202512170074</v>
      </c>
      <c r="B1770" t="inlineStr">
        <is>
          <t>Approved</t>
        </is>
      </c>
      <c r="C1770" t="inlineStr">
        <is>
          <t>Procurement Order</t>
        </is>
      </c>
      <c r="D1770" s="3">
        <v>46008.6094212963</v>
      </c>
      <c r="E1770" s="3">
        <v>46028.70829861111</v>
      </c>
      <c r="F1770" t="inlineStr">
        <is>
          <t>Fatima Kathleen M. FLores</t>
        </is>
      </c>
      <c r="G1770" t="inlineStr">
        <is>
          <t>Procurement</t>
        </is>
      </c>
      <c r="H1770"/>
      <c r="I1770"/>
      <c r="J1770" t="inlineStr">
        <is>
          <t>Project</t>
        </is>
      </c>
      <c r="K1770" t="inlineStr">
        <is>
          <t>GG - Event Service</t>
        </is>
      </c>
      <c r="L1770" t="inlineStr">
        <is>
          <t>Crossfire Legends Public Test Launch</t>
        </is>
      </c>
      <c r="M1770" t="inlineStr">
        <is>
          <t>2025TEG-P0322</t>
        </is>
      </c>
      <c r="N1770" t="inlineStr">
        <is>
          <t>Vincent Bryan Velasco Tan</t>
        </is>
      </c>
      <c r="O1770" t="inlineStr">
        <is>
          <t>202512110128-Vincent Bryan Velasco Tan-费用报销 - 副本 - 副本 - 副本-2025-12-11 10:12:28</t>
        </is>
      </c>
      <c r="P1770" t="inlineStr">
        <is>
          <t>NO</t>
        </is>
      </c>
      <c r="Q1770"/>
      <c r="R1770" t="inlineStr">
        <is>
          <t>YES</t>
        </is>
      </c>
      <c r="S1770" t="inlineStr">
        <is>
          <t>Outsourced Camera Operator (Gimbal)</t>
        </is>
      </c>
      <c r="T1770">
        <v>1</v>
      </c>
      <c r="U1770">
        <v>110000</v>
      </c>
      <c r="V1770" t="inlineStr">
        <is>
          <t>PHP</t>
        </is>
      </c>
      <c r="W1770">
        <v>110000</v>
      </c>
      <c r="X1770" s="2" t="str">
        <f>=HYPERLINK("https://www.larksuite.com/approval/admin/previewAttachment?key=PMgxCkIxEATQK81sJpldL2NjCPLxgyBolbMLFrZvJDGys42CilHgdk-Z0RpGhqDu3LFpF0yr73muqxnnMp9zHQ8cn_2-39Z8sZcj4Ca1BMDL35slVQ3h5_gGAAD__w", "2 attachment(s)")</f>
        <v>2 attachment(s)</v>
      </c>
      <c r="Y1770" t="inlineStr">
        <is>
          <t>Bank Transfer</t>
        </is>
      </c>
      <c r="Z1770" t="inlineStr">
        <is>
          <t>Leo Angelo Zeta Capeding</t>
        </is>
      </c>
      <c r="AA1770" t="inlineStr">
        <is>
          <t>0000023005038</t>
        </is>
      </c>
      <c r="AB1770" t="inlineStr">
        <is>
          <t>Security Bank</t>
        </is>
      </c>
      <c r="AC1770" t="inlineStr">
        <is>
          <t>1055, 49 Gen Lim, Brgy. Santa Cruz Quezon City,</t>
        </is>
      </c>
      <c r="AD1770" s="4">
        <v>46002</v>
      </c>
      <c r="AE1770" t="inlineStr">
        <is>
          <t>50% Down Payment upon confirmation
50% Final Payment upon completion of services</t>
        </is>
      </c>
      <c r="AF1770" s="2"/>
      <c r="AG1770" t="inlineStr">
        <is>
          <t>NzQyNTk5MTgyNzQ4MTg3MDM0MTo2RDJDM0IyRS0xMjdCLTQyMUMtOUFENi1BOEU1MkY2NkRDNTAtMTphNDFkMDZmNGVlMzYzODhlMGEzYmRiY2FhMTI2NjllNDox</t>
        </is>
      </c>
      <c r="AH1770" t="inlineStr">
        <is>
          <t>Tiradores Media Productions</t>
        </is>
      </c>
      <c r="AI1770"/>
      <c r="AJ1770" t="inlineStr">
        <is>
          <t>LIQUIDITY PLAN (PAR # 202512090150 / 2025TEG-P0322)
MANPOWER &gt; Broadcast &gt; Roaming Camera Operator
Total Budget = Php 60,000.00
Actual Cost = Php 110,000.00
Balance = (Php 50,000.00) OVER BUDGET</t>
        </is>
      </c>
      <c r="AK1770"/>
    </row>
    <row r="1771" ht="25.5" customHeight="1">
      <c r="A1771" s="2" t="str">
        <f>=HYPERLINK("https://applink.larksuite.com/client/mini_program/open?appId=cli_9c7cc8a9a9edd105&amp;mode=appCenter&amp;path_pc=pc/pages/requested/index?instanceId=7585069200687795937&amp;source=bitable&amp;path=pages/detail/index?instanceId=7585069200687795937&amp;source=bitable", "202512180039")</f>
        <v>202512180039</v>
      </c>
      <c r="B1771" t="inlineStr">
        <is>
          <t>Approved</t>
        </is>
      </c>
      <c r="C1771" t="inlineStr">
        <is>
          <t>Procurement Order</t>
        </is>
      </c>
      <c r="D1771" s="3">
        <v>46009.57111111111</v>
      </c>
      <c r="E1771" s="3">
        <v>46009.61523148148</v>
      </c>
      <c r="F1771" t="inlineStr">
        <is>
          <t>Fatima Kathleen M. FLores</t>
        </is>
      </c>
      <c r="G1771" t="inlineStr">
        <is>
          <t>Procurement</t>
        </is>
      </c>
      <c r="H1771"/>
      <c r="I1771"/>
      <c r="J1771" t="inlineStr">
        <is>
          <t>Project</t>
        </is>
      </c>
      <c r="K1771" t="inlineStr">
        <is>
          <t>GG - Event Service</t>
        </is>
      </c>
      <c r="L1771" t="inlineStr">
        <is>
          <t>Crossfire Legends Public Test Launch</t>
        </is>
      </c>
      <c r="M1771" t="inlineStr">
        <is>
          <t>2025TEG-P0322</t>
        </is>
      </c>
      <c r="N1771" t="inlineStr">
        <is>
          <t>Katherine Denise Lee Sy</t>
        </is>
      </c>
      <c r="O1771" t="inlineStr">
        <is>
          <t>202512140008-Katherine Denise Lee Sy-费用报销 - 副本 - 副本 - 副本-2025-12-14 04:43:53</t>
        </is>
      </c>
      <c r="P1771" t="inlineStr">
        <is>
          <t>YES</t>
        </is>
      </c>
      <c r="Q1771"/>
      <c r="R1771" t="inlineStr">
        <is>
          <t>NO</t>
        </is>
      </c>
      <c r="S1771" t="inlineStr">
        <is>
          <t>Outsourced Logistics Associate (Addtl)</t>
        </is>
      </c>
      <c r="T1771">
        <v>1</v>
      </c>
      <c r="U1771">
        <v>1000</v>
      </c>
      <c r="V1771" t="inlineStr">
        <is>
          <t>PHP</t>
        </is>
      </c>
      <c r="W1771">
        <v>1000</v>
      </c>
      <c r="X1771" s="2" t="str">
        <f>=HYPERLINK("https://www.larksuite.com/approval/admin/previewAttachment?key=PMgxqgJhDATgK03yJ5nMu8xrdlm02EUQBIucXbCw_aoN1WmrhJC5YMPsRMmBalKpxfExUqAxcvbz-Kf56bq2N-7-uGJet-3Yn5aiO7giVgOwv58vRoRUga_jEwAA__8", "2 attachment(s)")</f>
        <v>2 attachment(s)</v>
      </c>
      <c r="Y1771" t="inlineStr">
        <is>
          <t>Bank Transfer</t>
        </is>
      </c>
      <c r="Z1771" t="inlineStr">
        <is>
          <t>Marc Kevin Serrano</t>
        </is>
      </c>
      <c r="AA1771" t="inlineStr">
        <is>
          <t>1519218972</t>
        </is>
      </c>
      <c r="AB1771" t="inlineStr">
        <is>
          <t>BPI</t>
        </is>
      </c>
      <c r="AC1771" t="inlineStr">
        <is>
          <t>3 Don Guillermo Street, Barangay Holy Spirit, Commonwealth, Quezon City</t>
        </is>
      </c>
      <c r="AD1771" s="4">
        <v>46005</v>
      </c>
      <c r="AE1771" t="inlineStr">
        <is>
          <t>100% Full Payment - Jan. 9, 2026</t>
        </is>
      </c>
      <c r="AF1771" s="2"/>
      <c r="AG1771" t="inlineStr">
        <is>
          <t>NzQyNTk5MTgyNzQ4MTg3MDM0MTo2QTJCQTQzQi1CODdELTQyRUQtODEwRS0wOTg5REU1NTFDMEQtMTozODJjMmY1YzZkZjAwODdhMGNmYmQ4MzA5ZjdmMTJkMTox</t>
        </is>
      </c>
      <c r="AH1771" t="inlineStr">
        <is>
          <t>Marc Kevin Serrano</t>
        </is>
      </c>
      <c r="AI1771"/>
      <c r="AJ1771" t="inlineStr">
        <is>
          <t>LIQUIDITY PLAN (PAR # 202512090150 / 2025TEG-P0322)
MANPOWER &gt; Others &gt; 
Ingress Manpower
Egress Manpower
Event Day Manpower
Total Remaining Budget = Php 13,200.00
Actual Cost = Php 1,000.00
Balance = Php 12,200.00</t>
        </is>
      </c>
      <c r="AK1771"/>
    </row>
    <row r="1772" ht="25.5" customHeight="1">
      <c r="A1772" s="2" t="str">
        <f>=HYPERLINK("https://applink.larksuite.com/client/mini_program/open?appId=cli_9c7cc8a9a9edd105&amp;mode=appCenter&amp;path_pc=pc/pages/requested/index?instanceId=7582444198427758306&amp;source=bitable&amp;path=pages/detail/index?instanceId=7582444198427758306&amp;source=bitable", "202512110042")</f>
        <v>202512110042</v>
      </c>
      <c r="B1772" t="inlineStr">
        <is>
          <t>Approved</t>
        </is>
      </c>
      <c r="C1772" t="inlineStr">
        <is>
          <t>Procurement Order</t>
        </is>
      </c>
      <c r="D1772" s="3">
        <v>46002.49725694444</v>
      </c>
      <c r="E1772" s="3">
        <v>46028.60668981481</v>
      </c>
      <c r="F1772" t="inlineStr">
        <is>
          <t>Fatima Kathleen M. FLores</t>
        </is>
      </c>
      <c r="G1772" t="inlineStr">
        <is>
          <t>Procurement</t>
        </is>
      </c>
      <c r="H1772"/>
      <c r="I1772"/>
      <c r="J1772" t="inlineStr">
        <is>
          <t>Project</t>
        </is>
      </c>
      <c r="K1772" t="inlineStr">
        <is>
          <t>PDEI - Event Service</t>
        </is>
      </c>
      <c r="L1772" t="inlineStr">
        <is>
          <t>HOK Invitational S3</t>
        </is>
      </c>
      <c r="M1772" t="inlineStr">
        <is>
          <t>2025TEG-P0027</t>
        </is>
      </c>
      <c r="N1772" t="inlineStr">
        <is>
          <t>Duane Aaron Baret Cadangan</t>
        </is>
      </c>
      <c r="O1772" t="inlineStr">
        <is>
          <t>202502070089-Duane Aaron Baret Cadangan-费用报销 - 副本 - 副本 - 副本-2025-02-07 15:00:15</t>
        </is>
      </c>
      <c r="P1772" t="inlineStr">
        <is>
          <t>YES</t>
        </is>
      </c>
      <c r="Q1772"/>
      <c r="R1772" t="inlineStr">
        <is>
          <t>YES</t>
        </is>
      </c>
      <c r="S1772" t="inlineStr">
        <is>
          <t>Outsourced Camera Highlights Operator</t>
        </is>
      </c>
      <c r="T1772">
        <v>1</v>
      </c>
      <c r="U1772">
        <v>25000</v>
      </c>
      <c r="V1772" t="inlineStr">
        <is>
          <t>PHP</t>
        </is>
      </c>
      <c r="W1772">
        <v>25000</v>
      </c>
      <c r="X1772" s="2" t="str">
        <f>=HYPERLINK("https://www.larksuite.com/approval/admin/previewAttachment?key=PMhBCsJQDATQK02S-X8SL-OmpViwboRiFzm74MLtm2mYOSxmgWVesNZIJ2mVdGlkYLa3SQWZOHo9tnscel3n_tGyP1FXn49lW982Su5QkJEA7Pb3EMmqSfwc3wAAAP__", "2 attachment(s)")</f>
        <v>2 attachment(s)</v>
      </c>
      <c r="Y1772" t="inlineStr">
        <is>
          <t>Bank Transfer</t>
        </is>
      </c>
      <c r="Z1772" t="inlineStr">
        <is>
          <t>Regner John R. Peneza</t>
        </is>
      </c>
      <c r="AA1772" t="inlineStr">
        <is>
          <t>109654013457</t>
        </is>
      </c>
      <c r="AB1772" t="inlineStr">
        <is>
          <t>Unionbank</t>
        </is>
      </c>
      <c r="AC1772" t="inlineStr">
        <is>
          <t>Bldg. 3 unit 102 Residencias De Manila, Pandacan</t>
        </is>
      </c>
      <c r="AD1772" s="4">
        <v>45708</v>
      </c>
      <c r="AE1772" t="inlineStr">
        <is>
          <t>1st Payment - Mar. 7, 2025
Final Payment - Mar. 21, 2025</t>
        </is>
      </c>
      <c r="AF1772" s="2"/>
      <c r="AG1772" t="inlineStr">
        <is>
          <t>NzQyNTk5MTgyNzQ4MTg3MDM0MTo5OTBFMjUwQS0xMjFBLTQwNUYtOEUwMi0yQ0NDOThGMjRGRDItMTowZDQyZjU1ZGQ0ODlhMjcwNTY4YzgwMzljZDgxNDcwZTox</t>
        </is>
      </c>
      <c r="AH1772" t="inlineStr">
        <is>
          <t>Regner John R. Peneza</t>
        </is>
      </c>
      <c r="AI1772"/>
      <c r="AJ1772" t="inlineStr">
        <is>
          <t>LIQUIDITY PLAN (PAR # 202502070052)
BROADCAST MANPOWER &gt; Highlights/Replay
Total Remaining Budget = Php 22,100.00
This request = Php 25,000.00
Balance = (Php 2,900.00) OVER BUDGET</t>
        </is>
      </c>
      <c r="AK1772"/>
    </row>
    <row r="1773" ht="25.5" customHeight="1">
      <c r="A1773" s="2" t="str">
        <f>=HYPERLINK("https://applink.larksuite.com/client/mini_program/open?appId=cli_9c7cc8a9a9edd105&amp;mode=appCenter&amp;path_pc=pc/pages/requested/index?instanceId=7586557499822624475&amp;source=bitable&amp;path=pages/detail/index?instanceId=7586557499822624475&amp;source=bitable", "202512220052")</f>
        <v>202512220052</v>
      </c>
      <c r="B1773" t="inlineStr">
        <is>
          <t>Approved</t>
        </is>
      </c>
      <c r="C1773" t="inlineStr">
        <is>
          <t>Procurement Order</t>
        </is>
      </c>
      <c r="D1773" s="3">
        <v>46013.581770833334</v>
      </c>
      <c r="E1773" s="3">
        <v>46029.78337962963</v>
      </c>
      <c r="F1773" t="inlineStr">
        <is>
          <t>Fatima Kathleen M. FLores</t>
        </is>
      </c>
      <c r="G1773" t="inlineStr">
        <is>
          <t>Procurement</t>
        </is>
      </c>
      <c r="H1773"/>
      <c r="I1773"/>
      <c r="J1773" t="inlineStr">
        <is>
          <t>GAE</t>
        </is>
      </c>
      <c r="K1773"/>
      <c r="L1773"/>
      <c r="M1773"/>
      <c r="N1773"/>
      <c r="O1773" t="inlineStr">
        <is>
          <t>202511280011-Jean Pauline Dela Luna Dela Luna-费用报销 - 副本 - 副本 - 副本-2025-11-28 03:05:29</t>
        </is>
      </c>
      <c r="P1773"/>
      <c r="Q1773" t="inlineStr">
        <is>
          <t>Mineski PH</t>
        </is>
      </c>
      <c r="R1773"/>
      <c r="S1773" t="inlineStr">
        <is>
          <t>Lease of Office Space (May 1, 2026 to Apr. 30, 2031)</t>
        </is>
      </c>
      <c r="T1773">
        <v>1</v>
      </c>
      <c r="U1773">
        <v>42761795.05</v>
      </c>
      <c r="V1773" t="inlineStr">
        <is>
          <t>PHP</t>
        </is>
      </c>
      <c r="W1773">
        <v>42761795.05</v>
      </c>
      <c r="X1773" s="2" t="str">
        <f>=HYPERLINK("https://www.larksuite.com/approval/admin/previewAttachment?key=PMgxrgIxDATQK42dsZ35l_kNqwgEqZB2K58diYL25TTkDBspUOaCdcXMiKI03dPJiva2KqGsGH3s9f84FXr5euLi3lef99s63hYqd9QgxwRgfz8fRVJK4uv4BAAA__8", "2 attachment(s)")</f>
        <v>2 attachment(s)</v>
      </c>
      <c r="Y1773" t="inlineStr">
        <is>
          <t>Bank Transfer</t>
        </is>
      </c>
      <c r="Z1773" t="inlineStr">
        <is>
          <t>Robinsons Land Corp.</t>
        </is>
      </c>
      <c r="AA1773" t="inlineStr">
        <is>
          <t>100-23-000-853-2</t>
        </is>
      </c>
      <c r="AB1773" t="inlineStr">
        <is>
          <t>Robinsons Bank Corporation</t>
        </is>
      </c>
      <c r="AC1773" t="inlineStr">
        <is>
          <t>25/F Cyberscape Alpha, Sapphire and Garnet Roads, Ortigas Center, Pasig City</t>
        </is>
      </c>
      <c r="AD1773" s="4">
        <v>46017</v>
      </c>
      <c r="AE1773" t="inlineStr">
        <is>
          <t>Lease of Office Space - Quarterly Payment
Management Dues - Monthly Payment
Advance Deposit and Security Deposit - One time payment
Reservation Fee - One time payment</t>
        </is>
      </c>
      <c r="AF1773" s="2"/>
      <c r="AG1773" t="inlineStr">
        <is>
          <t>NzQyNTk5MTgyNzQ4MTg3MDM0MTozOTVENTYwQi1BQjBFLTRGOTYtOThBQS0xRERDNTg4NThEQzYtMTozMTJiMTQyOTI0NDc2ZWViOWNjZmNmMmNiMGI2NjUzMjox</t>
        </is>
      </c>
      <c r="AH1773" t="inlineStr">
        <is>
          <t>Robinsons Land Corp.</t>
        </is>
      </c>
      <c r="AI1773"/>
      <c r="AJ1773"/>
      <c r="AK1773"/>
    </row>
    <row r="1774" ht="25.5" customHeight="1">
      <c r="A1774" s="2" t="str">
        <f>=HYPERLINK("https://applink.larksuite.com/client/mini_program/open?appId=cli_9c7cc8a9a9edd105&amp;mode=appCenter&amp;path_pc=pc/pages/requested/index?instanceId=7586557499822624475&amp;source=bitable&amp;path=pages/detail/index?instanceId=7586557499822624475&amp;source=bitable", "202512220052")</f>
        <v>202512220052</v>
      </c>
      <c r="B1774" t="inlineStr">
        <is>
          <t>Approved</t>
        </is>
      </c>
      <c r="C1774" t="inlineStr">
        <is>
          <t>Procurement Order</t>
        </is>
      </c>
      <c r="D1774" s="3">
        <v>46013.581770833334</v>
      </c>
      <c r="E1774" s="3">
        <v>46029.78337962963</v>
      </c>
      <c r="F1774" t="inlineStr">
        <is>
          <t>Fatima Kathleen M. FLores</t>
        </is>
      </c>
      <c r="G1774" t="inlineStr">
        <is>
          <t>Procurement</t>
        </is>
      </c>
      <c r="H1774"/>
      <c r="I1774"/>
      <c r="J1774" t="inlineStr">
        <is>
          <t>GAE</t>
        </is>
      </c>
      <c r="K1774"/>
      <c r="L1774"/>
      <c r="M1774"/>
      <c r="N1774"/>
      <c r="O1774" t="inlineStr">
        <is>
          <t>202511280011-Jean Pauline Dela Luna Dela Luna-费用报销 - 副本 - 副本 - 副本-2025-11-28 03:05:29</t>
        </is>
      </c>
      <c r="P1774"/>
      <c r="Q1774" t="inlineStr">
        <is>
          <t>Mineski PH</t>
        </is>
      </c>
      <c r="R1774"/>
      <c r="S1774" t="inlineStr">
        <is>
          <t>Management Dues (Dec. 1, 2025 to Aprl 30, 2031)</t>
        </is>
      </c>
      <c r="T1774">
        <v>65</v>
      </c>
      <c r="U1774">
        <v>244069</v>
      </c>
      <c r="V1774" t="inlineStr">
        <is>
          <t>PHP</t>
        </is>
      </c>
      <c r="W1774">
        <v>15864485</v>
      </c>
      <c r="X1774" s="2"/>
      <c r="Y1774"/>
      <c r="Z1774"/>
      <c r="AA1774"/>
      <c r="AB1774"/>
      <c r="AC1774"/>
      <c r="AD1774" s="4"/>
      <c r="AE1774"/>
      <c r="AF1774" s="2"/>
      <c r="AG1774" t="inlineStr">
        <is>
          <t>NzQyNTk5MTgyNzQ4MTg3MDM0MTozOTVENTYwQi1BQjBFLTRGOTYtOThBQS0xRERDNTg4NThEQzYtMjo2Yzg2ODI5MTA0M2ExZjgwMzljY2ZiMTIwZGQ4ZDU1NDox</t>
        </is>
      </c>
      <c r="AH1774"/>
      <c r="AI1774"/>
      <c r="AJ1774"/>
      <c r="AK1774"/>
    </row>
    <row r="1775" ht="25.5" customHeight="1">
      <c r="A1775" s="2" t="str">
        <f>=HYPERLINK("https://applink.larksuite.com/client/mini_program/open?appId=cli_9c7cc8a9a9edd105&amp;mode=appCenter&amp;path_pc=pc/pages/requested/index?instanceId=7586557499822624475&amp;source=bitable&amp;path=pages/detail/index?instanceId=7586557499822624475&amp;source=bitable", "202512220052")</f>
        <v>202512220052</v>
      </c>
      <c r="B1775" t="inlineStr">
        <is>
          <t>Approved</t>
        </is>
      </c>
      <c r="C1775" t="inlineStr">
        <is>
          <t>Procurement Order</t>
        </is>
      </c>
      <c r="D1775" s="3">
        <v>46013.581770833334</v>
      </c>
      <c r="E1775" s="3">
        <v>46029.78337962963</v>
      </c>
      <c r="F1775" t="inlineStr">
        <is>
          <t>Fatima Kathleen M. FLores</t>
        </is>
      </c>
      <c r="G1775" t="inlineStr">
        <is>
          <t>Procurement</t>
        </is>
      </c>
      <c r="H1775"/>
      <c r="I1775"/>
      <c r="J1775" t="inlineStr">
        <is>
          <t>GAE</t>
        </is>
      </c>
      <c r="K1775"/>
      <c r="L1775"/>
      <c r="M1775"/>
      <c r="N1775"/>
      <c r="O1775" t="inlineStr">
        <is>
          <t>202511280011-Jean Pauline Dela Luna Dela Luna-费用报销 - 副本 - 副本 - 副本-2025-11-28 03:05:29</t>
        </is>
      </c>
      <c r="P1775"/>
      <c r="Q1775" t="inlineStr">
        <is>
          <t>Mineski PH</t>
        </is>
      </c>
      <c r="R1775"/>
      <c r="S1775" t="inlineStr">
        <is>
          <t>Documentary Stamp Tax and Other Taxes (Dec. 1, 2025 to Apr. 30, 2031)</t>
        </is>
      </c>
      <c r="T1775">
        <v>1</v>
      </c>
      <c r="U1775">
        <v>76362.35</v>
      </c>
      <c r="V1775" t="inlineStr">
        <is>
          <t>PHP</t>
        </is>
      </c>
      <c r="W1775">
        <v>76362.35</v>
      </c>
      <c r="X1775" s="2" t="str">
        <f>=HYPERLINK("https://www.larksuite.com/approval/admin/previewAttachment?key=PMgxrgIxDATQK9nO2JP5l_kNqwgEqZB2K58diYL21XSrmT5KBnnIvJmzMglpRlQAzI52UkYnso-9_h-nUq9YT7uw99Xn_baOt6cYYRzAmGbmfz8fBCAV7OvxCQAA__8", "1 attachment(s)")</f>
        <v>1 attachment(s)</v>
      </c>
      <c r="Y1775"/>
      <c r="Z1775"/>
      <c r="AA1775"/>
      <c r="AB1775"/>
      <c r="AC1775"/>
      <c r="AD1775" s="4"/>
      <c r="AE1775"/>
      <c r="AF1775" s="2"/>
      <c r="AG1775" t="inlineStr">
        <is>
          <t>NzQyNTk5MTgyNzQ4MTg3MDM0MTozOTVENTYwQi1BQjBFLTRGOTYtOThBQS0xRERDNTg4NThEQzYtMzpkNzViY2Y1MzFjMzMwMjhhMmY0YmY0MWJhNWZlNTE5MTox</t>
        </is>
      </c>
      <c r="AH1775"/>
      <c r="AI1775"/>
      <c r="AJ1775"/>
      <c r="AK1775"/>
    </row>
    <row r="1776" ht="25.5" customHeight="1">
      <c r="A1776" s="2" t="str">
        <f>=HYPERLINK("https://applink.larksuite.com/client/mini_program/open?appId=cli_9c7cc8a9a9edd105&amp;mode=appCenter&amp;path_pc=pc/pages/requested/index?instanceId=7586557499822624475&amp;source=bitable&amp;path=pages/detail/index?instanceId=7586557499822624475&amp;source=bitable", "202512220052")</f>
        <v>202512220052</v>
      </c>
      <c r="B1776" t="inlineStr">
        <is>
          <t>Approved</t>
        </is>
      </c>
      <c r="C1776" t="inlineStr">
        <is>
          <t>Procurement Order</t>
        </is>
      </c>
      <c r="D1776" s="3">
        <v>46013.581770833334</v>
      </c>
      <c r="E1776" s="3">
        <v>46029.78337962963</v>
      </c>
      <c r="F1776" t="inlineStr">
        <is>
          <t>Fatima Kathleen M. FLores</t>
        </is>
      </c>
      <c r="G1776" t="inlineStr">
        <is>
          <t>Procurement</t>
        </is>
      </c>
      <c r="H1776"/>
      <c r="I1776"/>
      <c r="J1776" t="inlineStr">
        <is>
          <t>GAE</t>
        </is>
      </c>
      <c r="K1776"/>
      <c r="L1776"/>
      <c r="M1776"/>
      <c r="N1776"/>
      <c r="O1776" t="inlineStr">
        <is>
          <t>202511280011-Jean Pauline Dela Luna Dela Luna-费用报销 - 副本 - 副本 - 副本-2025-11-28 03:05:29</t>
        </is>
      </c>
      <c r="P1776"/>
      <c r="Q1776" t="inlineStr">
        <is>
          <t>Mineski PH</t>
        </is>
      </c>
      <c r="R1776"/>
      <c r="S1776" t="inlineStr">
        <is>
          <t>Construction Bond</t>
        </is>
      </c>
      <c r="T1776">
        <v>1</v>
      </c>
      <c r="U1776">
        <v>684887.5</v>
      </c>
      <c r="V1776" t="inlineStr">
        <is>
          <t>PHP</t>
        </is>
      </c>
      <c r="W1776">
        <v>684887.5</v>
      </c>
      <c r="X1776" s="2"/>
      <c r="Y1776"/>
      <c r="Z1776"/>
      <c r="AA1776"/>
      <c r="AB1776"/>
      <c r="AC1776"/>
      <c r="AD1776" s="4"/>
      <c r="AE1776"/>
      <c r="AF1776" s="2"/>
      <c r="AG1776" t="inlineStr">
        <is>
          <t>NzQyNTk5MTgyNzQ4MTg3MDM0MTozOTVENTYwQi1BQjBFLTRGOTYtOThBQS0xRERDNTg4NThEQzYtNDo2ZWUzYjQ2Y2ZjYzk2ZGEzMmEyMmFiYmUyYTA3NjY5Mjox</t>
        </is>
      </c>
      <c r="AH1776"/>
      <c r="AI1776"/>
      <c r="AJ1776"/>
      <c r="AK1776"/>
    </row>
    <row r="1777" ht="25.5" customHeight="1">
      <c r="A1777" s="2" t="str">
        <f>=HYPERLINK("https://applink.larksuite.com/client/mini_program/open?appId=cli_9c7cc8a9a9edd105&amp;mode=appCenter&amp;path_pc=pc/pages/requested/index?instanceId=7586557499822624475&amp;source=bitable&amp;path=pages/detail/index?instanceId=7586557499822624475&amp;source=bitable", "202512220052")</f>
        <v>202512220052</v>
      </c>
      <c r="B1777" t="inlineStr">
        <is>
          <t>Approved</t>
        </is>
      </c>
      <c r="C1777" t="inlineStr">
        <is>
          <t>Procurement Order</t>
        </is>
      </c>
      <c r="D1777" s="3">
        <v>46013.581770833334</v>
      </c>
      <c r="E1777" s="3">
        <v>46029.78337962963</v>
      </c>
      <c r="F1777" t="inlineStr">
        <is>
          <t>Fatima Kathleen M. FLores</t>
        </is>
      </c>
      <c r="G1777" t="inlineStr">
        <is>
          <t>Procurement</t>
        </is>
      </c>
      <c r="H1777"/>
      <c r="I1777"/>
      <c r="J1777" t="inlineStr">
        <is>
          <t>GAE</t>
        </is>
      </c>
      <c r="K1777"/>
      <c r="L1777"/>
      <c r="M1777"/>
      <c r="N1777"/>
      <c r="O1777" t="inlineStr">
        <is>
          <t>202511280011-Jean Pauline Dela Luna Dela Luna-费用报销 - 副本 - 副本 - 副本-2025-11-28 03:05:29</t>
        </is>
      </c>
      <c r="P1777"/>
      <c r="Q1777" t="inlineStr">
        <is>
          <t>Mineski PH</t>
        </is>
      </c>
      <c r="R1777"/>
      <c r="S1777" t="inlineStr">
        <is>
          <t>Security Deposit (for first 3 months - VAT Exempt)</t>
        </is>
      </c>
      <c r="T1777">
        <v>1</v>
      </c>
      <c r="U1777">
        <v>2054662.5</v>
      </c>
      <c r="V1777" t="inlineStr">
        <is>
          <t>PHP</t>
        </is>
      </c>
      <c r="W1777">
        <v>2054662.5</v>
      </c>
      <c r="X1777" s="2" t="str">
        <f>=HYPERLINK("https://www.larksuite.com/approval/admin/previewAttachment?key=PMgxrgIxDATQK9nO2JP5l_kNqwgEqZB2K58diYL21XSrmT5KBnnIvJmzMglpRlQAzI52UkYnso-9_h-nUq9YT7uw99Xn_baOt6cYYRzAmGbmfz8fBCAV7Ov4BAAA__8", "1 attachment(s)")</f>
        <v>1 attachment(s)</v>
      </c>
      <c r="Y1777"/>
      <c r="Z1777"/>
      <c r="AA1777"/>
      <c r="AB1777"/>
      <c r="AC1777"/>
      <c r="AD1777" s="4"/>
      <c r="AE1777"/>
      <c r="AF1777" s="2"/>
      <c r="AG1777" t="inlineStr">
        <is>
          <t>NzQyNTk5MTgyNzQ4MTg3MDM0MTozOTVENTYwQi1BQjBFLTRGOTYtOThBQS0xRERDNTg4NThEQzYtNTowYzI4MzRiNzE3ZGNmYWYwNmNjMTA1ZmNhZDkyMTAyMjox</t>
        </is>
      </c>
      <c r="AH1777"/>
      <c r="AI1777"/>
      <c r="AJ1777"/>
      <c r="AK1777"/>
    </row>
    <row r="1778" ht="25.5" customHeight="1">
      <c r="A1778" s="2" t="str">
        <f>=HYPERLINK("https://applink.larksuite.com/client/mini_program/open?appId=cli_9c7cc8a9a9edd105&amp;mode=appCenter&amp;path_pc=pc/pages/requested/index?instanceId=7586557499822624475&amp;source=bitable&amp;path=pages/detail/index?instanceId=7586557499822624475&amp;source=bitable", "202512220052")</f>
        <v>202512220052</v>
      </c>
      <c r="B1778" t="inlineStr">
        <is>
          <t>Approved</t>
        </is>
      </c>
      <c r="C1778" t="inlineStr">
        <is>
          <t>Procurement Order</t>
        </is>
      </c>
      <c r="D1778" s="3">
        <v>46013.581770833334</v>
      </c>
      <c r="E1778" s="3">
        <v>46029.78337962963</v>
      </c>
      <c r="F1778" t="inlineStr">
        <is>
          <t>Fatima Kathleen M. FLores</t>
        </is>
      </c>
      <c r="G1778" t="inlineStr">
        <is>
          <t>Procurement</t>
        </is>
      </c>
      <c r="H1778"/>
      <c r="I1778"/>
      <c r="J1778" t="inlineStr">
        <is>
          <t>GAE</t>
        </is>
      </c>
      <c r="K1778"/>
      <c r="L1778"/>
      <c r="M1778"/>
      <c r="N1778"/>
      <c r="O1778" t="inlineStr">
        <is>
          <t>202511280011-Jean Pauline Dela Luna Dela Luna-费用报销 - 副本 - 副本 - 副本-2025-11-28 03:05:29</t>
        </is>
      </c>
      <c r="P1778"/>
      <c r="Q1778" t="inlineStr">
        <is>
          <t>Mineski PH</t>
        </is>
      </c>
      <c r="R1778"/>
      <c r="S1778" t="inlineStr">
        <is>
          <t>Evaluation Fees</t>
        </is>
      </c>
      <c r="T1778">
        <v>1</v>
      </c>
      <c r="U1778">
        <v>104601</v>
      </c>
      <c r="V1778" t="inlineStr">
        <is>
          <t>PHP</t>
        </is>
      </c>
      <c r="W1778">
        <v>104601</v>
      </c>
      <c r="X1778" s="2"/>
      <c r="Y1778"/>
      <c r="Z1778"/>
      <c r="AA1778"/>
      <c r="AB1778"/>
      <c r="AC1778"/>
      <c r="AD1778" s="4"/>
      <c r="AE1778"/>
      <c r="AF1778" s="2"/>
      <c r="AG1778" t="inlineStr">
        <is>
          <t>NzQyNTk5MTgyNzQ4MTg3MDM0MTozOTVENTYwQi1BQjBFLTRGOTYtOThBQS0xRERDNTg4NThEQzYtNjoyZTgyZWI4YTFjNWUwN2ViNTI4YmYxOGViMmRmYzllYzox</t>
        </is>
      </c>
      <c r="AH1778"/>
      <c r="AI1778"/>
      <c r="AJ1778"/>
      <c r="AK1778"/>
    </row>
    <row r="1779" ht="25.5" customHeight="1">
      <c r="A1779" s="2" t="str">
        <f>=HYPERLINK("https://applink.larksuite.com/client/mini_program/open?appId=cli_9c7cc8a9a9edd105&amp;mode=appCenter&amp;path_pc=pc/pages/requested/index?instanceId=7586567207144951521&amp;source=bitable&amp;path=pages/detail/index?instanceId=7586567207144951521&amp;source=bitable", "202512220064")</f>
        <v>202512220064</v>
      </c>
      <c r="B1779" t="inlineStr">
        <is>
          <t>Approved</t>
        </is>
      </c>
      <c r="C1779" t="inlineStr">
        <is>
          <t>Procurement Order</t>
        </is>
      </c>
      <c r="D1779" s="3">
        <v>46013.607939814814</v>
      </c>
      <c r="E1779" s="3">
        <v>46024.71052083333</v>
      </c>
      <c r="F1779" t="inlineStr">
        <is>
          <t>Fatima Kathleen M. FLores</t>
        </is>
      </c>
      <c r="G1779" t="inlineStr">
        <is>
          <t>Procurement</t>
        </is>
      </c>
      <c r="H1779"/>
      <c r="I1779"/>
      <c r="J1779" t="inlineStr">
        <is>
          <t>GAE</t>
        </is>
      </c>
      <c r="K1779"/>
      <c r="L1779"/>
      <c r="M1779"/>
      <c r="N1779"/>
      <c r="O1779" t="inlineStr">
        <is>
          <t>202512150061-Madelyn Espanto-费用报销 - 副本 - 副本 - 副本-2025-12-15 04:48:46</t>
        </is>
      </c>
      <c r="P1779"/>
      <c r="Q1779" t="inlineStr">
        <is>
          <t>Mineski PH</t>
        </is>
      </c>
      <c r="R1779"/>
      <c r="S1779" t="inlineStr">
        <is>
          <t>Various Items (for raffle prize)</t>
        </is>
      </c>
      <c r="T1779">
        <v>1</v>
      </c>
      <c r="U1779">
        <v>44000</v>
      </c>
      <c r="V1779" t="inlineStr">
        <is>
          <t>PHP</t>
        </is>
      </c>
      <c r="W1779">
        <v>44000</v>
      </c>
      <c r="X1779" s="2" t="str">
        <f>=HYPERLINK("https://www.larksuite.com/approval/admin/previewAttachment?key=PMhBqgJBDATQK1Wlk1TnX-ZvHBpHaDeCzCZnF1y4fTmJnMGRBS9aga2YGSmD6F7BMLY1pYIozz72-r8e5z7HVYF4rrX7fb-t48UomUHDfUwA_Pv5kLtXpePr-AQAAP__", "3 attachment(s)")</f>
        <v>3 attachment(s)</v>
      </c>
      <c r="Y1779" t="inlineStr">
        <is>
          <t>Bank Transfer</t>
        </is>
      </c>
      <c r="Z1779" t="inlineStr">
        <is>
          <t>APEX FRANCHISE VENTURES OPC.</t>
        </is>
      </c>
      <c r="AA1779" t="inlineStr">
        <is>
          <t>001405064050016</t>
        </is>
      </c>
      <c r="AB1779" t="inlineStr">
        <is>
          <t>Philippine Business Bank</t>
        </is>
      </c>
      <c r="AC1779" t="inlineStr">
        <is>
          <t>Santolan Town Plaza, San Juan City</t>
        </is>
      </c>
      <c r="AD1779" s="4">
        <v>46009</v>
      </c>
      <c r="AE1779" t="inlineStr">
        <is>
          <t>100% Full Payment</t>
        </is>
      </c>
      <c r="AF1779" s="2"/>
      <c r="AG1779" t="inlineStr">
        <is>
          <t>NzQyNTk5MTgyNzQ4MTg3MDM0MTo4Q0M1MkEzOS0wMkIzLTQwNDUtOTBEQi02MkZDMUM5RDlGN0YtMTpiMjVjNjcyNjA3OTUzODc5ZTc1OTA3NDZjZWUzMWViNjox</t>
        </is>
      </c>
      <c r="AH1779" t="inlineStr">
        <is>
          <t>APEX FRANCHISE VENTURES OPC.</t>
        </is>
      </c>
      <c r="AI1779"/>
      <c r="AJ1779"/>
      <c r="AK1779"/>
    </row>
    <row r="1780" ht="25.5" customHeight="1">
      <c r="A1780" s="2" t="str">
        <f>=HYPERLINK("https://applink.larksuite.com/client/mini_program/open?appId=cli_9c7cc8a9a9edd105&amp;mode=appCenter&amp;path_pc=pc/pages/requested/index?instanceId=7586568954559074014&amp;source=bitable&amp;path=pages/detail/index?instanceId=7586568954559074014&amp;source=bitable", "202512220068")</f>
        <v>202512220068</v>
      </c>
      <c r="B1780" t="inlineStr">
        <is>
          <t>Approved</t>
        </is>
      </c>
      <c r="C1780" t="inlineStr">
        <is>
          <t>Procurement Order</t>
        </is>
      </c>
      <c r="D1780" s="3">
        <v>46013.61263888889</v>
      </c>
      <c r="E1780" s="3">
        <v>46027.7733912037</v>
      </c>
      <c r="F1780" t="inlineStr">
        <is>
          <t>Fatima Kathleen M. FLores</t>
        </is>
      </c>
      <c r="G1780" t="inlineStr">
        <is>
          <t>Procurement</t>
        </is>
      </c>
      <c r="H1780"/>
      <c r="I1780"/>
      <c r="J1780" t="inlineStr">
        <is>
          <t>Project</t>
        </is>
      </c>
      <c r="K1780" t="inlineStr">
        <is>
          <t>GG - Event Service</t>
        </is>
      </c>
      <c r="L1780" t="inlineStr">
        <is>
          <t>HOK KIC OOH</t>
        </is>
      </c>
      <c r="M1780" t="inlineStr">
        <is>
          <t>2025TEG-P0286</t>
        </is>
      </c>
      <c r="N1780" t="inlineStr">
        <is>
          <t>Carla Andrea Calma Crespo</t>
        </is>
      </c>
      <c r="O1780" t="inlineStr">
        <is>
          <t>202512130014-Carla Andrea Calma Crespo-费用报销 - 副本 - 副本 - 副本-2025-12-13 08:17:32</t>
        </is>
      </c>
      <c r="P1780" t="inlineStr">
        <is>
          <t>YES</t>
        </is>
      </c>
      <c r="Q1780"/>
      <c r="R1780" t="inlineStr">
        <is>
          <t>NO</t>
        </is>
      </c>
      <c r="S1780" t="inlineStr">
        <is>
          <t>Outsourced Permit Facilitator</t>
        </is>
      </c>
      <c r="T1780">
        <v>1</v>
      </c>
      <c r="U1780">
        <v>4880</v>
      </c>
      <c r="V1780" t="inlineStr">
        <is>
          <t>PHP</t>
        </is>
      </c>
      <c r="W1780">
        <v>4880</v>
      </c>
      <c r="X1780" s="2" t="str">
        <f>=HYPERLINK("https://www.larksuite.com/approval/admin/previewAttachment?key=PMgxDkIxDAPQK9mNk9RchoWvLxiYkChLz47EwPpqEjWTUYbMYXB3zsqaTmUaLVB7bHYbzVbt43leEeuz5MdaycHY7_vtPF5M9xjokGIC4OXv0ZLsEn6ObwAAAP__", "2 attachment(s)")</f>
        <v>2 attachment(s)</v>
      </c>
      <c r="Y1780" t="inlineStr">
        <is>
          <t>Bank Transfer</t>
        </is>
      </c>
      <c r="Z1780" t="inlineStr">
        <is>
          <t>Angelo M. Conwi</t>
        </is>
      </c>
      <c r="AA1780" t="inlineStr">
        <is>
          <t>4169 2194 06</t>
        </is>
      </c>
      <c r="AB1780" t="inlineStr">
        <is>
          <t>BPI</t>
        </is>
      </c>
      <c r="AC1780" t="inlineStr">
        <is>
          <t>Kai Garden Residences, M. Vicente Street, Brgy. Malamig, Mandaluyong City</t>
        </is>
      </c>
      <c r="AD1780" s="4">
        <v>45962</v>
      </c>
      <c r="AE1780" t="inlineStr">
        <is>
          <t>100% Full Payment - Jan. 9, 2026</t>
        </is>
      </c>
      <c r="AF1780" s="2"/>
      <c r="AG1780" t="inlineStr">
        <is>
          <t>NzQyNTk5MTgyNzQ4MTg3MDM0MTo1RUU1RjkyRC0wNkE1LTQ3QzktQkY2MS0zMzFEOUZBM0MwQjUtMTozNTFmMjZlN2U4ZGY2MDgzNTllYjgzOWFmMzg2MzdjZTox</t>
        </is>
      </c>
      <c r="AH1780" t="inlineStr">
        <is>
          <t>Angelo M. Conwi</t>
        </is>
      </c>
      <c r="AI1780"/>
      <c r="AJ1780" t="inlineStr">
        <is>
          <t>LIQUIDITY PLAN (PAR # 202511070034 / 2025TEG-P0286)
Permit &gt; ASC Permit Taxi Ads
Total Budget = Php 5,230.00
Actual Cost = Php 4,880.00
Balance = Php 350.00</t>
        </is>
      </c>
      <c r="AK1780"/>
    </row>
    <row r="1781" ht="25.5" customHeight="1">
      <c r="A1781" s="2" t="str">
        <f>=HYPERLINK("https://applink.larksuite.com/client/mini_program/open?appId=cli_9c7cc8a9a9edd105&amp;mode=appCenter&amp;path_pc=pc/pages/requested/index?instanceId=7586573133658803932&amp;source=bitable&amp;path=pages/detail/index?instanceId=7586573133658803932&amp;source=bitable", "202512220073")</f>
        <v>202512220073</v>
      </c>
      <c r="B1781" t="inlineStr">
        <is>
          <t>Approved</t>
        </is>
      </c>
      <c r="C1781" t="inlineStr">
        <is>
          <t>Procurement Order</t>
        </is>
      </c>
      <c r="D1781" s="3">
        <v>46013.62391203704</v>
      </c>
      <c r="E1781" s="3">
        <v>46028.67957175926</v>
      </c>
      <c r="F1781" t="inlineStr">
        <is>
          <t>Fatima Kathleen M. FLores</t>
        </is>
      </c>
      <c r="G1781" t="inlineStr">
        <is>
          <t>Procurement</t>
        </is>
      </c>
      <c r="H1781"/>
      <c r="I1781"/>
      <c r="J1781" t="inlineStr">
        <is>
          <t>Project</t>
        </is>
      </c>
      <c r="K1781" t="inlineStr">
        <is>
          <t>PDEI - Slash</t>
        </is>
      </c>
      <c r="L1781" t="inlineStr">
        <is>
          <t>PEZA 30TH INVESTOR'S NIGHT</t>
        </is>
      </c>
      <c r="M1781" t="inlineStr">
        <is>
          <t>2025TEG-P0339</t>
        </is>
      </c>
      <c r="N1781" t="inlineStr">
        <is>
          <t>Arvin Evangelista Dela Cruz</t>
        </is>
      </c>
      <c r="O1781" t="inlineStr">
        <is>
          <t>202512160027-Arvin Evangelista Dela Cruz-费用报销 - 副本 - 副本 - 副本-2025-12-16 04:09:19</t>
        </is>
      </c>
      <c r="P1781" t="inlineStr">
        <is>
          <t>YES</t>
        </is>
      </c>
      <c r="Q1781"/>
      <c r="R1781" t="inlineStr">
        <is>
          <t>NO</t>
        </is>
      </c>
      <c r="S1781" t="inlineStr">
        <is>
          <t>Outsourced Technical Support</t>
        </is>
      </c>
      <c r="T1781">
        <v>1</v>
      </c>
      <c r="U1781">
        <v>5400</v>
      </c>
      <c r="V1781" t="inlineStr">
        <is>
          <t>PHP</t>
        </is>
      </c>
      <c r="W1781">
        <v>5400</v>
      </c>
      <c r="X1781" s="2" t="str">
        <f>=HYPERLINK("https://www.larksuite.com/approval/admin/previewAttachment?key=PMgxCgJRDATQK03-JJnEy9i4LCoIgihskbMLFrYvy5AVxmx422rYKCpDNDKjCmyuWWNSQybP2R77uTyOiOP25Lvvh-Zzvezby6K1FkR3FgA7_Z1y9-50_BzfAAAA__8", "2 attachment(s)")</f>
        <v>2 attachment(s)</v>
      </c>
      <c r="Y1781" t="inlineStr">
        <is>
          <t>Bank Transfer</t>
        </is>
      </c>
      <c r="Z1781" t="inlineStr">
        <is>
          <t>Zia Nicole Reyes</t>
        </is>
      </c>
      <c r="AA1781" t="inlineStr">
        <is>
          <t>09497885868</t>
        </is>
      </c>
      <c r="AB1781" t="inlineStr">
        <is>
          <t>GCash</t>
        </is>
      </c>
      <c r="AC1781" t="inlineStr">
        <is>
          <t>Little Pampanga St. Brgy. Balangkas, Valenzuela City</t>
        </is>
      </c>
      <c r="AD1781" s="4">
        <v>46006</v>
      </c>
      <c r="AE1781" t="inlineStr">
        <is>
          <t>100% Full Payment - Jan. 9, 2026</t>
        </is>
      </c>
      <c r="AF1781" s="2"/>
      <c r="AG1781" t="inlineStr">
        <is>
          <t>NzQyNTk5MTgyNzQ4MTg3MDM0MToxMTM0QUQ4MC02NDE2LTRBRkEtOTY2Ny1ENTg3OUM5RDM3NkEtMTpkODhiNGU3ZTgzNmM5ZjQ1NTAyZWMyMWUzNGE0OGIyZjox</t>
        </is>
      </c>
      <c r="AH1781" t="inlineStr">
        <is>
          <t>Zia Nicole Reyes</t>
        </is>
      </c>
      <c r="AI1781"/>
      <c r="AJ1781" t="inlineStr">
        <is>
          <t>LIQUIDITY PLAN (PAR # 202512110052 / 2025TEG-P0339)
Outsource Tech Support
Total Bugdet = Php 5,400.00
Actual Cost = Php 5,400.00</t>
        </is>
      </c>
      <c r="AK1781"/>
    </row>
    <row r="1782" ht="25.5" customHeight="1">
      <c r="A1782" s="2" t="str">
        <f>=HYPERLINK("https://applink.larksuite.com/client/mini_program/open?appId=cli_9c7cc8a9a9edd105&amp;mode=appCenter&amp;path_pc=pc/pages/requested/index?instanceId=7586580745344077533&amp;source=bitable&amp;path=pages/detail/index?instanceId=7586580745344077533&amp;source=bitable", "202512220079")</f>
        <v>202512220079</v>
      </c>
      <c r="B1782" t="inlineStr">
        <is>
          <t>Approved</t>
        </is>
      </c>
      <c r="C1782" t="inlineStr">
        <is>
          <t>Procurement Order</t>
        </is>
      </c>
      <c r="D1782" s="3">
        <v>46013.644421296296</v>
      </c>
      <c r="E1782" s="3">
        <v>46027.779861111114</v>
      </c>
      <c r="F1782" t="inlineStr">
        <is>
          <t>Fatima Kathleen M. FLores</t>
        </is>
      </c>
      <c r="G1782" t="inlineStr">
        <is>
          <t>Procurement</t>
        </is>
      </c>
      <c r="H1782"/>
      <c r="I1782"/>
      <c r="J1782" t="inlineStr">
        <is>
          <t>Project</t>
        </is>
      </c>
      <c r="K1782" t="inlineStr">
        <is>
          <t>GG - Event Service</t>
        </is>
      </c>
      <c r="L1782" t="inlineStr">
        <is>
          <t>CFL Southeast Asia Games - Addendum</t>
        </is>
      </c>
      <c r="M1782" t="inlineStr">
        <is>
          <t>2025TEG-P0344</t>
        </is>
      </c>
      <c r="N1782" t="inlineStr">
        <is>
          <t>Vincent Bryan Velasco Tan</t>
        </is>
      </c>
      <c r="O1782" t="inlineStr">
        <is>
          <t>202512080039-Vincent Bryan Velasco Tan-费用报销 - 副本 - 副本 - 副本-2025-12-08 07:20:25</t>
        </is>
      </c>
      <c r="P1782" t="inlineStr">
        <is>
          <t>YES</t>
        </is>
      </c>
      <c r="Q1782"/>
      <c r="R1782" t="inlineStr">
        <is>
          <t>NO</t>
        </is>
      </c>
      <c r="S1782" t="inlineStr">
        <is>
          <t>Outsourced Talent / Caster (Mochii)</t>
        </is>
      </c>
      <c r="T1782">
        <v>1</v>
      </c>
      <c r="U1782">
        <v>16000</v>
      </c>
      <c r="V1782" t="inlineStr">
        <is>
          <t>PHP</t>
        </is>
      </c>
      <c r="W1782">
        <v>16000</v>
      </c>
      <c r="X1782" s="2" t="str">
        <f>=HYPERLINK("https://www.larksuite.com/approval/admin/previewAttachment?key=PMgxCkJBDATQK002k8zGy9j4WURcG0H4Rc4uWNi-nIacYZ4Flo2CtWJmTIjhJKRw79EmFWRi9rHXtR6nnWM_ueJ17OjP_baOt0VpDMhJnwDs8ncXyaokfo5vAAAA__8", "2 attachment(s)")</f>
        <v>2 attachment(s)</v>
      </c>
      <c r="Y1782" t="inlineStr">
        <is>
          <t>Bank Transfer</t>
        </is>
      </c>
      <c r="Z1782" t="inlineStr">
        <is>
          <t>Michaella Gonzales</t>
        </is>
      </c>
      <c r="AA1782" t="inlineStr">
        <is>
          <t>0000048732838</t>
        </is>
      </c>
      <c r="AB1782" t="inlineStr">
        <is>
          <t>Security Bank</t>
        </is>
      </c>
      <c r="AC1782" t="inlineStr">
        <is>
          <t>1273 Carnation Street, Brgy. Malinta, Valenzuela City</t>
        </is>
      </c>
      <c r="AD1782" s="4">
        <v>46006</v>
      </c>
      <c r="AE1782" t="inlineStr">
        <is>
          <t>100% Full Payment - Jan. 9, 2026</t>
        </is>
      </c>
      <c r="AF1782" s="2"/>
      <c r="AG1782" t="inlineStr">
        <is>
          <t>NzQyNTk5MTgyNzQ4MTg3MDM0MTpCNDNEM0RFRC1BMTFBLTQzMkYtQjQwMS0zNDI2RTE2NEM3ODMtMTo1NjU0ZTFlMGEwMDI3N2MwODcyMjU5MDkwYjlkZGE3Nzox</t>
        </is>
      </c>
      <c r="AH1782" t="inlineStr">
        <is>
          <t>Michaella Gonzales</t>
        </is>
      </c>
      <c r="AI1782"/>
      <c r="AJ1782" t="inlineStr">
        <is>
          <t>LIQUIDITY PLAN (PAR # 202512160101 / 2025TEG-P0344)
Addendum (Talents &amp; TH Translator) TAB &gt; Talents and other particulars &gt;
Mochii (Caster)
Total Budget = Php 16,000.00
Actual Cost = Php 16,000.00</t>
        </is>
      </c>
      <c r="AK1782"/>
    </row>
    <row r="1783" ht="25.5" customHeight="1">
      <c r="A1783" s="2" t="str">
        <f>=HYPERLINK("https://applink.larksuite.com/client/mini_program/open?appId=cli_9c7cc8a9a9edd105&amp;mode=appCenter&amp;path_pc=pc/pages/requested/index?instanceId=7586581414083038946&amp;source=bitable&amp;path=pages/detail/index?instanceId=7586581414083038946&amp;source=bitable", "202512220080")</f>
        <v>202512220080</v>
      </c>
      <c r="B1783" t="inlineStr">
        <is>
          <t>Approved</t>
        </is>
      </c>
      <c r="C1783" t="inlineStr">
        <is>
          <t>Procurement Order</t>
        </is>
      </c>
      <c r="D1783" s="3">
        <v>46013.646215277775</v>
      </c>
      <c r="E1783" s="3">
        <v>46027.779340277775</v>
      </c>
      <c r="F1783" t="inlineStr">
        <is>
          <t>Fatima Kathleen M. FLores</t>
        </is>
      </c>
      <c r="G1783" t="inlineStr">
        <is>
          <t>Procurement</t>
        </is>
      </c>
      <c r="H1783"/>
      <c r="I1783"/>
      <c r="J1783" t="inlineStr">
        <is>
          <t>Project</t>
        </is>
      </c>
      <c r="K1783" t="inlineStr">
        <is>
          <t>GG - Event Service</t>
        </is>
      </c>
      <c r="L1783" t="inlineStr">
        <is>
          <t>CFL Southeast Asia Games - Addendum</t>
        </is>
      </c>
      <c r="M1783" t="inlineStr">
        <is>
          <t>2025TEG-P0344</t>
        </is>
      </c>
      <c r="N1783" t="inlineStr">
        <is>
          <t>Vincent Bryan Velasco Tan</t>
        </is>
      </c>
      <c r="O1783" t="inlineStr">
        <is>
          <t>202512080039-Vincent Bryan Velasco Tan-费用报销 - 副本 - 副本 - 副本-2025-12-08 07:20:25</t>
        </is>
      </c>
      <c r="P1783" t="inlineStr">
        <is>
          <t>YES</t>
        </is>
      </c>
      <c r="Q1783"/>
      <c r="R1783" t="inlineStr">
        <is>
          <t>NO</t>
        </is>
      </c>
      <c r="S1783" t="inlineStr">
        <is>
          <t>Outsourced Talent / Host (Vill)</t>
        </is>
      </c>
      <c r="T1783">
        <v>1</v>
      </c>
      <c r="U1783">
        <v>30000</v>
      </c>
      <c r="V1783" t="inlineStr">
        <is>
          <t>PHP</t>
        </is>
      </c>
      <c r="W1783">
        <v>30000</v>
      </c>
      <c r="X1783" s="2" t="str">
        <f>=HYPERLINK("https://www.larksuite.com/approval/admin/previewAttachment?key=PMg7CgJBEATQK1VN1_THy5jssLiokbBo0GcXDEyfJ-E5aV5QcRTYMdNnUhTSYFnyHs2IQjDkvZ779XMe43g_7sAyYuvztu3rxVkxBsIkSwC8_N1CUpULP8c3AAD__w", "2 attachment(s)")</f>
        <v>2 attachment(s)</v>
      </c>
      <c r="Y1783" t="inlineStr">
        <is>
          <t>Bank Transfer</t>
        </is>
      </c>
      <c r="Z1783" t="inlineStr">
        <is>
          <t>Karl Justin Renee C. Villaseran</t>
        </is>
      </c>
      <c r="AA1783" t="inlineStr">
        <is>
          <t>0041 4010 5014</t>
        </is>
      </c>
      <c r="AB1783" t="inlineStr">
        <is>
          <t>BDO</t>
        </is>
      </c>
      <c r="AC1783" t="inlineStr">
        <is>
          <t>118 M.A Roxas St. Calumpang Marikina City</t>
        </is>
      </c>
      <c r="AD1783" s="4">
        <v>46006</v>
      </c>
      <c r="AE1783" t="inlineStr">
        <is>
          <t>100% Full Payment - Jan. 9, 2026</t>
        </is>
      </c>
      <c r="AF1783" s="2"/>
      <c r="AG1783" t="inlineStr">
        <is>
          <t>NzQyNTk5MTgyNzQ4MTg3MDM0MTpEOEE0NUM2Ny01NEE2LTRCNjQtQThBNS01RkI5OUIxMTc0MkMtMTowNWZkZWVkMWIxNmZjNzQ1MTAwYjYyMTMzNmFjMzNiODox</t>
        </is>
      </c>
      <c r="AH1783" t="inlineStr">
        <is>
          <t>Karl Justin Renee C. Villaseran</t>
        </is>
      </c>
      <c r="AI1783"/>
      <c r="AJ1783" t="inlineStr">
        <is>
          <t>LIQUIDITY PLAN (PAR # 202512160101 / 2025TEG-P0344)
Addendum (Talents &amp; TH Translator) TAB &gt; Talents and other particulars &gt;
Vill (Host)
Total Budget = Php 30,000.00
Actual Cost = Php 30,000.00</t>
        </is>
      </c>
      <c r="AK1783"/>
    </row>
    <row r="1784" ht="25.5" customHeight="1">
      <c r="A1784" s="2" t="str">
        <f>=HYPERLINK("https://applink.larksuite.com/client/mini_program/open?appId=cli_9c7cc8a9a9edd105&amp;mode=appCenter&amp;path_pc=pc/pages/requested/index?instanceId=7586582289526558432&amp;source=bitable&amp;path=pages/detail/index?instanceId=7586582289526558432&amp;source=bitable", "202512220081")</f>
        <v>202512220081</v>
      </c>
      <c r="B1784" t="inlineStr">
        <is>
          <t>Approved</t>
        </is>
      </c>
      <c r="C1784" t="inlineStr">
        <is>
          <t>Procurement Order</t>
        </is>
      </c>
      <c r="D1784" s="3">
        <v>46013.64857638889</v>
      </c>
      <c r="E1784" s="3">
        <v>46027.77858796297</v>
      </c>
      <c r="F1784" t="inlineStr">
        <is>
          <t>Fatima Kathleen M. FLores</t>
        </is>
      </c>
      <c r="G1784" t="inlineStr">
        <is>
          <t>Procurement</t>
        </is>
      </c>
      <c r="H1784"/>
      <c r="I1784"/>
      <c r="J1784" t="inlineStr">
        <is>
          <t>Project</t>
        </is>
      </c>
      <c r="K1784" t="inlineStr">
        <is>
          <t>GG - Event Service</t>
        </is>
      </c>
      <c r="L1784" t="inlineStr">
        <is>
          <t>CFL Southeast Asia Games - Addendum</t>
        </is>
      </c>
      <c r="M1784" t="inlineStr">
        <is>
          <t>2025TEG-P0344</t>
        </is>
      </c>
      <c r="N1784" t="inlineStr">
        <is>
          <t>Vincent Bryan Velasco Tan</t>
        </is>
      </c>
      <c r="O1784" t="inlineStr">
        <is>
          <t>202512080039-Vincent Bryan Velasco Tan-费用报销 - 副本 - 副本 - 副本-2025-12-08 07:20:25</t>
        </is>
      </c>
      <c r="P1784" t="inlineStr">
        <is>
          <t>YES</t>
        </is>
      </c>
      <c r="Q1784"/>
      <c r="R1784" t="inlineStr">
        <is>
          <t>NO</t>
        </is>
      </c>
      <c r="S1784" t="inlineStr">
        <is>
          <t>Outsourced Talent / Caster (Salvatore)</t>
        </is>
      </c>
      <c r="T1784">
        <v>1</v>
      </c>
      <c r="U1784">
        <v>16000</v>
      </c>
      <c r="V1784" t="inlineStr">
        <is>
          <t>PHP</t>
        </is>
      </c>
      <c r="W1784">
        <v>16000</v>
      </c>
      <c r="X1784" s="2" t="str">
        <f>=HYPERLINK("https://www.larksuite.com/approval/admin/previewAttachment?key=PMg7CsJgEATgK83Ozr68jE1CENRKYvefXbBI-2UbssM8BxrjwFZFZzTZE8yIlnNxWdWgrJRrfx_3V5w6DdtzSHOu72M79o_FFIlyyRuA3S73kjSTwt_xCwAA__8", "2 attachment(s)")</f>
        <v>2 attachment(s)</v>
      </c>
      <c r="Y1784" t="inlineStr">
        <is>
          <t>Bank Transfer</t>
        </is>
      </c>
      <c r="Z1784" t="inlineStr">
        <is>
          <t>Rhoemmielle Andray Rivera</t>
        </is>
      </c>
      <c r="AA1784" t="inlineStr">
        <is>
          <t>09456396700</t>
        </is>
      </c>
      <c r="AB1784" t="inlineStr">
        <is>
          <t>GCash</t>
        </is>
      </c>
      <c r="AC1784" t="inlineStr">
        <is>
          <t>2438 Iridium St. Sta. Ana, Manila</t>
        </is>
      </c>
      <c r="AD1784" s="4">
        <v>46006</v>
      </c>
      <c r="AE1784" t="inlineStr">
        <is>
          <t>100% Full Payment - Jan. 9, 2026</t>
        </is>
      </c>
      <c r="AF1784" s="2"/>
      <c r="AG1784" t="inlineStr">
        <is>
          <t>NzQyNTk5MTgyNzQ4MTg3MDM0MTo2MTM3MkI5RS04MUVDLTQ0ODYtOUMzNC1CQkMwRTJEOTA1NDEtMTpmZDcwZDYyYzQwMjMwNjdlYjE0YmNlYjQzYWE2NGU5ZTox</t>
        </is>
      </c>
      <c r="AH1784" t="inlineStr">
        <is>
          <t>Rhoemmielle Andray Rivera</t>
        </is>
      </c>
      <c r="AI1784"/>
      <c r="AJ1784" t="inlineStr">
        <is>
          <t>LIQUIDITY PLAN (PAR # 202512160101 / 2025TEG-P0344)
Addendum (Talents &amp; TH Translator) TAB &gt; Talents and other particulars &gt;
Salvatore (Caster)
Total Budget = Php 16,000.00
Actual Cost = Php 16,000.00</t>
        </is>
      </c>
      <c r="AK1784"/>
    </row>
    <row r="1785" ht="25.5" customHeight="1">
      <c r="A1785" s="2" t="str">
        <f>=HYPERLINK("https://applink.larksuite.com/client/mini_program/open?appId=cli_9c7cc8a9a9edd105&amp;mode=appCenter&amp;path_pc=pc/pages/requested/index?instanceId=7586579336648527583&amp;source=bitable&amp;path=pages/detail/index?instanceId=7586579336648527583&amp;source=bitable", "202512220078")</f>
        <v>202512220078</v>
      </c>
      <c r="B1785" t="inlineStr">
        <is>
          <t>Approved</t>
        </is>
      </c>
      <c r="C1785" t="inlineStr">
        <is>
          <t>Procurement Order</t>
        </is>
      </c>
      <c r="D1785" s="3">
        <v>46013.640625</v>
      </c>
      <c r="E1785" s="3">
        <v>46027.780856481484</v>
      </c>
      <c r="F1785" t="inlineStr">
        <is>
          <t>Fatima Kathleen M. FLores</t>
        </is>
      </c>
      <c r="G1785" t="inlineStr">
        <is>
          <t>Procurement</t>
        </is>
      </c>
      <c r="H1785"/>
      <c r="I1785"/>
      <c r="J1785" t="inlineStr">
        <is>
          <t>Project</t>
        </is>
      </c>
      <c r="K1785" t="inlineStr">
        <is>
          <t>GG - Event Service</t>
        </is>
      </c>
      <c r="L1785" t="inlineStr">
        <is>
          <t>CFL Southeast Asia Games - Addendum</t>
        </is>
      </c>
      <c r="M1785" t="inlineStr">
        <is>
          <t>2025TEG-P0344</t>
        </is>
      </c>
      <c r="N1785" t="inlineStr">
        <is>
          <t>Vincent Bryan Velasco Tan</t>
        </is>
      </c>
      <c r="O1785" t="inlineStr">
        <is>
          <t>202512080039-Vincent Bryan Velasco Tan-费用报销 - 副本 - 副本 - 副本-2025-12-08 07:20:25</t>
        </is>
      </c>
      <c r="P1785" t="inlineStr">
        <is>
          <t>YES</t>
        </is>
      </c>
      <c r="Q1785"/>
      <c r="R1785" t="inlineStr">
        <is>
          <t>YES</t>
        </is>
      </c>
      <c r="S1785" t="inlineStr">
        <is>
          <t>Outsourced HMUA (Talents)</t>
        </is>
      </c>
      <c r="T1785">
        <v>1</v>
      </c>
      <c r="U1785">
        <v>8100</v>
      </c>
      <c r="V1785" t="inlineStr">
        <is>
          <t>PHP</t>
        </is>
      </c>
      <c r="W1785">
        <v>8100</v>
      </c>
      <c r="X1785" s="2" t="str">
        <f>=HYPERLINK("https://www.larksuite.com/approval/admin/previewAttachment?key=PMg9CgIxEAXgK735fTNexsYQtBAEYaNFzi5YbPtlCbJCLBveog3ZjMpgm2V6hTLKtm4hGxR67vGcVz3WWB_a61FzfWMf99scb4mmKmjuVgDkcrrR3bvT8Xf8AgAA__8", "2 attachment(s)")</f>
        <v>2 attachment(s)</v>
      </c>
      <c r="Y1785" t="inlineStr">
        <is>
          <t>Bank Transfer</t>
        </is>
      </c>
      <c r="Z1785" t="inlineStr">
        <is>
          <t>Grace Filomeno</t>
        </is>
      </c>
      <c r="AA1785" t="inlineStr">
        <is>
          <t>007340484415</t>
        </is>
      </c>
      <c r="AB1785" t="inlineStr">
        <is>
          <t>BDO</t>
        </is>
      </c>
      <c r="AC1785" t="inlineStr">
        <is>
          <t>89 T Santos St. San Jose, Rodriguez, Rizal</t>
        </is>
      </c>
      <c r="AD1785" s="4">
        <v>46007</v>
      </c>
      <c r="AE1785" t="inlineStr">
        <is>
          <t>100% Full Payment - Jan. 9, 2026</t>
        </is>
      </c>
      <c r="AF1785" s="2"/>
      <c r="AG1785" t="inlineStr">
        <is>
          <t>NzQyNTk5MTgyNzQ4MTg3MDM0MTowRkQwQjY1Mi04RkYyLTQ2MjctODIzRS03NzFERjdDMDY5RDYtMTo5OGZiYjE0Y2NlMTU3NzIyNDAxZWNkOWQwYmRlYWIwODox</t>
        </is>
      </c>
      <c r="AH1785" t="inlineStr">
        <is>
          <t>Grace Filomeno</t>
        </is>
      </c>
      <c r="AI1785"/>
      <c r="AJ1785" t="inlineStr">
        <is>
          <t>LIQUIDITY PLAN (PAR # 202512160101 / 2025TEG-P0344)
Addendum (Talents &amp; TH Translator) TAB &gt; Talents and other particulars &gt;
Hair and Makeup for Talents
Total Budget = Php 5,400.00
Actual Cost = Php 8,100.00
Balance = (Php 2,700.00) OVER BUDGET
^ Budget in addendum internal CE is only for 3 talents. Actual number of pax is 6.</t>
        </is>
      </c>
      <c r="AK1785"/>
    </row>
    <row r="1786" ht="25.5" customHeight="1">
      <c r="A1786" s="2" t="str">
        <f>=HYPERLINK("https://applink.larksuite.com/client/mini_program/open?appId=cli_9c7cc8a9a9edd105&amp;mode=appCenter&amp;path_pc=pc/pages/requested/index?instanceId=7586583348571737822&amp;source=bitable&amp;path=pages/detail/index?instanceId=7586583348571737822&amp;source=bitable", "202512220083")</f>
        <v>202512220083</v>
      </c>
      <c r="B1786" t="inlineStr">
        <is>
          <t>Approved</t>
        </is>
      </c>
      <c r="C1786" t="inlineStr">
        <is>
          <t>Procurement Order</t>
        </is>
      </c>
      <c r="D1786" s="3">
        <v>46013.65143518519</v>
      </c>
      <c r="E1786" s="3">
        <v>46027.77730324074</v>
      </c>
      <c r="F1786" t="inlineStr">
        <is>
          <t>Fatima Kathleen M. FLores</t>
        </is>
      </c>
      <c r="G1786" t="inlineStr">
        <is>
          <t>Procurement</t>
        </is>
      </c>
      <c r="H1786"/>
      <c r="I1786"/>
      <c r="J1786" t="inlineStr">
        <is>
          <t>Project</t>
        </is>
      </c>
      <c r="K1786" t="inlineStr">
        <is>
          <t>GG - Event Service</t>
        </is>
      </c>
      <c r="L1786" t="inlineStr">
        <is>
          <t>CFL Southeast Asia Games - Addendum</t>
        </is>
      </c>
      <c r="M1786" t="inlineStr">
        <is>
          <t>2025TEG-P0344</t>
        </is>
      </c>
      <c r="N1786" t="inlineStr">
        <is>
          <t>Vincent Bryan Velasco Tan</t>
        </is>
      </c>
      <c r="O1786" t="inlineStr">
        <is>
          <t>202512080042-Vincent Bryan Velasco Tan-费用报销 - 副本 - 副本 - 副本-2025-12-08 07:26:42</t>
        </is>
      </c>
      <c r="P1786" t="inlineStr">
        <is>
          <t>YES</t>
        </is>
      </c>
      <c r="Q1786"/>
      <c r="R1786" t="inlineStr">
        <is>
          <t>NO</t>
        </is>
      </c>
      <c r="S1786" t="inlineStr">
        <is>
          <t>Outsourced Marshal (for Team Vietnam)</t>
        </is>
      </c>
      <c r="T1786">
        <v>1</v>
      </c>
      <c r="U1786">
        <v>3000</v>
      </c>
      <c r="V1786" t="inlineStr">
        <is>
          <t>PHP</t>
        </is>
      </c>
      <c r="W1786">
        <v>3000</v>
      </c>
      <c r="X1786" s="2" t="str">
        <f>=HYPERLINK("https://www.larksuite.com/approval/admin/previewAttachment?key=PMg7CsJgEATgK80-Z9fL2CT8GDAgCLHaswsWtl-WICvEsuEt2pBhVEaZeQWFxlIdHSEbFHrOfq77Jcfn2NfCesb2Oud6bGt_SzRVQXO3AiC3vxvdvTsdP8c3AAD__w", "2 attachment(s)")</f>
        <v>2 attachment(s)</v>
      </c>
      <c r="Y1786" t="inlineStr">
        <is>
          <t>Bank Transfer</t>
        </is>
      </c>
      <c r="Z1786" t="inlineStr">
        <is>
          <t>Wilbert Rysher Dela Cruz Manabat</t>
        </is>
      </c>
      <c r="AA1786" t="inlineStr">
        <is>
          <t>1093-2482-8669</t>
        </is>
      </c>
      <c r="AB1786" t="inlineStr">
        <is>
          <t>Unionbank</t>
        </is>
      </c>
      <c r="AC1786" t="inlineStr">
        <is>
          <t>1277-B Kagitingan St. Morga EXT. Tondo, Manila</t>
        </is>
      </c>
      <c r="AD1786" s="4">
        <v>46006</v>
      </c>
      <c r="AE1786" t="inlineStr">
        <is>
          <t>100% Full Payment - Jan. 9, 2026</t>
        </is>
      </c>
      <c r="AF1786" s="2"/>
      <c r="AG1786" t="inlineStr">
        <is>
          <t>NzQyNTk5MTgyNzQ4MTg3MDM0MTowMDRGOEVGMi0zNDMxLTQ0NUMtQUZCRS02RjNERTAwMzMzMUMtMTowOWEwNzBjZjNiMmI0M2UzZTZiMTllZDA4NzNlMDRhNDox</t>
        </is>
      </c>
      <c r="AH1786" t="inlineStr">
        <is>
          <t>Wilbert Rysher Dela Cruz Manabat</t>
        </is>
      </c>
      <c r="AI1786"/>
      <c r="AJ1786" t="inlineStr">
        <is>
          <t>LIQUIDITY PLAN (PAR # 202512160101 / 2025TEG-P0344)
Addendum (Talents &amp; TH Translator) TAB &gt; Talents and other particulars &gt;
Marshall for Team Vietnam
Total Budget = Php 5,400.00
Actual Cost = Php 3,000.00
Balance = Php 2,400.00</t>
        </is>
      </c>
      <c r="AK1786"/>
    </row>
    <row r="1787" ht="25.5" customHeight="1">
      <c r="A1787" s="2" t="str">
        <f>=HYPERLINK("https://applink.larksuite.com/client/mini_program/open?appId=cli_9c7cc8a9a9edd105&amp;mode=appCenter&amp;path_pc=pc/pages/requested/index?instanceId=7586565969321955036&amp;source=bitable&amp;path=pages/detail/index?instanceId=7586565969321955036&amp;source=bitable", "202512220062")</f>
        <v>202512220062</v>
      </c>
      <c r="B1787" t="inlineStr">
        <is>
          <t>Approved</t>
        </is>
      </c>
      <c r="C1787" t="inlineStr">
        <is>
          <t>Procurement Order</t>
        </is>
      </c>
      <c r="D1787" s="3">
        <v>46013.60460648148</v>
      </c>
      <c r="E1787" s="3">
        <v>46027.77247685185</v>
      </c>
      <c r="F1787" t="inlineStr">
        <is>
          <t>Fatima Kathleen M. FLores</t>
        </is>
      </c>
      <c r="G1787" t="inlineStr">
        <is>
          <t>Procurement</t>
        </is>
      </c>
      <c r="H1787"/>
      <c r="I1787"/>
      <c r="J1787" t="inlineStr">
        <is>
          <t>Project</t>
        </is>
      </c>
      <c r="K1787" t="inlineStr">
        <is>
          <t>GG - Event Service</t>
        </is>
      </c>
      <c r="L1787" t="inlineStr">
        <is>
          <t>KIC 2025 - Group Stage &amp; Knockouts</t>
        </is>
      </c>
      <c r="M1787" t="inlineStr">
        <is>
          <t>2025TEG-P0286</t>
        </is>
      </c>
      <c r="N1787" t="inlineStr">
        <is>
          <t>Carla Andrea Calma Crespo</t>
        </is>
      </c>
      <c r="O1787" t="inlineStr">
        <is>
          <t>202512180038-Carla Andrea Calma Crespo-费用报销 - 副本 - 副本 - 副本-2025-12-18 05:42:06</t>
        </is>
      </c>
      <c r="P1787" t="inlineStr">
        <is>
          <t>YES</t>
        </is>
      </c>
      <c r="Q1787"/>
      <c r="R1787" t="inlineStr">
        <is>
          <t>YES</t>
        </is>
      </c>
      <c r="S1787" t="inlineStr">
        <is>
          <t>Outsourced Manpower (for headset repair)</t>
        </is>
      </c>
      <c r="T1787">
        <v>1</v>
      </c>
      <c r="U1787">
        <v>2000</v>
      </c>
      <c r="V1787" t="inlineStr">
        <is>
          <t>PHP</t>
        </is>
      </c>
      <c r="W1787">
        <v>2000</v>
      </c>
      <c r="X1787" s="2" t="str">
        <f>=HYPERLINK("https://www.larksuite.com/approval/admin/previewAttachment?key=PMg9CsJAEAXgK7353-dlbAyLCQgBccFizi5YpP1yCHKEWBJOUUK6YmRkMGkqjIBla0sVUVKevb3mfV8MHv7d43Oc5-z1fMztLcFSRZm7DQByu9zK3cl0_B2_AAAA__8", "2 attachment(s)")</f>
        <v>2 attachment(s)</v>
      </c>
      <c r="Y1787" t="inlineStr">
        <is>
          <t>Bank Transfer</t>
        </is>
      </c>
      <c r="Z1787" t="inlineStr">
        <is>
          <t>Kevin Castin Padilla</t>
        </is>
      </c>
      <c r="AA1787" t="inlineStr">
        <is>
          <t>2550117073</t>
        </is>
      </c>
      <c r="AB1787" t="inlineStr">
        <is>
          <t>BDO</t>
        </is>
      </c>
      <c r="AC1787" t="inlineStr">
        <is>
          <t>92-A San Luis St Brgy., Batis, San Juan City</t>
        </is>
      </c>
      <c r="AD1787" s="4">
        <v>45979</v>
      </c>
      <c r="AE1787" t="inlineStr">
        <is>
          <t>100% Full Payment - Jan. 9, 2026</t>
        </is>
      </c>
      <c r="AF1787" s="2"/>
      <c r="AG1787" t="inlineStr">
        <is>
          <t>NzQyNTk5MTgyNzQ4MTg3MDM0MTo2RjRDQkM1Ni04Q0Q0LTQ0ODAtODNCOS1FNjA1QjZFMTlBNkUtMTplZmUyM2U5NDhjZjg4MzNhZjcyZGU5NmIzNGMxNDJkNzox</t>
        </is>
      </c>
      <c r="AH1787" t="inlineStr">
        <is>
          <t>Kevin Castin Padilla</t>
        </is>
      </c>
      <c r="AI1787"/>
      <c r="AJ1787" t="inlineStr">
        <is>
          <t>No line item in internal CE. UNBUDGETED</t>
        </is>
      </c>
      <c r="AK1787"/>
    </row>
    <row r="1788" ht="25.5" customHeight="1">
      <c r="A1788" s="2" t="str">
        <f>=HYPERLINK("https://applink.larksuite.com/client/mini_program/open?appId=cli_9c7cc8a9a9edd105&amp;mode=appCenter&amp;path_pc=pc/pages/requested/index?instanceId=7586906376207666909&amp;source=bitable&amp;path=pages/detail/index?instanceId=7586906376207666909&amp;source=bitable", "202512230041")</f>
        <v>202512230041</v>
      </c>
      <c r="B1788" t="inlineStr">
        <is>
          <t>Approved</t>
        </is>
      </c>
      <c r="C1788" t="inlineStr">
        <is>
          <t>Procurement Order</t>
        </is>
      </c>
      <c r="D1788" s="3">
        <v>46014.52193287037</v>
      </c>
      <c r="E1788" s="3">
        <v>46027.771145833336</v>
      </c>
      <c r="F1788" t="inlineStr">
        <is>
          <t>Fatima Kathleen M. FLores</t>
        </is>
      </c>
      <c r="G1788" t="inlineStr">
        <is>
          <t>Procurement</t>
        </is>
      </c>
      <c r="H1788"/>
      <c r="I1788"/>
      <c r="J1788" t="inlineStr">
        <is>
          <t>Project</t>
        </is>
      </c>
      <c r="K1788" t="inlineStr">
        <is>
          <t>GG - Event Service</t>
        </is>
      </c>
      <c r="L1788" t="inlineStr">
        <is>
          <t>KIC 2025 - Group Stage &amp; Knockouts</t>
        </is>
      </c>
      <c r="M1788" t="inlineStr">
        <is>
          <t>2025TEG-P0286</t>
        </is>
      </c>
      <c r="N1788" t="inlineStr">
        <is>
          <t>Frances Angelita Arreglado</t>
        </is>
      </c>
      <c r="O1788" t="inlineStr">
        <is>
          <t>202511080037-Frances Angelita Arreglado-费用报销 - 副本 - 副本 - 副本-2025-11-08 06:30:23</t>
        </is>
      </c>
      <c r="P1788" t="inlineStr">
        <is>
          <t>NO</t>
        </is>
      </c>
      <c r="Q1788"/>
      <c r="R1788" t="inlineStr">
        <is>
          <t>NO</t>
        </is>
      </c>
      <c r="S1788" t="inlineStr">
        <is>
          <t>Logistics Services (Ingress)  (Nov 8, 2025)</t>
        </is>
      </c>
      <c r="T1788">
        <v>1</v>
      </c>
      <c r="U1788">
        <v>14000</v>
      </c>
      <c r="V1788" t="inlineStr">
        <is>
          <t>PHP</t>
        </is>
      </c>
      <c r="W1788">
        <v>14000</v>
      </c>
      <c r="X1788" s="2" t="str">
        <f>=HYPERLINK("https://www.larksuite.com/approval/admin/previewAttachment?key=PMg7jsIwGATgK83_8IxnL7MNVkQKKqSk8tmRKGg_zgDniKLRjjRia0waLDEhkoZ37pAMhZp7vY7_u89r2ah7nTmwr-fjWO8YViZU3TUBxN_PS91ts_F1fAIAAP__", "3 attachment(s)")</f>
        <v>3 attachment(s)</v>
      </c>
      <c r="Y1788" t="inlineStr">
        <is>
          <t>Bank Transfer</t>
        </is>
      </c>
      <c r="Z1788" t="inlineStr">
        <is>
          <t>Truckrentalph Transport Logistics Inc</t>
        </is>
      </c>
      <c r="AA1788" t="inlineStr">
        <is>
          <t>121-700-001-557</t>
        </is>
      </c>
      <c r="AB1788" t="inlineStr">
        <is>
          <t>Chinabank</t>
        </is>
      </c>
      <c r="AC1788" t="inlineStr">
        <is>
          <t>3878 Daffodil St., Sun Valley Parañaque</t>
        </is>
      </c>
      <c r="AD1788" s="4">
        <v>45969</v>
      </c>
      <c r="AE1788" t="inlineStr">
        <is>
          <t>100% Full Payment upon completion of services</t>
        </is>
      </c>
      <c r="AF1788" s="2"/>
      <c r="AG1788" t="inlineStr">
        <is>
          <t>NzQyNTk5MTgyNzQ4MTg3MDM0MToxNTg0NUY2MS00MjcyLTQ5NzEtQjdCQy1FM0RGQUFEQTM3N0EtMTplYWZmZjEyM2QwMmJjMjA5NzA2YmQwZjllZGM1YjBmZjox</t>
        </is>
      </c>
      <c r="AH1788" t="inlineStr">
        <is>
          <t>Truckrentalph Transport Logistics Inc.</t>
        </is>
      </c>
      <c r="AI1788"/>
      <c r="AJ1788" t="inlineStr">
        <is>
          <t>LIQUIDITY PLAN (PAR # 202510290062 / 2025TEG-P0286)
1120 CE KIC GS+KO TAB &gt; GROUPSTAGE - KNOCKOUTS (Main Event) &gt; 
MOBILIZATION &gt; Ingress &amp; Egress Mobilization (Mineski HQ)
Total Budget = Php 15,000.00
Actual Cost = Php 14,000.00
Balance = Php 1,000.00</t>
        </is>
      </c>
      <c r="AK1788"/>
    </row>
    <row r="1789" ht="25.5" customHeight="1">
      <c r="A1789" s="2" t="str">
        <f>=HYPERLINK("https://applink.larksuite.com/client/mini_program/open?appId=cli_9c7cc8a9a9edd105&amp;mode=appCenter&amp;path_pc=pc/pages/requested/index?instanceId=7586909044850331356&amp;source=bitable&amp;path=pages/detail/index?instanceId=7586909044850331356&amp;source=bitable", "202512230045")</f>
        <v>202512230045</v>
      </c>
      <c r="B1789" t="inlineStr">
        <is>
          <t>Approved</t>
        </is>
      </c>
      <c r="C1789" t="inlineStr">
        <is>
          <t>Procurement Order</t>
        </is>
      </c>
      <c r="D1789" s="3">
        <v>46014.52912037037</v>
      </c>
      <c r="E1789" s="3">
        <v>46027.753587962965</v>
      </c>
      <c r="F1789" t="inlineStr">
        <is>
          <t>Fatima Kathleen M. FLores</t>
        </is>
      </c>
      <c r="G1789" t="inlineStr">
        <is>
          <t>Procurement</t>
        </is>
      </c>
      <c r="H1789"/>
      <c r="I1789"/>
      <c r="J1789" t="inlineStr">
        <is>
          <t>Project</t>
        </is>
      </c>
      <c r="K1789" t="inlineStr">
        <is>
          <t>GG - Event Service</t>
        </is>
      </c>
      <c r="L1789" t="inlineStr">
        <is>
          <t>KIC 2025 - Playoffs</t>
        </is>
      </c>
      <c r="M1789" t="inlineStr">
        <is>
          <t>2025TEG-P0321</t>
        </is>
      </c>
      <c r="N1789" t="inlineStr">
        <is>
          <t>Frances Angelita Arreglado</t>
        </is>
      </c>
      <c r="O1789" t="inlineStr">
        <is>
          <t>202512220087-Carla Andrea Calma Crespo-费用报销 - 副本 - 副本 - 副本-2025-12-22 07:48:41</t>
        </is>
      </c>
      <c r="P1789" t="inlineStr">
        <is>
          <t>NO</t>
        </is>
      </c>
      <c r="Q1789"/>
      <c r="R1789" t="inlineStr">
        <is>
          <t>NO</t>
        </is>
      </c>
      <c r="S1789" t="inlineStr">
        <is>
          <t>Cryo Jet Machine</t>
        </is>
      </c>
      <c r="T1789">
        <v>1</v>
      </c>
      <c r="U1789">
        <v>21280</v>
      </c>
      <c r="V1789" t="inlineStr">
        <is>
          <t>PHP</t>
        </is>
      </c>
      <c r="W1789">
        <v>21280</v>
      </c>
      <c r="X1789" s="2" t="str">
        <f>=HYPERLINK("https://www.larksuite.com/approval/admin/previewAttachment?key=PMgxqkJRDATQLc0kk-Tmb-Y3PoIoVsLT5q5dsLA9uYhcQc-GmtbgrljZaEgr4E6P3LZZ1SiWch-P-Ze9zhtjRu-x--zzepnjyegyQ7nkCwD_fu4lqTuFr-MTAAD__w", "2 attachment(s)")</f>
        <v>2 attachment(s)</v>
      </c>
      <c r="Y1789" t="inlineStr">
        <is>
          <t>Bank Transfer</t>
        </is>
      </c>
      <c r="Z1789" t="inlineStr">
        <is>
          <t>HIFI BLITZ AUDIO &amp; LIGHTING DESIGNS, INC.</t>
        </is>
      </c>
      <c r="AA1789" t="inlineStr">
        <is>
          <t>1408-00-00033-1</t>
        </is>
      </c>
      <c r="AB1789" t="inlineStr">
        <is>
          <t>CHINA BANKING CORPORATION</t>
        </is>
      </c>
      <c r="AC1789" t="inlineStr">
        <is>
          <t>295 B 10th Ave. cor. 6th St., East Grace Park, Caloocan City</t>
        </is>
      </c>
      <c r="AD1789" s="4">
        <v>45991</v>
      </c>
      <c r="AE1789" t="inlineStr">
        <is>
          <t>100% Full Payment</t>
        </is>
      </c>
      <c r="AF1789" s="2" t="str">
        <f>=HYPERLINK("https://www.larksuite.com/approval/admin/previewAttachment?key=TMg7CgJBEATQK1VN_72MiUsjipEwmvTZBaNNnyfhaRQvaHEVOGHphYJqGkQo5rOGEYVgqM_x6quuz37QuvXb69mz77c-3vQUh5apsgDwcnISleLyd_wCAAD__w", "2 attachment(s)")</f>
        <v>2 attachment(s)</v>
      </c>
      <c r="AG1789" t="inlineStr">
        <is>
          <t>NzQyNTk5MTgyNzQ4MTg3MDM0MTpFMTgwQjUxMy1FQzMzLTRBMzEtODdERi0zMTU2MEQ4NjE4MTQtMTpjMjI1NjcxMmZjNTY0NWRlYzE5ZjZjODkxY2RiNGM2Mzox</t>
        </is>
      </c>
      <c r="AH1789" t="inlineStr">
        <is>
          <t>HIFI BLITZ AUDIO &amp; LIGHTING DESIGNS, INC.</t>
        </is>
      </c>
      <c r="AI1789"/>
      <c r="AJ1789" t="inlineStr">
        <is>
          <t>LIQUIDITY PLAN (PAR # 202511200098 / 2025TEG-P0321)
MISCELLANEOUS &gt; For Rent &gt; For Awarding &gt;
Cryogenics
Confetti Blower
Total Remaining Budget = Php 74,000.00
Actual Cost = Php 21,280.00
Balance = Php 52,720.00</t>
        </is>
      </c>
      <c r="AK1789"/>
    </row>
    <row r="1790" ht="25.5" customHeight="1">
      <c r="A1790" s="2" t="str">
        <f>=HYPERLINK("https://applink.larksuite.com/client/mini_program/open?appId=cli_9c7cc8a9a9edd105&amp;mode=appCenter&amp;path_pc=pc/pages/requested/index?instanceId=7586912208894840545&amp;source=bitable&amp;path=pages/detail/index?instanceId=7586912208894840545&amp;source=bitable", "202512230048")</f>
        <v>202512230048</v>
      </c>
      <c r="B1790" t="inlineStr">
        <is>
          <t>Approved</t>
        </is>
      </c>
      <c r="C1790" t="inlineStr">
        <is>
          <t>Procurement Order</t>
        </is>
      </c>
      <c r="D1790" s="3">
        <v>46014.53765046296</v>
      </c>
      <c r="E1790" s="3">
        <v>46028.68748842592</v>
      </c>
      <c r="F1790" t="inlineStr">
        <is>
          <t>Fatima Kathleen M. FLores</t>
        </is>
      </c>
      <c r="G1790" t="inlineStr">
        <is>
          <t>Procurement</t>
        </is>
      </c>
      <c r="H1790"/>
      <c r="I1790"/>
      <c r="J1790" t="inlineStr">
        <is>
          <t>Project</t>
        </is>
      </c>
      <c r="K1790" t="inlineStr">
        <is>
          <t>GG - Event Service</t>
        </is>
      </c>
      <c r="L1790" t="inlineStr">
        <is>
          <t>HOK Philippine Kings League - Fall Season</t>
        </is>
      </c>
      <c r="M1790" t="inlineStr">
        <is>
          <t>2025TEG-P0219</t>
        </is>
      </c>
      <c r="N1790" t="inlineStr">
        <is>
          <t>Carla Andrea Calma Crespo</t>
        </is>
      </c>
      <c r="O1790" t="inlineStr">
        <is>
          <t>202512220086-Carla Andrea Calma Crespo-费用报销 - 副本 - 副本 - 副本-2025-12-22 07:43:49</t>
        </is>
      </c>
      <c r="P1790" t="inlineStr">
        <is>
          <t>YES</t>
        </is>
      </c>
      <c r="Q1790"/>
      <c r="R1790" t="inlineStr">
        <is>
          <t>YES</t>
        </is>
      </c>
      <c r="S1790" t="inlineStr">
        <is>
          <t>Outsourced Content Producer</t>
        </is>
      </c>
      <c r="T1790">
        <v>1</v>
      </c>
      <c r="U1790">
        <v>13500</v>
      </c>
      <c r="V1790" t="inlineStr">
        <is>
          <t>PHP</t>
        </is>
      </c>
      <c r="W1790">
        <v>13500</v>
      </c>
      <c r="X1790" s="2" t="str">
        <f>=HYPERLINK("https://www.larksuite.com/approval/admin/previewAttachment?key=PMg7CkJBDAXQLd1kbn5uxsbHw9-AII42WbtgYXs8BZ4mwwss0YJ0WHqJKjKLSRittSWiEBL03uZ-fFwv9_m22zbXKz-r1_m0b0-xClXEIEcCkMPfR5CscuLn-AYAAP__", "2 attachment(s)")</f>
        <v>2 attachment(s)</v>
      </c>
      <c r="Y1790" t="inlineStr">
        <is>
          <t>Bank Transfer</t>
        </is>
      </c>
      <c r="Z1790" t="inlineStr">
        <is>
          <t>Ruben A. Mercado Jr.</t>
        </is>
      </c>
      <c r="AA1790" t="inlineStr">
        <is>
          <t>1096 6595 8663</t>
        </is>
      </c>
      <c r="AB1790" t="inlineStr">
        <is>
          <t>Unionbank</t>
        </is>
      </c>
      <c r="AC1790" t="inlineStr">
        <is>
          <t>L 33 Blk 15 DM8 Subd. San Andress Hagonoy St. Cainta Rizal</t>
        </is>
      </c>
      <c r="AD1790" s="4">
        <v>45919</v>
      </c>
      <c r="AE1790" t="inlineStr">
        <is>
          <t>100% Full Payment - Jan. 9, 2026</t>
        </is>
      </c>
      <c r="AF1790" s="2"/>
      <c r="AG1790" t="inlineStr">
        <is>
          <t>NzQyNTk5MTgyNzQ4MTg3MDM0MTo3NDQ5NDBFMy1FRkY3LTRDMjUtOEIxNi1BRDcxREU5NEI2OUMtMTowYjcyYjIxNzU0MDg4MTg5MTI2MjM2ZWIyYjRkZjVmZTox</t>
        </is>
      </c>
      <c r="AH1790" t="inlineStr">
        <is>
          <t>Ruben A. Mercado Jr.</t>
        </is>
      </c>
      <c r="AI1790"/>
      <c r="AJ1790" t="inlineStr">
        <is>
          <t>No line item in internal CE. UNBUDGETED</t>
        </is>
      </c>
      <c r="AK1790"/>
    </row>
    <row r="1791" ht="25.5" customHeight="1">
      <c r="A1791" s="2" t="str">
        <f>=HYPERLINK("https://applink.larksuite.com/client/mini_program/open?appId=cli_9c7cc8a9a9edd105&amp;mode=appCenter&amp;path_pc=pc/pages/requested/index?instanceId=7591719625679736544&amp;source=bitable&amp;path=pages/detail/index?instanceId=7591719625679736544&amp;source=bitable", "202601050018")</f>
        <v>202601050018</v>
      </c>
      <c r="B1791" t="inlineStr">
        <is>
          <t>Approved</t>
        </is>
      </c>
      <c r="C1791" t="inlineStr">
        <is>
          <t>Procurement Order</t>
        </is>
      </c>
      <c r="D1791" s="3">
        <v>46027.49267361111</v>
      </c>
      <c r="E1791" s="3">
        <v>46029.65278935185</v>
      </c>
      <c r="F1791" t="inlineStr">
        <is>
          <t>Fatima Kathleen M. FLores</t>
        </is>
      </c>
      <c r="G1791" t="inlineStr">
        <is>
          <t>Procurement</t>
        </is>
      </c>
      <c r="H1791"/>
      <c r="I1791"/>
      <c r="J1791" t="inlineStr">
        <is>
          <t>GAE</t>
        </is>
      </c>
      <c r="K1791"/>
      <c r="L1791"/>
      <c r="M1791"/>
      <c r="N1791"/>
      <c r="O1791" t="inlineStr">
        <is>
          <t>202512170078-Madelyn Espanto-费用报销 - 副本 - 副本 - 副本-2025-12-17 06:48:10</t>
        </is>
      </c>
      <c r="P1791"/>
      <c r="Q1791" t="inlineStr">
        <is>
          <t>Mineski PH</t>
        </is>
      </c>
      <c r="R1791"/>
      <c r="S1791" t="inlineStr">
        <is>
          <t>Outsourced Talent / Host</t>
        </is>
      </c>
      <c r="T1791">
        <v>1</v>
      </c>
      <c r="U1791">
        <v>10000</v>
      </c>
      <c r="V1791" t="inlineStr">
        <is>
          <t>PHP</t>
        </is>
      </c>
      <c r="W1791">
        <v>10000</v>
      </c>
      <c r="X1791" s="2" t="str">
        <f>=HYPERLINK("https://www.larksuite.com/approval/admin/previewAttachment?key=PMgxCgIxFATQK_1JJn8yXsbGsKgoCMIuFv_sgoXty4nIOdDTQaM5UBqG4GwjZfUcZLWC5BDErPXcztCx4_ZZ99fcjseq_XrZ1hvDai3UyT4jAqe_d5G0k_Hz-AYAAP__", "2 attachment(s)")</f>
        <v>2 attachment(s)</v>
      </c>
      <c r="Y1791" t="inlineStr">
        <is>
          <t>Bank Transfer</t>
        </is>
      </c>
      <c r="Z1791" t="inlineStr">
        <is>
          <t>Carlo Patrick Torres</t>
        </is>
      </c>
      <c r="AA1791" t="inlineStr">
        <is>
          <t>8249126552</t>
        </is>
      </c>
      <c r="AB1791" t="inlineStr">
        <is>
          <t>BPI</t>
        </is>
      </c>
      <c r="AC1791" t="inlineStr">
        <is>
          <t>L8 B5 Doña Trinidad St. Ireneville 1 Brgy. BF Homes, Sucat Parañaque City</t>
        </is>
      </c>
      <c r="AD1791" s="4">
        <v>46009</v>
      </c>
      <c r="AE1791" t="inlineStr">
        <is>
          <t>100% Full Payment - Jan. 9, 2026</t>
        </is>
      </c>
      <c r="AF1791" s="2"/>
      <c r="AG1791" t="inlineStr">
        <is>
          <t>NzQyNTk5MTgyNzQ4MTg3MDM0MTpFODlDQUY3OS1CNEI2LTQwMkYtQTdDMi0xNDlGN0M5NTU1MUUtMTo0MzkyZTVmNGQyYzcxZDQ4MDEyMTRlNWQ0YmFkZGFhZTox</t>
        </is>
      </c>
      <c r="AH1791" t="inlineStr">
        <is>
          <t>Carlo Patrick Torres</t>
        </is>
      </c>
      <c r="AI1791"/>
      <c r="AJ1791"/>
      <c r="AK1791"/>
    </row>
    <row r="1792" ht="25.5" customHeight="1">
      <c r="A1792" s="2" t="str">
        <f>=HYPERLINK("https://applink.larksuite.com/client/mini_program/open?appId=cli_9c7cc8a9a9edd105&amp;mode=appCenter&amp;path_pc=pc/pages/requested/index?instanceId=7591790437346578143&amp;source=bitable&amp;path=pages/detail/index?instanceId=7591790437346578143&amp;source=bitable", "202601050094")</f>
        <v>202601050094</v>
      </c>
      <c r="B1792" t="inlineStr">
        <is>
          <t>Approved</t>
        </is>
      </c>
      <c r="C1792" t="inlineStr">
        <is>
          <t>Procurement Order</t>
        </is>
      </c>
      <c r="D1792" s="3">
        <v>46027.68349537037</v>
      </c>
      <c r="E1792" s="3">
        <v>46028.70030092593</v>
      </c>
      <c r="F1792" t="inlineStr">
        <is>
          <t>Fatima Kathleen M. FLores</t>
        </is>
      </c>
      <c r="G1792" t="inlineStr">
        <is>
          <t>Procurement</t>
        </is>
      </c>
      <c r="H1792"/>
      <c r="I1792"/>
      <c r="J1792" t="inlineStr">
        <is>
          <t>Project</t>
        </is>
      </c>
      <c r="K1792" t="inlineStr">
        <is>
          <t>PDEI - Event Service</t>
        </is>
      </c>
      <c r="L1792" t="inlineStr">
        <is>
          <t>MPL PH S16 - Regular Season</t>
        </is>
      </c>
      <c r="M1792" t="inlineStr">
        <is>
          <t>2025TEG-P0214</t>
        </is>
      </c>
      <c r="N1792" t="inlineStr">
        <is>
          <t>Katherine Denise Lee Sy</t>
        </is>
      </c>
      <c r="O1792" t="inlineStr">
        <is>
          <t>202509180078-Katherine Denise Lee Sy-费用报销 - 副本 - 副本 - 副本-2025-09-18 11:36:37</t>
        </is>
      </c>
      <c r="P1792" t="inlineStr">
        <is>
          <t>NO</t>
        </is>
      </c>
      <c r="Q1792"/>
      <c r="R1792" t="inlineStr">
        <is>
          <t>NO</t>
        </is>
      </c>
      <c r="S1792" t="inlineStr">
        <is>
          <t>Hotel Accommodation (Week 6 - Oct. 3 to 5, 2025)</t>
        </is>
      </c>
      <c r="T1792">
        <v>1</v>
      </c>
      <c r="U1792">
        <v>22400</v>
      </c>
      <c r="V1792" t="inlineStr">
        <is>
          <t>PHP</t>
        </is>
      </c>
      <c r="W1792">
        <v>22400</v>
      </c>
      <c r="X1792" s="2" t="str">
        <f>=HYPERLINK("https://www.larksuite.com/approval/admin/previewAttachment?key=PMgxDsJADATAL63Pa--Zz9AQnQgiNAg6vx2JIu3kNOQM8yywbBSsFWUq0OXM0DR6jzapIBOzt2NdJ-PxeQX3WEc89_7eb2t7W5TGgJz0CcAup7tIViXxd_wCAAD__w", "2 attachment(s)")</f>
        <v>2 attachment(s)</v>
      </c>
      <c r="Y1792" t="inlineStr">
        <is>
          <t>Bank Transfer</t>
        </is>
      </c>
      <c r="Z1792" t="inlineStr">
        <is>
          <t>Green Sun Hotel Management Inc.</t>
        </is>
      </c>
      <c r="AA1792" t="inlineStr">
        <is>
          <t>634-7-634-02936-9</t>
        </is>
      </c>
      <c r="AB1792" t="inlineStr">
        <is>
          <t>Metrobank</t>
        </is>
      </c>
      <c r="AC1792" t="inlineStr">
        <is>
          <t>2285 Don Chino Roces Ave. Ext., Magallanes, Makati City</t>
        </is>
      </c>
      <c r="AD1792" s="4">
        <v>45933</v>
      </c>
      <c r="AE1792" t="inlineStr">
        <is>
          <t>100% Full Payment</t>
        </is>
      </c>
      <c r="AF1792" s="2" t="str">
        <f>=HYPERLINK("https://www.larksuite.com/approval/admin/previewAttachment?key=TMi7jcJgEATglma8s69r5hKsXxhhEgTZ1o5ERPpFEVFOi4aaW4OT3syGLE3hWZTNNsxsJFMx-7n-S357PVyHr9Pvx7yvl7U_GWUBtUtsAPz7cRJdFvZ1fAIAAP__", "1 attachment(s)")</f>
        <v>1 attachment(s)</v>
      </c>
      <c r="AG1792" t="inlineStr">
        <is>
          <t>NzQyNTk5MTgyNzQ4MTg3MDM0MTpDMDZCOUMwQS00REI5LTQ2NEUtOEIxRC03OEZGQTUzRDIyQ0MtMTplMGE2MzJiNjI5MGMxZjAzYTRjNzRkMWQ5ZmNlNTYzODox</t>
        </is>
      </c>
      <c r="AH1792" t="inlineStr">
        <is>
          <t>Green Sun Hotel Management Inc.</t>
        </is>
      </c>
      <c r="AI1792"/>
      <c r="AJ1792" t="inlineStr">
        <is>
          <t>LIQUIDITY PLAN (PAR # 202509020093 / 2025TEG-P0214)
REGULAR SEASON CE TAB &gt; 4.1 Staging and Production&gt;
BROADCAST TECHNICALS (TUCK IN HERE) &gt;
HIDE FROM CLIENT
Total Remaining Budget = Php 222,528.55
Actual Cost = Php 46,400.00
Balance = Php 175,925.55</t>
        </is>
      </c>
      <c r="AK1792"/>
    </row>
    <row r="1793" ht="25.5" customHeight="1">
      <c r="A1793" s="2" t="str">
        <f>=HYPERLINK("https://applink.larksuite.com/client/mini_program/open?appId=cli_9c7cc8a9a9edd105&amp;mode=appCenter&amp;path_pc=pc/pages/requested/index?instanceId=7591790437346578143&amp;source=bitable&amp;path=pages/detail/index?instanceId=7591790437346578143&amp;source=bitable", "202601050094")</f>
        <v>202601050094</v>
      </c>
      <c r="B1793" t="inlineStr">
        <is>
          <t>Approved</t>
        </is>
      </c>
      <c r="C1793" t="inlineStr">
        <is>
          <t>Procurement Order</t>
        </is>
      </c>
      <c r="D1793" s="3">
        <v>46027.68349537037</v>
      </c>
      <c r="E1793" s="3">
        <v>46028.70030092593</v>
      </c>
      <c r="F1793" t="inlineStr">
        <is>
          <t>Fatima Kathleen M. FLores</t>
        </is>
      </c>
      <c r="G1793" t="inlineStr">
        <is>
          <t>Procurement</t>
        </is>
      </c>
      <c r="H1793"/>
      <c r="I1793"/>
      <c r="J1793" t="inlineStr">
        <is>
          <t>Project</t>
        </is>
      </c>
      <c r="K1793" t="inlineStr">
        <is>
          <t>PDEI - Event Service</t>
        </is>
      </c>
      <c r="L1793" t="inlineStr">
        <is>
          <t>MPL PH S16 - Regular Season</t>
        </is>
      </c>
      <c r="M1793" t="inlineStr">
        <is>
          <t>2025TEG-P0214</t>
        </is>
      </c>
      <c r="N1793" t="inlineStr">
        <is>
          <t>Katherine Denise Lee Sy</t>
        </is>
      </c>
      <c r="O1793" t="inlineStr">
        <is>
          <t>202509180078-Katherine Denise Lee Sy-费用报销 - 副本 - 副本 - 副本-2025-09-18 11:36:37</t>
        </is>
      </c>
      <c r="P1793" t="inlineStr">
        <is>
          <t>NO</t>
        </is>
      </c>
      <c r="Q1793"/>
      <c r="R1793" t="inlineStr">
        <is>
          <t>NO</t>
        </is>
      </c>
      <c r="S1793" t="inlineStr">
        <is>
          <t>Hotel Accommodation (Playoffs - Oct. 9 - 12, 2025)</t>
        </is>
      </c>
      <c r="T1793">
        <v>1</v>
      </c>
      <c r="U1793">
        <v>24200</v>
      </c>
      <c r="V1793" t="inlineStr">
        <is>
          <t>PHP</t>
        </is>
      </c>
      <c r="W1793">
        <v>24200</v>
      </c>
      <c r="X1793" s="2"/>
      <c r="Y1793"/>
      <c r="Z1793"/>
      <c r="AA1793"/>
      <c r="AB1793"/>
      <c r="AC1793"/>
      <c r="AD1793" s="4"/>
      <c r="AE1793"/>
      <c r="AF1793" s="2"/>
      <c r="AG1793" t="inlineStr">
        <is>
          <t>NzQyNTk5MTgyNzQ4MTg3MDM0MTpDMDZCOUMwQS00REI5LTQ2NEUtOEIxRC03OEZGQTUzRDIyQ0MtMjowY2M5M2ZjYzlkMGU2ZWQ3ZDY1YWQ3Y2JlMDIxODczODox</t>
        </is>
      </c>
      <c r="AH1793"/>
      <c r="AI1793"/>
      <c r="AJ1793" t="inlineStr">
        <is>
          <t>LIQUIDITY PLAN (PAR # 202509020093 / 2025TEG-P0214)
REGULAR SEASON CE TAB &gt; 4.1 Staging and Production&gt;
BROADCAST TECHNICALS (TUCK IN HERE) &gt;
HIDE FROM CLIENT
Total Remaining Budget = Php 222,528.55
Actual Cost = Php 46,400.00
Balance = Php 175,925.55</t>
        </is>
      </c>
      <c r="AK1793"/>
    </row>
    <row r="1794" ht="25.5" customHeight="1">
      <c r="A1794" s="2" t="str">
        <f>=HYPERLINK("https://applink.larksuite.com/client/mini_program/open?appId=cli_9c7cc8a9a9edd105&amp;mode=appCenter&amp;path_pc=pc/pages/requested/index?instanceId=7591736790545878749&amp;source=bitable&amp;path=pages/detail/index?instanceId=7591736790545878749&amp;source=bitable", "202601050035")</f>
        <v>202601050035</v>
      </c>
      <c r="B1794" t="inlineStr">
        <is>
          <t>Approved</t>
        </is>
      </c>
      <c r="C1794" t="inlineStr">
        <is>
          <t>Procurement Order</t>
        </is>
      </c>
      <c r="D1794" s="3">
        <v>46027.53892361111</v>
      </c>
      <c r="E1794" s="3">
        <v>46051.63993055555</v>
      </c>
      <c r="F1794" t="inlineStr">
        <is>
          <t>Fatima Kathleen M. FLores</t>
        </is>
      </c>
      <c r="G1794" t="inlineStr">
        <is>
          <t>Procurement</t>
        </is>
      </c>
      <c r="H1794"/>
      <c r="I1794"/>
      <c r="J1794" t="inlineStr">
        <is>
          <t>Project</t>
        </is>
      </c>
      <c r="K1794" t="inlineStr">
        <is>
          <t>GG - Event Service</t>
        </is>
      </c>
      <c r="L1794" t="inlineStr">
        <is>
          <t>HOK Philippine Kings League - Fall Season Addendum</t>
        </is>
      </c>
      <c r="M1794" t="inlineStr">
        <is>
          <t>2025TEG-P0261</t>
        </is>
      </c>
      <c r="N1794" t="inlineStr">
        <is>
          <t>Frances Angelita Arreglado</t>
        </is>
      </c>
      <c r="O1794" t="inlineStr">
        <is>
          <t>202512180053-Carla Andrea Calma Crespo-费用报销 - 副本 - 副本 - 副本-2025-12-18 06:43:58</t>
        </is>
      </c>
      <c r="P1794" t="inlineStr">
        <is>
          <t>NO</t>
        </is>
      </c>
      <c r="Q1794"/>
      <c r="R1794" t="inlineStr">
        <is>
          <t>YES</t>
        </is>
      </c>
      <c r="S1794" t="inlineStr">
        <is>
          <t>Electricity Bill (Sept. 11 to Oct. 6, 2025)</t>
        </is>
      </c>
      <c r="T1794">
        <v>1</v>
      </c>
      <c r="U1794">
        <v>192116.68</v>
      </c>
      <c r="V1794" t="inlineStr">
        <is>
          <t>PHP</t>
        </is>
      </c>
      <c r="W1794">
        <v>192116.68</v>
      </c>
      <c r="X1794" s="2" t="str">
        <f>=HYPERLINK("https://www.larksuite.com/approval/admin/previewAttachment?key=PMhBqsJAEATQK1XP1HR1_cv8jSGIGBAkQzZzdsGF25cVyBrR06CjGbE0HOopY3CUSvRqKyRDIebajv2_OB7ni9d5HZ7zueb9tm_vGFZrUCd7AYi_n3eRtJP4Oj4BAAD__w", "2 attachment(s)")</f>
        <v>2 attachment(s)</v>
      </c>
      <c r="Y1794" t="inlineStr">
        <is>
          <t>Bank Transfer</t>
        </is>
      </c>
      <c r="Z1794" t="inlineStr">
        <is>
          <t>SHOOTINGALLERY STUDIOS CORP</t>
        </is>
      </c>
      <c r="AA1794" t="inlineStr">
        <is>
          <t>4831-0020-48</t>
        </is>
      </c>
      <c r="AB1794" t="inlineStr">
        <is>
          <t>BPI</t>
        </is>
      </c>
      <c r="AC1794" t="inlineStr">
        <is>
          <t>1196 Pablo Ocampo Ave. Ext. Cor. Zapote St., Brgy. Sta. Cruz, Makati City</t>
        </is>
      </c>
      <c r="AD1794" s="4">
        <v>45911</v>
      </c>
      <c r="AE1794" t="inlineStr">
        <is>
          <t>100% Full Payment</t>
        </is>
      </c>
      <c r="AF1794" s="2"/>
      <c r="AG1794" t="inlineStr">
        <is>
          <t>NzQyNTk5MTgyNzQ4MTg3MDM0MTo5QzAyN0YzMy1BOTJDLTRBQzItOEM2Qi1CMkE1MTNEMkUxRkEtMTo4MTA5N2Q4ZmM0MDY1YzMzNmNjMDQ5YWE4MTgwNjlkYzox</t>
        </is>
      </c>
      <c r="AH1794" t="inlineStr">
        <is>
          <t>SHOOTINGALLERY STUDIOS CORP</t>
        </is>
      </c>
      <c r="AI1794"/>
      <c r="AJ1794" t="inlineStr">
        <is>
          <t>LIQUIDITY PLAN (PAR # 202510090087 / 2025TEG-P0261)
REGULAR SEASON &gt; Venue &amp; Stage &gt;
VENUE/STUDIO &gt;
Orange Room
(Player Holding Room)
Utility Charges (electricity, waste management, maintenance)
Total Remaining Budget = (Php 71,588.93) NEGATIVE BUDGET
Actual Cost = Php 201,430.11
Balance = (Php 273,019.04) OVER BUDGET</t>
        </is>
      </c>
      <c r="AK1794"/>
    </row>
    <row r="1795" ht="25.5" customHeight="1">
      <c r="A1795" s="2" t="str">
        <f>=HYPERLINK("https://applink.larksuite.com/client/mini_program/open?appId=cli_9c7cc8a9a9edd105&amp;mode=appCenter&amp;path_pc=pc/pages/requested/index?instanceId=7591736790545878749&amp;source=bitable&amp;path=pages/detail/index?instanceId=7591736790545878749&amp;source=bitable", "202601050035")</f>
        <v>202601050035</v>
      </c>
      <c r="B1795" t="inlineStr">
        <is>
          <t>Approved</t>
        </is>
      </c>
      <c r="C1795" t="inlineStr">
        <is>
          <t>Procurement Order</t>
        </is>
      </c>
      <c r="D1795" s="3">
        <v>46027.53892361111</v>
      </c>
      <c r="E1795" s="3">
        <v>46051.63993055555</v>
      </c>
      <c r="F1795" t="inlineStr">
        <is>
          <t>Fatima Kathleen M. FLores</t>
        </is>
      </c>
      <c r="G1795" t="inlineStr">
        <is>
          <t>Procurement</t>
        </is>
      </c>
      <c r="H1795"/>
      <c r="I1795"/>
      <c r="J1795" t="inlineStr">
        <is>
          <t>Project</t>
        </is>
      </c>
      <c r="K1795" t="inlineStr">
        <is>
          <t>GG - Event Service</t>
        </is>
      </c>
      <c r="L1795" t="inlineStr">
        <is>
          <t>HOK Philippine Kings League - Fall Season Addendum</t>
        </is>
      </c>
      <c r="M1795" t="inlineStr">
        <is>
          <t>2025TEG-P0261</t>
        </is>
      </c>
      <c r="N1795" t="inlineStr">
        <is>
          <t>Frances Angelita Arreglado</t>
        </is>
      </c>
      <c r="O1795" t="inlineStr">
        <is>
          <t>202512180053-Carla Andrea Calma Crespo-费用报销 - 副本 - 副本 - 副本-2025-12-18 06:43:58</t>
        </is>
      </c>
      <c r="P1795" t="inlineStr">
        <is>
          <t>NO</t>
        </is>
      </c>
      <c r="Q1795"/>
      <c r="R1795" t="inlineStr">
        <is>
          <t>YES</t>
        </is>
      </c>
      <c r="S1795" t="inlineStr">
        <is>
          <t>Water Bill (Sept. 5 to Oct. 6, 2025)</t>
        </is>
      </c>
      <c r="T1795">
        <v>1</v>
      </c>
      <c r="U1795">
        <v>9313.43</v>
      </c>
      <c r="V1795" t="inlineStr">
        <is>
          <t>PHP</t>
        </is>
      </c>
      <c r="W1795">
        <v>9313.43</v>
      </c>
      <c r="X1795" s="2" t="str">
        <f>=HYPERLINK("https://www.larksuite.com/approval/admin/previewAttachment?key=PMhBqgJBDATQKyXdlVTqX-ZvHAYRBwSZZjY5u-DC7ctyywqfKYN8yLwZcs6kLBDFItSjnZTRiezt2P8L8ThfuM7r0FrPXvfbvr09xDGME5hlZv7380kAUsK-7p8AAAD__w", "1 attachment(s)")</f>
        <v>1 attachment(s)</v>
      </c>
      <c r="Y1795"/>
      <c r="Z1795"/>
      <c r="AA1795"/>
      <c r="AB1795"/>
      <c r="AC1795"/>
      <c r="AD1795" s="4"/>
      <c r="AE1795"/>
      <c r="AF1795" s="2"/>
      <c r="AG1795" t="inlineStr">
        <is>
          <t>NzQyNTk5MTgyNzQ4MTg3MDM0MTo5QzAyN0YzMy1BOTJDLTRBQzItOEM2Qi1CMkE1MTNEMkUxRkEtMjozODdlYzY0NjI5MTE2NGVhMGRhNzJkMjMwZDQ0ZWFhOTox</t>
        </is>
      </c>
      <c r="AH1795"/>
      <c r="AI1795"/>
      <c r="AJ1795" t="inlineStr">
        <is>
          <t>LIQUIDITY PLAN (PAR # 202510090087 / 2025TEG-P0261)
REGULAR SEASON &gt; Venue &amp; Stage &gt;
VENUE/STUDIO &gt;
Orange Room
(Player Holding Room)
Utility Charges (electricity, waste management, maintenance)
Total Remaining Budget = (Php 71,588.93) NEGATIVE BUDGET
Actual Cost = Php 201,430.11
Balance = (Php 273,019.04) OVER BUDGET</t>
        </is>
      </c>
      <c r="AK1795"/>
    </row>
    <row r="1796" ht="25.5" customHeight="1">
      <c r="A1796" s="2" t="str">
        <f>=HYPERLINK("https://applink.larksuite.com/client/mini_program/open?appId=cli_9c7cc8a9a9edd105&amp;mode=appCenter&amp;path_pc=pc/pages/requested/index?instanceId=7592477187094089440&amp;source=bitable&amp;path=pages/detail/index?instanceId=7592477187094089440&amp;source=bitable", "202601070021")</f>
        <v>202601070021</v>
      </c>
      <c r="B1796" t="inlineStr">
        <is>
          <t>Approved</t>
        </is>
      </c>
      <c r="C1796" t="inlineStr">
        <is>
          <t>Procurement Order</t>
        </is>
      </c>
      <c r="D1796" s="3">
        <v>46029.53414351852</v>
      </c>
      <c r="E1796" s="3">
        <v>46029.683483796296</v>
      </c>
      <c r="F1796" t="inlineStr">
        <is>
          <t>Fatima Kathleen M. FLores</t>
        </is>
      </c>
      <c r="G1796" t="inlineStr">
        <is>
          <t>Procurement</t>
        </is>
      </c>
      <c r="H1796"/>
      <c r="I1796"/>
      <c r="J1796" t="inlineStr">
        <is>
          <t>Project</t>
        </is>
      </c>
      <c r="K1796" t="inlineStr">
        <is>
          <t>GG - Event Service</t>
        </is>
      </c>
      <c r="L1796" t="inlineStr">
        <is>
          <t>Crossfire Legends Public Test Launch</t>
        </is>
      </c>
      <c r="M1796" t="inlineStr">
        <is>
          <t>2025TEG-P0322</t>
        </is>
      </c>
      <c r="N1796" t="inlineStr">
        <is>
          <t>Alessandra Mae Villanueva Boado</t>
        </is>
      </c>
      <c r="O1796" t="inlineStr">
        <is>
          <t>202512100026-Alessandra Mae Villanueva Boado-费用报销 - 副本 - 副本 - 副本-2025-12-10 04:06:27</t>
        </is>
      </c>
      <c r="P1796" t="inlineStr">
        <is>
          <t>NO</t>
        </is>
      </c>
      <c r="Q1796"/>
      <c r="R1796" t="inlineStr">
        <is>
          <t>NO</t>
        </is>
      </c>
      <c r="S1796" t="inlineStr">
        <is>
          <t>Crew Meals - Ingress, Rehearsals,  Event Day &amp; Egress (Dec. 14 to 15, 2025)</t>
        </is>
      </c>
      <c r="T1796">
        <v>761</v>
      </c>
      <c r="U1796">
        <v>130</v>
      </c>
      <c r="V1796" t="inlineStr">
        <is>
          <t>PHP</t>
        </is>
      </c>
      <c r="W1796">
        <v>98930</v>
      </c>
      <c r="X1796" s="2"/>
      <c r="Y1796" t="inlineStr">
        <is>
          <t>Bank Transfer</t>
        </is>
      </c>
      <c r="Z1796" t="inlineStr">
        <is>
          <t>Michelle Francine G. Manuntag</t>
        </is>
      </c>
      <c r="AA1796" t="inlineStr">
        <is>
          <t>000170292002</t>
        </is>
      </c>
      <c r="AB1796" t="inlineStr">
        <is>
          <t>BDO</t>
        </is>
      </c>
      <c r="AC1796" t="inlineStr">
        <is>
          <t>Makati City</t>
        </is>
      </c>
      <c r="AD1796" s="4">
        <v>46005</v>
      </c>
      <c r="AE1796" t="inlineStr">
        <is>
          <t>100% Full Payment</t>
        </is>
      </c>
      <c r="AF1796" s="2"/>
      <c r="AG1796" t="inlineStr">
        <is>
          <t>NzQyNTk5MTgyNzQ4MTg3MDM0MTpCNjdBM0M5Ni1FN0E4LTRBM0QtQkZFNy0yREEzRDA0QjdDREItMTpiNTEzNDA4MDVhZThiM2I2YTQ5YjFkZDE4MzFiZDIyMTox</t>
        </is>
      </c>
      <c r="AH1796" t="inlineStr">
        <is>
          <t>Michelle Francine G. Manuntag</t>
        </is>
      </c>
      <c r="AI1796"/>
      <c r="AJ1796" t="inlineStr">
        <is>
          <t>LIQUIDITY PLAN (PAR # 202512090150 / 2025TEG-P0322)
Miscellaneous &gt; 
Ingress Meals
Rehearsal Day Meals
Event Day Meals
Egress Meals
Total Budget = Php 150,000.00
Actual Cost = Php 102,512.00
Balance = Php 47,488.00</t>
        </is>
      </c>
      <c r="AK1796"/>
    </row>
    <row r="1797" ht="25.5" customHeight="1">
      <c r="A1797" s="2" t="str">
        <f>=HYPERLINK("https://applink.larksuite.com/client/mini_program/open?appId=cli_9c7cc8a9a9edd105&amp;mode=appCenter&amp;path_pc=pc/pages/requested/index?instanceId=7592477187094089440&amp;source=bitable&amp;path=pages/detail/index?instanceId=7592477187094089440&amp;source=bitable", "202601070021")</f>
        <v>202601070021</v>
      </c>
      <c r="B1797" t="inlineStr">
        <is>
          <t>Approved</t>
        </is>
      </c>
      <c r="C1797" t="inlineStr">
        <is>
          <t>Procurement Order</t>
        </is>
      </c>
      <c r="D1797" s="3">
        <v>46029.53414351852</v>
      </c>
      <c r="E1797" s="3">
        <v>46029.683483796296</v>
      </c>
      <c r="F1797" t="inlineStr">
        <is>
          <t>Fatima Kathleen M. FLores</t>
        </is>
      </c>
      <c r="G1797" t="inlineStr">
        <is>
          <t>Procurement</t>
        </is>
      </c>
      <c r="H1797"/>
      <c r="I1797"/>
      <c r="J1797" t="inlineStr">
        <is>
          <t>Project</t>
        </is>
      </c>
      <c r="K1797" t="inlineStr">
        <is>
          <t>GG - Event Service</t>
        </is>
      </c>
      <c r="L1797" t="inlineStr">
        <is>
          <t>Crossfire Legends Public Test Launch</t>
        </is>
      </c>
      <c r="M1797" t="inlineStr">
        <is>
          <t>2025TEG-P0322</t>
        </is>
      </c>
      <c r="N1797" t="inlineStr">
        <is>
          <t>Alessandra Mae Villanueva Boado</t>
        </is>
      </c>
      <c r="O1797" t="inlineStr">
        <is>
          <t>202512100026-Alessandra Mae Villanueva Boado-费用报销 - 副本 - 副本 - 副本-2025-12-10 04:06:27</t>
        </is>
      </c>
      <c r="P1797" t="inlineStr">
        <is>
          <t>NO</t>
        </is>
      </c>
      <c r="Q1797"/>
      <c r="R1797" t="inlineStr">
        <is>
          <t>NO</t>
        </is>
      </c>
      <c r="S1797" t="inlineStr">
        <is>
          <t>Delivery Fee</t>
        </is>
      </c>
      <c r="T1797">
        <v>1</v>
      </c>
      <c r="U1797">
        <v>3582</v>
      </c>
      <c r="V1797" t="inlineStr">
        <is>
          <t>PHP</t>
        </is>
      </c>
      <c r="W1797">
        <v>3582</v>
      </c>
      <c r="X1797" s="2" t="str">
        <f>=HYPERLINK("https://www.larksuite.com/approval/admin/previewAttachment?key=PMgxDsIwFAPQK9mJG__PZViIKgRlQhQ6_LMjMbC-EcSIhX0klGwJlpdsshlGCpESqhXthGmNmo_1TL_3DbdPHPfXdszar5d1PrmkW4O71AMAT3_vlpQ5hJ_zGwAA__8", "2 attachment(s)")</f>
        <v>2 attachment(s)</v>
      </c>
      <c r="Y1797"/>
      <c r="Z1797"/>
      <c r="AA1797"/>
      <c r="AB1797"/>
      <c r="AC1797"/>
      <c r="AD1797" s="4"/>
      <c r="AE1797"/>
      <c r="AF1797" s="2"/>
      <c r="AG1797" t="inlineStr">
        <is>
          <t>NzQyNTk5MTgyNzQ4MTg3MDM0MTpCNjdBM0M5Ni1FN0E4LTRBM0QtQkZFNy0yREEzRDA0QjdDREItMjo0OThiMjRmMTAyMmE3ZmZlYjg2ZWVhZmMwZjRjYWYzYjox</t>
        </is>
      </c>
      <c r="AH1797"/>
      <c r="AI1797"/>
      <c r="AJ1797" t="inlineStr">
        <is>
          <t>LIQUIDITY PLAN (PAR # 202512090150 / 2025TEG-P0322)
Miscellaneous &gt; 
Ingress Meals
Rehearsal Day Meals
Event Day Meals
Egress Meals
Total Budget = Php 150,000.00
Actual Cost = Php 102,512.00
Balance = Php 47,488.00</t>
        </is>
      </c>
      <c r="AK1797"/>
    </row>
    <row r="1798" ht="25.5" customHeight="1">
      <c r="A1798" s="2" t="str">
        <f>=HYPERLINK("https://applink.larksuite.com/client/mini_program/open?appId=cli_9c7cc8a9a9edd105&amp;mode=appCenter&amp;path_pc=pc/pages/requested/index?instanceId=7592480228149825245&amp;source=bitable&amp;path=pages/detail/index?instanceId=7592480228149825245&amp;source=bitable", "202601070025")</f>
        <v>202601070025</v>
      </c>
      <c r="B1798" t="inlineStr">
        <is>
          <t>Approved</t>
        </is>
      </c>
      <c r="C1798" t="inlineStr">
        <is>
          <t>Procurement Order</t>
        </is>
      </c>
      <c r="D1798" s="3">
        <v>46029.542337962965</v>
      </c>
      <c r="E1798" s="3">
        <v>46029.68145833333</v>
      </c>
      <c r="F1798" t="inlineStr">
        <is>
          <t>Fatima Kathleen M. FLores</t>
        </is>
      </c>
      <c r="G1798" t="inlineStr">
        <is>
          <t>Procurement</t>
        </is>
      </c>
      <c r="H1798"/>
      <c r="I1798"/>
      <c r="J1798" t="inlineStr">
        <is>
          <t>Project</t>
        </is>
      </c>
      <c r="K1798" t="inlineStr">
        <is>
          <t>GG - Event Service</t>
        </is>
      </c>
      <c r="L1798" t="inlineStr">
        <is>
          <t>Crossfire Legends Public Test Launch</t>
        </is>
      </c>
      <c r="M1798" t="inlineStr">
        <is>
          <t>2025TEG-P0322</t>
        </is>
      </c>
      <c r="N1798" t="inlineStr">
        <is>
          <t>Juvie Anne Asis Castres</t>
        </is>
      </c>
      <c r="O1798" t="inlineStr">
        <is>
          <t>202512100129-Juvie Anne Asis Castres-费用报销 - 副本 - 副本 - 副本-2025-12-10 11:43:26</t>
        </is>
      </c>
      <c r="P1798" t="inlineStr">
        <is>
          <t>NO</t>
        </is>
      </c>
      <c r="Q1798"/>
      <c r="R1798" t="inlineStr">
        <is>
          <t>NO</t>
        </is>
      </c>
      <c r="S1798" t="inlineStr">
        <is>
          <t>2.75ft x 6.5ft PULL UP BANNER WITH MECHANISM</t>
        </is>
      </c>
      <c r="T1798">
        <v>10</v>
      </c>
      <c r="U1798">
        <v>1700</v>
      </c>
      <c r="V1798" t="inlineStr">
        <is>
          <t>PHP</t>
        </is>
      </c>
      <c r="W1798">
        <v>17000</v>
      </c>
      <c r="X1798" s="2"/>
      <c r="Y1798" t="inlineStr">
        <is>
          <t>Bank Transfer</t>
        </is>
      </c>
      <c r="Z1798" t="inlineStr">
        <is>
          <t>iLIGHT PRODUCTION</t>
        </is>
      </c>
      <c r="AA1798" t="inlineStr">
        <is>
          <t>007960010274</t>
        </is>
      </c>
      <c r="AB1798" t="inlineStr">
        <is>
          <t>BDO</t>
        </is>
      </c>
      <c r="AC1798" t="inlineStr">
        <is>
          <t>3791 Mascardo St. Brgy, Sta Cruz, Makati City</t>
        </is>
      </c>
      <c r="AD1798" s="4">
        <v>46002</v>
      </c>
      <c r="AE1798" t="inlineStr">
        <is>
          <t>100% Full Payment</t>
        </is>
      </c>
      <c r="AF1798" s="2"/>
      <c r="AG1798" t="inlineStr">
        <is>
          <t>NzQyNTk5MTgyNzQ4MTg3MDM0MTpBNEREM0REOS1FOUVCLTRCQ0ItOEI5RS04RUVGMjY4MjdFQTYtMTplNDFlMmUwYjRkNjkxMWU1NDU3ODAwN2VmZTJmNmM4Zjox</t>
        </is>
      </c>
      <c r="AH1798" t="inlineStr">
        <is>
          <t>iLIGHT PRODUCTION</t>
        </is>
      </c>
      <c r="AI1798"/>
      <c r="AJ1798" t="inlineStr">
        <is>
          <t>LIQUIDITY PLAN (PAR # 202512090150 / 2025TEG-P0322)
Collaterals &gt; Merchandise Production &gt;
Merchandise Production
Total Budget = Php 90,000.00
Actual Cost = Php 31,620.00
Balance = Php 58,380.00</t>
        </is>
      </c>
      <c r="AK1798"/>
    </row>
    <row r="1799" ht="25.5" customHeight="1">
      <c r="A1799" s="2" t="str">
        <f>=HYPERLINK("https://applink.larksuite.com/client/mini_program/open?appId=cli_9c7cc8a9a9edd105&amp;mode=appCenter&amp;path_pc=pc/pages/requested/index?instanceId=7592480228149825245&amp;source=bitable&amp;path=pages/detail/index?instanceId=7592480228149825245&amp;source=bitable", "202601070025")</f>
        <v>202601070025</v>
      </c>
      <c r="B1799" t="inlineStr">
        <is>
          <t>Approved</t>
        </is>
      </c>
      <c r="C1799" t="inlineStr">
        <is>
          <t>Procurement Order</t>
        </is>
      </c>
      <c r="D1799" s="3">
        <v>46029.542337962965</v>
      </c>
      <c r="E1799" s="3">
        <v>46029.68145833333</v>
      </c>
      <c r="F1799" t="inlineStr">
        <is>
          <t>Fatima Kathleen M. FLores</t>
        </is>
      </c>
      <c r="G1799" t="inlineStr">
        <is>
          <t>Procurement</t>
        </is>
      </c>
      <c r="H1799"/>
      <c r="I1799"/>
      <c r="J1799" t="inlineStr">
        <is>
          <t>Project</t>
        </is>
      </c>
      <c r="K1799" t="inlineStr">
        <is>
          <t>GG - Event Service</t>
        </is>
      </c>
      <c r="L1799" t="inlineStr">
        <is>
          <t>Crossfire Legends Public Test Launch</t>
        </is>
      </c>
      <c r="M1799" t="inlineStr">
        <is>
          <t>2025TEG-P0322</t>
        </is>
      </c>
      <c r="N1799" t="inlineStr">
        <is>
          <t>Juvie Anne Asis Castres</t>
        </is>
      </c>
      <c r="O1799" t="inlineStr">
        <is>
          <t>202512100129-Juvie Anne Asis Castres-费用报销 - 副本 - 副本 - 副本-2025-12-10 11:43:26</t>
        </is>
      </c>
      <c r="P1799" t="inlineStr">
        <is>
          <t>NO</t>
        </is>
      </c>
      <c r="Q1799"/>
      <c r="R1799" t="inlineStr">
        <is>
          <t>NO</t>
        </is>
      </c>
      <c r="S1799" t="inlineStr">
        <is>
          <t>5.7FT HEIGHT STANDEE</t>
        </is>
      </c>
      <c r="T1799">
        <v>6</v>
      </c>
      <c r="U1799">
        <v>2350</v>
      </c>
      <c r="V1799" t="inlineStr">
        <is>
          <t>PHP</t>
        </is>
      </c>
      <c r="W1799">
        <v>14100</v>
      </c>
      <c r="X1799" s="2"/>
      <c r="Y1799"/>
      <c r="Z1799"/>
      <c r="AA1799"/>
      <c r="AB1799"/>
      <c r="AC1799"/>
      <c r="AD1799" s="4"/>
      <c r="AE1799"/>
      <c r="AF1799" s="2"/>
      <c r="AG1799" t="inlineStr">
        <is>
          <t>NzQyNTk5MTgyNzQ4MTg3MDM0MTpBNEREM0REOS1FOUVCLTRCQ0ItOEI5RS04RUVGMjY4MjdFQTYtMjo3OWU0MTA5YTEzMzhmMTcwNDRjZTFlMWExMzJkOGY1MTox</t>
        </is>
      </c>
      <c r="AH1799"/>
      <c r="AI1799"/>
      <c r="AJ1799" t="inlineStr">
        <is>
          <t>LIQUIDITY PLAN (PAR # 202512090150 / 2025TEG-P0322)
Collaterals &gt; Merchandise Production &gt;
Merchandise Production
Total Budget = Php 90,000.00
Actual Cost = Php 31,620.00
Balance = Php 58,380.00</t>
        </is>
      </c>
      <c r="AK1799"/>
    </row>
    <row r="1800" ht="25.5" customHeight="1">
      <c r="A1800" s="2" t="str">
        <f>=HYPERLINK("https://applink.larksuite.com/client/mini_program/open?appId=cli_9c7cc8a9a9edd105&amp;mode=appCenter&amp;path_pc=pc/pages/requested/index?instanceId=7592480228149825245&amp;source=bitable&amp;path=pages/detail/index?instanceId=7592480228149825245&amp;source=bitable", "202601070025")</f>
        <v>202601070025</v>
      </c>
      <c r="B1800" t="inlineStr">
        <is>
          <t>Approved</t>
        </is>
      </c>
      <c r="C1800" t="inlineStr">
        <is>
          <t>Procurement Order</t>
        </is>
      </c>
      <c r="D1800" s="3">
        <v>46029.542337962965</v>
      </c>
      <c r="E1800" s="3">
        <v>46029.68145833333</v>
      </c>
      <c r="F1800" t="inlineStr">
        <is>
          <t>Fatima Kathleen M. FLores</t>
        </is>
      </c>
      <c r="G1800" t="inlineStr">
        <is>
          <t>Procurement</t>
        </is>
      </c>
      <c r="H1800"/>
      <c r="I1800"/>
      <c r="J1800" t="inlineStr">
        <is>
          <t>Project</t>
        </is>
      </c>
      <c r="K1800" t="inlineStr">
        <is>
          <t>GG - Event Service</t>
        </is>
      </c>
      <c r="L1800" t="inlineStr">
        <is>
          <t>Crossfire Legends Public Test Launch</t>
        </is>
      </c>
      <c r="M1800" t="inlineStr">
        <is>
          <t>2025TEG-P0322</t>
        </is>
      </c>
      <c r="N1800" t="inlineStr">
        <is>
          <t>Juvie Anne Asis Castres</t>
        </is>
      </c>
      <c r="O1800" t="inlineStr">
        <is>
          <t>202512100129-Juvie Anne Asis Castres-费用报销 - 副本 - 副本 - 副本-2025-12-10 11:43:26</t>
        </is>
      </c>
      <c r="P1800" t="inlineStr">
        <is>
          <t>NO</t>
        </is>
      </c>
      <c r="Q1800"/>
      <c r="R1800" t="inlineStr">
        <is>
          <t>NO</t>
        </is>
      </c>
      <c r="S1800" t="inlineStr">
        <is>
          <t>CUE CARDS</t>
        </is>
      </c>
      <c r="T1800">
        <v>4</v>
      </c>
      <c r="U1800">
        <v>90</v>
      </c>
      <c r="V1800" t="inlineStr">
        <is>
          <t>PHP</t>
        </is>
      </c>
      <c r="W1800">
        <v>360</v>
      </c>
      <c r="X1800" s="2"/>
      <c r="Y1800"/>
      <c r="Z1800"/>
      <c r="AA1800"/>
      <c r="AB1800"/>
      <c r="AC1800"/>
      <c r="AD1800" s="4"/>
      <c r="AE1800"/>
      <c r="AF1800" s="2"/>
      <c r="AG1800" t="inlineStr">
        <is>
          <t>NzQyNTk5MTgyNzQ4MTg3MDM0MTpBNEREM0REOS1FOUVCLTRCQ0ItOEI5RS04RUVGMjY4MjdFQTYtMzplNGNlMGZjMWY3ZTJjZmJiOTQyNjQ1MjhmOGM2Nzg4Njox</t>
        </is>
      </c>
      <c r="AH1800"/>
      <c r="AI1800"/>
      <c r="AJ1800" t="inlineStr">
        <is>
          <t>LIQUIDITY PLAN (PAR # 202512090150 / 2025TEG-P0322)
Collaterals &gt; Merchandise Production &gt;
Merchandise Production
Total Budget = Php 90,000.00
Actual Cost = Php 31,620.00
Balance = Php 58,380.00</t>
        </is>
      </c>
      <c r="AK1800"/>
    </row>
    <row r="1801" ht="25.5" customHeight="1">
      <c r="A1801" s="2" t="str">
        <f>=HYPERLINK("https://applink.larksuite.com/client/mini_program/open?appId=cli_9c7cc8a9a9edd105&amp;mode=appCenter&amp;path_pc=pc/pages/requested/index?instanceId=7592480228149825245&amp;source=bitable&amp;path=pages/detail/index?instanceId=7592480228149825245&amp;source=bitable", "202601070025")</f>
        <v>202601070025</v>
      </c>
      <c r="B1801" t="inlineStr">
        <is>
          <t>Approved</t>
        </is>
      </c>
      <c r="C1801" t="inlineStr">
        <is>
          <t>Procurement Order</t>
        </is>
      </c>
      <c r="D1801" s="3">
        <v>46029.542337962965</v>
      </c>
      <c r="E1801" s="3">
        <v>46029.68145833333</v>
      </c>
      <c r="F1801" t="inlineStr">
        <is>
          <t>Fatima Kathleen M. FLores</t>
        </is>
      </c>
      <c r="G1801" t="inlineStr">
        <is>
          <t>Procurement</t>
        </is>
      </c>
      <c r="H1801"/>
      <c r="I1801"/>
      <c r="J1801" t="inlineStr">
        <is>
          <t>Project</t>
        </is>
      </c>
      <c r="K1801" t="inlineStr">
        <is>
          <t>GG - Event Service</t>
        </is>
      </c>
      <c r="L1801" t="inlineStr">
        <is>
          <t>Crossfire Legends Public Test Launch</t>
        </is>
      </c>
      <c r="M1801" t="inlineStr">
        <is>
          <t>2025TEG-P0322</t>
        </is>
      </c>
      <c r="N1801" t="inlineStr">
        <is>
          <t>Juvie Anne Asis Castres</t>
        </is>
      </c>
      <c r="O1801" t="inlineStr">
        <is>
          <t>202512100129-Juvie Anne Asis Castres-费用报销 - 副本 - 副本 - 副本-2025-12-10 11:43:26</t>
        </is>
      </c>
      <c r="P1801" t="inlineStr">
        <is>
          <t>NO</t>
        </is>
      </c>
      <c r="Q1801"/>
      <c r="R1801" t="inlineStr">
        <is>
          <t>NO</t>
        </is>
      </c>
      <c r="S1801" t="inlineStr">
        <is>
          <t>MIC HOLDER</t>
        </is>
      </c>
      <c r="T1801">
        <v>2</v>
      </c>
      <c r="U1801">
        <v>80</v>
      </c>
      <c r="V1801" t="inlineStr">
        <is>
          <t>PHP</t>
        </is>
      </c>
      <c r="W1801">
        <v>160</v>
      </c>
      <c r="X1801" s="2" t="str">
        <f>=HYPERLINK("https://www.larksuite.com/approval/admin/previewAttachment?key=PMgxCsJAFATQK838nd3_x8vYGIIRYiMJafbsgoXtG0WM6mzDkBkGZ3aHChFFuaKH-ozJTCOZGnPZ1_ub13a-vF3njuPAPJ-PdfmwOyOQTWoFgLe_t5RkD-Hn7RsAAP__", "2 attachment(s)")</f>
        <v>2 attachment(s)</v>
      </c>
      <c r="Y1801"/>
      <c r="Z1801"/>
      <c r="AA1801"/>
      <c r="AB1801"/>
      <c r="AC1801"/>
      <c r="AD1801" s="4"/>
      <c r="AE1801"/>
      <c r="AF1801" s="2"/>
      <c r="AG1801" t="inlineStr">
        <is>
          <t>NzQyNTk5MTgyNzQ4MTg3MDM0MTpBNEREM0REOS1FOUVCLTRCQ0ItOEI5RS04RUVGMjY4MjdFQTYtNDozOTMwZTkxYTI0YTEyNzliZGJjMzUzMDZjNDEyMDA3YTox</t>
        </is>
      </c>
      <c r="AH1801"/>
      <c r="AI1801"/>
      <c r="AJ1801" t="inlineStr">
        <is>
          <t>LIQUIDITY PLAN (PAR # 202512090150 / 2025TEG-P0322)
Collaterals &gt; Merchandise Production &gt;
Merchandise Production
Total Budget = Php 90,000.00
Actual Cost = Php 31,620.00
Balance = Php 58,380.00</t>
        </is>
      </c>
      <c r="AK1801"/>
    </row>
    <row r="1802" ht="25.5" customHeight="1">
      <c r="A1802" s="2" t="str">
        <f>=HYPERLINK("https://applink.larksuite.com/client/mini_program/open?appId=cli_9c7cc8a9a9edd105&amp;mode=appCenter&amp;path_pc=pc/pages/requested/index?instanceId=7592507510205026012&amp;source=bitable&amp;path=pages/detail/index?instanceId=7592507510205026012&amp;source=bitable", "202601070041")</f>
        <v>202601070041</v>
      </c>
      <c r="B1802" t="inlineStr">
        <is>
          <t>Approved</t>
        </is>
      </c>
      <c r="C1802" t="inlineStr">
        <is>
          <t>Procurement Order</t>
        </is>
      </c>
      <c r="D1802" s="3">
        <v>46029.61585648148</v>
      </c>
      <c r="E1802" s="3">
        <v>46031.713229166664</v>
      </c>
      <c r="F1802" t="inlineStr">
        <is>
          <t>Fatima Kathleen M. FLores</t>
        </is>
      </c>
      <c r="G1802" t="inlineStr">
        <is>
          <t>Procurement</t>
        </is>
      </c>
      <c r="H1802"/>
      <c r="I1802"/>
      <c r="J1802" t="inlineStr">
        <is>
          <t>Project</t>
        </is>
      </c>
      <c r="K1802" t="inlineStr">
        <is>
          <t>PDEI - Game Marketing</t>
        </is>
      </c>
      <c r="L1802" t="inlineStr">
        <is>
          <t>CCAP MLBB 2025</t>
        </is>
      </c>
      <c r="M1802" t="inlineStr">
        <is>
          <t>2025TEG-P0121</t>
        </is>
      </c>
      <c r="N1802" t="inlineStr">
        <is>
          <t>Maura Aurel Atilano Yap</t>
        </is>
      </c>
      <c r="O1802" t="inlineStr">
        <is>
          <t>202511290012-Maura Aurel Atilano Yap-费用报销 - 副本 - 副本 - 副本-2025-11-29 12:28:25</t>
        </is>
      </c>
      <c r="P1802" t="inlineStr">
        <is>
          <t>YES</t>
        </is>
      </c>
      <c r="Q1802"/>
      <c r="R1802" t="inlineStr">
        <is>
          <t>NO</t>
        </is>
      </c>
      <c r="S1802" t="inlineStr">
        <is>
          <t>Outsourced Talent / Caster (Too Fast)</t>
        </is>
      </c>
      <c r="T1802">
        <v>1</v>
      </c>
      <c r="U1802">
        <v>26000</v>
      </c>
      <c r="V1802" t="inlineStr">
        <is>
          <t>PHP</t>
        </is>
      </c>
      <c r="W1802">
        <v>26000</v>
      </c>
      <c r="X1802" s="2" t="str">
        <f>=HYPERLINK("https://www.larksuite.com/approval/admin/previewAttachment?key=PMg7DgIxDATQK804tifmMjS7ivgoNEisKHJ2JIptX3Yie7BlwYtW4FKUBRSEIWAJ2rJFqSDKc-1zXOcX9y3GfB7H4zW0Prdt7G9GyQxq7q0D4OX0JnevSsff8QsAAP__", "2 attachment(s)")</f>
        <v>2 attachment(s)</v>
      </c>
      <c r="Y1802" t="inlineStr">
        <is>
          <t>Bank Transfer</t>
        </is>
      </c>
      <c r="Z1802" t="inlineStr">
        <is>
          <t>Christian Dell F. Tupas</t>
        </is>
      </c>
      <c r="AA1802" t="inlineStr">
        <is>
          <t>1094 8573 5277</t>
        </is>
      </c>
      <c r="AB1802" t="inlineStr">
        <is>
          <t>Unionbank</t>
        </is>
      </c>
      <c r="AC1802" t="inlineStr">
        <is>
          <t>71 A. Mabini St. Burgos Rodriguez, Rizal</t>
        </is>
      </c>
      <c r="AD1802" s="4">
        <v>45997</v>
      </c>
      <c r="AE1802" t="inlineStr">
        <is>
          <t>1st Payment - Jan. 23, 2026
Final Payment - Feb. 6, 2026</t>
        </is>
      </c>
      <c r="AF1802" s="2"/>
      <c r="AG1802" t="inlineStr">
        <is>
          <t>NzQyNTk5MTgyNzQ4MTg3MDM0MTowNkU5NTNFMS0xNTI1LTQzNTctQUY3OS1FN0E3RTYxNDgxNTctMTo5MDA3NGQ1M2ExNzZiNmE3ODhkMWI4NzZkODc0YTQyZTox</t>
        </is>
      </c>
      <c r="AH1802" t="inlineStr">
        <is>
          <t>Christian Dell F. Tupas</t>
        </is>
      </c>
      <c r="AI1802"/>
      <c r="AJ1802" t="inlineStr">
        <is>
          <t>LIQUIDITY PLAN (PAR # 202512120012 / 2025TEG-P0121)
TALENTS &gt;
Casters (Qualifiers)
Caster (Finals)
Total Budget = Php 111,000.00
This Request = Php 26,000.00
Balance = Php 85,000.00</t>
        </is>
      </c>
      <c r="AK1802"/>
    </row>
    <row r="1803" ht="25.5" customHeight="1">
      <c r="A1803" s="2" t="str">
        <f>=HYPERLINK("https://applink.larksuite.com/client/mini_program/open?appId=cli_9c7cc8a9a9edd105&amp;mode=appCenter&amp;path_pc=pc/pages/requested/index?instanceId=7592500487836978913&amp;source=bitable&amp;path=pages/detail/index?instanceId=7592500487836978913&amp;source=bitable", "202601070034")</f>
        <v>202601070034</v>
      </c>
      <c r="B1803" t="inlineStr">
        <is>
          <t>Approved</t>
        </is>
      </c>
      <c r="C1803" t="inlineStr">
        <is>
          <t>Procurement Order</t>
        </is>
      </c>
      <c r="D1803" s="3">
        <v>46029.59693287037</v>
      </c>
      <c r="E1803" s="3">
        <v>46030.862905092596</v>
      </c>
      <c r="F1803" t="inlineStr">
        <is>
          <t>Fatima Kathleen M. FLores</t>
        </is>
      </c>
      <c r="G1803" t="inlineStr">
        <is>
          <t>Procurement</t>
        </is>
      </c>
      <c r="H1803"/>
      <c r="I1803"/>
      <c r="J1803" t="inlineStr">
        <is>
          <t>Project</t>
        </is>
      </c>
      <c r="K1803" t="inlineStr">
        <is>
          <t>GG - Event Service</t>
        </is>
      </c>
      <c r="L1803" t="inlineStr">
        <is>
          <t>KIC 2025 - Playoffs</t>
        </is>
      </c>
      <c r="M1803" t="inlineStr">
        <is>
          <t>2025TEG-P0321</t>
        </is>
      </c>
      <c r="N1803" t="inlineStr">
        <is>
          <t>Carla Andrea Calma Crespo</t>
        </is>
      </c>
      <c r="O1803" t="inlineStr">
        <is>
          <t>202512180030-Carla Andrea Calma Crespo-费用报销 - 副本 - 副本 - 副本-2025-12-18 04:38:37</t>
        </is>
      </c>
      <c r="P1803" t="inlineStr">
        <is>
          <t>YES</t>
        </is>
      </c>
      <c r="Q1803"/>
      <c r="R1803" t="inlineStr">
        <is>
          <t>YES</t>
        </is>
      </c>
      <c r="S1803" t="inlineStr">
        <is>
          <t>Outsourced Video Editor</t>
        </is>
      </c>
      <c r="T1803">
        <v>1</v>
      </c>
      <c r="U1803">
        <v>60000</v>
      </c>
      <c r="V1803" t="inlineStr">
        <is>
          <t>PHP</t>
        </is>
      </c>
      <c r="W1803">
        <v>60000</v>
      </c>
      <c r="X1803" s="2" t="str">
        <f>=HYPERLINK("https://www.larksuite.com/approval/admin/previewAttachment?key=PMg9CgJRDATgK01e8jIZL2Pjsuj6gyAoFjm7YLHtl2XImuYphGwI1pwaE4hieYol8x5tpEBjZC_39fiJi_w5t-17K3tc-30-rcvLpjgG6BFeAOywuzMipAz8Hb8AAAD__w", "2 attachment(s)")</f>
        <v>2 attachment(s)</v>
      </c>
      <c r="Y1803" t="inlineStr">
        <is>
          <t>Bank Transfer</t>
        </is>
      </c>
      <c r="Z1803" t="inlineStr">
        <is>
          <t>Mc Kenneth R. Esteban</t>
        </is>
      </c>
      <c r="AA1803" t="inlineStr">
        <is>
          <t>9619212212</t>
        </is>
      </c>
      <c r="AB1803" t="inlineStr">
        <is>
          <t>BPI</t>
        </is>
      </c>
      <c r="AC1803" t="inlineStr">
        <is>
          <t>10 Kasoy St. Pasong Tamo Quezon City</t>
        </is>
      </c>
      <c r="AD1803" s="4">
        <v>45985</v>
      </c>
      <c r="AE1803" t="inlineStr">
        <is>
          <t>1st Payment - Jan. 9, 2026
Final Payment - Jan. 16, 2026</t>
        </is>
      </c>
      <c r="AF1803" s="2"/>
      <c r="AG1803" t="inlineStr">
        <is>
          <t>NzQyNTk5MTgyNzQ4MTg3MDM0MTpGQTk4OTBEOS05MDYwLTQzQTQtODAxNy1GN0VGNjlGOEMwREQtMTo0NmQxZjljNjdjMjhmYjdhMjlmMjJlMzA1YmRlZTEyMTox</t>
        </is>
      </c>
      <c r="AH1803" t="inlineStr">
        <is>
          <t>Mc Kenneth R. Esteban</t>
        </is>
      </c>
      <c r="AI1803"/>
      <c r="AJ1803" t="inlineStr">
        <is>
          <t>No line item in internal CE. To be charged to an ADDENDUM.</t>
        </is>
      </c>
      <c r="AK1803"/>
    </row>
    <row r="1804" ht="25.5" customHeight="1">
      <c r="A1804" s="2" t="str">
        <f>=HYPERLINK("https://applink.larksuite.com/client/mini_program/open?appId=cli_9c7cc8a9a9edd105&amp;mode=appCenter&amp;path_pc=pc/pages/requested/index?instanceId=7592508222154477281&amp;source=bitable&amp;path=pages/detail/index?instanceId=7592508222154477281&amp;source=bitable", "202601070042")</f>
        <v>202601070042</v>
      </c>
      <c r="B1804" t="inlineStr">
        <is>
          <t>Approved</t>
        </is>
      </c>
      <c r="C1804" t="inlineStr">
        <is>
          <t>Procurement Order</t>
        </is>
      </c>
      <c r="D1804" s="3">
        <v>46029.61777777778</v>
      </c>
      <c r="E1804" s="3">
        <v>46031.71457175926</v>
      </c>
      <c r="F1804" t="inlineStr">
        <is>
          <t>Fatima Kathleen M. FLores</t>
        </is>
      </c>
      <c r="G1804" t="inlineStr">
        <is>
          <t>Procurement</t>
        </is>
      </c>
      <c r="H1804"/>
      <c r="I1804"/>
      <c r="J1804" t="inlineStr">
        <is>
          <t>Project</t>
        </is>
      </c>
      <c r="K1804" t="inlineStr">
        <is>
          <t>PDEI - Game Marketing</t>
        </is>
      </c>
      <c r="L1804" t="inlineStr">
        <is>
          <t>CCAP MLBB 2025</t>
        </is>
      </c>
      <c r="M1804" t="inlineStr">
        <is>
          <t>2025TEG-P0121</t>
        </is>
      </c>
      <c r="N1804" t="inlineStr">
        <is>
          <t>Maura Aurel Atilano Yap</t>
        </is>
      </c>
      <c r="O1804" t="inlineStr">
        <is>
          <t>202511290012-Maura Aurel Atilano Yap-费用报销 - 副本 - 副本 - 副本-2025-11-29 12:28:25</t>
        </is>
      </c>
      <c r="P1804" t="inlineStr">
        <is>
          <t>YES</t>
        </is>
      </c>
      <c r="Q1804"/>
      <c r="R1804" t="inlineStr">
        <is>
          <t>NO</t>
        </is>
      </c>
      <c r="S1804" t="inlineStr">
        <is>
          <t>Outsourced Talent / Caster (Yakuron)</t>
        </is>
      </c>
      <c r="T1804">
        <v>1</v>
      </c>
      <c r="U1804">
        <v>19500</v>
      </c>
      <c r="V1804" t="inlineStr">
        <is>
          <t>PHP</t>
        </is>
      </c>
      <c r="W1804">
        <v>19500</v>
      </c>
      <c r="X1804" s="2" t="str">
        <f>=HYPERLINK("https://www.larksuite.com/approval/admin/previewAttachment?key=PMg7CgJBEATQK1X1Z3rKy5jssPhBWBAEgz67YLDpG5MYM-lDCNEEdqUsMc2MGVFlk23NKqFYMXq99uvyvNvDped28Hv057bt681UmaE8wicAXk73ighpBP6OXwAAAP__", "2 attachment(s)")</f>
        <v>2 attachment(s)</v>
      </c>
      <c r="Y1804" t="inlineStr">
        <is>
          <t>Bank Transfer</t>
        </is>
      </c>
      <c r="Z1804" t="inlineStr">
        <is>
          <t>Rolen Susi</t>
        </is>
      </c>
      <c r="AA1804" t="inlineStr">
        <is>
          <t>001440135922</t>
        </is>
      </c>
      <c r="AB1804" t="inlineStr">
        <is>
          <t>BDO</t>
        </is>
      </c>
      <c r="AC1804" t="inlineStr">
        <is>
          <t>312 Ampioco st. Balut Tondo Manila</t>
        </is>
      </c>
      <c r="AD1804" s="4">
        <v>45998</v>
      </c>
      <c r="AE1804" t="inlineStr">
        <is>
          <t>1st Payment - Jan. 23, 2026
Final Payment - Feb. 6, 2026</t>
        </is>
      </c>
      <c r="AF1804" s="2"/>
      <c r="AG1804" t="inlineStr">
        <is>
          <t>NzQyNTk5MTgyNzQ4MTg3MDM0MTpFNTQ5MjQzNS00NjgyLTQ3MkItQkU5RC1EQ0E5RjAxMzdDM0QtMTpjZGMzZjQ3MzE1N2U2ZGYwZDBjMTY1ZDczMTc0ZGE1OTox</t>
        </is>
      </c>
      <c r="AH1804" t="inlineStr">
        <is>
          <t>Rolen Susi</t>
        </is>
      </c>
      <c r="AI1804"/>
      <c r="AJ1804" t="inlineStr">
        <is>
          <t>LIQUIDITY PLAN (PAR # 202512120012 / 2025TEG-P0121)
TALENTS &gt;
Casters (Qualifiers)
Caster (Finals)
Total Remaining Budget = Php 85,000.00
Actual Cost = Php 19,500.00
Balance = Php 65,500.00</t>
        </is>
      </c>
      <c r="AK1804"/>
    </row>
    <row r="1805" ht="25.5" customHeight="1">
      <c r="A1805" s="2" t="str">
        <f>=HYPERLINK("https://applink.larksuite.com/client/mini_program/open?appId=cli_9c7cc8a9a9edd105&amp;mode=appCenter&amp;path_pc=pc/pages/requested/index?instanceId=7592509381170695901&amp;source=bitable&amp;path=pages/detail/index?instanceId=7592509381170695901&amp;source=bitable", "202601070043")</f>
        <v>202601070043</v>
      </c>
      <c r="B1805" t="inlineStr">
        <is>
          <t>Approved</t>
        </is>
      </c>
      <c r="C1805" t="inlineStr">
        <is>
          <t>Procurement Order</t>
        </is>
      </c>
      <c r="D1805" s="3">
        <v>46029.62090277778</v>
      </c>
      <c r="E1805" s="3">
        <v>46031.71527777778</v>
      </c>
      <c r="F1805" t="inlineStr">
        <is>
          <t>Fatima Kathleen M. FLores</t>
        </is>
      </c>
      <c r="G1805" t="inlineStr">
        <is>
          <t>Procurement</t>
        </is>
      </c>
      <c r="H1805"/>
      <c r="I1805"/>
      <c r="J1805" t="inlineStr">
        <is>
          <t>Project</t>
        </is>
      </c>
      <c r="K1805" t="inlineStr">
        <is>
          <t>PDEI - Game Marketing</t>
        </is>
      </c>
      <c r="L1805" t="inlineStr">
        <is>
          <t>CCAP MLBB 2025</t>
        </is>
      </c>
      <c r="M1805" t="inlineStr">
        <is>
          <t>2025TEG-P0121</t>
        </is>
      </c>
      <c r="N1805" t="inlineStr">
        <is>
          <t>Maura Aurel Atilano Yap</t>
        </is>
      </c>
      <c r="O1805" t="inlineStr">
        <is>
          <t>202511290012-Maura Aurel Atilano Yap-费用报销 - 副本 - 副本 - 副本-2025-11-29 12:28:25</t>
        </is>
      </c>
      <c r="P1805" t="inlineStr">
        <is>
          <t>YES</t>
        </is>
      </c>
      <c r="Q1805"/>
      <c r="R1805" t="inlineStr">
        <is>
          <t>NO</t>
        </is>
      </c>
      <c r="S1805" t="inlineStr">
        <is>
          <t>Outsourced Talent / Caster (VeenzG)</t>
        </is>
      </c>
      <c r="T1805">
        <v>1</v>
      </c>
      <c r="U1805">
        <v>6500</v>
      </c>
      <c r="V1805" t="inlineStr">
        <is>
          <t>PHP</t>
        </is>
      </c>
      <c r="W1805">
        <v>6500</v>
      </c>
      <c r="X1805" s="2" t="str">
        <f>=HYPERLINK("https://www.larksuite.com/approval/admin/previewAttachment?key=PMi7DcJAEATQlmb29nNDMyRYKxCYBEF2tSMInL6cRM7gSMFFE7gqZAGNSRZS8TNbrBKK5bm2vc93e9zee_PZrQitz_XS24uhMkMN9zEB8HT4KHeX0vF3fAMAAP__", "2 attachment(s)")</f>
        <v>2 attachment(s)</v>
      </c>
      <c r="Y1805" t="inlineStr">
        <is>
          <t>Bank Transfer</t>
        </is>
      </c>
      <c r="Z1805" t="inlineStr">
        <is>
          <t>Arnold Vincent Desengaño</t>
        </is>
      </c>
      <c r="AA1805" t="inlineStr">
        <is>
          <t>002491032836</t>
        </is>
      </c>
      <c r="AB1805" t="inlineStr">
        <is>
          <t>BDO</t>
        </is>
      </c>
      <c r="AC1805" t="inlineStr">
        <is>
          <t>Block 24, Mahinahon Street, Lupang Arenda, Brgy Sta. Ana Taytay Rizal</t>
        </is>
      </c>
      <c r="AD1805" s="4">
        <v>45998</v>
      </c>
      <c r="AE1805" t="inlineStr">
        <is>
          <t>100% Full Payment - Jan. 23, 2026</t>
        </is>
      </c>
      <c r="AF1805" s="2"/>
      <c r="AG1805" t="inlineStr">
        <is>
          <t>NzQyNTk5MTgyNzQ4MTg3MDM0MTpGODU2M0YxQS03QkIyLTRFQzMtOTc1Ri0wRTY5MkZENEM5QzktMTowNzljMzJkMGQyMzQ4N2RhYzkzODVhZjQ2ZGM4MjY2ZDox</t>
        </is>
      </c>
      <c r="AH1805" t="inlineStr">
        <is>
          <t>Arnold Vincent Desengaño</t>
        </is>
      </c>
      <c r="AI1805"/>
      <c r="AJ1805" t="inlineStr">
        <is>
          <t>LIQUIDITY PLAN (PAR # 202512120012 / 2025TEG-P0121)
TALENTS &gt;
Casters (Qualifiers)
Caster (Finals)
Total Remaining Budget = Php 65,500.00
Actual Cost = Php 6,500.00
Balance = Php 59,000.00</t>
        </is>
      </c>
      <c r="AK1805"/>
    </row>
    <row r="1806" ht="25.5" customHeight="1">
      <c r="A1806" s="2" t="str">
        <f>=HYPERLINK("https://applink.larksuite.com/client/mini_program/open?appId=cli_9c7cc8a9a9edd105&amp;mode=appCenter&amp;path_pc=pc/pages/requested/index?instanceId=7592511031071592159&amp;source=bitable&amp;path=pages/detail/index?instanceId=7592511031071592159&amp;source=bitable", "202601070045")</f>
        <v>202601070045</v>
      </c>
      <c r="B1806" t="inlineStr">
        <is>
          <t>Approved</t>
        </is>
      </c>
      <c r="C1806" t="inlineStr">
        <is>
          <t>Procurement Order</t>
        </is>
      </c>
      <c r="D1806" s="3">
        <v>46029.62534722222</v>
      </c>
      <c r="E1806" s="3">
        <v>46031.716412037036</v>
      </c>
      <c r="F1806" t="inlineStr">
        <is>
          <t>Fatima Kathleen M. FLores</t>
        </is>
      </c>
      <c r="G1806" t="inlineStr">
        <is>
          <t>Procurement</t>
        </is>
      </c>
      <c r="H1806"/>
      <c r="I1806"/>
      <c r="J1806" t="inlineStr">
        <is>
          <t>Project</t>
        </is>
      </c>
      <c r="K1806" t="inlineStr">
        <is>
          <t>PDEI - Game Marketing</t>
        </is>
      </c>
      <c r="L1806" t="inlineStr">
        <is>
          <t>CCAP MLBB 2025</t>
        </is>
      </c>
      <c r="M1806" t="inlineStr">
        <is>
          <t>2025TEG-P0121</t>
        </is>
      </c>
      <c r="N1806" t="inlineStr">
        <is>
          <t>Maura Aurel Atilano Yap</t>
        </is>
      </c>
      <c r="O1806" t="inlineStr">
        <is>
          <t>202511290010-Maura Aurel Atilano Yap-费用报销 - 副本 - 副本 - 副本-2025-11-29 12:26:10</t>
        </is>
      </c>
      <c r="P1806" t="inlineStr">
        <is>
          <t>YES</t>
        </is>
      </c>
      <c r="Q1806"/>
      <c r="R1806" t="inlineStr">
        <is>
          <t>YES</t>
        </is>
      </c>
      <c r="S1806" t="inlineStr">
        <is>
          <t>Outsourced Host (Greatchen)</t>
        </is>
      </c>
      <c r="T1806">
        <v>1</v>
      </c>
      <c r="U1806">
        <v>12000</v>
      </c>
      <c r="V1806" t="inlineStr">
        <is>
          <t>PHP</t>
        </is>
      </c>
      <c r="W1806">
        <v>12000</v>
      </c>
      <c r="X1806" s="2" t="str">
        <f>=HYPERLINK("https://www.larksuite.com/approval/admin/previewAttachment?key=PMg7CgJBEATQK1X1Z2ray5jssgirkTBq0GcXDEzfmMSYSR-FKFqBrSxLEk6IWcastqZUEBWj98dxDXvl1Ln8s-l833vdtmN_MktmkEf4BMDL310RUTUCP8c3AAD__w", "2 attachment(s)")</f>
        <v>2 attachment(s)</v>
      </c>
      <c r="Y1806" t="inlineStr">
        <is>
          <t>Bank Transfer</t>
        </is>
      </c>
      <c r="Z1806" t="inlineStr">
        <is>
          <t>Gretchen Alunan</t>
        </is>
      </c>
      <c r="AA1806" t="inlineStr">
        <is>
          <t>1093 2551 1122</t>
        </is>
      </c>
      <c r="AB1806" t="inlineStr">
        <is>
          <t>Unionbank</t>
        </is>
      </c>
      <c r="AC1806" t="inlineStr">
        <is>
          <t>21 Abel Street Metrogate Complex Meycauayan Bulacan</t>
        </is>
      </c>
      <c r="AD1806" s="4">
        <v>46039</v>
      </c>
      <c r="AE1806" t="inlineStr">
        <is>
          <t>1st Payment - Jan. 23, 2026
Final Payment - Feb. 6, 2026</t>
        </is>
      </c>
      <c r="AF1806" s="2"/>
      <c r="AG1806" t="inlineStr">
        <is>
          <t>NzQyNTk5MTgyNzQ4MTg3MDM0MTpGNkMxODgwQi02QzA0LTQyOTUtOTQwNC1FNDg3RTE2N0JBRTItMTo4ZjAyYzg2ZGU2NDNkNmMzYWNiMDg2NTE2NjczMzc4Mzox</t>
        </is>
      </c>
      <c r="AH1806" t="inlineStr">
        <is>
          <t>Gretchen Alunan</t>
        </is>
      </c>
      <c r="AI1806"/>
      <c r="AJ1806" t="inlineStr">
        <is>
          <t>LIQUIDITY PLAN (PAR # 202512120012 / 2025TEG-P0121)
TALENTS &gt; Host (Finals)
Total Remaining Budget = (Php 18,350.00) NEGATIVE BUDGET
Actual Cost = Php 12,000.00
Balance = (Php 30,350.00) OVER BUDGET</t>
        </is>
      </c>
      <c r="AK1806"/>
    </row>
    <row r="1807" ht="25.5" customHeight="1">
      <c r="A1807" s="2" t="str">
        <f>=HYPERLINK("https://applink.larksuite.com/client/mini_program/open?appId=cli_9c7cc8a9a9edd105&amp;mode=appCenter&amp;path_pc=pc/pages/requested/index?instanceId=7592524053517242081&amp;source=bitable&amp;path=pages/detail/index?instanceId=7592524053517242081&amp;source=bitable", "202601070054")</f>
        <v>202601070054</v>
      </c>
      <c r="B1807" t="inlineStr">
        <is>
          <t>Approved</t>
        </is>
      </c>
      <c r="C1807" t="inlineStr">
        <is>
          <t>Procurement Order</t>
        </is>
      </c>
      <c r="D1807" s="3">
        <v>46029.66043981481</v>
      </c>
      <c r="E1807" s="3">
        <v>46031.7331712963</v>
      </c>
      <c r="F1807" t="inlineStr">
        <is>
          <t>Fatima Kathleen M. FLores</t>
        </is>
      </c>
      <c r="G1807" t="inlineStr">
        <is>
          <t>Procurement</t>
        </is>
      </c>
      <c r="H1807"/>
      <c r="I1807"/>
      <c r="J1807" t="inlineStr">
        <is>
          <t>Project</t>
        </is>
      </c>
      <c r="K1807" t="inlineStr">
        <is>
          <t>PDEI - Game Marketing</t>
        </is>
      </c>
      <c r="L1807" t="inlineStr">
        <is>
          <t>MCGG Rising Stars Season 4 x Elgin</t>
        </is>
      </c>
      <c r="M1807" t="inlineStr">
        <is>
          <t>2025TEG-P0350</t>
        </is>
      </c>
      <c r="N1807" t="inlineStr">
        <is>
          <t>Clifford Markus Ortiz Martinez</t>
        </is>
      </c>
      <c r="O1807" t="inlineStr">
        <is>
          <t>202601050061-Clifford Markus Ortiz Martinez-费用报销 - 副本 - 副本 - 副本-2026-01-05 06:11:34</t>
        </is>
      </c>
      <c r="P1807" t="inlineStr">
        <is>
          <t>YES</t>
        </is>
      </c>
      <c r="Q1807"/>
      <c r="R1807" t="inlineStr">
        <is>
          <t>NO</t>
        </is>
      </c>
      <c r="S1807" t="inlineStr">
        <is>
          <t>Outsourced Talent</t>
        </is>
      </c>
      <c r="T1807">
        <v>1</v>
      </c>
      <c r="U1807">
        <v>52400</v>
      </c>
      <c r="V1807" t="inlineStr">
        <is>
          <t>PHP</t>
        </is>
      </c>
      <c r="W1807">
        <v>52400</v>
      </c>
      <c r="X1807" s="2" t="str">
        <f>=HYPERLINK("https://www.larksuite.com/approval/admin/previewAttachment?key=PMhBqgJBDATQK1WlK53Ov8zfOAQVxo3QzCZnF1y4fXMRcznHTChpCXZ4mpvgwxkmw2JbMyIRDM0-zvp_8Xpgs-q8nlvV-36r403PMEMMaSwA_Pv5CEmZU_g6PgEAAP__", "2 attachment(s)")</f>
        <v>2 attachment(s)</v>
      </c>
      <c r="Y1807" t="inlineStr">
        <is>
          <t>Bank Transfer</t>
        </is>
      </c>
      <c r="Z1807" t="inlineStr">
        <is>
          <t>Elgin Ray S. Padunan</t>
        </is>
      </c>
      <c r="AA1807" t="inlineStr">
        <is>
          <t>179-3-179-38296-3</t>
        </is>
      </c>
      <c r="AB1807" t="inlineStr">
        <is>
          <t>Metrobank</t>
        </is>
      </c>
      <c r="AC1807" t="inlineStr">
        <is>
          <t>L5 B3 RICHLAND V BAGBAG NOVALICHES QUEZON CITY</t>
        </is>
      </c>
      <c r="AD1807" s="4">
        <v>46031</v>
      </c>
      <c r="AE1807" t="inlineStr">
        <is>
          <t>1st Payment - Jan. 23, 2026
Final Payment - Feb. 6, 2026</t>
        </is>
      </c>
      <c r="AF1807" s="2"/>
      <c r="AG1807" t="inlineStr">
        <is>
          <t>NzQyNTk5MTgyNzQ4MTg3MDM0MToxQjFBMTU2RC1ERTg2LTRCRTYtQUVCMy00OTU3OEY1MzVGMzMtMTpmYTEwMTI3YzViZTIyMjg0Y2UxMGQ3ODIxNDQ4YmZmZDox</t>
        </is>
      </c>
      <c r="AH1807" t="inlineStr">
        <is>
          <t>Elgin Ray S. Padunan</t>
        </is>
      </c>
      <c r="AI1807"/>
      <c r="AJ1807" t="inlineStr">
        <is>
          <t>LIQUIDITY PLAN (PAR # 202601050029 / 2025TEG-P0350)
Elgin Talent Package
Elgin 2 Videos
Elgin 4 static post
Total Budget = Php 52,400.00
Actual Cost = Php 52,400.00</t>
        </is>
      </c>
      <c r="AK1807"/>
    </row>
    <row r="1808" ht="25.5" customHeight="1">
      <c r="A1808" s="2" t="str">
        <f>=HYPERLINK("https://applink.larksuite.com/client/mini_program/open?appId=cli_9c7cc8a9a9edd105&amp;mode=appCenter&amp;path_pc=pc/pages/requested/index?instanceId=7591714650593529567&amp;source=bitable&amp;path=pages/detail/index?instanceId=7591714650593529567&amp;source=bitable", "202601050011")</f>
        <v>202601050011</v>
      </c>
      <c r="B1808" t="inlineStr">
        <is>
          <t>Approved</t>
        </is>
      </c>
      <c r="C1808" t="inlineStr">
        <is>
          <t>Procurement Order</t>
        </is>
      </c>
      <c r="D1808" s="3">
        <v>46027.47925925926</v>
      </c>
      <c r="E1808" s="3">
        <v>46035.65420138889</v>
      </c>
      <c r="F1808" t="inlineStr">
        <is>
          <t>Fatima Kathleen M. FLores</t>
        </is>
      </c>
      <c r="G1808" t="inlineStr">
        <is>
          <t>Procurement</t>
        </is>
      </c>
      <c r="H1808"/>
      <c r="I1808"/>
      <c r="J1808" t="inlineStr">
        <is>
          <t>Project</t>
        </is>
      </c>
      <c r="K1808" t="inlineStr">
        <is>
          <t>PDEI - Game Marketing</t>
        </is>
      </c>
      <c r="L1808" t="inlineStr">
        <is>
          <t>Adtechinno - QRoad MMOARPG PR Campaign</t>
        </is>
      </c>
      <c r="M1808" t="inlineStr">
        <is>
          <t>2025TEG-P0329</t>
        </is>
      </c>
      <c r="N1808" t="inlineStr">
        <is>
          <t>Clifford Markus Ortiz Martinez</t>
        </is>
      </c>
      <c r="O1808" t="inlineStr">
        <is>
          <t>202512220212-Clifford Markus Ortiz Martinez-费用报销 - 副本 - 副本 - 副本-2025-12-22 20:17:27</t>
        </is>
      </c>
      <c r="P1808" t="inlineStr">
        <is>
          <t>NO</t>
        </is>
      </c>
      <c r="Q1808"/>
      <c r="R1808" t="inlineStr">
        <is>
          <t>YES</t>
        </is>
      </c>
      <c r="S1808" t="inlineStr">
        <is>
          <t>Outsourced AD and PR Placements</t>
        </is>
      </c>
      <c r="T1808">
        <v>1</v>
      </c>
      <c r="U1808">
        <v>184800</v>
      </c>
      <c r="V1808" t="inlineStr">
        <is>
          <t>PHP</t>
        </is>
      </c>
      <c r="W1808">
        <v>184800</v>
      </c>
      <c r="X1808" s="2" t="str">
        <f>=HYPERLINK("https://www.larksuite.com/approval/admin/previewAttachment?key=PMg7CsJAGATgK83s_5gdL2NjCEpMJdjt2QWLtF9Pomcx2khzGFwqU8wulKOGq7XGomSIyl7bud-P8X6ZqjoZ8_D6Ph_79mFZY0CRGRMAb5eHMtPuxN_xCwAA__8", "2 attachment(s)")</f>
        <v>2 attachment(s)</v>
      </c>
      <c r="Y1808" t="inlineStr">
        <is>
          <t>Bank Transfer</t>
        </is>
      </c>
      <c r="Z1808" t="inlineStr">
        <is>
          <t>UnGeek Media, Inc.</t>
        </is>
      </c>
      <c r="AA1808" t="inlineStr">
        <is>
          <t>0000056320493</t>
        </is>
      </c>
      <c r="AB1808" t="inlineStr">
        <is>
          <t>Security Bank</t>
        </is>
      </c>
      <c r="AC1808" t="inlineStr">
        <is>
          <t>Unit 1402A Escolta Twin Towers, 288 Escolta St., Binondo</t>
        </is>
      </c>
      <c r="AD1808" s="4">
        <v>46024</v>
      </c>
      <c r="AE1808" t="inlineStr">
        <is>
          <t>50% First Payment - Jan. 15, 2025
50% Final Payment - March 5, 2025</t>
        </is>
      </c>
      <c r="AF1808" s="2"/>
      <c r="AG1808" t="inlineStr">
        <is>
          <t>NzQyNTk5MTgyNzQ4MTg3MDM0MTpFODVFRjIzNi1FRjYwLTREMDAtODI0MS03NDE0NTM0QzI0QzUtMTo3NDBjMjZlMjgzZDMxM2JlZDM5OWJmZjVhMTVmYWQ4Yzox</t>
        </is>
      </c>
      <c r="AH1808" t="inlineStr">
        <is>
          <t>UnGeek Media, Inc.</t>
        </is>
      </c>
      <c r="AI1808"/>
      <c r="AJ1808" t="inlineStr">
        <is>
          <t>LIQUIDITY PLAN (PAR # 202512120072 / 2025TEG-P0329)
3 Months Banner + 4 Advertorial &gt; Ungeek
Total Budget = Php 165,000.00
Actual Cost = Php 184,800.00
Balance = (Php 19,800.00) OVER BUDGET</t>
        </is>
      </c>
      <c r="AK1808"/>
    </row>
    <row r="1809" ht="25.5" customHeight="1">
      <c r="A1809" s="2" t="str">
        <f>=HYPERLINK("https://applink.larksuite.com/client/mini_program/open?appId=cli_9c7cc8a9a9edd105&amp;mode=appCenter&amp;path_pc=pc/pages/requested/index?instanceId=7591715800780656347&amp;source=bitable&amp;path=pages/detail/index?instanceId=7591715800780656347&amp;source=bitable", "202601050013")</f>
        <v>202601050013</v>
      </c>
      <c r="B1809" t="inlineStr">
        <is>
          <t>Approved</t>
        </is>
      </c>
      <c r="C1809" t="inlineStr">
        <is>
          <t>Procurement Order</t>
        </is>
      </c>
      <c r="D1809" s="3">
        <v>46027.48236111111</v>
      </c>
      <c r="E1809" s="3">
        <v>46035.65273148148</v>
      </c>
      <c r="F1809" t="inlineStr">
        <is>
          <t>Fatima Kathleen M. FLores</t>
        </is>
      </c>
      <c r="G1809" t="inlineStr">
        <is>
          <t>Procurement</t>
        </is>
      </c>
      <c r="H1809"/>
      <c r="I1809"/>
      <c r="J1809" t="inlineStr">
        <is>
          <t>Project</t>
        </is>
      </c>
      <c r="K1809" t="inlineStr">
        <is>
          <t>PDEI - Game Marketing</t>
        </is>
      </c>
      <c r="L1809" t="inlineStr">
        <is>
          <t>Adtechinno - QRoad MMOARPG PR Campaign</t>
        </is>
      </c>
      <c r="M1809" t="inlineStr">
        <is>
          <t>2025TEG-P0329</t>
        </is>
      </c>
      <c r="N1809" t="inlineStr">
        <is>
          <t>Clifford Markus Ortiz Martinez</t>
        </is>
      </c>
      <c r="O1809" t="inlineStr">
        <is>
          <t>202512220213-Clifford Markus Ortiz Martinez-费用报销 - 副本 - 副本 - 副本-2025-12-22 20:22:28</t>
        </is>
      </c>
      <c r="P1809" t="inlineStr">
        <is>
          <t>NO</t>
        </is>
      </c>
      <c r="Q1809"/>
      <c r="R1809" t="inlineStr">
        <is>
          <t>YES</t>
        </is>
      </c>
      <c r="S1809" t="inlineStr">
        <is>
          <t>Social Media Post</t>
        </is>
      </c>
      <c r="T1809">
        <v>1</v>
      </c>
      <c r="U1809">
        <v>112000</v>
      </c>
      <c r="V1809" t="inlineStr">
        <is>
          <t>PHP</t>
        </is>
      </c>
      <c r="W1809">
        <v>112000</v>
      </c>
      <c r="X1809" s="2" t="str">
        <f>=HYPERLINK("https://www.larksuite.com/approval/admin/previewAttachment?key=PMgxDsJADATAL-3e2V6bz9AQRSAgDdKl8tuRKGgnkoh0zihYcRTY8qLoCSgRHtPUoykVRFn09t6v1LmI53Eew1-P1et-27cPvTQGNM1mAuDl71NmVhWGn-MbAAD__w", "2 attachment(s)")</f>
        <v>2 attachment(s)</v>
      </c>
      <c r="Y1809" t="inlineStr">
        <is>
          <t>Bank Transfer</t>
        </is>
      </c>
      <c r="Z1809" t="inlineStr">
        <is>
          <t>Yugen Media Incorporated</t>
        </is>
      </c>
      <c r="AA1809" t="inlineStr">
        <is>
          <t>26-7100-2612</t>
        </is>
      </c>
      <c r="AB1809" t="inlineStr">
        <is>
          <t>Bank of the Philippine Islands (BPI)</t>
        </is>
      </c>
      <c r="AC1809" t="inlineStr">
        <is>
          <t>Unit 305 Silver City, 1 Frontera Drive, Ortigas East, Ugong, Pasig City</t>
        </is>
      </c>
      <c r="AD1809" s="4">
        <v>46000</v>
      </c>
      <c r="AE1809" t="inlineStr">
        <is>
          <t>50% Down Payment - Jan. 12, 2026
50% Balance - 7 days upon completion of services</t>
        </is>
      </c>
      <c r="AF1809" s="2" t="str">
        <f>=HYPERLINK("https://www.larksuite.com/approval/admin/previewAttachment?key=TMgxDsJADATAL-3e2V6bz9AQRSAgDdKl8tuRqGgnkoh0zihYcRTY8qLoCSgRHtPUoykVRFn09t6v1LmI53Eew1-P1et-27cPI2fAys1YAHj5cxKVM-bP8Q0AAP__", "2 attachment(s)")</f>
        <v>2 attachment(s)</v>
      </c>
      <c r="AG1809" t="inlineStr">
        <is>
          <t>NzQyNTk5MTgyNzQ4MTg3MDM0MTo1QjE2NkVDRi05NTc0LTQ2QkQtODI2Mi05NDdEMkUwMzFGNkEtMToxNWUxZGFmZmYxNWQ2MWU4MjE0NjYwZDRkOGJmYjY2ODox</t>
        </is>
      </c>
      <c r="AH1809" t="inlineStr">
        <is>
          <t>Yugen Media Incorporated</t>
        </is>
      </c>
      <c r="AI1809"/>
      <c r="AJ1809" t="inlineStr">
        <is>
          <t>LIQUIDITY PLAN (PAR # 202512120072 / 2025TEG-P0329)
4 Advertorials &gt; Enduins
Total Budget = Php 100,000.00
Actual Cost = Php 112,000.00
Balance = (Php 12,000.00) OVER BUDGET</t>
        </is>
      </c>
      <c r="AK1809"/>
    </row>
    <row r="1810" ht="25.5" customHeight="1">
      <c r="A1810" s="2" t="str">
        <f>=HYPERLINK("https://applink.larksuite.com/client/mini_program/open?appId=cli_9c7cc8a9a9edd105&amp;mode=appCenter&amp;path_pc=pc/pages/requested/index?instanceId=7592899406282739424&amp;source=bitable&amp;path=pages/detail/index?instanceId=7592899406282739424&amp;source=bitable", "202601080044")</f>
        <v>202601080044</v>
      </c>
      <c r="B1810" t="inlineStr">
        <is>
          <t>Approved</t>
        </is>
      </c>
      <c r="C1810" t="inlineStr">
        <is>
          <t>Procurement Order</t>
        </is>
      </c>
      <c r="D1810" s="3">
        <v>46030.671944444446</v>
      </c>
      <c r="E1810" s="3">
        <v>46031.72284722222</v>
      </c>
      <c r="F1810" t="inlineStr">
        <is>
          <t>Fatima Kathleen M. FLores</t>
        </is>
      </c>
      <c r="G1810" t="inlineStr">
        <is>
          <t>Procurement</t>
        </is>
      </c>
      <c r="H1810"/>
      <c r="I1810"/>
      <c r="J1810" t="inlineStr">
        <is>
          <t>Project</t>
        </is>
      </c>
      <c r="K1810" t="inlineStr">
        <is>
          <t>PDEI - Game Marketing</t>
        </is>
      </c>
      <c r="L1810" t="inlineStr">
        <is>
          <t>SM Cyberzone Game Fest</t>
        </is>
      </c>
      <c r="M1810" t="inlineStr">
        <is>
          <t>2025TEG-P0082</t>
        </is>
      </c>
      <c r="N1810" t="inlineStr">
        <is>
          <t>Anteaus Villena</t>
        </is>
      </c>
      <c r="O1810" t="inlineStr">
        <is>
          <t>202504020020-Anteaus Villena-费用报销 - 副本 - 副本 - 副本-2025-04-02 04:13:43</t>
        </is>
      </c>
      <c r="P1810" t="inlineStr">
        <is>
          <t>YES</t>
        </is>
      </c>
      <c r="Q1810"/>
      <c r="R1810" t="inlineStr">
        <is>
          <t>NO</t>
        </is>
      </c>
      <c r="S1810" t="inlineStr">
        <is>
          <t>Outsourced Photographer / Videographer (SM Cebu)</t>
        </is>
      </c>
      <c r="T1810">
        <v>1</v>
      </c>
      <c r="U1810">
        <v>5000</v>
      </c>
      <c r="V1810" t="inlineStr">
        <is>
          <t>PHP</t>
        </is>
      </c>
      <c r="W1810">
        <v>5000</v>
      </c>
      <c r="X1810" s="2" t="str">
        <f>=HYPERLINK("https://www.larksuite.com/approval/admin/previewAttachment?key=PMgxDkIhEATQK80uww7jZWwgRAsrE604u4nFb1-NQI0erQw60oij7hw2UTlSzUyePCEZCrHOeu27Ivnce0JT39XP5zH3eke3MqFGtgEgbpc3kbSL-Dt-AQAA__8", "2 attachment(s)")</f>
        <v>2 attachment(s)</v>
      </c>
      <c r="Y1810" t="inlineStr">
        <is>
          <t>Bank Transfer</t>
        </is>
      </c>
      <c r="Z1810" t="inlineStr">
        <is>
          <t>Hannah Gay N. Lim</t>
        </is>
      </c>
      <c r="AA1810" t="inlineStr">
        <is>
          <t>09657397125</t>
        </is>
      </c>
      <c r="AB1810" t="inlineStr">
        <is>
          <t>GCash</t>
        </is>
      </c>
      <c r="AC1810" t="inlineStr">
        <is>
          <t>0063 omega Street Brgy Apas Cebu City</t>
        </is>
      </c>
      <c r="AD1810" s="4">
        <v>45794</v>
      </c>
      <c r="AE1810" t="inlineStr">
        <is>
          <t>100% Full Payment - Jan. 16, 2026</t>
        </is>
      </c>
      <c r="AF1810" s="2"/>
      <c r="AG1810" t="inlineStr">
        <is>
          <t>NzQyNTk5MTgyNzQ4MTg3MDM0MTozRUJEQzNCMC0xOTJFLTQzQTItODczNi00MUI4NzZDM0VGREYtMTozNGU0ZmUzMTFmMjJhOTQ3NTNhYWIzNTdhZjMzOWVlYjox</t>
        </is>
      </c>
      <c r="AH1810" t="inlineStr">
        <is>
          <t>Hannah Gay N. Lim</t>
        </is>
      </c>
      <c r="AI1810"/>
      <c r="AJ1810" t="inlineStr">
        <is>
          <t>LIQUIDITY PLAN (PAR # 202503280025)
SM Cebu &gt; Photo Coverage Bundle
Total Budget = Php 13,000.00
Actual Cost = Php 5,000.00
Balance = Php 8,000.00</t>
        </is>
      </c>
      <c r="AK1810"/>
    </row>
    <row r="1811" ht="25.5" customHeight="1">
      <c r="A1811" s="2" t="str">
        <f>=HYPERLINK("https://applink.larksuite.com/client/mini_program/open?appId=cli_9c7cc8a9a9edd105&amp;mode=appCenter&amp;path_pc=pc/pages/requested/index?instanceId=7592910047550656220&amp;source=bitable&amp;path=pages/detail/index?instanceId=7592910047550656220&amp;source=bitable", "202601080052")</f>
        <v>202601080052</v>
      </c>
      <c r="B1811" t="inlineStr">
        <is>
          <t>Approved</t>
        </is>
      </c>
      <c r="C1811" t="inlineStr">
        <is>
          <t>Procurement Order</t>
        </is>
      </c>
      <c r="D1811" s="3">
        <v>46030.70061342593</v>
      </c>
      <c r="E1811" s="3">
        <v>46031.735289351855</v>
      </c>
      <c r="F1811" t="inlineStr">
        <is>
          <t>Fatima Kathleen M. FLores</t>
        </is>
      </c>
      <c r="G1811" t="inlineStr">
        <is>
          <t>Procurement</t>
        </is>
      </c>
      <c r="H1811"/>
      <c r="I1811"/>
      <c r="J1811" t="inlineStr">
        <is>
          <t>Project</t>
        </is>
      </c>
      <c r="K1811" t="inlineStr">
        <is>
          <t>GG - Event Service</t>
        </is>
      </c>
      <c r="L1811" t="inlineStr">
        <is>
          <t>KIC 2025 - Playoffs</t>
        </is>
      </c>
      <c r="M1811" t="inlineStr">
        <is>
          <t>2025TEG-P0321</t>
        </is>
      </c>
      <c r="N1811" t="inlineStr">
        <is>
          <t>Frances Angelita Arreglado</t>
        </is>
      </c>
      <c r="O1811" t="inlineStr">
        <is>
          <t>202601050101-Frances Angelita Arreglado-费用报销 - 副本 - 副本 - 副本-2026-01-05 09:07:55</t>
        </is>
      </c>
      <c r="P1811" t="inlineStr">
        <is>
          <t>NO</t>
        </is>
      </c>
      <c r="Q1811"/>
      <c r="R1811" t="inlineStr">
        <is>
          <t>NO</t>
        </is>
      </c>
      <c r="S1811" t="inlineStr">
        <is>
          <t>Outsourced Logistics Services (Dec. 1, 2026)</t>
        </is>
      </c>
      <c r="T1811">
        <v>1</v>
      </c>
      <c r="U1811">
        <v>14000</v>
      </c>
      <c r="V1811" t="inlineStr">
        <is>
          <t>PHP</t>
        </is>
      </c>
      <c r="W1811">
        <v>14000</v>
      </c>
      <c r="X1811" s="2" t="str">
        <f>=HYPERLINK("https://www.larksuite.com/approval/admin/previewAttachment?key=PMgxCkJBDATQK02yk8zGy9j4WVRUBEH8Rc4uWNi-nIacYSMLLPOCtaK8DKAikJHuaG-TCjIxe7uv4-d6eWh5PG9g7Hu_z6e1vSxK7tAgxwRgh78PkaxK4uf4BgAA__8", "3 attachment(s)")</f>
        <v>3 attachment(s)</v>
      </c>
      <c r="Y1811" t="inlineStr">
        <is>
          <t>Bank Transfer</t>
        </is>
      </c>
      <c r="Z1811" t="inlineStr">
        <is>
          <t>TRUCKRENTALPH TRANSPORT LOGISTICS INC.</t>
        </is>
      </c>
      <c r="AA1811" t="inlineStr">
        <is>
          <t>121-700-001-557</t>
        </is>
      </c>
      <c r="AB1811" t="inlineStr">
        <is>
          <t>Chinabank Corp.</t>
        </is>
      </c>
      <c r="AC1811" t="inlineStr">
        <is>
          <t>3878 Daffodil St., Sun Valley, Paranaque City</t>
        </is>
      </c>
      <c r="AD1811" s="4">
        <v>45992</v>
      </c>
      <c r="AE1811" t="inlineStr">
        <is>
          <t>100% Full Payment</t>
        </is>
      </c>
      <c r="AF1811" s="2"/>
      <c r="AG1811" t="inlineStr">
        <is>
          <t>NzQyNTk5MTgyNzQ4MTg3MDM0MTo0MDQzOERDQS0yMzYwLTQyOUEtOTdGRS05MUI2ODRGN0Q4MjctMTphY2IxNjNjNmQzYTE1ZThiNGMyZWExNWU3ZTRlNmYxZjox</t>
        </is>
      </c>
      <c r="AH1811" t="inlineStr">
        <is>
          <t>TRUCKRENTALPH TRANSPORT LOGISTICS INC.</t>
        </is>
      </c>
      <c r="AI1811"/>
      <c r="AJ1811" t="inlineStr">
        <is>
          <t>LIQUIDITY PLAN (PAR # 202511200098 / 2025TEG-P0321)
MOBILIZATION &gt; Ingress &amp; Egress Mobilization (AMBTB)
Total Budget = Php 32,000.00
Actual Cost = Php 14,000.00
Balance = Php 18,000.00</t>
        </is>
      </c>
      <c r="AK1811"/>
    </row>
    <row r="1812" ht="25.5" customHeight="1">
      <c r="A1812" s="2" t="str">
        <f>=HYPERLINK("https://applink.larksuite.com/client/mini_program/open?appId=cli_9c7cc8a9a9edd105&amp;mode=appCenter&amp;path_pc=pc/pages/requested/index?instanceId=7593213827810873056&amp;source=bitable&amp;path=pages/detail/index?instanceId=7593213827810873056&amp;source=bitable", "202601090022")</f>
        <v>202601090022</v>
      </c>
      <c r="B1812" t="inlineStr">
        <is>
          <t>Approved</t>
        </is>
      </c>
      <c r="C1812" t="inlineStr">
        <is>
          <t>Procurement Order</t>
        </is>
      </c>
      <c r="D1812" s="3">
        <v>46031.51924768519</v>
      </c>
      <c r="E1812" s="3">
        <v>46031.738599537035</v>
      </c>
      <c r="F1812" t="inlineStr">
        <is>
          <t>Fatima Kathleen M. FLores</t>
        </is>
      </c>
      <c r="G1812" t="inlineStr">
        <is>
          <t>Procurement</t>
        </is>
      </c>
      <c r="H1812"/>
      <c r="I1812"/>
      <c r="J1812" t="inlineStr">
        <is>
          <t>Project</t>
        </is>
      </c>
      <c r="K1812" t="inlineStr">
        <is>
          <t>GG - Event Service</t>
        </is>
      </c>
      <c r="L1812" t="inlineStr">
        <is>
          <t>KIC 2025 - Group Stage &amp; Knockouts</t>
        </is>
      </c>
      <c r="M1812" t="inlineStr">
        <is>
          <t>2025TEG-P0286</t>
        </is>
      </c>
      <c r="N1812" t="inlineStr">
        <is>
          <t>Frances Angelita Arreglado</t>
        </is>
      </c>
      <c r="O1812" t="inlineStr">
        <is>
          <t>202511080037-Frances Angelita Arreglado-费用报销 - 副本 - 副本 - 副本-2025-11-08 06:30:23</t>
        </is>
      </c>
      <c r="P1812" t="inlineStr">
        <is>
          <t>NO</t>
        </is>
      </c>
      <c r="Q1812"/>
      <c r="R1812" t="inlineStr">
        <is>
          <t>NO</t>
        </is>
      </c>
      <c r="S1812" t="inlineStr">
        <is>
          <t>Logistics Services (Ingress &amp; Egress)  (Nov 23 &amp; 24, 2025)</t>
        </is>
      </c>
      <c r="T1812">
        <v>1</v>
      </c>
      <c r="U1812">
        <v>21000</v>
      </c>
      <c r="V1812" t="inlineStr">
        <is>
          <t>PHP</t>
        </is>
      </c>
      <c r="W1812">
        <v>21000</v>
      </c>
      <c r="X1812" s="2" t="str">
        <f>=HYPERLINK("https://www.larksuite.com/approval/admin/previewAttachment?key=PMhBCsJQDATQK80k-ZnEy7ixFEUqBaHo4p9dcNHtyyKyBj0b0bQGp0a70ctURMkxctqk1BAVOZdtvb74eWrs-xfHsO0xj_ttXd4cLTPII7wA8HK6KyK6M_B3_AIAAP__", "3 attachment(s)")</f>
        <v>3 attachment(s)</v>
      </c>
      <c r="Y1812" t="inlineStr">
        <is>
          <t>Bank Transfer</t>
        </is>
      </c>
      <c r="Z1812" t="inlineStr">
        <is>
          <t>Truckrentalph Transport Logistics Inc</t>
        </is>
      </c>
      <c r="AA1812" t="inlineStr">
        <is>
          <t>121-700-001-557</t>
        </is>
      </c>
      <c r="AB1812" t="inlineStr">
        <is>
          <t>Chinabank</t>
        </is>
      </c>
      <c r="AC1812" t="inlineStr">
        <is>
          <t>3878 Daffodil St., Sun Valley Parañaque</t>
        </is>
      </c>
      <c r="AD1812" s="4">
        <v>45984</v>
      </c>
      <c r="AE1812" t="inlineStr">
        <is>
          <t>100% Full Payment upon completion of services</t>
        </is>
      </c>
      <c r="AF1812" s="2"/>
      <c r="AG1812" t="inlineStr">
        <is>
          <t>NzQyNTk5MTgyNzQ4MTg3MDM0MTpDRTRCOTM3Mi02Q0ExLTQyRUMtQjc4QS0wNzhGM0Y5QkM5NkMtMTozOWRkZDUxOTZjNjgzMzcyMGFkYTQzZmJmMTQwZDk0ZDox</t>
        </is>
      </c>
      <c r="AH1812" t="inlineStr">
        <is>
          <t>Truckrentalph Transport Logistics Inc.</t>
        </is>
      </c>
      <c r="AI1812"/>
      <c r="AJ1812" t="inlineStr">
        <is>
          <t>LIQUIDITY PLAN (PAR # 202510290062 / 2025TEG-P0286)
1120 CE KIC GS+KO TAB &gt; GROUPSTAGE - KNOCKOUTS (Main Event) &gt; 
Ingress &amp; Egress Mobilization (Mineski WH)
Ingress &amp; Egress Mobilization (Shooting Gallery)
Total Budget = Php 30,000.00
Actual Cost = Php 21,000.00
Balance = Php 9,000.00</t>
        </is>
      </c>
      <c r="AK1812"/>
    </row>
    <row r="1813" ht="25.5" customHeight="1">
      <c r="A1813" s="2" t="str">
        <f>=HYPERLINK("https://applink.larksuite.com/client/mini_program/open?appId=cli_9c7cc8a9a9edd105&amp;mode=appCenter&amp;path_pc=pc/pages/requested/index?instanceId=7593216692864519906&amp;source=bitable&amp;path=pages/detail/index?instanceId=7593216692864519906&amp;source=bitable", "202601090025")</f>
        <v>202601090025</v>
      </c>
      <c r="B1813" t="inlineStr">
        <is>
          <t>Approved</t>
        </is>
      </c>
      <c r="C1813" t="inlineStr">
        <is>
          <t>Procurement Order</t>
        </is>
      </c>
      <c r="D1813" s="3">
        <v>46031.526967592596</v>
      </c>
      <c r="E1813" s="3">
        <v>46031.73741898148</v>
      </c>
      <c r="F1813" t="inlineStr">
        <is>
          <t>Fatima Kathleen M. FLores</t>
        </is>
      </c>
      <c r="G1813" t="inlineStr">
        <is>
          <t>Procurement</t>
        </is>
      </c>
      <c r="H1813"/>
      <c r="I1813"/>
      <c r="J1813" t="inlineStr">
        <is>
          <t>Project</t>
        </is>
      </c>
      <c r="K1813" t="inlineStr">
        <is>
          <t>GG - Event Service</t>
        </is>
      </c>
      <c r="L1813" t="inlineStr">
        <is>
          <t>Crossfire Legends Public Test Launch</t>
        </is>
      </c>
      <c r="M1813" t="inlineStr">
        <is>
          <t>2025TEG-P0322</t>
        </is>
      </c>
      <c r="N1813" t="inlineStr">
        <is>
          <t>Kervin</t>
        </is>
      </c>
      <c r="O1813" t="inlineStr">
        <is>
          <t>202512120020-Kervin-费用报销 - 副本 - 副本 - 副本-2025-12-12 03:15:14</t>
        </is>
      </c>
      <c r="P1813" t="inlineStr">
        <is>
          <t>NO</t>
        </is>
      </c>
      <c r="Q1813"/>
      <c r="R1813" t="inlineStr">
        <is>
          <t>NO</t>
        </is>
      </c>
      <c r="S1813" t="inlineStr">
        <is>
          <t>Logistics Services (Ingress &amp; Egress) (Dec. 14 &amp; 16, 2025)</t>
        </is>
      </c>
      <c r="T1813">
        <v>1</v>
      </c>
      <c r="U1813">
        <v>14000</v>
      </c>
      <c r="V1813" t="inlineStr">
        <is>
          <t>PHP</t>
        </is>
      </c>
      <c r="W1813">
        <v>14000</v>
      </c>
      <c r="X1813" s="2" t="str">
        <f>=HYPERLINK("https://www.larksuite.com/approval/admin/previewAttachment?key=PMgxCkIxEATQK81sJrsZL2Pj56NoRBBEi5xdsLB9OYgcnS0NmWFwVXcLZjpGqtNGrlisMoqlXNvcj9e4lfHG5f7BY2q9zqd9e7K7IlBNagMAD39vJclO4ef4BgAA__8", "3 attachment(s)")</f>
        <v>3 attachment(s)</v>
      </c>
      <c r="Y1813" t="inlineStr">
        <is>
          <t>Bank Transfer</t>
        </is>
      </c>
      <c r="Z1813" t="inlineStr">
        <is>
          <t>Truckrentalph Transport Logistics Inc</t>
        </is>
      </c>
      <c r="AA1813" t="inlineStr">
        <is>
          <t>121-700-001-557</t>
        </is>
      </c>
      <c r="AB1813" t="inlineStr">
        <is>
          <t>Chinabank</t>
        </is>
      </c>
      <c r="AC1813" t="inlineStr">
        <is>
          <t>3878 Daffodil St., Sun Valley Parañaque</t>
        </is>
      </c>
      <c r="AD1813" s="4">
        <v>46005</v>
      </c>
      <c r="AE1813" t="inlineStr">
        <is>
          <t>100% Full Payment upon completion of services</t>
        </is>
      </c>
      <c r="AF1813" s="2"/>
      <c r="AG1813" t="inlineStr">
        <is>
          <t>NzQyNTk5MTgyNzQ4MTg3MDM0MTpDREU0RTY0QS1GQTIyLTQ5QjktQjI1Ri0wQTdBMUNGMUE1QzUtMTo0ZWEzZTE1NjcxZTNjNDUyZWU5MWQwY2FmYzI5N2NiMDox</t>
        </is>
      </c>
      <c r="AH1813" t="inlineStr">
        <is>
          <t>Truckrentalph Transport Logistics Inc.</t>
        </is>
      </c>
      <c r="AI1813"/>
      <c r="AJ1813" t="inlineStr">
        <is>
          <t>LIQUIDITY PLAN (PAR # 202512090150 / 2025TEG-P0322)
Collaterals &gt; Logistics &gt;
Trucking and Delivery Cost
Total Budget = Php 25,000.00
Actual Cost = Php 14,000.00
Balance = Php 11,000.00</t>
        </is>
      </c>
      <c r="AK1813"/>
    </row>
    <row r="1814" ht="25.5" customHeight="1">
      <c r="A1814" s="2" t="str">
        <f>=HYPERLINK("https://applink.larksuite.com/client/mini_program/open?appId=cli_9c7cc8a9a9edd105&amp;mode=appCenter&amp;path_pc=pc/pages/requested/index?instanceId=7594335650468368096&amp;source=bitable&amp;path=pages/detail/index?instanceId=7594335650468368096&amp;source=bitable", "202601120032")</f>
        <v>202601120032</v>
      </c>
      <c r="B1814" t="inlineStr">
        <is>
          <t>Approved</t>
        </is>
      </c>
      <c r="C1814" t="inlineStr">
        <is>
          <t>Procurement Order</t>
        </is>
      </c>
      <c r="D1814" s="3">
        <v>46034.54232638889</v>
      </c>
      <c r="E1814" s="3">
        <v>46035.65898148148</v>
      </c>
      <c r="F1814" t="inlineStr">
        <is>
          <t>Fatima Kathleen M. FLores</t>
        </is>
      </c>
      <c r="G1814" t="inlineStr">
        <is>
          <t>Procurement</t>
        </is>
      </c>
      <c r="H1814"/>
      <c r="I1814"/>
      <c r="J1814" t="inlineStr">
        <is>
          <t>Project</t>
        </is>
      </c>
      <c r="K1814" t="inlineStr">
        <is>
          <t>GG - Event Service</t>
        </is>
      </c>
      <c r="L1814" t="inlineStr">
        <is>
          <t>HOK Philippine Kings League - Fall Season</t>
        </is>
      </c>
      <c r="M1814" t="inlineStr">
        <is>
          <t>2025TEG-P0219</t>
        </is>
      </c>
      <c r="N1814" t="inlineStr">
        <is>
          <t>Carla Andrea Calma Crespo</t>
        </is>
      </c>
      <c r="O1814" t="inlineStr">
        <is>
          <t>202509160031-Carla Andrea Calma Crespo-费用报销 - 副本 - 副本 - 副本-2025-09-16 04:11:25</t>
        </is>
      </c>
      <c r="P1814" t="inlineStr">
        <is>
          <t>NO</t>
        </is>
      </c>
      <c r="Q1814"/>
      <c r="R1814" t="inlineStr">
        <is>
          <t>NO</t>
        </is>
      </c>
      <c r="S1814" t="inlineStr">
        <is>
          <t>Pull-up Banner w/ Installation (33" x 78")</t>
        </is>
      </c>
      <c r="T1814">
        <v>4</v>
      </c>
      <c r="U1814">
        <v>900</v>
      </c>
      <c r="V1814" t="inlineStr">
        <is>
          <t>PHP</t>
        </is>
      </c>
      <c r="W1814">
        <v>3600</v>
      </c>
      <c r="X1814" s="2" t="str">
        <f>=HYPERLINK("https://www.larksuite.com/approval/admin/previewAttachment?key=PMgxDgIxDATAL63jtZ3lMzREERRXIR2i8NuRKK6dnIacYZ4CZUOwrhDdIwPM6Tmh7NFWJZQVs9ex769Ta3_88C9HBfp8PvZ6W6jGQDnpE4DdLvciKSXxd_wCAAD__w", "3 attachment(s)")</f>
        <v>3 attachment(s)</v>
      </c>
      <c r="Y1814" t="inlineStr">
        <is>
          <t>Bank Transfer</t>
        </is>
      </c>
      <c r="Z1814" t="inlineStr">
        <is>
          <t>MaxPrecision Corporation</t>
        </is>
      </c>
      <c r="AA1814" t="inlineStr">
        <is>
          <t>4440117166</t>
        </is>
      </c>
      <c r="AB1814" t="inlineStr">
        <is>
          <t>BDO</t>
        </is>
      </c>
      <c r="AC1814" t="inlineStr">
        <is>
          <t>No. 5 Lt. Artiaga Street, Brgy Corazon De Jesus San Juan City</t>
        </is>
      </c>
      <c r="AD1814" s="4">
        <v>45932</v>
      </c>
      <c r="AE1814" t="inlineStr">
        <is>
          <t>100% Full Payment - 30 days upon complete delivery</t>
        </is>
      </c>
      <c r="AF1814" s="2"/>
      <c r="AG1814" t="inlineStr">
        <is>
          <t>NzQyNTk5MTgyNzQ4MTg3MDM0MTo5Nzc5QTcwMC01RjFFLTRGNTUtQjc2Ni0yMDhFOTcwMzM2ODQtMTo1NzFlYTMwMjNmNWI2N2JlY2ZiYjkxZWU0ZDFhOWNmODox</t>
        </is>
      </c>
      <c r="AH1814" t="inlineStr">
        <is>
          <t>MaxPrecision Corporation</t>
        </is>
      </c>
      <c r="AI1814"/>
      <c r="AJ1814" t="inlineStr">
        <is>
          <t>LIQUIDITY PLAN (PAR # 202508190134 / 2025TEG-P0219)
INTERNAL 0820 COST ESTIMATE &gt; REGULAR SEASON &gt;
Collateral &amp; Venue Skinning &gt; Pull Up Banners
Total Budget = Php 10,000.00
Actual Cost = Php 3,600.00
Balance = Php 6,400.00</t>
        </is>
      </c>
      <c r="AK1814"/>
    </row>
    <row r="1815" ht="25.5" customHeight="1">
      <c r="A1815" s="2" t="str">
        <f>=HYPERLINK("https://applink.larksuite.com/client/mini_program/open?appId=cli_9c7cc8a9a9edd105&amp;mode=appCenter&amp;path_pc=pc/pages/requested/index?instanceId=7594367244834983644&amp;source=bitable&amp;path=pages/detail/index?instanceId=7594367244834983644&amp;source=bitable", "202601120058")</f>
        <v>202601120058</v>
      </c>
      <c r="B1815" t="inlineStr">
        <is>
          <t>Approved</t>
        </is>
      </c>
      <c r="C1815" t="inlineStr">
        <is>
          <t>Procurement Order</t>
        </is>
      </c>
      <c r="D1815" s="3">
        <v>46034.62746527778</v>
      </c>
      <c r="E1815" s="3">
        <v>46035.654861111114</v>
      </c>
      <c r="F1815" t="inlineStr">
        <is>
          <t>Fatima Kathleen M. FLores</t>
        </is>
      </c>
      <c r="G1815" t="inlineStr">
        <is>
          <t>Procurement</t>
        </is>
      </c>
      <c r="H1815"/>
      <c r="I1815"/>
      <c r="J1815" t="inlineStr">
        <is>
          <t>Project</t>
        </is>
      </c>
      <c r="K1815" t="inlineStr">
        <is>
          <t>PDEI - Game Marketing</t>
        </is>
      </c>
      <c r="L1815" t="inlineStr">
        <is>
          <t>Adtechinno - QRoad MMOARPG PR Campaign</t>
        </is>
      </c>
      <c r="M1815" t="inlineStr">
        <is>
          <t>2025TEG-P0329</t>
        </is>
      </c>
      <c r="N1815" t="inlineStr">
        <is>
          <t>Clifford Markus Ortiz Martinez</t>
        </is>
      </c>
      <c r="O1815" t="inlineStr">
        <is>
          <t>202601050022-Clifford Markus Ortiz Martinez-费用报销 - 副本 - 副本 - 副本-2026-01-05 04:03:57</t>
        </is>
      </c>
      <c r="P1815" t="inlineStr">
        <is>
          <t>NO</t>
        </is>
      </c>
      <c r="Q1815"/>
      <c r="R1815" t="inlineStr">
        <is>
          <t>NO</t>
        </is>
      </c>
      <c r="S1815" t="inlineStr">
        <is>
          <t>PR Seeding / Advertorial Campaign (2 months)</t>
        </is>
      </c>
      <c r="T1815">
        <v>1</v>
      </c>
      <c r="U1815">
        <v>47000</v>
      </c>
      <c r="V1815" t="inlineStr">
        <is>
          <t>PHP</t>
        </is>
      </c>
      <c r="W1815">
        <v>47000</v>
      </c>
      <c r="X1815" s="2" t="str">
        <f>=HYPERLINK("https://www.larksuite.com/approval/admin/previewAttachment?key=PMg7DsJADATQK43Xs7aHy9AkWgFSKsSn8dmRKNK-KEPUNA-BsiFY5xQ9cpDlVHmQPdoyhbRk9H6s6_dx12vV5zBuWt7v27b2p03lGEgnvQDY5XRPklIQf8cvAAD__w", "2 attachment(s)")</f>
        <v>2 attachment(s)</v>
      </c>
      <c r="Y1815" t="inlineStr">
        <is>
          <t>Bank Transfer</t>
        </is>
      </c>
      <c r="Z1815" t="inlineStr">
        <is>
          <t>Rens Stephen Liwanag Villapana</t>
        </is>
      </c>
      <c r="AA1815" t="inlineStr">
        <is>
          <t>0539-1200-42</t>
        </is>
      </c>
      <c r="AB1815" t="inlineStr">
        <is>
          <t>BPI</t>
        </is>
      </c>
      <c r="AC1815" t="inlineStr">
        <is>
          <t>#30 San Vicente, Tarlac 2300 Tarlac City</t>
        </is>
      </c>
      <c r="AD1815" s="4">
        <v>45988</v>
      </c>
      <c r="AE1815" t="inlineStr">
        <is>
          <t>100% Full Payment - Jan. 16, 2026</t>
        </is>
      </c>
      <c r="AF1815" s="2"/>
      <c r="AG1815" t="inlineStr">
        <is>
          <t>NzQyNTk5MTgyNzQ4MTg3MDM0MTpBNzM0NkZBNS1GMTkwLTRDODItQjQwQy03MTE2NTEzRTBDQ0UtMTpkZjc0MTIwZDcwYzYwOGZjYTZmODJmNTAyMDliMGJiZTox</t>
        </is>
      </c>
      <c r="AH1815" t="inlineStr">
        <is>
          <t>Rens Stephen Liwanag Villapana</t>
        </is>
      </c>
      <c r="AI1815"/>
      <c r="AJ1815" t="inlineStr">
        <is>
          <t>LIQUIDITY PLAN (PAR # 202512120072 / 2025TEG-P0329)
3 Months Banner + 4 Advertorial &gt; Pinoygamer
Total Budget = Php 94,000.00
Actual Cost = Php 47,000.00
Balance = Php 47,000.00</t>
        </is>
      </c>
      <c r="AK1815"/>
    </row>
    <row r="1816" ht="25.5" customHeight="1">
      <c r="A1816" s="2" t="str">
        <f>=HYPERLINK("https://applink.larksuite.com/client/mini_program/open?appId=cli_9c7cc8a9a9edd105&amp;mode=appCenter&amp;path_pc=pc/pages/requested/index?instanceId=7594331870515449568&amp;source=bitable&amp;path=pages/detail/index?instanceId=7594331870515449568&amp;source=bitable", "202601120026")</f>
        <v>202601120026</v>
      </c>
      <c r="B1816" t="inlineStr">
        <is>
          <t>Approved</t>
        </is>
      </c>
      <c r="C1816" t="inlineStr">
        <is>
          <t>Procurement Order</t>
        </is>
      </c>
      <c r="D1816" s="3">
        <v>46034.5321412037</v>
      </c>
      <c r="E1816" s="3">
        <v>46035.63858796296</v>
      </c>
      <c r="F1816" t="inlineStr">
        <is>
          <t>Fatima Kathleen M. FLores</t>
        </is>
      </c>
      <c r="G1816" t="inlineStr">
        <is>
          <t>Procurement</t>
        </is>
      </c>
      <c r="H1816"/>
      <c r="I1816"/>
      <c r="J1816" t="inlineStr">
        <is>
          <t>Project</t>
        </is>
      </c>
      <c r="K1816" t="inlineStr">
        <is>
          <t>PDEI - Event Service</t>
        </is>
      </c>
      <c r="L1816" t="inlineStr">
        <is>
          <t>MPL PH S16 - Playoffs</t>
        </is>
      </c>
      <c r="M1816" t="inlineStr">
        <is>
          <t>2025TEG-P0215</t>
        </is>
      </c>
      <c r="N1816" t="inlineStr">
        <is>
          <t>Katherine Denise Lee Sy</t>
        </is>
      </c>
      <c r="O1816" t="inlineStr">
        <is>
          <t>202510010039-Katherine Denise Lee Sy-费用报销 - 副本 - 副本 - 副本-2025-10-01 05:03:26</t>
        </is>
      </c>
      <c r="P1816" t="inlineStr">
        <is>
          <t>NO</t>
        </is>
      </c>
      <c r="Q1816"/>
      <c r="R1816" t="inlineStr">
        <is>
          <t>YES</t>
        </is>
      </c>
      <c r="S1816" t="inlineStr">
        <is>
          <t>A2 Signages</t>
        </is>
      </c>
      <c r="T1816">
        <v>4</v>
      </c>
      <c r="U1816">
        <v>502</v>
      </c>
      <c r="V1816" t="inlineStr">
        <is>
          <t>PHP</t>
        </is>
      </c>
      <c r="W1816">
        <v>2008</v>
      </c>
      <c r="X1816" s="2" t="str">
        <f>=HYPERLINK("https://www.larksuite.com/approval/admin/previewAttachment?key=PMg9qsJwEATwK83szn69y7zGEIQYG0HS_M8uWNj-sonsoOdAQxtwVYzc2YVgSBPZyxarBsVSru3c_5-8DqvrcZx29vR632_79mJMmaFc8gbAv597SZpJ4ev4BAAA__8", "2 attachment(s)")</f>
        <v>2 attachment(s)</v>
      </c>
      <c r="Y1816" t="inlineStr">
        <is>
          <t>Bank Transfer</t>
        </is>
      </c>
      <c r="Z1816" t="inlineStr">
        <is>
          <t>MaxPrecision Corporation</t>
        </is>
      </c>
      <c r="AA1816" t="inlineStr">
        <is>
          <t>4440117166</t>
        </is>
      </c>
      <c r="AB1816" t="inlineStr">
        <is>
          <t>BDO</t>
        </is>
      </c>
      <c r="AC1816" t="inlineStr">
        <is>
          <t>No. 5 Lt. Artiaga Street, Brgy Corazon De Jesus San Juan City</t>
        </is>
      </c>
      <c r="AD1816" s="4">
        <v>45940</v>
      </c>
      <c r="AE1816" t="inlineStr">
        <is>
          <t>100% Full Payment - 30 days upon complete delivery</t>
        </is>
      </c>
      <c r="AF1816" s="2"/>
      <c r="AG1816" t="inlineStr">
        <is>
          <t>NzQyNTk5MTgyNzQ4MTg3MDM0MTo4N0ZBQTkyRC03M0MyLTQ3MDctQkI5Ri1GNkE1MkZDOTZDNTAtMTplMDNjMWQ0MGRkNjExMTRhYmJjYjQwOGE1YmYzNTUwZjox</t>
        </is>
      </c>
      <c r="AH1816" t="inlineStr">
        <is>
          <t>MaxPrecision Corporation</t>
        </is>
      </c>
      <c r="AI1816"/>
      <c r="AJ1816" t="inlineStr">
        <is>
          <t>No line item in internal CE. UNBUDGETED.</t>
        </is>
      </c>
      <c r="AK1816"/>
    </row>
    <row r="1817" ht="25.5" customHeight="1">
      <c r="A1817" s="2" t="str">
        <f>=HYPERLINK("https://applink.larksuite.com/client/mini_program/open?appId=cli_9c7cc8a9a9edd105&amp;mode=appCenter&amp;path_pc=pc/pages/requested/index?instanceId=7594362772427689696&amp;source=bitable&amp;path=pages/detail/index?instanceId=7594362772427689696&amp;source=bitable", "202601120054")</f>
        <v>202601120054</v>
      </c>
      <c r="B1817" t="inlineStr">
        <is>
          <t>Approved</t>
        </is>
      </c>
      <c r="C1817" t="inlineStr">
        <is>
          <t>Procurement Order</t>
        </is>
      </c>
      <c r="D1817" s="3">
        <v>46034.61541666667</v>
      </c>
      <c r="E1817" s="3">
        <v>46035.657743055555</v>
      </c>
      <c r="F1817" t="inlineStr">
        <is>
          <t>Fatima Kathleen M. FLores</t>
        </is>
      </c>
      <c r="G1817" t="inlineStr">
        <is>
          <t>Procurement</t>
        </is>
      </c>
      <c r="H1817"/>
      <c r="I1817"/>
      <c r="J1817" t="inlineStr">
        <is>
          <t>Project</t>
        </is>
      </c>
      <c r="K1817" t="inlineStr">
        <is>
          <t>GG - Event Service</t>
        </is>
      </c>
      <c r="L1817" t="inlineStr">
        <is>
          <t>KIC 2025 - SB19 Tech and Security Rider (Playoffs)</t>
        </is>
      </c>
      <c r="M1817" t="inlineStr">
        <is>
          <t>2025TEG-P0325</t>
        </is>
      </c>
      <c r="N1817" t="inlineStr">
        <is>
          <t>Frances Angelita Arreglado</t>
        </is>
      </c>
      <c r="O1817" t="inlineStr">
        <is>
          <t>202601050104-Frances Angelita Arreglado-费用报销 - 副本 - 副本 - 副本-2026-01-05 09:21:02</t>
        </is>
      </c>
      <c r="P1817" t="inlineStr">
        <is>
          <t>NO</t>
        </is>
      </c>
      <c r="Q1817"/>
      <c r="R1817" t="inlineStr">
        <is>
          <t>NO</t>
        </is>
      </c>
      <c r="S1817" t="inlineStr">
        <is>
          <t>Outsourced Logistics Services (Addendum / Nov. 30, 2025)</t>
        </is>
      </c>
      <c r="T1817">
        <v>1</v>
      </c>
      <c r="U1817">
        <v>2719.36</v>
      </c>
      <c r="V1817" t="inlineStr">
        <is>
          <t>PHP</t>
        </is>
      </c>
      <c r="W1817">
        <v>2719.36</v>
      </c>
      <c r="X1817" s="2" t="str">
        <f>=HYPERLINK("https://www.larksuite.com/approval/admin/previewAttachment?key=PMgxjgJRDAPQKzn5_nG8l9mG0YhmaJCgytmRKGhfdaB6xyqDjjRitM1VKSVT1S7X5IRkKMSa4zr_m_txBb0t5Vvzut_O4xnbyoQWuRpA_P18iaRdxNfxCQAA__8", "2 attachment(s)")</f>
        <v>2 attachment(s)</v>
      </c>
      <c r="Y1817" t="inlineStr">
        <is>
          <t>Bank Transfer</t>
        </is>
      </c>
      <c r="Z1817" t="inlineStr">
        <is>
          <t>AKMT TRANSPORT SERVICE OPC</t>
        </is>
      </c>
      <c r="AA1817" t="inlineStr">
        <is>
          <t>00063-0812-780</t>
        </is>
      </c>
      <c r="AB1817" t="inlineStr">
        <is>
          <t>BDO</t>
        </is>
      </c>
      <c r="AC1817" t="inlineStr">
        <is>
          <t>Phase 1 2 Saint Francis Maries Village 2, Mayamot, Antipolo</t>
        </is>
      </c>
      <c r="AD1817" s="4">
        <v>45991</v>
      </c>
      <c r="AE1817" t="inlineStr">
        <is>
          <t>100% Full Payment</t>
        </is>
      </c>
      <c r="AF1817" s="2" t="str">
        <f>=HYPERLINK("https://www.larksuite.com/approval/admin/previewAttachment?key=TMgxjgJRDAPQK8X5-Xa8l9mG0YhmaJCgytmRqGgfG8HeWHSUkQ6MtmsxpawU2zQnB5JDUHGO6_zv2o8L5W0p35rX_XYeT7AXo7yr4IjA348D4V5cX49PAAAA__8", "3 attachment(s)")</f>
        <v>3 attachment(s)</v>
      </c>
      <c r="AG1817" t="inlineStr">
        <is>
          <t>NzQyNTk5MTgyNzQ4MTg3MDM0MTo3NDI3MTgxRS1FQzRFLTQzMUItOTYyOS1CQTlERjhDOEE4QzAtMTo4NjhiODYyMjdlYzFjNjFkYjVjODFjZmU4YjBlYmRkYzox</t>
        </is>
      </c>
      <c r="AH1817" t="inlineStr">
        <is>
          <t>AKMT TRANSPORT SERVICE OPC</t>
        </is>
      </c>
      <c r="AI1817"/>
      <c r="AJ1817" t="inlineStr">
        <is>
          <t>LIQUIDITY PLAN (PAR # 202511270039 / 2025TEG-P0325)
SECURITY RIDER &gt; TRANSPORTATION &gt;
Van Rental for SB19 &amp; Entourage - Includes gas and toll fees
Total Remaining Budget = Php 7,228.16
Actual Cost = Php 2,719.36
Balance = Php 4,508.80</t>
        </is>
      </c>
      <c r="AK1817"/>
    </row>
    <row r="1818" ht="25.5" customHeight="1">
      <c r="A1818" s="2" t="str">
        <f>=HYPERLINK("https://applink.larksuite.com/client/mini_program/open?appId=cli_9c7cc8a9a9edd105&amp;mode=appCenter&amp;path_pc=pc/pages/requested/index?instanceId=7595062387397398241&amp;source=bitable&amp;path=pages/detail/index?instanceId=7595062387397398241&amp;source=bitable", "202601140012")</f>
        <v>202601140012</v>
      </c>
      <c r="B1818" t="inlineStr">
        <is>
          <t>Approved</t>
        </is>
      </c>
      <c r="C1818" t="inlineStr">
        <is>
          <t>Procurement Order</t>
        </is>
      </c>
      <c r="D1818" s="3">
        <v>46036.50074074074</v>
      </c>
      <c r="E1818" s="3">
        <v>46038.664826388886</v>
      </c>
      <c r="F1818" t="inlineStr">
        <is>
          <t>Fatima Kathleen M. FLores</t>
        </is>
      </c>
      <c r="G1818" t="inlineStr">
        <is>
          <t>Procurement</t>
        </is>
      </c>
      <c r="H1818"/>
      <c r="I1818"/>
      <c r="J1818" t="inlineStr">
        <is>
          <t>Project</t>
        </is>
      </c>
      <c r="K1818" t="inlineStr">
        <is>
          <t>GG - Event Service</t>
        </is>
      </c>
      <c r="L1818" t="inlineStr">
        <is>
          <t>KIC 2025 - Carnival &amp; Mini Battle</t>
        </is>
      </c>
      <c r="M1818" t="inlineStr">
        <is>
          <t>2025TEG-P0301</t>
        </is>
      </c>
      <c r="N1818" t="inlineStr">
        <is>
          <t>Maura Aurel Atilano Yap</t>
        </is>
      </c>
      <c r="O1818" t="inlineStr">
        <is>
          <t>202511080068-Maura Aurel Atilano Yap-费用报销 - 副本 - 副本 - 副本-2025-11-08 13:54:58</t>
        </is>
      </c>
      <c r="P1818" t="inlineStr">
        <is>
          <t>NO</t>
        </is>
      </c>
      <c r="Q1818"/>
      <c r="R1818" t="inlineStr">
        <is>
          <t>NO</t>
        </is>
      </c>
      <c r="S1818" t="inlineStr">
        <is>
          <t>Pull-up banner w/ mechanism</t>
        </is>
      </c>
      <c r="T1818">
        <v>3</v>
      </c>
      <c r="U1818">
        <v>1904</v>
      </c>
      <c r="V1818" t="inlineStr">
        <is>
          <t>PHP</t>
        </is>
      </c>
      <c r="W1818">
        <v>5712</v>
      </c>
      <c r="X1818" s="2"/>
      <c r="Y1818" t="inlineStr">
        <is>
          <t>Bank Transfer</t>
        </is>
      </c>
      <c r="Z1818" t="inlineStr">
        <is>
          <t>Bescost Digital Marketing Services Inc.</t>
        </is>
      </c>
      <c r="AA1818" t="inlineStr">
        <is>
          <t>00000-5674-8951</t>
        </is>
      </c>
      <c r="AB1818" t="inlineStr">
        <is>
          <t>Security Bank</t>
        </is>
      </c>
      <c r="AC1818" t="inlineStr">
        <is>
          <t>5105-A Sulok St., Brgy. Ugong, Valenzuela City</t>
        </is>
      </c>
      <c r="AD1818" s="4">
        <v>45974</v>
      </c>
      <c r="AE1818" t="inlineStr">
        <is>
          <t>100% Full Payment - 15 days upon complete delivery</t>
        </is>
      </c>
      <c r="AF1818" s="2"/>
      <c r="AG1818" t="inlineStr">
        <is>
          <t>NzQyNTk5MTgyNzQ4MTg3MDM0MToxNkNENjdFNi04NDM5LTRBQTYtQTcyRi02RDcyODQ0QzcwRkQtMTowZWFhNjdmZGQ2NzRiMWU1OTkzYzZmOWIxMzMyNjVkMzox</t>
        </is>
      </c>
      <c r="AH1818" t="inlineStr">
        <is>
          <t>Bescost Digital Marketing Services Inc.</t>
        </is>
      </c>
      <c r="AI1818"/>
      <c r="AJ1818" t="inlineStr">
        <is>
          <t>LIQUIDITY PLAN (PAR # 202511060038 / 2025TEG-P0301) VER 6
1108 COST ESTIMATE TAB &gt; MINI-BATTLE BOOTH &gt; 
Fabrication &gt; Pull up Banners (Mini Battle Booth)
FABRICATION &gt; Signages (60x160cm)
Total Budget = Php 22,000.00
Actual Cost = Php 17,784.72
Balance = Php 4,415.29</t>
        </is>
      </c>
      <c r="AK1818"/>
    </row>
    <row r="1819" ht="25.5" customHeight="1">
      <c r="A1819" s="2" t="str">
        <f>=HYPERLINK("https://applink.larksuite.com/client/mini_program/open?appId=cli_9c7cc8a9a9edd105&amp;mode=appCenter&amp;path_pc=pc/pages/requested/index?instanceId=7595062387397398241&amp;source=bitable&amp;path=pages/detail/index?instanceId=7595062387397398241&amp;source=bitable", "202601140012")</f>
        <v>202601140012</v>
      </c>
      <c r="B1819" t="inlineStr">
        <is>
          <t>Approved</t>
        </is>
      </c>
      <c r="C1819" t="inlineStr">
        <is>
          <t>Procurement Order</t>
        </is>
      </c>
      <c r="D1819" s="3">
        <v>46036.50074074074</v>
      </c>
      <c r="E1819" s="3">
        <v>46038.664826388886</v>
      </c>
      <c r="F1819" t="inlineStr">
        <is>
          <t>Fatima Kathleen M. FLores</t>
        </is>
      </c>
      <c r="G1819" t="inlineStr">
        <is>
          <t>Procurement</t>
        </is>
      </c>
      <c r="H1819"/>
      <c r="I1819"/>
      <c r="J1819" t="inlineStr">
        <is>
          <t>Project</t>
        </is>
      </c>
      <c r="K1819" t="inlineStr">
        <is>
          <t>GG - Event Service</t>
        </is>
      </c>
      <c r="L1819" t="inlineStr">
        <is>
          <t>KIC 2025 - Carnival &amp; Mini Battle</t>
        </is>
      </c>
      <c r="M1819" t="inlineStr">
        <is>
          <t>2025TEG-P0301</t>
        </is>
      </c>
      <c r="N1819" t="inlineStr">
        <is>
          <t>Maura Aurel Atilano Yap</t>
        </is>
      </c>
      <c r="O1819" t="inlineStr">
        <is>
          <t>202511080068-Maura Aurel Atilano Yap-费用报销 - 副本 - 副本 - 副本-2025-11-08 13:54:58</t>
        </is>
      </c>
      <c r="P1819" t="inlineStr">
        <is>
          <t>NO</t>
        </is>
      </c>
      <c r="Q1819"/>
      <c r="R1819" t="inlineStr">
        <is>
          <t>NO</t>
        </is>
      </c>
      <c r="S1819" t="inlineStr">
        <is>
          <t>Sticker on Sintra</t>
        </is>
      </c>
      <c r="T1819">
        <v>7</v>
      </c>
      <c r="U1819">
        <v>1301.2272</v>
      </c>
      <c r="V1819" t="inlineStr">
        <is>
          <t>PHP</t>
        </is>
      </c>
      <c r="W1819">
        <v>9108.59</v>
      </c>
      <c r="X1819" s="2"/>
      <c r="Y1819"/>
      <c r="Z1819"/>
      <c r="AA1819"/>
      <c r="AB1819"/>
      <c r="AC1819"/>
      <c r="AD1819" s="4"/>
      <c r="AE1819"/>
      <c r="AF1819" s="2"/>
      <c r="AG1819" t="inlineStr">
        <is>
          <t>NzQyNTk5MTgyNzQ4MTg3MDM0MToxNkNENjdFNi04NDM5LTRBQTYtQTcyRi02RDcyODQ0QzcwRkQtMjo0MzI2ZDMxOGMzMjk5MmQ0YTA3Mjk1MTY2YTMwZGQ5MDox</t>
        </is>
      </c>
      <c r="AH1819"/>
      <c r="AI1819"/>
      <c r="AJ1819" t="inlineStr">
        <is>
          <t>LIQUIDITY PLAN (PAR # 202511060038 / 2025TEG-P0301) VER 6
1108 COST ESTIMATE TAB &gt; MINI-BATTLE BOOTH &gt; 
Fabrication &gt; Pull up Banners (Mini Battle Booth)
FABRICATION &gt; Signages (60x160cm)
Total Budget = Php 22,000.00
Actual Cost = Php 17,784.72
Balance = Php 4,415.29</t>
        </is>
      </c>
      <c r="AK1819"/>
    </row>
    <row r="1820" ht="25.5" customHeight="1">
      <c r="A1820" s="2" t="str">
        <f>=HYPERLINK("https://applink.larksuite.com/client/mini_program/open?appId=cli_9c7cc8a9a9edd105&amp;mode=appCenter&amp;path_pc=pc/pages/requested/index?instanceId=7595062387397398241&amp;source=bitable&amp;path=pages/detail/index?instanceId=7595062387397398241&amp;source=bitable", "202601140012")</f>
        <v>202601140012</v>
      </c>
      <c r="B1820" t="inlineStr">
        <is>
          <t>Approved</t>
        </is>
      </c>
      <c r="C1820" t="inlineStr">
        <is>
          <t>Procurement Order</t>
        </is>
      </c>
      <c r="D1820" s="3">
        <v>46036.50074074074</v>
      </c>
      <c r="E1820" s="3">
        <v>46038.664826388886</v>
      </c>
      <c r="F1820" t="inlineStr">
        <is>
          <t>Fatima Kathleen M. FLores</t>
        </is>
      </c>
      <c r="G1820" t="inlineStr">
        <is>
          <t>Procurement</t>
        </is>
      </c>
      <c r="H1820"/>
      <c r="I1820"/>
      <c r="J1820" t="inlineStr">
        <is>
          <t>Project</t>
        </is>
      </c>
      <c r="K1820" t="inlineStr">
        <is>
          <t>GG - Event Service</t>
        </is>
      </c>
      <c r="L1820" t="inlineStr">
        <is>
          <t>KIC 2025 - Carnival &amp; Mini Battle</t>
        </is>
      </c>
      <c r="M1820" t="inlineStr">
        <is>
          <t>2025TEG-P0301</t>
        </is>
      </c>
      <c r="N1820" t="inlineStr">
        <is>
          <t>Maura Aurel Atilano Yap</t>
        </is>
      </c>
      <c r="O1820" t="inlineStr">
        <is>
          <t>202511080068-Maura Aurel Atilano Yap-费用报销 - 副本 - 副本 - 副本-2025-11-08 13:54:58</t>
        </is>
      </c>
      <c r="P1820" t="inlineStr">
        <is>
          <t>NO</t>
        </is>
      </c>
      <c r="Q1820"/>
      <c r="R1820" t="inlineStr">
        <is>
          <t>NO</t>
        </is>
      </c>
      <c r="S1820" t="inlineStr">
        <is>
          <t>Rush Fee</t>
        </is>
      </c>
      <c r="T1820">
        <v>1</v>
      </c>
      <c r="U1820">
        <v>2964.124</v>
      </c>
      <c r="V1820" t="inlineStr">
        <is>
          <t>PHP</t>
        </is>
      </c>
      <c r="W1820">
        <v>2964.124</v>
      </c>
      <c r="X1820" s="2" t="str">
        <f>=HYPERLINK("https://www.larksuite.com/approval/admin/previewAttachment?key=PMg9CsJAFATgK8372Tc7XsYmISgaEURZiz27YJH2q26o3ixKSJkLNtnUUB6dIYa6p02fRgo0Zs113877F4PL_fbEe4zHdX4uy7a-rInuYGRGB2Cnw4OZKVXi7_4LAAD__w", "2 attachment(s)")</f>
        <v>2 attachment(s)</v>
      </c>
      <c r="Y1820"/>
      <c r="Z1820"/>
      <c r="AA1820"/>
      <c r="AB1820"/>
      <c r="AC1820"/>
      <c r="AD1820" s="4"/>
      <c r="AE1820"/>
      <c r="AF1820" s="2"/>
      <c r="AG1820" t="inlineStr">
        <is>
          <t>NzQyNTk5MTgyNzQ4MTg3MDM0MToxNkNENjdFNi04NDM5LTRBQTYtQTcyRi02RDcyODQ0QzcwRkQtMzpmZmZjYWQxYzJmYjk3NmZhYzI5NzdkYWNjZTgzMjNiZTox</t>
        </is>
      </c>
      <c r="AH1820"/>
      <c r="AI1820"/>
      <c r="AJ1820" t="inlineStr">
        <is>
          <t>LIQUIDITY PLAN (PAR # 202511060038 / 2025TEG-P0301) VER 6
1108 COST ESTIMATE TAB &gt; MINI-BATTLE BOOTH &gt; 
Fabrication &gt; Pull up Banners (Mini Battle Booth)
FABRICATION &gt; Signages (60x160cm)
Total Budget = Php 22,000.00
Actual Cost = Php 17,784.72
Balance = Php 4,415.29</t>
        </is>
      </c>
      <c r="AK1820"/>
    </row>
    <row r="1821" ht="25.5" customHeight="1">
      <c r="A1821" s="2" t="str">
        <f>=HYPERLINK("https://applink.larksuite.com/client/mini_program/open?appId=cli_9c7cc8a9a9edd105&amp;mode=appCenter&amp;path_pc=pc/pages/requested/index?instanceId=7595143917960498908&amp;source=bitable&amp;path=pages/detail/index?instanceId=7595143917960498908&amp;source=bitable", "202601140060")</f>
        <v>202601140060</v>
      </c>
      <c r="B1821" t="inlineStr">
        <is>
          <t>Approved</t>
        </is>
      </c>
      <c r="C1821" t="inlineStr">
        <is>
          <t>Procurement Order</t>
        </is>
      </c>
      <c r="D1821" s="3">
        <v>46036.72045138889</v>
      </c>
      <c r="E1821" s="3">
        <v>46041.582824074074</v>
      </c>
      <c r="F1821" t="inlineStr">
        <is>
          <t>Fatima Kathleen M. FLores</t>
        </is>
      </c>
      <c r="G1821" t="inlineStr">
        <is>
          <t>Procurement</t>
        </is>
      </c>
      <c r="H1821"/>
      <c r="I1821"/>
      <c r="J1821" t="inlineStr">
        <is>
          <t>GAE</t>
        </is>
      </c>
      <c r="K1821"/>
      <c r="L1821"/>
      <c r="M1821"/>
      <c r="N1821"/>
      <c r="O1821" t="inlineStr">
        <is>
          <t>202601070082-Madelyn Espanto-费用报销 - 副本 - 副本 - 副本-2026-01-07 10:12:25</t>
        </is>
      </c>
      <c r="P1821"/>
      <c r="Q1821" t="inlineStr">
        <is>
          <t>Mineski PH</t>
        </is>
      </c>
      <c r="R1821"/>
      <c r="S1821" t="inlineStr">
        <is>
          <t>Retainer for Vade Payroll System (Year 2026)</t>
        </is>
      </c>
      <c r="T1821">
        <v>1</v>
      </c>
      <c r="U1821">
        <v>60000</v>
      </c>
      <c r="V1821" t="inlineStr">
        <is>
          <t>PHP</t>
        </is>
      </c>
      <c r="W1821">
        <v>60000</v>
      </c>
      <c r="X1821" s="2" t="str">
        <f>=HYPERLINK("https://www.larksuite.com/approval/admin/previewAttachment?key=PMg9CsJAFATgK83s-9vxMjYuQQKxEYMW7-yChe2Xk8gZtBRcHAK7QkE3sZRwTWH2aFYJxfLsdWzX_Xjs5zB-ll7viD7vt209GaoxUOZuEwAvf7dydykdP8c3AAD__w", "2 attachment(s)")</f>
        <v>2 attachment(s)</v>
      </c>
      <c r="Y1821" t="inlineStr">
        <is>
          <t>Bank Transfer</t>
        </is>
      </c>
      <c r="Z1821" t="inlineStr">
        <is>
          <t>VADE S-SOLUTIONS COMPANY</t>
        </is>
      </c>
      <c r="AA1821" t="inlineStr">
        <is>
          <t>004190404384</t>
        </is>
      </c>
      <c r="AB1821" t="inlineStr">
        <is>
          <t>BDO</t>
        </is>
      </c>
      <c r="AC1821" t="inlineStr">
        <is>
          <t>Room 3-C, Chua Tiam Building A. Del Rosario Street Tipolo Mandaue City, Cebu</t>
        </is>
      </c>
      <c r="AD1821" s="4">
        <v>46023</v>
      </c>
      <c r="AE1821" t="inlineStr">
        <is>
          <t>100% Full Payment - Jan. 31, 2026</t>
        </is>
      </c>
      <c r="AF1821" s="2"/>
      <c r="AG1821" t="inlineStr">
        <is>
          <t>NzQyNTk5MTgyNzQ4MTg3MDM0MTowRDkwODRERS1GNTgxLTRBQkMtOUZBQi04MTM4NjU2OTVDMDItMTo2OGUyNTJmOTZhZWYxZjU4ZWRlODQ3MmY3YTA4MTFmNjox</t>
        </is>
      </c>
      <c r="AH1821" t="inlineStr">
        <is>
          <t>VADE S-SOLUTIONS COMPANY</t>
        </is>
      </c>
      <c r="AI1821"/>
      <c r="AJ1821"/>
      <c r="AK1821"/>
    </row>
    <row r="1822" ht="25.5" customHeight="1">
      <c r="A1822" s="2" t="str">
        <f>=HYPERLINK("https://applink.larksuite.com/client/mini_program/open?appId=cli_9c7cc8a9a9edd105&amp;mode=appCenter&amp;path_pc=pc/pages/requested/index?instanceId=7595421776620834526&amp;source=bitable&amp;path=pages/detail/index?instanceId=7595421776620834526&amp;source=bitable", "202601150014")</f>
        <v>202601150014</v>
      </c>
      <c r="B1822" t="inlineStr">
        <is>
          <t>Approved</t>
        </is>
      </c>
      <c r="C1822" t="inlineStr">
        <is>
          <t>Procurement Order</t>
        </is>
      </c>
      <c r="D1822" s="3">
        <v>46037.46922453704</v>
      </c>
      <c r="E1822" s="3">
        <v>46038.66238425926</v>
      </c>
      <c r="F1822" t="inlineStr">
        <is>
          <t>Fatima Kathleen M. FLores</t>
        </is>
      </c>
      <c r="G1822" t="inlineStr">
        <is>
          <t>Procurement</t>
        </is>
      </c>
      <c r="H1822"/>
      <c r="I1822"/>
      <c r="J1822" t="inlineStr">
        <is>
          <t>Project</t>
        </is>
      </c>
      <c r="K1822" t="inlineStr">
        <is>
          <t>PDEI - Game Marketing</t>
        </is>
      </c>
      <c r="L1822" t="inlineStr">
        <is>
          <t>Jobstreet Level Up v2</t>
        </is>
      </c>
      <c r="M1822" t="inlineStr">
        <is>
          <t>2025TEG-P0211</t>
        </is>
      </c>
      <c r="N1822" t="inlineStr">
        <is>
          <t>Maura Aurel Atilano Yap</t>
        </is>
      </c>
      <c r="O1822" t="inlineStr">
        <is>
          <t>202601080007-Maura Aurel Atilano Yap-费用报销 - 副本 - 副本 - 副本-2026-01-08 02:40:18</t>
        </is>
      </c>
      <c r="P1822" t="inlineStr">
        <is>
          <t>YES</t>
        </is>
      </c>
      <c r="Q1822"/>
      <c r="R1822" t="inlineStr">
        <is>
          <t>NO</t>
        </is>
      </c>
      <c r="S1822" t="inlineStr">
        <is>
          <t>Outsourced Talent / Caster (ReyRey)</t>
        </is>
      </c>
      <c r="T1822">
        <v>1</v>
      </c>
      <c r="U1822">
        <v>15000</v>
      </c>
      <c r="V1822" t="inlineStr">
        <is>
          <t>PHP</t>
        </is>
      </c>
      <c r="W1822">
        <v>15000</v>
      </c>
      <c r="X1822" s="2" t="str">
        <f>=HYPERLINK("https://www.larksuite.com/approval/admin/previewAttachment?key=PMhBqgJBDATQK1XSlVTnX-ZvZhhUVATRXuXsggu3L6chZ9jIAsu8YK2ooJuU6ZiD4dneJhVkonq_Hf_by9e14n5e5o_L6vdpO_anRckdGuSYAOzv50Mkq5L4Oj4BAAD__w", "2 attachment(s)")</f>
        <v>2 attachment(s)</v>
      </c>
      <c r="Y1822" t="inlineStr">
        <is>
          <t>Bank Transfer</t>
        </is>
      </c>
      <c r="Z1822" t="inlineStr">
        <is>
          <t>Reycelle Anne Claravall Garrido</t>
        </is>
      </c>
      <c r="AA1822" t="inlineStr">
        <is>
          <t>6044 0200 6105</t>
        </is>
      </c>
      <c r="AB1822" t="inlineStr">
        <is>
          <t>China Bank Savings</t>
        </is>
      </c>
      <c r="AC1822" t="inlineStr">
        <is>
          <t>35-B Zamboanga Street, Brgy. Nayong Kanluran, West Avenue, Quezon City</t>
        </is>
      </c>
      <c r="AD1822" s="4">
        <v>46074</v>
      </c>
      <c r="AE1822" t="inlineStr">
        <is>
          <t>100% Full Payment - March 13, 2026</t>
        </is>
      </c>
      <c r="AF1822" s="2"/>
      <c r="AG1822" t="inlineStr">
        <is>
          <t>NzQyNTk5MTgyNzQ4MTg3MDM0MTowQzM3NDIxOS01ODUwLTQ1QjItQTE5QS0wN0Q0MTFFQkFEMTktMTplODczM2Y3NjIyOWIxZDNiZDBhM2Y4YjBkMWVkNjc1Mzox</t>
        </is>
      </c>
      <c r="AH1822" t="inlineStr">
        <is>
          <t>Reycelle Anne Claravall Garrido</t>
        </is>
      </c>
      <c r="AI1822"/>
      <c r="AJ1822" t="inlineStr">
        <is>
          <t>LIQUIDITY PLAN (PAR # 202511040070 / 2025TEG-P0211)
MANPOWER &gt; TALENTS &gt;
Seasoned Talent (Onsite) VALO
Total Budget = Php 20,000.00
Actual Cost = Php 15,000.00
Balance = Php 5,000.00</t>
        </is>
      </c>
      <c r="AK1822"/>
    </row>
    <row r="1823" ht="25.5" customHeight="1">
      <c r="A1823" s="2" t="str">
        <f>=HYPERLINK("https://applink.larksuite.com/client/mini_program/open?appId=cli_9c7cc8a9a9edd105&amp;mode=appCenter&amp;path_pc=pc/pages/requested/index?instanceId=7595422845488910045&amp;source=bitable&amp;path=pages/detail/index?instanceId=7595422845488910045&amp;source=bitable", "202601150015")</f>
        <v>202601150015</v>
      </c>
      <c r="B1823" t="inlineStr">
        <is>
          <t>Approved</t>
        </is>
      </c>
      <c r="C1823" t="inlineStr">
        <is>
          <t>Procurement Order</t>
        </is>
      </c>
      <c r="D1823" s="3">
        <v>46037.47210648148</v>
      </c>
      <c r="E1823" s="3">
        <v>46057.71989583333</v>
      </c>
      <c r="F1823" t="inlineStr">
        <is>
          <t>Fatima Kathleen M. FLores</t>
        </is>
      </c>
      <c r="G1823" t="inlineStr">
        <is>
          <t>Procurement</t>
        </is>
      </c>
      <c r="H1823"/>
      <c r="I1823"/>
      <c r="J1823" t="inlineStr">
        <is>
          <t>Project</t>
        </is>
      </c>
      <c r="K1823" t="inlineStr">
        <is>
          <t>PDEI - Game Marketing</t>
        </is>
      </c>
      <c r="L1823" t="inlineStr">
        <is>
          <t>Jobstreet Level Up v2</t>
        </is>
      </c>
      <c r="M1823" t="inlineStr">
        <is>
          <t>2025TEG-P0211</t>
        </is>
      </c>
      <c r="N1823" t="inlineStr">
        <is>
          <t>Maura Aurel Atilano Yap</t>
        </is>
      </c>
      <c r="O1823" t="inlineStr">
        <is>
          <t>202601080007-Maura Aurel Atilano Yap-费用报销 - 副本 - 副本 - 副本-2026-01-08 02:40:18</t>
        </is>
      </c>
      <c r="P1823" t="inlineStr">
        <is>
          <t>YES</t>
        </is>
      </c>
      <c r="Q1823"/>
      <c r="R1823" t="inlineStr">
        <is>
          <t>YES</t>
        </is>
      </c>
      <c r="S1823" t="inlineStr">
        <is>
          <t>Outsourced Talent / Caster (Dash)</t>
        </is>
      </c>
      <c r="T1823">
        <v>1</v>
      </c>
      <c r="U1823">
        <v>18000</v>
      </c>
      <c r="V1823" t="inlineStr">
        <is>
          <t>PHP</t>
        </is>
      </c>
      <c r="W1823">
        <v>18000</v>
      </c>
      <c r="X1823" s="2" t="str">
        <f>=HYPERLINK("https://www.larksuite.com/approval/admin/previewAttachment?key=PMgxDgIxDATAL62dddbmMzScIooLDYLOb0eiuHZmGmaGjVlgmResFRV0TwYzywBGe5tUkInqY6_72DotXjp9c33Q3-djHW-Lkjs0yJEA7Hb5EMmqSfwdvwAAAP__", "2 attachment(s)")</f>
        <v>2 attachment(s)</v>
      </c>
      <c r="Y1823" t="inlineStr">
        <is>
          <t>Bank Transfer</t>
        </is>
      </c>
      <c r="Z1823" t="inlineStr">
        <is>
          <t>Eugene I. Esteban</t>
        </is>
      </c>
      <c r="AA1823" t="inlineStr">
        <is>
          <t>2000 5182 8177</t>
        </is>
      </c>
      <c r="AB1823" t="inlineStr">
        <is>
          <t>East West Banking Corporation</t>
        </is>
      </c>
      <c r="AC1823" t="inlineStr">
        <is>
          <t>131 P. Pablo St. 10th Ave. Caloocan City</t>
        </is>
      </c>
      <c r="AD1823" s="4">
        <v>46074</v>
      </c>
      <c r="AE1823" t="inlineStr">
        <is>
          <t>100% Full Payment - March 13, 2026</t>
        </is>
      </c>
      <c r="AF1823" s="2"/>
      <c r="AG1823" t="inlineStr">
        <is>
          <t>NzQyNTk5MTgyNzQ4MTg3MDM0MTpBRDk2NkMyNC00RDY4LTQ1RDAtODBEOC0wNkExMjNBRDY0RUYtMTowNTE5Yjg4ODY5OTRhOTEwNzNhM2ZmZWQyM2I3OTMwMjox</t>
        </is>
      </c>
      <c r="AH1823" t="inlineStr">
        <is>
          <t>Eugene I. Esteban</t>
        </is>
      </c>
      <c r="AI1823"/>
      <c r="AJ1823" t="inlineStr">
        <is>
          <t>LIQUIDITY PLAN (PAR # 202511040070 / 2025TEG-P0211)
MANPOWER &gt; TALENTS &gt;
Seasoned Talent (Onsite) VALO
Total Remaining Budget = Php 5,000.00
Actual Cost = Php 18,000.00
Balance = (Php 13,000.00) OVER BUDGET
^ OVER BUDGET TO BE CHARGED TO ADDENDUM (2025TEG-P0341) - not visible as of this time</t>
        </is>
      </c>
      <c r="AK1823"/>
    </row>
    <row r="1824" ht="25.5" customHeight="1">
      <c r="A1824" s="2" t="str">
        <f>=HYPERLINK("https://applink.larksuite.com/client/mini_program/open?appId=cli_9c7cc8a9a9edd105&amp;mode=appCenter&amp;path_pc=pc/pages/requested/index?instanceId=7595807647639654110&amp;source=bitable&amp;path=pages/detail/index?instanceId=7595807647639654110&amp;source=bitable", "202601160014")</f>
        <v>202601160014</v>
      </c>
      <c r="B1824" t="inlineStr">
        <is>
          <t>Approved</t>
        </is>
      </c>
      <c r="C1824" t="inlineStr">
        <is>
          <t>Procurement Order</t>
        </is>
      </c>
      <c r="D1824" s="3">
        <v>46038.5090625</v>
      </c>
      <c r="E1824" s="3">
        <v>46038.65186342593</v>
      </c>
      <c r="F1824" t="inlineStr">
        <is>
          <t>Fatima Kathleen M. FLores</t>
        </is>
      </c>
      <c r="G1824" t="inlineStr">
        <is>
          <t>Procurement</t>
        </is>
      </c>
      <c r="H1824"/>
      <c r="I1824"/>
      <c r="J1824" t="inlineStr">
        <is>
          <t>Project</t>
        </is>
      </c>
      <c r="K1824" t="inlineStr">
        <is>
          <t>PDEI - Game Marketing</t>
        </is>
      </c>
      <c r="L1824" t="inlineStr">
        <is>
          <t>Adtechinno - QRoad MMOARPG PR Campaign</t>
        </is>
      </c>
      <c r="M1824" t="inlineStr">
        <is>
          <t>2025TEG-P0329</t>
        </is>
      </c>
      <c r="N1824" t="inlineStr">
        <is>
          <t>Clifford Markus Ortiz Martinez</t>
        </is>
      </c>
      <c r="O1824" t="inlineStr">
        <is>
          <t>202601050026-Clifford Markus Ortiz Martinez-费用报销 - 副本 - 副本 - 副本-2026-01-05 04:07:49</t>
        </is>
      </c>
      <c r="P1824" t="inlineStr">
        <is>
          <t>YES</t>
        </is>
      </c>
      <c r="Q1824"/>
      <c r="R1824" t="inlineStr">
        <is>
          <t>NO</t>
        </is>
      </c>
      <c r="S1824" t="inlineStr">
        <is>
          <t>PR Seeding / Banner posts in website (3 months)</t>
        </is>
      </c>
      <c r="T1824">
        <v>1</v>
      </c>
      <c r="U1824">
        <v>23333.33</v>
      </c>
      <c r="V1824" t="inlineStr">
        <is>
          <t>PHP</t>
        </is>
      </c>
      <c r="W1824">
        <v>23333.33</v>
      </c>
      <c r="X1824" s="2" t="str">
        <f>=HYPERLINK("https://www.larksuite.com/approval/admin/previewAttachment?key=PMg7DsIwEATQK83YszteLkOTKCLi0yDc-exIFLQvB5Ej2LOgYitwOSoGnHL2yhCJ1Rbtgml57c_jes5ibK_PvO-nHljzth37m1FuDe5SHwB4-Xu3pKoUfo5vAAAA__8", "3 attachment(s)")</f>
        <v>3 attachment(s)</v>
      </c>
      <c r="Y1824" t="inlineStr">
        <is>
          <t>Bank Transfer</t>
        </is>
      </c>
      <c r="Z1824" t="inlineStr">
        <is>
          <t>Justin Imperial</t>
        </is>
      </c>
      <c r="AA1824" t="inlineStr">
        <is>
          <t>09569546114</t>
        </is>
      </c>
      <c r="AB1824" t="inlineStr">
        <is>
          <t>GCash</t>
        </is>
      </c>
      <c r="AC1824" t="inlineStr">
        <is>
          <t>Quezon City</t>
        </is>
      </c>
      <c r="AD1824" s="4">
        <v>45989</v>
      </c>
      <c r="AE1824" t="inlineStr">
        <is>
          <t>50% First Payment - Dec. 4, 2025
50% Final Payment - before end of 1st month</t>
        </is>
      </c>
      <c r="AF1824" s="2"/>
      <c r="AG1824" t="inlineStr">
        <is>
          <t>NzQyNTk5MTgyNzQ4MTg3MDM0MTpDNzAxQTc2Qi02NkUzLTQ3NTQtOTk3OS1CQ0RDOTlGODdGRUEtMTowZGEwNDZhYjA2ZmIxMTkzOTMxYjRlMGZlNjU1ZGZhZDox</t>
        </is>
      </c>
      <c r="AH1824" t="inlineStr">
        <is>
          <t>GAMEPOW MEDIA</t>
        </is>
      </c>
      <c r="AI1824"/>
      <c r="AJ1824" t="inlineStr">
        <is>
          <t>LIQUIDITY PLAN (PAR # 202512120072 / 2025TEG-P0329)
3 Months Banner &gt; GamePOW
Total Budget = Php 24,000.00
Actual Cost = Php 23,333.33
Balance = Php 666.67</t>
        </is>
      </c>
      <c r="AK1824"/>
    </row>
    <row r="1825" ht="25.5" customHeight="1">
      <c r="A1825" s="2" t="str">
        <f>=HYPERLINK("https://applink.larksuite.com/client/mini_program/open?appId=cli_9c7cc8a9a9edd105&amp;mode=appCenter&amp;path_pc=pc/pages/requested/index?instanceId=7595818293907214048&amp;source=bitable&amp;path=pages/detail/index?instanceId=7595818293907214048&amp;source=bitable", "202601160019")</f>
        <v>202601160019</v>
      </c>
      <c r="B1825" t="inlineStr">
        <is>
          <t>Approved</t>
        </is>
      </c>
      <c r="C1825" t="inlineStr">
        <is>
          <t>Procurement Order</t>
        </is>
      </c>
      <c r="D1825" s="3">
        <v>46038.53775462963</v>
      </c>
      <c r="E1825" s="3">
        <v>46041.58150462963</v>
      </c>
      <c r="F1825" t="inlineStr">
        <is>
          <t>Fatima Kathleen M. FLores</t>
        </is>
      </c>
      <c r="G1825" t="inlineStr">
        <is>
          <t>Procurement</t>
        </is>
      </c>
      <c r="H1825"/>
      <c r="I1825"/>
      <c r="J1825" t="inlineStr">
        <is>
          <t>GAE</t>
        </is>
      </c>
      <c r="K1825"/>
      <c r="L1825"/>
      <c r="M1825"/>
      <c r="N1825"/>
      <c r="O1825" t="inlineStr">
        <is>
          <t>202601090039-John Jerald Lauguico-费用报销 - 副本 - 副本-2026-01-09 07:20:21</t>
        </is>
      </c>
      <c r="P1825"/>
      <c r="Q1825" t="inlineStr">
        <is>
          <t>V5 Tech</t>
        </is>
      </c>
      <c r="R1825"/>
      <c r="S1825" t="inlineStr">
        <is>
          <t>Inlogic Games Licensing Fee and Support Package total of 5 games 2026</t>
        </is>
      </c>
      <c r="T1825">
        <v>4</v>
      </c>
      <c r="U1825">
        <v>750</v>
      </c>
      <c r="V1825" t="inlineStr">
        <is>
          <t>USD</t>
        </is>
      </c>
      <c r="W1825">
        <v>3000</v>
      </c>
      <c r="X1825" s="2" t="str">
        <f>=HYPERLINK("https://www.larksuite.com/approval/admin/previewAttachment?key=PMgxrsJADATQK43t8Y79L_ObrCIISoW03Z4diYL2jTKMSovRYJs3bCs7y8o7GnIjWNu3SQ2ZqD3v8z9zxX3Jjvm6nlx7PY5zvi1b7lCQUQDs7-chkt2D-Do-AQAA__8", "3 attachment(s)")</f>
        <v>3 attachment(s)</v>
      </c>
      <c r="Y1825" t="inlineStr">
        <is>
          <t>Bank Transfer</t>
        </is>
      </c>
      <c r="Z1825" t="inlineStr">
        <is>
          <t>INLOGIC SOFTWARE S.R</t>
        </is>
      </c>
      <c r="AA1825" t="inlineStr">
        <is>
          <t>2628098225/1100 (IBAN: SK65 1100 0000 0026 2809 8225)</t>
        </is>
      </c>
      <c r="AB1825" t="inlineStr">
        <is>
          <t>Tatra banka, a.s.</t>
        </is>
      </c>
      <c r="AC1825" t="inlineStr">
        <is>
          <t>Mičinská cesta 1, 974 01 Banská Bystrica, Slovakia</t>
        </is>
      </c>
      <c r="AD1825" s="4">
        <v>46023</v>
      </c>
      <c r="AE1825" t="inlineStr">
        <is>
          <t>Quarterly Payment:
Jan 2026 to March 2026 - Jan. 2026
April 2026 to June 2026 - April 2026
July 2026 to Sept. 2026 - July 2026
Oct 2026 to Dec 2026 - Oct 2026</t>
        </is>
      </c>
      <c r="AF1825" s="2"/>
      <c r="AG1825" t="inlineStr">
        <is>
          <t>NzQyNTk5MTgyNzQ4MTg3MDM0MTo3OUMyNjNDRC1FMkNGLTQyNTctQjMyOS02NzNGNThGQzI4OEQtMTpkYTk0N2QyOGMyOTI5YzBjNmI1ZDFkMjUwNjM1MTBiYTox</t>
        </is>
      </c>
      <c r="AH1825" t="inlineStr">
        <is>
          <t>INLOGIC SOFTWARE S.R</t>
        </is>
      </c>
      <c r="AI1825"/>
      <c r="AJ1825"/>
      <c r="AK1825"/>
    </row>
    <row r="1826" ht="25.5" customHeight="1">
      <c r="A1826" s="2" t="str">
        <f>=HYPERLINK("https://applink.larksuite.com/client/mini_program/open?appId=cli_9c7cc8a9a9edd105&amp;mode=appCenter&amp;path_pc=pc/pages/requested/index?instanceId=7595819991853698785&amp;source=bitable&amp;path=pages/detail/index?instanceId=7595819991853698785&amp;source=bitable", "202601160020")</f>
        <v>202601160020</v>
      </c>
      <c r="B1826" t="inlineStr">
        <is>
          <t>Approved</t>
        </is>
      </c>
      <c r="C1826" t="inlineStr">
        <is>
          <t>Procurement Order</t>
        </is>
      </c>
      <c r="D1826" s="3">
        <v>46038.54232638889</v>
      </c>
      <c r="E1826" s="3">
        <v>46041.588900462964</v>
      </c>
      <c r="F1826" t="inlineStr">
        <is>
          <t>Fatima Kathleen M. FLores</t>
        </is>
      </c>
      <c r="G1826" t="inlineStr">
        <is>
          <t>Procurement</t>
        </is>
      </c>
      <c r="H1826"/>
      <c r="I1826"/>
      <c r="J1826" t="inlineStr">
        <is>
          <t>GAE</t>
        </is>
      </c>
      <c r="K1826"/>
      <c r="L1826"/>
      <c r="M1826"/>
      <c r="N1826"/>
      <c r="O1826" t="inlineStr">
        <is>
          <t>202601120115-John Jerald Lauguico-费用报销 - 副本 - 副本-2026-01-12 23:54:08</t>
        </is>
      </c>
      <c r="P1826"/>
      <c r="Q1826" t="inlineStr">
        <is>
          <t>V5 Tech</t>
        </is>
      </c>
      <c r="R1826"/>
      <c r="S1826" t="inlineStr">
        <is>
          <t>Games Licensing Fee and Support Package 2026 - Auto renewal (Total of 80 games)</t>
        </is>
      </c>
      <c r="T1826">
        <v>4</v>
      </c>
      <c r="U1826">
        <v>1500</v>
      </c>
      <c r="V1826" t="inlineStr">
        <is>
          <t>USD</t>
        </is>
      </c>
      <c r="W1826">
        <v>6000</v>
      </c>
      <c r="X1826" s="2" t="str">
        <f>=HYPERLINK("https://www.larksuite.com/approval/admin/previewAttachment?key=PMgxCgJBDAXQK-VPkvn5XsZml0UGthLGKmcXLGzfLNishE9ZCEOGZioLklDpU8XKHg1SRjDY5309M7ffK46P1vblvV_Hdb6R4hhGj_AyMzz-7owIaYb93L4BAAD__w", "3 attachment(s)")</f>
        <v>3 attachment(s)</v>
      </c>
      <c r="Y1826" t="inlineStr">
        <is>
          <t>Bank Transfer</t>
        </is>
      </c>
      <c r="Z1826" t="inlineStr">
        <is>
          <t>MarketJS Limited</t>
        </is>
      </c>
      <c r="AA1826" t="inlineStr">
        <is>
          <t>023-184641-838 (Swift Code: HSBCHKHHHKH)</t>
        </is>
      </c>
      <c r="AB1826" t="inlineStr">
        <is>
          <t>HSBC ( The Hong Kong and Shanghai Banking Corporation )</t>
        </is>
      </c>
      <c r="AC1826" t="inlineStr">
        <is>
          <t>9/F, Suite 901 Hing Yip Commercial Centre 272-284 Des Voeux Road Central, Hong Kong</t>
        </is>
      </c>
      <c r="AD1826" s="4">
        <v>46023</v>
      </c>
      <c r="AE1826" t="inlineStr">
        <is>
          <t>Quarterly Payment:
Jan 2026 to March 2026 - Jan. 2026
April 2026 to June 2026 - April 2026
July 2026 to Sept. 2026 - July 2026
Oct 2026 to Dec 2026 - Oct 2026</t>
        </is>
      </c>
      <c r="AF1826" s="2"/>
      <c r="AG1826" t="inlineStr">
        <is>
          <t>NzQyNTk5MTgyNzQ4MTg3MDM0MTo2Nzk2QjE1Ri1EMTFDLTQ5MTMtODg1OS1FNjVENTREQzcxQ0MtMTo0Mjk1ZjgxZGM0MDRhMmMyZGI5YzM4MGY4MjIwZGIzZDox</t>
        </is>
      </c>
      <c r="AH1826" t="inlineStr">
        <is>
          <t>MarketJS Limited</t>
        </is>
      </c>
      <c r="AI1826"/>
      <c r="AJ1826"/>
      <c r="AK1826"/>
    </row>
    <row r="1827" ht="25.5" customHeight="1">
      <c r="A1827" s="2" t="str">
        <f>=HYPERLINK("https://applink.larksuite.com/client/mini_program/open?appId=cli_9c7cc8a9a9edd105&amp;mode=appCenter&amp;path_pc=pc/pages/requested/index?instanceId=7595855979747069664&amp;source=bitable&amp;path=pages/detail/index?instanceId=7595855979747069664&amp;source=bitable", "202601160031")</f>
        <v>202601160031</v>
      </c>
      <c r="B1827" t="inlineStr">
        <is>
          <t>Approved</t>
        </is>
      </c>
      <c r="C1827" t="inlineStr">
        <is>
          <t>Procurement Order</t>
        </is>
      </c>
      <c r="D1827" s="3">
        <v>46038.63931712963</v>
      </c>
      <c r="E1827" s="3">
        <v>46041.592673611114</v>
      </c>
      <c r="F1827" t="inlineStr">
        <is>
          <t>Fatima Kathleen M. FLores</t>
        </is>
      </c>
      <c r="G1827" t="inlineStr">
        <is>
          <t>Procurement</t>
        </is>
      </c>
      <c r="H1827"/>
      <c r="I1827"/>
      <c r="J1827" t="inlineStr">
        <is>
          <t>GAE</t>
        </is>
      </c>
      <c r="K1827"/>
      <c r="L1827"/>
      <c r="M1827"/>
      <c r="N1827"/>
      <c r="O1827" t="inlineStr">
        <is>
          <t>202601140024-Bernadeth Español Villaflor-费用报销 - 副本 - 副本 - 副本-2026-01-14 05:21:13</t>
        </is>
      </c>
      <c r="P1827"/>
      <c r="Q1827" t="inlineStr">
        <is>
          <t>Mineski PH</t>
        </is>
      </c>
      <c r="R1827"/>
      <c r="S1827" t="inlineStr">
        <is>
          <t>40in Bubble Wrap Clear (per roll)</t>
        </is>
      </c>
      <c r="T1827">
        <v>2</v>
      </c>
      <c r="U1827">
        <v>761.6</v>
      </c>
      <c r="V1827" t="inlineStr">
        <is>
          <t>PHP</t>
        </is>
      </c>
      <c r="W1827">
        <v>1523.2</v>
      </c>
      <c r="X1827" s="2"/>
      <c r="Y1827" t="inlineStr">
        <is>
          <t>Bank Transfer</t>
        </is>
      </c>
      <c r="Z1827" t="inlineStr">
        <is>
          <t>3A PACKAGING ONLINE STORE</t>
        </is>
      </c>
      <c r="AA1827" t="inlineStr">
        <is>
          <t>2829 1793 96</t>
        </is>
      </c>
      <c r="AB1827" t="inlineStr">
        <is>
          <t>BPI</t>
        </is>
      </c>
      <c r="AC1827" t="inlineStr">
        <is>
          <t>165-B 21st Avenue, East Rembo, Makati City</t>
        </is>
      </c>
      <c r="AD1827" s="4">
        <v>46043</v>
      </c>
      <c r="AE1827" t="inlineStr">
        <is>
          <t>100% Full Payment before delivery / pick-up</t>
        </is>
      </c>
      <c r="AF1827" s="2" t="str">
        <f>=HYPERLINK("https://www.larksuite.com/approval/admin/previewAttachment?key=TMg9CgIxFATgK81s3t94GRtD0IWthGDzzi5Y2X5RRJRzhGDiIbDT5eWuVFoiFGF9NDOFZFr2vNb9tcU1znPjc6Fm7-djzTejRsDkZhQA3v6chGrE-Dm-AQAA__8", "4 attachment(s)")</f>
        <v>4 attachment(s)</v>
      </c>
      <c r="AG1827" t="inlineStr">
        <is>
          <t>NzQyNTk5MTgyNzQ4MTg3MDM0MTo2MzY0MTk4NS0zQkNDLTQxOUQtODg0QS1ENUJENzRENjdFMTYtMTpkMjRmMmNmNWZjODQzNTIyMmQyODhlOWNjMjRlOGQ2MDox</t>
        </is>
      </c>
      <c r="AH1827" t="inlineStr">
        <is>
          <t>3A PACKAGING ONLINE STORE</t>
        </is>
      </c>
      <c r="AI1827"/>
      <c r="AJ1827"/>
      <c r="AK1827"/>
    </row>
    <row r="1828" ht="25.5" customHeight="1">
      <c r="A1828" s="2" t="str">
        <f>=HYPERLINK("https://applink.larksuite.com/client/mini_program/open?appId=cli_9c7cc8a9a9edd105&amp;mode=appCenter&amp;path_pc=pc/pages/requested/index?instanceId=7595855979747069664&amp;source=bitable&amp;path=pages/detail/index?instanceId=7595855979747069664&amp;source=bitable", "202601160031")</f>
        <v>202601160031</v>
      </c>
      <c r="B1828" t="inlineStr">
        <is>
          <t>Approved</t>
        </is>
      </c>
      <c r="C1828" t="inlineStr">
        <is>
          <t>Procurement Order</t>
        </is>
      </c>
      <c r="D1828" s="3">
        <v>46038.63931712963</v>
      </c>
      <c r="E1828" s="3">
        <v>46041.592673611114</v>
      </c>
      <c r="F1828" t="inlineStr">
        <is>
          <t>Fatima Kathleen M. FLores</t>
        </is>
      </c>
      <c r="G1828" t="inlineStr">
        <is>
          <t>Procurement</t>
        </is>
      </c>
      <c r="H1828"/>
      <c r="I1828"/>
      <c r="J1828" t="inlineStr">
        <is>
          <t>GAE</t>
        </is>
      </c>
      <c r="K1828"/>
      <c r="L1828"/>
      <c r="M1828"/>
      <c r="N1828"/>
      <c r="O1828" t="inlineStr">
        <is>
          <t>202601140024-Bernadeth Español Villaflor-费用报销 - 副本 - 副本 - 副本-2026-01-14 05:21:13</t>
        </is>
      </c>
      <c r="P1828"/>
      <c r="Q1828" t="inlineStr">
        <is>
          <t>Mineski PH</t>
        </is>
      </c>
      <c r="R1828"/>
      <c r="S1828" t="inlineStr">
        <is>
          <t>20x300m Stretch Film Clear (per roll)</t>
        </is>
      </c>
      <c r="T1828">
        <v>8</v>
      </c>
      <c r="U1828">
        <v>347.2</v>
      </c>
      <c r="V1828" t="inlineStr">
        <is>
          <t>PHP</t>
        </is>
      </c>
      <c r="W1828">
        <v>2777.6</v>
      </c>
      <c r="X1828" s="2" t="str">
        <f>=HYPERLINK("https://www.larksuite.com/approval/admin/previewAttachment?key=PMgxCgIxFATQK81P5v_JeBkbl6ALWwnBJmcXLGxfjUCNjF4GHc2IrXSOTMuiUK7ibjskQyFqH9e8v5Zj9vNc-FwYx17PxzzekVZrUCf7ABC3v3eRtIv4eXwDAAD__w", "2 attachment(s)")</f>
        <v>2 attachment(s)</v>
      </c>
      <c r="Y1828"/>
      <c r="Z1828"/>
      <c r="AA1828"/>
      <c r="AB1828"/>
      <c r="AC1828"/>
      <c r="AD1828" s="4"/>
      <c r="AE1828"/>
      <c r="AF1828" s="2"/>
      <c r="AG1828" t="inlineStr">
        <is>
          <t>NzQyNTk5MTgyNzQ4MTg3MDM0MTo2MzY0MTk4NS0zQkNDLTQxOUQtODg0QS1ENUJENzRENjdFMTYtMjpkN2MwZjgyYTAzMTYyMzRmMzQyOGIwNDcyODhlZDY3Zjox</t>
        </is>
      </c>
      <c r="AH1828"/>
      <c r="AI1828"/>
      <c r="AJ1828"/>
      <c r="AK1828"/>
    </row>
    <row r="1829" ht="25.5" customHeight="1">
      <c r="A1829" s="2" t="str">
        <f>=HYPERLINK("https://applink.larksuite.com/client/mini_program/open?appId=cli_9c7cc8a9a9edd105&amp;mode=appCenter&amp;path_pc=pc/pages/requested/index?instanceId=7595861941176880860&amp;source=bitable&amp;path=pages/detail/index?instanceId=7595861941176880860&amp;source=bitable", "202601160032")</f>
        <v>202601160032</v>
      </c>
      <c r="B1829" t="inlineStr">
        <is>
          <t>Approved</t>
        </is>
      </c>
      <c r="C1829" t="inlineStr">
        <is>
          <t>Procurement Order</t>
        </is>
      </c>
      <c r="D1829" s="3">
        <v>46038.655381944445</v>
      </c>
      <c r="E1829" s="3">
        <v>46057.708553240744</v>
      </c>
      <c r="F1829" t="inlineStr">
        <is>
          <t>Fatima Kathleen M. FLores</t>
        </is>
      </c>
      <c r="G1829" t="inlineStr">
        <is>
          <t>Procurement</t>
        </is>
      </c>
      <c r="H1829"/>
      <c r="I1829"/>
      <c r="J1829" t="inlineStr">
        <is>
          <t>Project</t>
        </is>
      </c>
      <c r="K1829" t="inlineStr">
        <is>
          <t>PDEI - Event Service</t>
        </is>
      </c>
      <c r="L1829" t="inlineStr">
        <is>
          <t>M5 Main Event - Broadcast</t>
        </is>
      </c>
      <c r="M1829" t="inlineStr">
        <is>
          <t>2023TEG-P0102</t>
        </is>
      </c>
      <c r="N1829" t="inlineStr">
        <is>
          <t>Duane Aaron Baret Cadangan</t>
        </is>
      </c>
      <c r="O1829" t="inlineStr">
        <is>
          <t>202601050016-Duane Aaron Baret Cadangan-费用报销 - 副本 - 副本 - 副本-2026-01-05 03:43:56</t>
        </is>
      </c>
      <c r="P1829" t="inlineStr">
        <is>
          <t>NO</t>
        </is>
      </c>
      <c r="Q1829"/>
      <c r="R1829" t="inlineStr">
        <is>
          <t>YES</t>
        </is>
      </c>
      <c r="S1829" t="inlineStr">
        <is>
          <t>Hotel Accommodation - Extra Beds (Nov. 29 to Dec. 6, 7 &amp; 12, 2025)</t>
        </is>
      </c>
      <c r="T1829">
        <v>1</v>
      </c>
      <c r="U1829">
        <v>63280</v>
      </c>
      <c r="V1829" t="inlineStr">
        <is>
          <t>PHP</t>
        </is>
      </c>
      <c r="W1829">
        <v>63280</v>
      </c>
      <c r="X1829" s="2" t="str">
        <f>=HYPERLINK("https://www.larksuite.com/approval/admin/previewAttachment?key=PMgxCgJBDAXQK_2fZPITL2PjsKigjbhoMWcXLLZ9WUTWoGcjmtbg0uhRyQ5SWYVKLFuUGqJCaz628_t7i6f5tDv2j_var5dtvjhaZpBHeAHg6XBXRHRn4O_4BQAA__8", "3 attachment(s)")</f>
        <v>3 attachment(s)</v>
      </c>
      <c r="Y1829" t="inlineStr">
        <is>
          <t>Bank Transfer</t>
        </is>
      </c>
      <c r="Z1829" t="inlineStr">
        <is>
          <t>HONEST MANAGEMENT INC.</t>
        </is>
      </c>
      <c r="AA1829" t="inlineStr">
        <is>
          <t>0000041400075</t>
        </is>
      </c>
      <c r="AB1829" t="inlineStr">
        <is>
          <t>Security Bank</t>
        </is>
      </c>
      <c r="AC1829" t="inlineStr">
        <is>
          <t>22 Road 13, Bagong Pag-asa, QC</t>
        </is>
      </c>
      <c r="AD1829" s="4">
        <v>45988</v>
      </c>
      <c r="AE1829" t="inlineStr">
        <is>
          <t>THIS IS A CONFIRMING PO ONLY. VENDOR ALREADY PAID.</t>
        </is>
      </c>
      <c r="AF1829" s="2"/>
      <c r="AG1829" t="inlineStr">
        <is>
          <t>NzQyNTk5MTgyNzQ4MTg3MDM0MTo5MjMwOTdEQS0zNjQyLTQxQzYtQkFGRC0xRUE2QkE2OTkwMEEtMTo4ZWViZGE5ODQzMzBmMDYzOGYyNzI1ZmE2ZjQzNDY2ZTox</t>
        </is>
      </c>
      <c r="AH1829" t="inlineStr">
        <is>
          <t>HONEST MANAGEMENT INC.</t>
        </is>
      </c>
      <c r="AI1829"/>
      <c r="AJ1829" t="inlineStr">
        <is>
          <t>LIQUIDITY PLAN (PAR # 202310250017) - MAIN EVENT BROADCAST 
KNOCKOUTS &gt; HOTEL &amp; ACCOMODATION  (Dec 2-12) &gt;
For checking, 32 pax. 
Total Budget = Php 23,250.00
Actual Cost = Php 63,280.00
Balance = (Php 40,030.00) OVER BUDGET</t>
        </is>
      </c>
      <c r="AK1829"/>
    </row>
    <row r="1830" ht="25.5" customHeight="1">
      <c r="A1830" s="2" t="str">
        <f>=HYPERLINK("https://applink.larksuite.com/client/mini_program/open?appId=cli_9c7cc8a9a9edd105&amp;mode=appCenter&amp;path_pc=pc/pages/requested/index?instanceId=7595876293841817312&amp;source=bitable&amp;path=pages/detail/index?instanceId=7595876293841817312&amp;source=bitable", "202601160034")</f>
        <v>202601160034</v>
      </c>
      <c r="B1830" t="inlineStr">
        <is>
          <t>Approved</t>
        </is>
      </c>
      <c r="C1830" t="inlineStr">
        <is>
          <t>Procurement Order</t>
        </is>
      </c>
      <c r="D1830" s="3">
        <v>46038.69405092593</v>
      </c>
      <c r="E1830" s="3">
        <v>46057.707291666666</v>
      </c>
      <c r="F1830" t="inlineStr">
        <is>
          <t>Fatima Kathleen M. FLores</t>
        </is>
      </c>
      <c r="G1830" t="inlineStr">
        <is>
          <t>Procurement</t>
        </is>
      </c>
      <c r="H1830"/>
      <c r="I1830"/>
      <c r="J1830" t="inlineStr">
        <is>
          <t>Project</t>
        </is>
      </c>
      <c r="K1830" t="inlineStr">
        <is>
          <t>PDEI - Event Service</t>
        </is>
      </c>
      <c r="L1830" t="inlineStr">
        <is>
          <t>M5 Main Event - Broadcast</t>
        </is>
      </c>
      <c r="M1830" t="inlineStr">
        <is>
          <t>2023TEG-P0102</t>
        </is>
      </c>
      <c r="N1830" t="inlineStr">
        <is>
          <t>Duane Aaron Baret Cadangan</t>
        </is>
      </c>
      <c r="O1830" t="inlineStr">
        <is>
          <t>202601050077-Duane Aaron Baret Cadangan-费用报销 - 副本 - 副本 - 副本-2026-01-05 06:59:35</t>
        </is>
      </c>
      <c r="P1830" t="inlineStr">
        <is>
          <t>NO</t>
        </is>
      </c>
      <c r="Q1830"/>
      <c r="R1830" t="inlineStr">
        <is>
          <t>YES</t>
        </is>
      </c>
      <c r="S1830" t="inlineStr">
        <is>
          <t>Emergency Medical Services</t>
        </is>
      </c>
      <c r="T1830">
        <v>1</v>
      </c>
      <c r="U1830">
        <v>3490.5</v>
      </c>
      <c r="V1830" t="inlineStr">
        <is>
          <t>PHP</t>
        </is>
      </c>
      <c r="W1830">
        <v>3490.5</v>
      </c>
      <c r="X1830" s="2" t="str">
        <f>=HYPERLINK("https://www.larksuite.com/approval/admin/previewAttachment?key=PMg9ikJBEATgK1X1z1T3XmYTh0EEQZD3NJmzCwam3yhiVNJHI5rW4FZ2loa1V7Aop23blBqiQnve179oj_M1j5Xv4zZzn9fLmk9mywzyCC8A_Pu5KyK6R-Dr-AQAAP__", "3 attachment(s)")</f>
        <v>3 attachment(s)</v>
      </c>
      <c r="Y1830" t="inlineStr">
        <is>
          <t>Bank Transfer</t>
        </is>
      </c>
      <c r="Z1830" t="inlineStr">
        <is>
          <t>PROVIDENCE HOSPITAL INC.</t>
        </is>
      </c>
      <c r="AA1830" t="inlineStr">
        <is>
          <t>2101002058</t>
        </is>
      </c>
      <c r="AB1830" t="inlineStr">
        <is>
          <t>BPI</t>
        </is>
      </c>
      <c r="AC1830" t="inlineStr">
        <is>
          <t>QC</t>
        </is>
      </c>
      <c r="AD1830" s="4">
        <v>45274</v>
      </c>
      <c r="AE1830" t="inlineStr">
        <is>
          <t>THIS IS A CONFIRMING PO ONLY. SERVICES ALREADY DONE AND PAID.</t>
        </is>
      </c>
      <c r="AF1830" s="2"/>
      <c r="AG1830" t="inlineStr">
        <is>
          <t>NzQyNTk5MTgyNzQ4MTg3MDM0MToxQjA4QUI4Qi02NTFGLTQ0MTMtOEIyMi0xNzRGOURCODI3RDMtMTpjZTZlNDlkYTk1MzRlYTFmMjdkOWEzNjgwODI2NTc0YTox</t>
        </is>
      </c>
      <c r="AH1830" t="inlineStr">
        <is>
          <t>PROVIDENCE HOSPITAL INC.</t>
        </is>
      </c>
      <c r="AI1830"/>
      <c r="AJ1830" t="inlineStr">
        <is>
          <t>No line item in internal CE. This was an emergency of one of the players.</t>
        </is>
      </c>
      <c r="AK1830"/>
    </row>
    <row r="1831" ht="25.5" customHeight="1">
      <c r="A1831" s="2" t="str">
        <f>=HYPERLINK("https://applink.larksuite.com/client/mini_program/open?appId=cli_9c7cc8a9a9edd105&amp;mode=appCenter&amp;path_pc=pc/pages/requested/index?instanceId=7596989628838612704&amp;source=bitable&amp;path=pages/detail/index?instanceId=7596989628838612704&amp;source=bitable", "202601190104")</f>
        <v>202601190104</v>
      </c>
      <c r="B1831" t="inlineStr">
        <is>
          <t>Approved</t>
        </is>
      </c>
      <c r="C1831" t="inlineStr">
        <is>
          <t>Procurement Order</t>
        </is>
      </c>
      <c r="D1831" s="3">
        <v>46041.69427083333</v>
      </c>
      <c r="E1831" s="3">
        <v>46042.618946759256</v>
      </c>
      <c r="F1831" t="inlineStr">
        <is>
          <t>Fatima Kathleen M. FLores</t>
        </is>
      </c>
      <c r="G1831" t="inlineStr">
        <is>
          <t>Procurement</t>
        </is>
      </c>
      <c r="H1831"/>
      <c r="I1831"/>
      <c r="J1831" t="inlineStr">
        <is>
          <t>Project</t>
        </is>
      </c>
      <c r="K1831" t="inlineStr">
        <is>
          <t>GG - Event Service</t>
        </is>
      </c>
      <c r="L1831" t="inlineStr">
        <is>
          <t>Kings Invitational Series Rebroadcast S4 (KIS S4)</t>
        </is>
      </c>
      <c r="M1831" t="inlineStr">
        <is>
          <t>2026TEG-P0007</t>
        </is>
      </c>
      <c r="N1831" t="inlineStr">
        <is>
          <t>Randy Vince Fernandez Apura</t>
        </is>
      </c>
      <c r="O1831" t="inlineStr">
        <is>
          <t>202601160057-Randy Vince Fernandez Apura-费用报销 - 副本 - 副本 - 副本-2026-01-16 23:20:15;202601160058-Randy Vince Fernandez Apura-费用报销 - 副本 - 副本 - 副本-2026-01-16 23:28:20</t>
        </is>
      </c>
      <c r="P1831" t="inlineStr">
        <is>
          <t>NO</t>
        </is>
      </c>
      <c r="Q1831"/>
      <c r="R1831" t="inlineStr">
        <is>
          <t>NO</t>
        </is>
      </c>
      <c r="S1831" t="inlineStr">
        <is>
          <t>Booth Rental / Fabrication (Jan. 30 to Feb. 8, 2026)</t>
        </is>
      </c>
      <c r="T1831">
        <v>1</v>
      </c>
      <c r="U1831">
        <v>135520</v>
      </c>
      <c r="V1831" t="inlineStr">
        <is>
          <t>PHP</t>
        </is>
      </c>
      <c r="W1831">
        <v>135520</v>
      </c>
      <c r="X1831" s="2" t="str">
        <f>=HYPERLINK("https://www.larksuite.com/approval/admin/previewAttachment?key=PMg7DsIwEATQK82sx_vhMjRYEY0rpJBmz45EkfZ5Ep6TwwsqWoEds7yy3DJHOi2gtmZEIRiKXvt4nty4tO1Lu5Z2n-_XsT6cFWaIIY0EwMftIyRVufB3_AIAAP__", "3 attachment(s)")</f>
        <v>3 attachment(s)</v>
      </c>
      <c r="Y1831" t="inlineStr">
        <is>
          <t>Bank Transfer</t>
        </is>
      </c>
      <c r="Z1831" t="inlineStr">
        <is>
          <t>Mangotree Marketing Solutions Corp</t>
        </is>
      </c>
      <c r="AA1831" t="inlineStr">
        <is>
          <t>1037-0000-9622</t>
        </is>
      </c>
      <c r="AB1831" t="inlineStr">
        <is>
          <t>CHINA BANKING CORPORATION</t>
        </is>
      </c>
      <c r="AC1831" t="inlineStr">
        <is>
          <t>107 Diamond St., CVS Homes, Imelda Ave., Brgy. Sto. Domingo, Cainta Rizal</t>
        </is>
      </c>
      <c r="AD1831" s="4">
        <v>46051</v>
      </c>
      <c r="AE1831" t="inlineStr">
        <is>
          <t>50% down payment upon signing of contract; full payment after Walk through</t>
        </is>
      </c>
      <c r="AF1831" s="2" t="str">
        <f>=HYPERLINK("https://www.larksuite.com/approval/admin/previewAttachment?key=TMgxDsIwDAXQK_3vOLY_l2EhqlgyIZUuPjsSU9cXRURNjhBcNIGdU6FSWNWooCW8rZkpJNOz1z6eJzcu3_alXct3n-_XsT6MGgHXdKcA8HFzEqoR4-_4BQAA__8", "3 attachment(s)")</f>
        <v>3 attachment(s)</v>
      </c>
      <c r="AG1831" t="inlineStr">
        <is>
          <t>NzQyNTk5MTgyNzQ4MTg3MDM0MTo4Mjg0REYxMy0xMTQxLTQyN0YtOEFDNC1FMDIxMTA0M0ZGQkEtMTo0NTBmMzZmMjI5YzZjZTA3ZjczYmU3MjFkYWE0Yzg4Zjox</t>
        </is>
      </c>
      <c r="AH1831" t="inlineStr">
        <is>
          <t>Mangotree Marketing Solutions Corp.</t>
        </is>
      </c>
      <c r="AI1831"/>
      <c r="AJ1831" t="inlineStr">
        <is>
          <t>LIQUIDITY PLAN (PAR # 202601190092 / 2026TEG-P0007)
116 INTERNAL CE TAB &gt; VENUE SKINNING &amp; FABRICATION &gt;
Physical Set Design &gt;
Backdrop, Platform and Set Design
3D Logo - HOK (lighted)
Centerpiece/ Coffee Table
Total Budget = Php 535,000.00
Actual Cost = Php 135,520.00
Balance = Php 399,480.00</t>
        </is>
      </c>
      <c r="AK1831"/>
    </row>
    <row r="1832" ht="25.5" customHeight="1">
      <c r="A1832" s="2" t="str">
        <f>=HYPERLINK("https://applink.larksuite.com/client/mini_program/open?appId=cli_9c7cc8a9a9edd105&amp;mode=appCenter&amp;path_pc=pc/pages/requested/index?instanceId=7595871098051251937&amp;source=bitable&amp;path=pages/detail/index?instanceId=7595871098051251937&amp;source=bitable", "202601160033")</f>
        <v>202601160033</v>
      </c>
      <c r="B1832" t="inlineStr">
        <is>
          <t>Approved</t>
        </is>
      </c>
      <c r="C1832" t="inlineStr">
        <is>
          <t>Procurement Order</t>
        </is>
      </c>
      <c r="D1832" s="3">
        <v>46038.68005787037</v>
      </c>
      <c r="E1832" s="3">
        <v>46057.71107638889</v>
      </c>
      <c r="F1832" t="inlineStr">
        <is>
          <t>Fatima Kathleen M. FLores</t>
        </is>
      </c>
      <c r="G1832" t="inlineStr">
        <is>
          <t>Procurement</t>
        </is>
      </c>
      <c r="H1832"/>
      <c r="I1832"/>
      <c r="J1832" t="inlineStr">
        <is>
          <t>Project</t>
        </is>
      </c>
      <c r="K1832" t="inlineStr">
        <is>
          <t>PDEI - Event Service</t>
        </is>
      </c>
      <c r="L1832" t="inlineStr">
        <is>
          <t>M5 Main Event - Broadcast</t>
        </is>
      </c>
      <c r="M1832" t="inlineStr">
        <is>
          <t>2023TEG-P0102</t>
        </is>
      </c>
      <c r="N1832" t="inlineStr">
        <is>
          <t>Duane Aaron Baret Cadangan</t>
        </is>
      </c>
      <c r="O1832" t="inlineStr">
        <is>
          <t>202601050050-Duane Aaron Baret Cadangan-费用报销 - 副本 - 副本 - 副本-2026-01-05 05:40:50;202601050100-Duane Aaron Baret Cadangan-费用报销 - 副本 - 副本 - 副本-2026-01-05 09:06:01</t>
        </is>
      </c>
      <c r="P1832" t="inlineStr">
        <is>
          <t>NO</t>
        </is>
      </c>
      <c r="Q1832"/>
      <c r="R1832" t="inlineStr">
        <is>
          <t>YES</t>
        </is>
      </c>
      <c r="S1832" t="inlineStr">
        <is>
          <t>Emergency Dental Services</t>
        </is>
      </c>
      <c r="T1832">
        <v>1</v>
      </c>
      <c r="U1832">
        <v>18500</v>
      </c>
      <c r="V1832" t="inlineStr">
        <is>
          <t>PHP</t>
        </is>
      </c>
      <c r="W1832">
        <v>18500</v>
      </c>
      <c r="X1832" s="2" t="str">
        <f>=HYPERLINK("https://www.larksuite.com/approval/admin/previewAttachment?key=PMgxCsJAFATQK83s_r_zx8vYGIIKkYBEtNizCxa2bxQxKtmHEWYzOJXOEuFCsiXdNdukZIgKzWVbz-_7DUfsj6wDn32br-tlXZ5MqzWoR_QCwNPfuyLCHoGf4xsAAP__", "3 attachment(s)")</f>
        <v>3 attachment(s)</v>
      </c>
      <c r="Y1832" t="inlineStr">
        <is>
          <t>Bank Transfer</t>
        </is>
      </c>
      <c r="Z1832" t="inlineStr">
        <is>
          <t>Urban Group Health Ventures Inc.</t>
        </is>
      </c>
      <c r="AA1832" t="inlineStr">
        <is>
          <t>9761000419</t>
        </is>
      </c>
      <c r="AB1832" t="inlineStr">
        <is>
          <t>BPI</t>
        </is>
      </c>
      <c r="AC1832" t="inlineStr">
        <is>
          <t>Retail 2 Level 4 JT 07 &amp; 08 Ayala Malls Vertis North Ave., Brgy Bagong Pag-asa, QC</t>
        </is>
      </c>
      <c r="AD1832" s="4">
        <v>45263</v>
      </c>
      <c r="AE1832" t="inlineStr">
        <is>
          <t>THIS IS A CONFIRMING PO ONLY. SERVICES DONE AND PAID.</t>
        </is>
      </c>
      <c r="AF1832" s="2"/>
      <c r="AG1832" t="inlineStr">
        <is>
          <t>NzQyNTk5MTgyNzQ4MTg3MDM0MTo4NTc4MzhBRS05NTY5LTQ5QjAtQjQxNS1DMzNDOTBDODIzQTEtMToyNjNhMjExYWExZjhlZWMwMDhmYjQ3M2Q5MTFmYjJlMDox</t>
        </is>
      </c>
      <c r="AH1832" t="inlineStr">
        <is>
          <t>Urban Group Health Ventures Inc.</t>
        </is>
      </c>
      <c r="AI1832"/>
      <c r="AJ1832" t="inlineStr">
        <is>
          <t>No line item in internal CE. Emergency services done on one of the players.</t>
        </is>
      </c>
      <c r="AK1832"/>
    </row>
    <row r="1833" ht="25.5" customHeight="1">
      <c r="A1833" s="2" t="str">
        <f>=HYPERLINK("https://applink.larksuite.com/client/mini_program/open?appId=cli_9c7cc8a9a9edd105&amp;mode=appCenter&amp;path_pc=pc/pages/requested/index?instanceId=7595871098051251937&amp;source=bitable&amp;path=pages/detail/index?instanceId=7595871098051251937&amp;source=bitable", "202601160033")</f>
        <v>202601160033</v>
      </c>
      <c r="B1833" t="inlineStr">
        <is>
          <t>Approved</t>
        </is>
      </c>
      <c r="C1833" t="inlineStr">
        <is>
          <t>Procurement Order</t>
        </is>
      </c>
      <c r="D1833" s="3">
        <v>46038.68005787037</v>
      </c>
      <c r="E1833" s="3">
        <v>46057.71107638889</v>
      </c>
      <c r="F1833" t="inlineStr">
        <is>
          <t>Fatima Kathleen M. FLores</t>
        </is>
      </c>
      <c r="G1833" t="inlineStr">
        <is>
          <t>Procurement</t>
        </is>
      </c>
      <c r="H1833"/>
      <c r="I1833"/>
      <c r="J1833" t="inlineStr">
        <is>
          <t>Project</t>
        </is>
      </c>
      <c r="K1833" t="inlineStr">
        <is>
          <t>PDEI - Event Service</t>
        </is>
      </c>
      <c r="L1833" t="inlineStr">
        <is>
          <t>M5 Main Event - Broadcast</t>
        </is>
      </c>
      <c r="M1833" t="inlineStr">
        <is>
          <t>2023TEG-P0102</t>
        </is>
      </c>
      <c r="N1833" t="inlineStr">
        <is>
          <t>Duane Aaron Baret Cadangan</t>
        </is>
      </c>
      <c r="O1833" t="inlineStr">
        <is>
          <t>202601050050-Duane Aaron Baret Cadangan-费用报销 - 副本 - 副本 - 副本-2026-01-05 05:40:50;202601050100-Duane Aaron Baret Cadangan-费用报销 - 副本 - 副本 - 副本-2026-01-05 09:06:01</t>
        </is>
      </c>
      <c r="P1833" t="inlineStr">
        <is>
          <t>NO</t>
        </is>
      </c>
      <c r="Q1833"/>
      <c r="R1833" t="inlineStr">
        <is>
          <t>YES</t>
        </is>
      </c>
      <c r="S1833" t="inlineStr">
        <is>
          <t>Emergency Dental Services (Addendum)</t>
        </is>
      </c>
      <c r="T1833">
        <v>1</v>
      </c>
      <c r="U1833">
        <v>3500</v>
      </c>
      <c r="V1833" t="inlineStr">
        <is>
          <t>PHP</t>
        </is>
      </c>
      <c r="W1833">
        <v>3500</v>
      </c>
      <c r="X1833" s="2" t="str">
        <f>=HYPERLINK("https://www.larksuite.com/approval/admin/previewAttachment?key=PMgxCsJAFATQK83s_r_zx8vYGIIKkYBEtNizCxa2bxQxKtmHEWYzOJXOEuFCsiXdNdukZIgKzWVbz-_7DUfsj6wDn32br-tlXZ5MqzWoR_QCwNPfuyLCHoGf8xsAAP__", "3 attachment(s)")</f>
        <v>3 attachment(s)</v>
      </c>
      <c r="Y1833"/>
      <c r="Z1833"/>
      <c r="AA1833"/>
      <c r="AB1833"/>
      <c r="AC1833"/>
      <c r="AD1833" s="4"/>
      <c r="AE1833"/>
      <c r="AF1833" s="2"/>
      <c r="AG1833" t="inlineStr">
        <is>
          <t>NzQyNTk5MTgyNzQ4MTg3MDM0MTo4NTc4MzhBRS05NTY5LTQ5QjAtQjQxNS1DMzNDOTBDODIzQTEtMjozN2ZjMGIzNjkyNGZiMDU3N2QyYmNmMjZkNzY1ZGVkOTox</t>
        </is>
      </c>
      <c r="AH1833"/>
      <c r="AI1833"/>
      <c r="AJ1833" t="inlineStr">
        <is>
          <t>No line item in internal CE. Emergency services done on one of the players.</t>
        </is>
      </c>
      <c r="AK1833"/>
    </row>
    <row r="1834" ht="25.5" customHeight="1">
      <c r="A1834" s="2" t="str">
        <f>=HYPERLINK("https://applink.larksuite.com/client/mini_program/open?appId=cli_9c7cc8a9a9edd105&amp;mode=appCenter&amp;path_pc=pc/pages/requested/index?instanceId=7591782332185513693&amp;source=bitable&amp;path=pages/detail/index?instanceId=7591782332185513693&amp;source=bitable", "202601050086")</f>
        <v>202601050086</v>
      </c>
      <c r="B1834" t="inlineStr">
        <is>
          <t>Approved</t>
        </is>
      </c>
      <c r="C1834" t="inlineStr">
        <is>
          <t>Procurement Order</t>
        </is>
      </c>
      <c r="D1834" s="3">
        <v>46027.66165509259</v>
      </c>
      <c r="E1834" s="3">
        <v>46057.717141203706</v>
      </c>
      <c r="F1834" t="inlineStr">
        <is>
          <t>Fatima Kathleen M. FLores</t>
        </is>
      </c>
      <c r="G1834" t="inlineStr">
        <is>
          <t>Procurement</t>
        </is>
      </c>
      <c r="H1834"/>
      <c r="I1834"/>
      <c r="J1834" t="inlineStr">
        <is>
          <t>Project</t>
        </is>
      </c>
      <c r="K1834" t="inlineStr">
        <is>
          <t>PDEI - Event Service</t>
        </is>
      </c>
      <c r="L1834" t="inlineStr">
        <is>
          <t>M5 Hospitality</t>
        </is>
      </c>
      <c r="M1834" t="inlineStr">
        <is>
          <t>2023TEG-P0104</t>
        </is>
      </c>
      <c r="N1834" t="inlineStr">
        <is>
          <t>Duane Aaron Baret Cadangan</t>
        </is>
      </c>
      <c r="O1834" t="inlineStr">
        <is>
          <t>202601050048-Duane Aaron Baret Cadangan-费用报销 - 副本 - 副本 - 副本-2026-01-05 05:37:10</t>
        </is>
      </c>
      <c r="P1834" t="inlineStr">
        <is>
          <t>NO</t>
        </is>
      </c>
      <c r="Q1834"/>
      <c r="R1834" t="inlineStr">
        <is>
          <t>YES</t>
        </is>
      </c>
      <c r="S1834" t="inlineStr">
        <is>
          <t>Outsourced Safety Officer (Nov. 24, 25 &amp; 26, 2023)</t>
        </is>
      </c>
      <c r="T1834">
        <v>1</v>
      </c>
      <c r="U1834">
        <v>25500</v>
      </c>
      <c r="V1834" t="inlineStr">
        <is>
          <t>PHP</t>
        </is>
      </c>
      <c r="W1834">
        <v>25500</v>
      </c>
      <c r="X1834" s="2" t="str">
        <f>=HYPERLINK("https://www.larksuite.com/approval/admin/previewAttachment?key=PMk7DsJADATQK83Y3h2by9AkivgoNCjpfHakFLTvzSRmDvosRNEKbI2i0tyNOa7ytqZUEBXqdd_uy2HP8727xQfH8urzsWzrl6NkBnmEJwDe_u6KiKoZuBy_AAAA__8", "2 attachment(s)")</f>
        <v>2 attachment(s)</v>
      </c>
      <c r="Y1834" t="inlineStr">
        <is>
          <t>Bank Transfer</t>
        </is>
      </c>
      <c r="Z1834" t="inlineStr">
        <is>
          <t>JEROME T. CAPOQUIAN</t>
        </is>
      </c>
      <c r="AA1834" t="inlineStr">
        <is>
          <t>9599094366</t>
        </is>
      </c>
      <c r="AB1834" t="inlineStr">
        <is>
          <t>BPI</t>
        </is>
      </c>
      <c r="AC1834" t="inlineStr">
        <is>
          <t>BLOCK 5 LOT 7 PHASE 2 SHINEVILL MAMBUGAN ANTIPOLO CITY</t>
        </is>
      </c>
      <c r="AD1834" s="4">
        <v>45254</v>
      </c>
      <c r="AE1834" t="inlineStr">
        <is>
          <t>100% Full Payment
NOTE: THIS IS A CONFIRMING PO ONLY. VENDOR ALREADY PAID.</t>
        </is>
      </c>
      <c r="AF1834" s="2"/>
      <c r="AG1834" t="inlineStr">
        <is>
          <t>NzQyNTk5MTgyNzQ4MTg3MDM0MTpENDQ5NENEOC05MzQ1LTQxMkItOTE5Ri1CNDQzMkZBRDgzMjAtMTozNWIxMmJjN2U3NmY1ODhjZDk3NTAxMmVlYjUwOGQ5Njox</t>
        </is>
      </c>
      <c r="AH1834" t="inlineStr">
        <is>
          <t>JEROME T. CAPOQUIAN</t>
        </is>
      </c>
      <c r="AI1834"/>
      <c r="AJ1834" t="inlineStr">
        <is>
          <t>LIQUIDITY PLAN (PAR # 202310310071) - M5 Hospitality
VENUE &gt;
Licensed Safety Officer 
Security Bouncer
Medical Team
Ambulance
Total Remaining Budget = (Php 53,000.00) NEGATIVE BUDGET
Actual Cost = Php 25,500.00
Balance = (Php 78,500.00) OVER BUDGET</t>
        </is>
      </c>
      <c r="AK1834"/>
    </row>
    <row r="1835" ht="25.5" customHeight="1">
      <c r="A1835" s="2" t="str">
        <f>=HYPERLINK("https://applink.larksuite.com/client/mini_program/open?appId=cli_9c7cc8a9a9edd105&amp;mode=appCenter&amp;path_pc=pc/pages/requested/index?instanceId=7595125433613340382&amp;source=bitable&amp;path=pages/detail/index?instanceId=7595125433613340382&amp;source=bitable", "202601140045")</f>
        <v>202601140045</v>
      </c>
      <c r="B1835" t="inlineStr">
        <is>
          <t>Approved</t>
        </is>
      </c>
      <c r="C1835" t="inlineStr">
        <is>
          <t>Procurement Order</t>
        </is>
      </c>
      <c r="D1835" s="3">
        <v>46036.670636574076</v>
      </c>
      <c r="E1835" s="3">
        <v>46057.70925925926</v>
      </c>
      <c r="F1835" t="inlineStr">
        <is>
          <t>Fatima Kathleen M. FLores</t>
        </is>
      </c>
      <c r="G1835" t="inlineStr">
        <is>
          <t>Procurement</t>
        </is>
      </c>
      <c r="H1835"/>
      <c r="I1835"/>
      <c r="J1835" t="inlineStr">
        <is>
          <t>Project</t>
        </is>
      </c>
      <c r="K1835" t="inlineStr">
        <is>
          <t>PDEI - Event Service</t>
        </is>
      </c>
      <c r="L1835" t="inlineStr">
        <is>
          <t>M5 Main Event - Broadcast</t>
        </is>
      </c>
      <c r="M1835" t="inlineStr">
        <is>
          <t>2023TEG-P0102</t>
        </is>
      </c>
      <c r="N1835" t="inlineStr">
        <is>
          <t>Duane Aaron Baret Cadangan</t>
        </is>
      </c>
      <c r="O1835" t="inlineStr">
        <is>
          <t>202601050010-Duane Aaron Baret Cadangan-费用报销 - 副本 - 副本 - 副本-2026-01-05 03:28:38</t>
        </is>
      </c>
      <c r="P1835" t="inlineStr">
        <is>
          <t>NO</t>
        </is>
      </c>
      <c r="Q1835"/>
      <c r="R1835" t="inlineStr">
        <is>
          <t>YES</t>
        </is>
      </c>
      <c r="S1835" t="inlineStr">
        <is>
          <t>Barong (Small to XXL)</t>
        </is>
      </c>
      <c r="T1835">
        <v>21</v>
      </c>
      <c r="U1835">
        <v>850</v>
      </c>
      <c r="V1835" t="inlineStr">
        <is>
          <t>PHP</t>
        </is>
      </c>
      <c r="W1835">
        <v>17850</v>
      </c>
      <c r="X1835" s="2"/>
      <c r="Y1835" t="inlineStr">
        <is>
          <t>Bank Transfer</t>
        </is>
      </c>
      <c r="Z1835" t="inlineStr">
        <is>
          <t>JOSEFINA SAHAGUN</t>
        </is>
      </c>
      <c r="AA1835" t="inlineStr">
        <is>
          <t>2293229170644</t>
        </is>
      </c>
      <c r="AB1835" t="inlineStr">
        <is>
          <t>Metrobank</t>
        </is>
      </c>
      <c r="AC1835" t="inlineStr">
        <is>
          <t>Kamuning, QC</t>
        </is>
      </c>
      <c r="AD1835" s="4">
        <v>46036</v>
      </c>
      <c r="AE1835" t="inlineStr">
        <is>
          <t>THIS IS A CONFIRMING PO ONLY. ITEMS ALREADY DELIVERED AND PAID.</t>
        </is>
      </c>
      <c r="AF1835" s="2"/>
      <c r="AG1835" t="inlineStr">
        <is>
          <t>NzQyNTk5MTgyNzQ4MTg3MDM0MTpENDgwRjlGOS02OTQ1LTREMkItQjA0RC0xMTg1NjlGMzg3ODMtMTo5YThjMmYwNWIzZTdhMDY5ZmJjZmE1YTc3ZDJhYmNkNDox</t>
        </is>
      </c>
      <c r="AH1835" t="inlineStr">
        <is>
          <t>JOSEFINA SAHAGUN</t>
        </is>
      </c>
      <c r="AI1835"/>
      <c r="AJ1835" t="inlineStr">
        <is>
          <t>No line item in internal CE. Unbudgeted</t>
        </is>
      </c>
      <c r="AK1835"/>
    </row>
    <row r="1836" ht="25.5" customHeight="1">
      <c r="A1836" s="2" t="str">
        <f>=HYPERLINK("https://applink.larksuite.com/client/mini_program/open?appId=cli_9c7cc8a9a9edd105&amp;mode=appCenter&amp;path_pc=pc/pages/requested/index?instanceId=7595125433613340382&amp;source=bitable&amp;path=pages/detail/index?instanceId=7595125433613340382&amp;source=bitable", "202601140045")</f>
        <v>202601140045</v>
      </c>
      <c r="B1836" t="inlineStr">
        <is>
          <t>Approved</t>
        </is>
      </c>
      <c r="C1836" t="inlineStr">
        <is>
          <t>Procurement Order</t>
        </is>
      </c>
      <c r="D1836" s="3">
        <v>46036.670636574076</v>
      </c>
      <c r="E1836" s="3">
        <v>46057.70925925926</v>
      </c>
      <c r="F1836" t="inlineStr">
        <is>
          <t>Fatima Kathleen M. FLores</t>
        </is>
      </c>
      <c r="G1836" t="inlineStr">
        <is>
          <t>Procurement</t>
        </is>
      </c>
      <c r="H1836"/>
      <c r="I1836"/>
      <c r="J1836" t="inlineStr">
        <is>
          <t>Project</t>
        </is>
      </c>
      <c r="K1836" t="inlineStr">
        <is>
          <t>PDEI - Event Service</t>
        </is>
      </c>
      <c r="L1836" t="inlineStr">
        <is>
          <t>M5 Main Event - Broadcast</t>
        </is>
      </c>
      <c r="M1836" t="inlineStr">
        <is>
          <t>2023TEG-P0102</t>
        </is>
      </c>
      <c r="N1836" t="inlineStr">
        <is>
          <t>Duane Aaron Baret Cadangan</t>
        </is>
      </c>
      <c r="O1836" t="inlineStr">
        <is>
          <t>202601050010-Duane Aaron Baret Cadangan-费用报销 - 副本 - 副本 - 副本-2026-01-05 03:28:38</t>
        </is>
      </c>
      <c r="P1836" t="inlineStr">
        <is>
          <t>NO</t>
        </is>
      </c>
      <c r="Q1836"/>
      <c r="R1836" t="inlineStr">
        <is>
          <t>YES</t>
        </is>
      </c>
      <c r="S1836" t="inlineStr">
        <is>
          <t>Barong (4XL)</t>
        </is>
      </c>
      <c r="T1836">
        <v>1</v>
      </c>
      <c r="U1836">
        <v>1100</v>
      </c>
      <c r="V1836" t="inlineStr">
        <is>
          <t>PHP</t>
        </is>
      </c>
      <c r="W1836">
        <v>1100</v>
      </c>
      <c r="X1836" s="2" t="str">
        <f>=HYPERLINK("https://www.larksuite.com/approval/admin/previewAttachment?key=PMg7joIxDATgK83Y4zjey2zDr4iHqBARFD47EgXtNyYxZtBHQUUrsDMqaCH3QXfBp7U1MwvJVPZxX__vfXE8b68Vyqt27_NpHQ9GpRnSJZ8A-PdzT0lVQ_g6PwEAAP__", "3 attachment(s)")</f>
        <v>3 attachment(s)</v>
      </c>
      <c r="Y1836"/>
      <c r="Z1836"/>
      <c r="AA1836"/>
      <c r="AB1836"/>
      <c r="AC1836"/>
      <c r="AD1836" s="4"/>
      <c r="AE1836"/>
      <c r="AF1836" s="2"/>
      <c r="AG1836" t="inlineStr">
        <is>
          <t>NzQyNTk5MTgyNzQ4MTg3MDM0MTpENDgwRjlGOS02OTQ1LTREMkItQjA0RC0xMTg1NjlGMzg3ODMtMjo5NzBkNWJjM2M3NTIwYWQxNjJjZmI5MTFjYmY5OTI2MDox</t>
        </is>
      </c>
      <c r="AH1836"/>
      <c r="AI1836"/>
      <c r="AJ1836" t="inlineStr">
        <is>
          <t>No line item in internal CE. Unbudgeted</t>
        </is>
      </c>
      <c r="AK1836"/>
    </row>
    <row r="1837" ht="25.5" customHeight="1">
      <c r="A1837" s="2" t="str">
        <f>=HYPERLINK("https://applink.larksuite.com/client/mini_program/open?appId=cli_9c7cc8a9a9edd105&amp;mode=appCenter&amp;path_pc=pc/pages/requested/index?instanceId=7595128374809415391&amp;source=bitable&amp;path=pages/detail/index?instanceId=7595128374809415391&amp;source=bitable", "202601140046")</f>
        <v>202601140046</v>
      </c>
      <c r="B1837" t="inlineStr">
        <is>
          <t>Approved</t>
        </is>
      </c>
      <c r="C1837" t="inlineStr">
        <is>
          <t>Procurement Order</t>
        </is>
      </c>
      <c r="D1837" s="3">
        <v>46036.678564814814</v>
      </c>
      <c r="E1837" s="3">
        <v>46057.7097337963</v>
      </c>
      <c r="F1837" t="inlineStr">
        <is>
          <t>Fatima Kathleen M. FLores</t>
        </is>
      </c>
      <c r="G1837" t="inlineStr">
        <is>
          <t>Procurement</t>
        </is>
      </c>
      <c r="H1837"/>
      <c r="I1837"/>
      <c r="J1837" t="inlineStr">
        <is>
          <t>Project</t>
        </is>
      </c>
      <c r="K1837" t="inlineStr">
        <is>
          <t>PDEI - Event Service</t>
        </is>
      </c>
      <c r="L1837" t="inlineStr">
        <is>
          <t>M5 Main Event - Broadcast</t>
        </is>
      </c>
      <c r="M1837" t="inlineStr">
        <is>
          <t>2023TEG-P0102</t>
        </is>
      </c>
      <c r="N1837" t="inlineStr">
        <is>
          <t>Duane Aaron Baret Cadangan</t>
        </is>
      </c>
      <c r="O1837" t="inlineStr">
        <is>
          <t>202601050012-Duane Aaron Baret Cadangan-费用报销 - 副本 - 副本 - 副本-2026-01-05 03:31:52</t>
        </is>
      </c>
      <c r="P1837" t="inlineStr">
        <is>
          <t>NO</t>
        </is>
      </c>
      <c r="Q1837"/>
      <c r="R1837" t="inlineStr">
        <is>
          <t>YES</t>
        </is>
      </c>
      <c r="S1837" t="inlineStr">
        <is>
          <t>Acrylic Sheet (3mm x 4' x 8')</t>
        </is>
      </c>
      <c r="T1837">
        <v>1</v>
      </c>
      <c r="U1837">
        <v>9060</v>
      </c>
      <c r="V1837" t="inlineStr">
        <is>
          <t>PHP</t>
        </is>
      </c>
      <c r="W1837">
        <v>9060</v>
      </c>
      <c r="X1837" s="2" t="str">
        <f>=HYPERLINK("https://www.larksuite.com/approval/admin/previewAttachment?key=PMg9qgJBEATgK1X1z_TUu8xLHBaFXRNR3KDPLhiYfmMSYyZ9CCGawK5U0qZXTCiYLrY1q4RiRfU6tv873-t8HrvtJ27Kfl0v23owVWYoj_AJgH8_94oIaQS-jk8AAAD__w", "3 attachment(s)")</f>
        <v>3 attachment(s)</v>
      </c>
      <c r="Y1837" t="inlineStr">
        <is>
          <t>Bank Transfer</t>
        </is>
      </c>
      <c r="Z1837" t="inlineStr">
        <is>
          <t>SHERLET MALAIL</t>
        </is>
      </c>
      <c r="AA1837" t="inlineStr">
        <is>
          <t>09174764711</t>
        </is>
      </c>
      <c r="AB1837" t="inlineStr">
        <is>
          <t>GCASH</t>
        </is>
      </c>
      <c r="AC1837" t="inlineStr">
        <is>
          <t>Unit LP 1D Y/D Apartment #150 Mayon cor. Dapitan St., Brgy. Sta. Teresita, QC</t>
        </is>
      </c>
      <c r="AD1837" s="4">
        <v>45264</v>
      </c>
      <c r="AE1837" t="inlineStr">
        <is>
          <t>THIS IS A CONFIRMING PO ONLY. ITEMS ALREADY DELIVERED AND PAID.</t>
        </is>
      </c>
      <c r="AF1837" s="2"/>
      <c r="AG1837" t="inlineStr">
        <is>
          <t>NzQyNTk5MTgyNzQ4MTg3MDM0MTpDMjE1Nzc4NC01MTE5LTRDMTktOTRCOC1FMDU5N0ExRUIwODAtMTo0MmFlZjNkMDkwMmFmYjgwZGZlYzExNDRlOWM1ZjhjYzox</t>
        </is>
      </c>
      <c r="AH1837" t="inlineStr">
        <is>
          <t>VOLLMER GOODS AND PRINTING SERVICES</t>
        </is>
      </c>
      <c r="AI1837"/>
      <c r="AJ1837" t="inlineStr">
        <is>
          <t>No line item in internal CE. UNBUDGETED.</t>
        </is>
      </c>
      <c r="AK1837"/>
    </row>
    <row r="1838" ht="25.5" customHeight="1">
      <c r="A1838" s="2" t="str">
        <f>=HYPERLINK("https://applink.larksuite.com/client/mini_program/open?appId=cli_9c7cc8a9a9edd105&amp;mode=appCenter&amp;path_pc=pc/pages/requested/index?instanceId=7595134770187620063&amp;source=bitable&amp;path=pages/detail/index?instanceId=7595134770187620063&amp;source=bitable", "202601140050")</f>
        <v>202601140050</v>
      </c>
      <c r="B1838" t="inlineStr">
        <is>
          <t>Approved</t>
        </is>
      </c>
      <c r="C1838" t="inlineStr">
        <is>
          <t>Procurement Order</t>
        </is>
      </c>
      <c r="D1838" s="3">
        <v>46036.69579861111</v>
      </c>
      <c r="E1838" s="3">
        <v>46057.7103125</v>
      </c>
      <c r="F1838" t="inlineStr">
        <is>
          <t>Fatima Kathleen M. FLores</t>
        </is>
      </c>
      <c r="G1838" t="inlineStr">
        <is>
          <t>Procurement</t>
        </is>
      </c>
      <c r="H1838"/>
      <c r="I1838"/>
      <c r="J1838" t="inlineStr">
        <is>
          <t>Project</t>
        </is>
      </c>
      <c r="K1838" t="inlineStr">
        <is>
          <t>PDEI - Event Service</t>
        </is>
      </c>
      <c r="L1838" t="inlineStr">
        <is>
          <t>M5 Main Event - Broadcast</t>
        </is>
      </c>
      <c r="M1838" t="inlineStr">
        <is>
          <t>2023TEG-P0102</t>
        </is>
      </c>
      <c r="N1838" t="inlineStr">
        <is>
          <t>Duane Aaron Baret Cadangan</t>
        </is>
      </c>
      <c r="O1838" t="inlineStr">
        <is>
          <t>202601050014-Duane Aaron Baret Cadangan-费用报销 - 副本 - 副本 - 副本-2026-01-05 03:35:17</t>
        </is>
      </c>
      <c r="P1838" t="inlineStr">
        <is>
          <t>NO</t>
        </is>
      </c>
      <c r="Q1838"/>
      <c r="R1838" t="inlineStr">
        <is>
          <t>YES</t>
        </is>
      </c>
      <c r="S1838" t="inlineStr">
        <is>
          <t>Outsourced Performers</t>
        </is>
      </c>
      <c r="T1838">
        <v>1</v>
      </c>
      <c r="U1838">
        <v>88000</v>
      </c>
      <c r="V1838" t="inlineStr">
        <is>
          <t>PHP</t>
        </is>
      </c>
      <c r="W1838">
        <v>88000</v>
      </c>
      <c r="X1838" s="2" t="str">
        <f>=HYPERLINK("https://www.larksuite.com/approval/admin/previewAttachment?key=PMgxCgJBDAXQK_0kf_InXsZml0FhBUFWq5xdsLB9OQ05h0UWWOYFa40aFpRgU-lARnubVJCJ6v2xrh_ej9Njzed2jNP7fdvW_rJRcoeCjAnALn8PkaxK4uf4BgAA__8", "3 attachment(s)")</f>
        <v>3 attachment(s)</v>
      </c>
      <c r="Y1838" t="inlineStr">
        <is>
          <t>Bank Transfer</t>
        </is>
      </c>
      <c r="Z1838" t="inlineStr">
        <is>
          <t>SALVADOR RESULTA</t>
        </is>
      </c>
      <c r="AA1838" t="inlineStr">
        <is>
          <t>003990449812</t>
        </is>
      </c>
      <c r="AB1838" t="inlineStr">
        <is>
          <t>BDO</t>
        </is>
      </c>
      <c r="AC1838" t="inlineStr">
        <is>
          <t>60 Riverside Street Barangay Commonwealth Quezon City</t>
        </is>
      </c>
      <c r="AD1838" s="4">
        <v>45269</v>
      </c>
      <c r="AE1838" t="inlineStr">
        <is>
          <t>THIS IS A CONFIRMING PO ONLY. VENDOR ALREADY PAID.</t>
        </is>
      </c>
      <c r="AF1838" s="2" t="str">
        <f>=HYPERLINK("https://www.larksuite.com/approval/admin/previewAttachment?key=TMg7CsJgEATgK83se72MTcKPQgRBotWeXbCy_aKIKKdGw5rS4KS3Uy0TrAwBQkeGmY1kWs7-WNeP3Y9TdNVzO_yUed-2tb8YpQFrN2MD4OXPSXRp6M_xDQAA__8", "3 attachment(s)")</f>
        <v>3 attachment(s)</v>
      </c>
      <c r="AG1838" t="inlineStr">
        <is>
          <t>NzQyNTk5MTgyNzQ4MTg3MDM0MToyQjI1NkJGRC00QTJBLTRDNEUtODNCMy05RkJDM0IzODZBMjMtMToxNWM0ZWJjMDU0NDI2ODU1ZTQ1NDcxYzdlNTQzOGM3Yzox</t>
        </is>
      </c>
      <c r="AH1838" t="inlineStr">
        <is>
          <t>NOCTURNAL DANCE COMPANY</t>
        </is>
      </c>
      <c r="AI1838"/>
      <c r="AJ1838" t="inlineStr">
        <is>
          <t>No line item in internal CE. UNBUDGETED.</t>
        </is>
      </c>
      <c r="AK1838"/>
    </row>
    <row r="1839" ht="25.5" customHeight="1">
      <c r="A1839" s="2" t="str">
        <f>=HYPERLINK("https://applink.larksuite.com/client/mini_program/open?appId=cli_9c7cc8a9a9edd105&amp;mode=appCenter&amp;path_pc=pc/pages/requested/index?instanceId=7595141144258858722&amp;source=bitable&amp;path=pages/detail/index?instanceId=7595141144258858722&amp;source=bitable", "202601140056")</f>
        <v>202601140056</v>
      </c>
      <c r="B1839" t="inlineStr">
        <is>
          <t>Approved</t>
        </is>
      </c>
      <c r="C1839" t="inlineStr">
        <is>
          <t>Procurement Order</t>
        </is>
      </c>
      <c r="D1839" s="3">
        <v>46036.71297453704</v>
      </c>
      <c r="E1839" s="3">
        <v>46080.797581018516</v>
      </c>
      <c r="F1839" t="inlineStr">
        <is>
          <t>Fatima Kathleen M. FLores</t>
        </is>
      </c>
      <c r="G1839" t="inlineStr">
        <is>
          <t>Procurement</t>
        </is>
      </c>
      <c r="H1839"/>
      <c r="I1839"/>
      <c r="J1839" t="inlineStr">
        <is>
          <t>Project</t>
        </is>
      </c>
      <c r="K1839" t="inlineStr">
        <is>
          <t>PDEI - Event Service</t>
        </is>
      </c>
      <c r="L1839" t="inlineStr">
        <is>
          <t>M5 Main Event - Broadcast</t>
        </is>
      </c>
      <c r="M1839" t="inlineStr">
        <is>
          <t>2023TEG-P0102</t>
        </is>
      </c>
      <c r="N1839" t="inlineStr">
        <is>
          <t>Duane Aaron Baret Cadangan</t>
        </is>
      </c>
      <c r="O1839" t="inlineStr">
        <is>
          <t>202601050015-Duane Aaron Baret Cadangan-费用报销 - 副本 - 副本 - 副本-2026-01-05 03:40:00</t>
        </is>
      </c>
      <c r="P1839" t="inlineStr">
        <is>
          <t>NO</t>
        </is>
      </c>
      <c r="Q1839"/>
      <c r="R1839" t="inlineStr">
        <is>
          <t>YES</t>
        </is>
      </c>
      <c r="S1839" t="inlineStr">
        <is>
          <t>GIGABYTE WINDFORCE GeForce RTX 4090 24GB GDDR6X</t>
        </is>
      </c>
      <c r="T1839">
        <v>1</v>
      </c>
      <c r="U1839">
        <v>113999</v>
      </c>
      <c r="V1839" t="inlineStr">
        <is>
          <t>PHP</t>
        </is>
      </c>
      <c r="W1839">
        <v>113999</v>
      </c>
      <c r="X1839" s="2"/>
      <c r="Y1839" t="inlineStr">
        <is>
          <t>Bank Transfer</t>
        </is>
      </c>
      <c r="Z1839" t="inlineStr">
        <is>
          <t>INSPIRE THE WORLD OPC</t>
        </is>
      </c>
      <c r="AA1839" t="inlineStr">
        <is>
          <t>0000009044841695</t>
        </is>
      </c>
      <c r="AB1839" t="inlineStr">
        <is>
          <t>RCBC</t>
        </is>
      </c>
      <c r="AC1839" t="inlineStr">
        <is>
          <t>1202 A. Lorenzo St., Tondo, Manila</t>
        </is>
      </c>
      <c r="AD1839" s="4">
        <v>45266</v>
      </c>
      <c r="AE1839" t="inlineStr">
        <is>
          <t>THIS IS A CONFIRMING PO ONLY. ITEMS ALREADY DELIVERED AND PAID.</t>
        </is>
      </c>
      <c r="AF1839" s="2"/>
      <c r="AG1839" t="inlineStr">
        <is>
          <t>NzQyNTk5MTgyNzQ4MTg3MDM0MTo2RjBCNDM3My1DQjkwLTRENDYtQjEzMS1FNDkzRjI4OEMzMTAtMTo4Njg1MTc3ZTY3MmI5N2QwYWFhNDM3MDZhMGQzY2ViMTox</t>
        </is>
      </c>
      <c r="AH1839" t="inlineStr">
        <is>
          <t>INSPIRE THE WORLD OPC</t>
        </is>
      </c>
      <c r="AI1839"/>
      <c r="AJ1839" t="inlineStr">
        <is>
          <t>LIQUIDITY PLAN (PAR # 202310250017) - MAIN EVENT BROADCAST 
BROADCAST EQUIPMENT &gt; Broadcast Equipment (Visual) 
Total Budget = Php 231,000.00 (INTERNAL)
This request = Php 135,995.00
Balance = Php 95,005.00</t>
        </is>
      </c>
      <c r="AK1839"/>
    </row>
    <row r="1840" ht="25.5" customHeight="1">
      <c r="A1840" s="2" t="str">
        <f>=HYPERLINK("https://applink.larksuite.com/client/mini_program/open?appId=cli_9c7cc8a9a9edd105&amp;mode=appCenter&amp;path_pc=pc/pages/requested/index?instanceId=7595141144258858722&amp;source=bitable&amp;path=pages/detail/index?instanceId=7595141144258858722&amp;source=bitable", "202601140056")</f>
        <v>202601140056</v>
      </c>
      <c r="B1840" t="inlineStr">
        <is>
          <t>Approved</t>
        </is>
      </c>
      <c r="C1840" t="inlineStr">
        <is>
          <t>Procurement Order</t>
        </is>
      </c>
      <c r="D1840" s="3">
        <v>46036.71297453704</v>
      </c>
      <c r="E1840" s="3">
        <v>46080.797581018516</v>
      </c>
      <c r="F1840" t="inlineStr">
        <is>
          <t>Fatima Kathleen M. FLores</t>
        </is>
      </c>
      <c r="G1840" t="inlineStr">
        <is>
          <t>Procurement</t>
        </is>
      </c>
      <c r="H1840"/>
      <c r="I1840"/>
      <c r="J1840" t="inlineStr">
        <is>
          <t>Project</t>
        </is>
      </c>
      <c r="K1840" t="inlineStr">
        <is>
          <t>PDEI - Event Service</t>
        </is>
      </c>
      <c r="L1840" t="inlineStr">
        <is>
          <t>M5 Main Event - Broadcast</t>
        </is>
      </c>
      <c r="M1840" t="inlineStr">
        <is>
          <t>2023TEG-P0102</t>
        </is>
      </c>
      <c r="N1840" t="inlineStr">
        <is>
          <t>Duane Aaron Baret Cadangan</t>
        </is>
      </c>
      <c r="O1840" t="inlineStr">
        <is>
          <t>202601050015-Duane Aaron Baret Cadangan-费用报销 - 副本 - 副本 - 副本-2026-01-05 03:40:00</t>
        </is>
      </c>
      <c r="P1840" t="inlineStr">
        <is>
          <t>NO</t>
        </is>
      </c>
      <c r="Q1840"/>
      <c r="R1840" t="inlineStr">
        <is>
          <t>YES</t>
        </is>
      </c>
      <c r="S1840" t="inlineStr">
        <is>
          <t>1TB SAMSUNG 980 PCIe 3.0 NVMe M.2</t>
        </is>
      </c>
      <c r="T1840">
        <v>4</v>
      </c>
      <c r="U1840">
        <v>5499</v>
      </c>
      <c r="V1840" t="inlineStr">
        <is>
          <t>PHP</t>
        </is>
      </c>
      <c r="W1840">
        <v>21996</v>
      </c>
      <c r="X1840" s="2" t="str">
        <f>=HYPERLINK("https://www.larksuite.com/approval/admin/previewAttachment?key=PMgxCkIxEATQK-1sZjO7XsbGT1AhNsInFjm7YGH7esJ6BlovY8HLsBUVIEB6ZEbKffuGVCaI2scc1_mxFXO91niMM5_7vN_G8UaU3E2NbGlmuPy9iWRVp_0c3wAAAP__", "3 attachment(s)")</f>
        <v>3 attachment(s)</v>
      </c>
      <c r="Y1840"/>
      <c r="Z1840"/>
      <c r="AA1840"/>
      <c r="AB1840"/>
      <c r="AC1840"/>
      <c r="AD1840" s="4"/>
      <c r="AE1840"/>
      <c r="AF1840" s="2"/>
      <c r="AG1840" t="inlineStr">
        <is>
          <t>NzQyNTk5MTgyNzQ4MTg3MDM0MTo2RjBCNDM3My1DQjkwLTRENDYtQjEzMS1FNDkzRjI4OEMzMTAtMjpiOWEwM2YyOTczZTQwN2ZlNDFmNDIwMzJjNGExN2EyNTox</t>
        </is>
      </c>
      <c r="AH1840"/>
      <c r="AI1840"/>
      <c r="AJ1840" t="inlineStr">
        <is>
          <t>LIQUIDITY PLAN (PAR # 202310250017) - MAIN EVENT BROADCAST 
BROADCAST EQUIPMENT &gt; Broadcast Equipment (Visual) 
Total Budget = Php 231,000.00 (INTERNAL)
This request = Php 135,995.00
Balance = Php 95,005.00</t>
        </is>
      </c>
      <c r="AK1840"/>
    </row>
    <row r="1841" ht="25.5" customHeight="1">
      <c r="A1841" s="2" t="str">
        <f>=HYPERLINK("https://applink.larksuite.com/client/mini_program/open?appId=cli_9c7cc8a9a9edd105&amp;mode=appCenter&amp;path_pc=pc/pages/requested/index?instanceId=7597016149154402014&amp;source=bitable&amp;path=pages/detail/index?instanceId=7597016149154402014&amp;source=bitable", "202601190128")</f>
        <v>202601190128</v>
      </c>
      <c r="B1841" t="inlineStr">
        <is>
          <t>Approved</t>
        </is>
      </c>
      <c r="C1841" t="inlineStr">
        <is>
          <t>Procurement Order</t>
        </is>
      </c>
      <c r="D1841" s="3">
        <v>46041.76572916667</v>
      </c>
      <c r="E1841" s="3">
        <v>46042.61981481482</v>
      </c>
      <c r="F1841" t="inlineStr">
        <is>
          <t>Fatima Kathleen M. FLores</t>
        </is>
      </c>
      <c r="G1841" t="inlineStr">
        <is>
          <t>Procurement</t>
        </is>
      </c>
      <c r="H1841"/>
      <c r="I1841"/>
      <c r="J1841" t="inlineStr">
        <is>
          <t>Project</t>
        </is>
      </c>
      <c r="K1841" t="inlineStr">
        <is>
          <t>GG - Event Service</t>
        </is>
      </c>
      <c r="L1841" t="inlineStr">
        <is>
          <t>Kings Invitational Series Rebroadcast S4 (KIS S4)</t>
        </is>
      </c>
      <c r="M1841" t="inlineStr">
        <is>
          <t>2026TEG-P0007</t>
        </is>
      </c>
      <c r="N1841" t="inlineStr">
        <is>
          <t>Randy Vince Fernandez Apura</t>
        </is>
      </c>
      <c r="O1841" t="inlineStr">
        <is>
          <t>202601160058-Randy Vince Fernandez Apura-费用报销 - 副本 - 副本 - 副本-2026-01-16 23:28:20</t>
        </is>
      </c>
      <c r="P1841" t="inlineStr">
        <is>
          <t>NO</t>
        </is>
      </c>
      <c r="Q1841"/>
      <c r="R1841" t="inlineStr">
        <is>
          <t>NO</t>
        </is>
      </c>
      <c r="S1841" t="inlineStr">
        <is>
          <t>SOFA set 3 seater &amp; 1 seater</t>
        </is>
      </c>
      <c r="T1841">
        <v>1</v>
      </c>
      <c r="U1841">
        <v>33000</v>
      </c>
      <c r="V1841" t="inlineStr">
        <is>
          <t>PHP</t>
        </is>
      </c>
      <c r="W1841">
        <v>33000</v>
      </c>
      <c r="X1841" s="2" t="str">
        <f>=HYPERLINK("https://www.larksuite.com/approval/admin/previewAttachment?key=PMhBCsIwFATQK838TPIzXsZNSxFEKAiBLv7ZBRfdvjGJMTvbMGSGwcruBAdldgkBqqKYaSRTWfvneF7rem8r3E7g1Kr12o79y-6MQDapTQB83N5Skj2Ev-MXAAD__w", "2 attachment(s)")</f>
        <v>2 attachment(s)</v>
      </c>
      <c r="Y1841" t="inlineStr">
        <is>
          <t>Bank Transfer</t>
        </is>
      </c>
      <c r="Z1841" t="inlineStr">
        <is>
          <t>John Michael M. Danwata</t>
        </is>
      </c>
      <c r="AA1841" t="inlineStr">
        <is>
          <t>09356148674</t>
        </is>
      </c>
      <c r="AB1841" t="inlineStr">
        <is>
          <t>GCash</t>
        </is>
      </c>
      <c r="AC1841" t="inlineStr">
        <is>
          <t>#98 Kabesang Imo st. Balangkas Valenzuela City</t>
        </is>
      </c>
      <c r="AD1841" s="4">
        <v>46050</v>
      </c>
      <c r="AE1841" t="inlineStr">
        <is>
          <t>50% Down payment upon confirmation
50% Final payment upon completion</t>
        </is>
      </c>
      <c r="AF1841" s="2" t="str">
        <f>=HYPERLINK("https://www.larksuite.com/approval/admin/previewAttachment?key=TMhBCsIwFATQK80kk_8zXsZNSxFEKAiBLv7ZBVfdvphEzMEehsxmsHI4waDMIaGBqlbMNJKprP1zPK91vbfV3E_g1Kr12o79y5g9IA-JBsDHzUl49uh_xy8AAP__", "4 attachment(s)")</f>
        <v>4 attachment(s)</v>
      </c>
      <c r="AG1841" t="inlineStr">
        <is>
          <t>NzQyNTk5MTgyNzQ4MTg3MDM0MTpCQzIxRUQ4QS1BRjQwLTRCRjYtOEM2OC1EN0Y0MEYzM0VGNTAtMTowNzAwYjI2Y2VmYTcxZjVkMjBjYTA2YjMyMWI3MzFjOTox</t>
        </is>
      </c>
      <c r="AH1841" t="inlineStr">
        <is>
          <t>IZYYAH HOME &amp; OFFICE FUNITURE TRADING</t>
        </is>
      </c>
      <c r="AI1841"/>
      <c r="AJ1841" t="inlineStr">
        <is>
          <t>LIQUIDITY PLAN (PAR # 202601190092 / 2026TEG-P0007)
116 INTERNAL CE TAB &gt; VENUE SKINNING &amp; FABRICATION &gt;
Physical Set Design &gt; Sofa Set (Purchase)
Total Budget = Php 40,000.00
Actual Cost = Php 33,000.00
Balance = Php 7,000.00</t>
        </is>
      </c>
      <c r="AK1841"/>
    </row>
    <row r="1842" ht="25.5" customHeight="1">
      <c r="A1842" s="2" t="str">
        <f>=HYPERLINK("https://applink.larksuite.com/client/mini_program/open?appId=cli_9c7cc8a9a9edd105&amp;mode=appCenter&amp;path_pc=pc/pages/requested/index?instanceId=7592525988823617250&amp;source=bitable&amp;path=pages/detail/index?instanceId=7592525988823617250&amp;source=bitable", "202601070056")</f>
        <v>202601070056</v>
      </c>
      <c r="B1842" t="inlineStr">
        <is>
          <t>Approved</t>
        </is>
      </c>
      <c r="C1842" t="inlineStr">
        <is>
          <t>Procurement Order</t>
        </is>
      </c>
      <c r="D1842" s="3">
        <v>46029.665659722225</v>
      </c>
      <c r="E1842" s="3">
        <v>46073.76091435185</v>
      </c>
      <c r="F1842" t="inlineStr">
        <is>
          <t>Fatima Kathleen M. FLores</t>
        </is>
      </c>
      <c r="G1842" t="inlineStr">
        <is>
          <t>Procurement</t>
        </is>
      </c>
      <c r="H1842"/>
      <c r="I1842"/>
      <c r="J1842" t="inlineStr">
        <is>
          <t>Project</t>
        </is>
      </c>
      <c r="K1842" t="inlineStr">
        <is>
          <t>GG - Event Service</t>
        </is>
      </c>
      <c r="L1842" t="inlineStr">
        <is>
          <t>KIC 2025 - Venue</t>
        </is>
      </c>
      <c r="M1842" t="inlineStr">
        <is>
          <t>2025TEG-P0291</t>
        </is>
      </c>
      <c r="N1842" t="inlineStr">
        <is>
          <t>Frances Angelita Arreglado</t>
        </is>
      </c>
      <c r="O1842" t="inlineStr">
        <is>
          <t>202601050111-Frances Angelita Arreglado-费用报销 - 副本 - 副本 - 副本-2026-01-05 09:31:36</t>
        </is>
      </c>
      <c r="P1842" t="inlineStr">
        <is>
          <t>NO</t>
        </is>
      </c>
      <c r="Q1842"/>
      <c r="R1842" t="inlineStr">
        <is>
          <t>YES</t>
        </is>
      </c>
      <c r="S1842" t="inlineStr">
        <is>
          <t>Rental of Railings - 4F (Nov. 27 to 30, 2025)</t>
        </is>
      </c>
      <c r="T1842">
        <v>1</v>
      </c>
      <c r="U1842">
        <v>375760</v>
      </c>
      <c r="V1842" t="inlineStr">
        <is>
          <t>PHP</t>
        </is>
      </c>
      <c r="W1842">
        <v>375760</v>
      </c>
      <c r="X1842" s="2" t="str">
        <f>=HYPERLINK("https://www.larksuite.com/approval/admin/previewAttachment?key=PMg9CsJAEAXgK7352zfjZWwSFgWtJIsp5uyCRdpvpGBkiI2Cl2hBmlEaGpWZakOogdYWskChs_f3vJ_r-ToOn3aur2Pr9djm_pEoqoLmbglAbpcb3b1qOP6OXwAAAP__", "2 attachment(s)")</f>
        <v>2 attachment(s)</v>
      </c>
      <c r="Y1842" t="inlineStr">
        <is>
          <t>Bank Transfer</t>
        </is>
      </c>
      <c r="Z1842" t="inlineStr">
        <is>
          <t>Bay City Commercial Ventures Corp.</t>
        </is>
      </c>
      <c r="AA1842" t="inlineStr">
        <is>
          <t>0011-1887-53</t>
        </is>
      </c>
      <c r="AB1842" t="inlineStr">
        <is>
          <t>BPI</t>
        </is>
      </c>
      <c r="AC1842" t="inlineStr">
        <is>
          <t>5/F Ayala Malls Manila Bay Admin Offic</t>
        </is>
      </c>
      <c r="AD1842" s="4">
        <v>45988</v>
      </c>
      <c r="AE1842" t="inlineStr">
        <is>
          <t>100% Full Payment</t>
        </is>
      </c>
      <c r="AF1842" s="2" t="str">
        <f>=HYPERLINK("https://www.larksuite.com/approval/admin/previewAttachment?key=TMg9CsJAEAXgK703_-NlbBIWBa0kiyn27IJV2i-KiHJqNKwpDa70FhfvqhINpjiWLGY2kmm59ve4n_P5Og4bes6vYVvzsY39wygNWLsZGwBvFyfRpaF_xy8AAP__", "1 attachment(s)")</f>
        <v>1 attachment(s)</v>
      </c>
      <c r="AG1842" t="inlineStr">
        <is>
          <t>NzQyNTk5MTgyNzQ4MTg3MDM0MTo1NTdBQ0MyMC0zNzkxLTRFNzAtQkY2Ni02Rjc0MTkxMzYyNzItMTo0Mjk4ZTg4NjczNDM1ZWQ1OTYwYmEzYTY2ZjYzOWYxMTox</t>
        </is>
      </c>
      <c r="AH1842" t="inlineStr">
        <is>
          <t>Ayala Malls Manila Bay</t>
        </is>
      </c>
      <c r="AI1842"/>
      <c r="AJ1842" t="inlineStr">
        <is>
          <t>No line item in internal CE. To be charged to an ADDENDUM.</t>
        </is>
      </c>
      <c r="AK1842"/>
    </row>
    <row r="1843" ht="25.5" customHeight="1">
      <c r="A1843" s="2" t="str">
        <f>=HYPERLINK("https://applink.larksuite.com/client/mini_program/open?appId=cli_9c7cc8a9a9edd105&amp;mode=appCenter&amp;path_pc=pc/pages/requested/index?instanceId=7597368783874821858&amp;source=bitable&amp;path=pages/detail/index?instanceId=7597368783874821858&amp;source=bitable", "202601200083")</f>
        <v>202601200083</v>
      </c>
      <c r="B1843" t="inlineStr">
        <is>
          <t>Approved</t>
        </is>
      </c>
      <c r="C1843" t="inlineStr">
        <is>
          <t>Procurement Order</t>
        </is>
      </c>
      <c r="D1843" s="3">
        <v>46042.71601851852</v>
      </c>
      <c r="E1843" s="3">
        <v>46043.41354166667</v>
      </c>
      <c r="F1843" t="inlineStr">
        <is>
          <t>Fatima Kathleen M. FLores</t>
        </is>
      </c>
      <c r="G1843" t="inlineStr">
        <is>
          <t>Procurement</t>
        </is>
      </c>
      <c r="H1843"/>
      <c r="I1843"/>
      <c r="J1843" t="inlineStr">
        <is>
          <t>Project</t>
        </is>
      </c>
      <c r="K1843" t="inlineStr">
        <is>
          <t>PDEI - Event Service</t>
        </is>
      </c>
      <c r="L1843" t="inlineStr">
        <is>
          <t>MPL PH S15</t>
        </is>
      </c>
      <c r="M1843" t="inlineStr">
        <is>
          <t>2024TEG-P0430</t>
        </is>
      </c>
      <c r="N1843" t="inlineStr">
        <is>
          <t>Anteaus Villena</t>
        </is>
      </c>
      <c r="O1843" t="inlineStr">
        <is>
          <t>202601130048-Anteaus Villena-费用报销 - 副本 - 副本 - 副本-2026-01-13 07:19:55</t>
        </is>
      </c>
      <c r="P1843" t="inlineStr">
        <is>
          <t>NO</t>
        </is>
      </c>
      <c r="Q1843"/>
      <c r="R1843" t="inlineStr">
        <is>
          <t>NO</t>
        </is>
      </c>
      <c r="S1843" t="inlineStr">
        <is>
          <t>Rental of Lights and sounds Trussing Genset (with Logistics and Delivery)</t>
        </is>
      </c>
      <c r="T1843">
        <v>1</v>
      </c>
      <c r="U1843">
        <v>4389000</v>
      </c>
      <c r="V1843" t="inlineStr">
        <is>
          <t>PHP</t>
        </is>
      </c>
      <c r="W1843">
        <v>4389000</v>
      </c>
      <c r="X1843" s="2" t="str">
        <f>=HYPERLINK("https://www.larksuite.com/approval/admin/previewAttachment?key=PMgxCgJBDAXQK-UnP_MTL2PjMrgsVsJYzdkFC9s3CjYqEaONDW_DVrZilCpKLEdlbd-Q2gRR-3jN--Vs6DrPlWt-cq_nYx5vZMvdFGSUmeH29xDJ7kH7uX0DAAD__w", "2 attachment(s)")</f>
        <v>2 attachment(s)</v>
      </c>
      <c r="Y1843" t="inlineStr">
        <is>
          <t>Bank Transfer</t>
        </is>
      </c>
      <c r="Z1843" t="inlineStr">
        <is>
          <t>APEX FRANCHISE VENTURES OPC.</t>
        </is>
      </c>
      <c r="AA1843" t="inlineStr">
        <is>
          <t>001620006872</t>
        </is>
      </c>
      <c r="AB1843" t="inlineStr">
        <is>
          <t>UnionBank of the Philippines</t>
        </is>
      </c>
      <c r="AC1843" t="inlineStr">
        <is>
          <t>9th Floor Santolan Town Plaza 276 Santolan Road Little Baguio 1500 City of San Juan</t>
        </is>
      </c>
      <c r="AD1843" s="4">
        <v>46042</v>
      </c>
      <c r="AE1843" t="inlineStr">
        <is>
          <t>100% Full Payment</t>
        </is>
      </c>
      <c r="AF1843" s="2"/>
      <c r="AG1843" t="inlineStr">
        <is>
          <t>NzQyNTk5MTgyNzQ4MTg3MDM0MTpDMkRFMkFEMC0xM0QxLTRCN0UtQkUyQy00OEVDQjdFRUJCQkEtMTplOGIwMWVhOTk3NjEzZDdjYzYwMGVlYTVmNDlhZGI1ZTox</t>
        </is>
      </c>
      <c r="AH1843" t="inlineStr">
        <is>
          <t>APEX FRANCHISE VENTURES OPC.</t>
        </is>
      </c>
      <c r="AI1843"/>
      <c r="AJ1843" t="inlineStr">
        <is>
          <t>LIQUIDITY PLAN (PAR # 202501230078)
Pre-sign CE V2 &gt; 4.1 Staging and Production &gt;
Xstatic Bundle
Total Budget = Php 8,000,000.00
Actual Cost  = Php 4,389,000.00
Balance = Php 3,611,000.00</t>
        </is>
      </c>
      <c r="AK1843"/>
    </row>
    <row r="1844" ht="25.5" customHeight="1">
      <c r="A1844" s="2" t="str">
        <f>=HYPERLINK("https://applink.larksuite.com/client/mini_program/open?appId=cli_9c7cc8a9a9edd105&amp;mode=appCenter&amp;path_pc=pc/pages/requested/index?instanceId=7597373831270960864&amp;source=bitable&amp;path=pages/detail/index?instanceId=7597373831270960864&amp;source=bitable", "202601200088")</f>
        <v>202601200088</v>
      </c>
      <c r="B1844" t="inlineStr">
        <is>
          <t>Approved</t>
        </is>
      </c>
      <c r="C1844" t="inlineStr">
        <is>
          <t>Procurement Order</t>
        </is>
      </c>
      <c r="D1844" s="3">
        <v>46042.72961805556</v>
      </c>
      <c r="E1844" s="3">
        <v>46043.41643518519</v>
      </c>
      <c r="F1844" t="inlineStr">
        <is>
          <t>Fatima Kathleen M. FLores</t>
        </is>
      </c>
      <c r="G1844" t="inlineStr">
        <is>
          <t>Procurement</t>
        </is>
      </c>
      <c r="H1844"/>
      <c r="I1844"/>
      <c r="J1844" t="inlineStr">
        <is>
          <t>Project</t>
        </is>
      </c>
      <c r="K1844" t="inlineStr">
        <is>
          <t>PDEI - Event Service</t>
        </is>
      </c>
      <c r="L1844" t="inlineStr">
        <is>
          <t>MPL PH S16 Addendum</t>
        </is>
      </c>
      <c r="M1844" t="inlineStr">
        <is>
          <t>2025TEG-P0269</t>
        </is>
      </c>
      <c r="N1844" t="inlineStr">
        <is>
          <t>Katherine Denise Lee Sy</t>
        </is>
      </c>
      <c r="O1844" t="inlineStr">
        <is>
          <t>202510160029-Katherine Denise Lee Sy-费用报销 - 副本 - 副本 - 副本-2025-10-16 06:00:27;202510210030-Katherine Denise Lee Sy-费用报销 - 副本 - 副本 - 副本-2025-10-21 03:43:18</t>
        </is>
      </c>
      <c r="P1844" t="inlineStr">
        <is>
          <t>NO</t>
        </is>
      </c>
      <c r="Q1844"/>
      <c r="R1844" t="inlineStr">
        <is>
          <t>NO</t>
        </is>
      </c>
      <c r="S1844" t="inlineStr">
        <is>
          <t>Rental of 220 KVA Generator (Unit Only) Inclusive of crew and mobilization - 7 days</t>
        </is>
      </c>
      <c r="T1844">
        <v>1</v>
      </c>
      <c r="U1844">
        <v>125440</v>
      </c>
      <c r="V1844" t="inlineStr">
        <is>
          <t>PHP</t>
        </is>
      </c>
      <c r="W1844">
        <v>125440</v>
      </c>
      <c r="X1844" s="2" t="str">
        <f>=HYPERLINK("https://www.larksuite.com/approval/admin/previewAttachment?key=PMhNCsJADAXgK738TF7iZdy0FBGUgtg6i5xdcOH2ixREDrEoeIkWpDmKRksTJSqQ4a0tZIFCZ6-P7brfl3OeY-5vfJ7H7OO2bOtLRlEVNHdLAHL5u9Hdq8Lxc3wDAAD__w", "2 attachment(s)")</f>
        <v>2 attachment(s)</v>
      </c>
      <c r="Y1844" t="inlineStr">
        <is>
          <t>Bank Transfer</t>
        </is>
      </c>
      <c r="Z1844" t="inlineStr">
        <is>
          <t>POWER PLANT GENERATOR RENTALS</t>
        </is>
      </c>
      <c r="AA1844" t="inlineStr">
        <is>
          <t>001570500795</t>
        </is>
      </c>
      <c r="AB1844" t="inlineStr">
        <is>
          <t>BDO</t>
        </is>
      </c>
      <c r="AC1844" t="inlineStr">
        <is>
          <t>1679 Tayuman Street, Sta. Cruz Manila</t>
        </is>
      </c>
      <c r="AD1844" s="4">
        <v>45950</v>
      </c>
      <c r="AE1844" t="inlineStr">
        <is>
          <t>100% Full Payment</t>
        </is>
      </c>
      <c r="AF1844" s="2"/>
      <c r="AG1844" t="inlineStr">
        <is>
          <t>NzQyNTk5MTgyNzQ4MTg3MDM0MTpBOTRFN0M0MC0yNkI2LTRGM0UtOEIxNC04RkM4QjA2NDBEOEEtMTo4YWJmNTU1Y2Y4ZTM2YjkwZTE3NWQ4OTc0YmYzODQ5MDox</t>
        </is>
      </c>
      <c r="AH1844" t="inlineStr">
        <is>
          <t>POWER PLANT GENERATOR RENTALS</t>
        </is>
      </c>
      <c r="AI1844"/>
      <c r="AJ1844" t="inlineStr">
        <is>
          <t>LIQUIDITY PLAN (PAR # 202510120019 / 2025TEG-P0269)
ADDENDUM 1 TAB &gt; MPL Festival Broadcast Tech &gt;
Genset (12hrs Only)
Genset Cable
Total Budget = Php 270,000.00
Actual Cost = Php 185,440.00
Balance = Php 84,560.00</t>
        </is>
      </c>
      <c r="AK1844"/>
    </row>
    <row r="1845" ht="25.5" customHeight="1">
      <c r="A1845" s="2" t="str">
        <f>=HYPERLINK("https://applink.larksuite.com/client/mini_program/open?appId=cli_9c7cc8a9a9edd105&amp;mode=appCenter&amp;path_pc=pc/pages/requested/index?instanceId=7597373831270960864&amp;source=bitable&amp;path=pages/detail/index?instanceId=7597373831270960864&amp;source=bitable", "202601200088")</f>
        <v>202601200088</v>
      </c>
      <c r="B1845" t="inlineStr">
        <is>
          <t>Approved</t>
        </is>
      </c>
      <c r="C1845" t="inlineStr">
        <is>
          <t>Procurement Order</t>
        </is>
      </c>
      <c r="D1845" s="3">
        <v>46042.72961805556</v>
      </c>
      <c r="E1845" s="3">
        <v>46043.41643518519</v>
      </c>
      <c r="F1845" t="inlineStr">
        <is>
          <t>Fatima Kathleen M. FLores</t>
        </is>
      </c>
      <c r="G1845" t="inlineStr">
        <is>
          <t>Procurement</t>
        </is>
      </c>
      <c r="H1845"/>
      <c r="I1845"/>
      <c r="J1845" t="inlineStr">
        <is>
          <t>Project</t>
        </is>
      </c>
      <c r="K1845" t="inlineStr">
        <is>
          <t>PDEI - Event Service</t>
        </is>
      </c>
      <c r="L1845" t="inlineStr">
        <is>
          <t>MPL PH S16 Addendum</t>
        </is>
      </c>
      <c r="M1845" t="inlineStr">
        <is>
          <t>2025TEG-P0269</t>
        </is>
      </c>
      <c r="N1845" t="inlineStr">
        <is>
          <t>Katherine Denise Lee Sy</t>
        </is>
      </c>
      <c r="O1845" t="inlineStr">
        <is>
          <t>202510160029-Katherine Denise Lee Sy-费用报销 - 副本 - 副本 - 副本-2025-10-16 06:00:27;202510210030-Katherine Denise Lee Sy-费用报销 - 副本 - 副本 - 副本-2025-10-21 03:43:18</t>
        </is>
      </c>
      <c r="P1845" t="inlineStr">
        <is>
          <t>NO</t>
        </is>
      </c>
      <c r="Q1845"/>
      <c r="R1845" t="inlineStr">
        <is>
          <t>NO</t>
        </is>
      </c>
      <c r="S1845" t="inlineStr">
        <is>
          <t>Rental of Additional 70m Extra Cable mainline with connector box w/Delivery/pullout - 7 days</t>
        </is>
      </c>
      <c r="T1845">
        <v>1</v>
      </c>
      <c r="U1845">
        <v>60000</v>
      </c>
      <c r="V1845" t="inlineStr">
        <is>
          <t>PHP</t>
        </is>
      </c>
      <c r="W1845">
        <v>60000</v>
      </c>
      <c r="X1845" s="2" t="str">
        <f>=HYPERLINK("https://www.larksuite.com/approval/admin/previewAttachment?key=PMhBCsJADAXQK_0_yeRPvIybliKCUhBbZ5GzCy7cvhhEjE6LhCdbgqWeMtkwNiEDI7xaUUqIctX62K77fTnn2ef-xud5zDpuy7a-2FOtQeZuAwAvfze5e2Y4fs5vAAAA__8", "2 attachment(s)")</f>
        <v>2 attachment(s)</v>
      </c>
      <c r="Y1845"/>
      <c r="Z1845"/>
      <c r="AA1845"/>
      <c r="AB1845"/>
      <c r="AC1845"/>
      <c r="AD1845" s="4"/>
      <c r="AE1845"/>
      <c r="AF1845" s="2"/>
      <c r="AG1845" t="inlineStr">
        <is>
          <t>NzQyNTk5MTgyNzQ4MTg3MDM0MTpBOTRFN0M0MC0yNkI2LTRGM0UtOEIxNC04RkM4QjA2NDBEOEEtMjo0MWZmZmVjODdiY2UwZTQ2MTg3N2UyZjAwOWMxZWMxZjox</t>
        </is>
      </c>
      <c r="AH1845"/>
      <c r="AI1845"/>
      <c r="AJ1845" t="inlineStr">
        <is>
          <t>LIQUIDITY PLAN (PAR # 202510120019 / 2025TEG-P0269)
ADDENDUM 1 TAB &gt; MPL Festival Broadcast Tech &gt;
Genset (12hrs Only)
Genset Cable
Total Budget = Php 270,000.00
Actual Cost = Php 185,440.00
Balance = Php 84,560.00</t>
        </is>
      </c>
      <c r="AK1845"/>
    </row>
    <row r="1846" ht="25.5" customHeight="1">
      <c r="A1846" s="2" t="str">
        <f>=HYPERLINK("https://applink.larksuite.com/client/mini_program/open?appId=cli_9c7cc8a9a9edd105&amp;mode=appCenter&amp;path_pc=pc/pages/requested/index?instanceId=7597377718388346594&amp;source=bitable&amp;path=pages/detail/index?instanceId=7597377718388346594&amp;source=bitable", "202601200091")</f>
        <v>202601200091</v>
      </c>
      <c r="B1846" t="inlineStr">
        <is>
          <t>Approved</t>
        </is>
      </c>
      <c r="C1846" t="inlineStr">
        <is>
          <t>Procurement Order</t>
        </is>
      </c>
      <c r="D1846" s="3">
        <v>46042.74009259259</v>
      </c>
      <c r="E1846" s="3">
        <v>46043.73193287037</v>
      </c>
      <c r="F1846" t="inlineStr">
        <is>
          <t>Fatima Kathleen M. FLores</t>
        </is>
      </c>
      <c r="G1846" t="inlineStr">
        <is>
          <t>Procurement</t>
        </is>
      </c>
      <c r="H1846"/>
      <c r="I1846"/>
      <c r="J1846" t="inlineStr">
        <is>
          <t>GAE</t>
        </is>
      </c>
      <c r="K1846"/>
      <c r="L1846"/>
      <c r="M1846"/>
      <c r="N1846"/>
      <c r="O1846" t="inlineStr">
        <is>
          <t>202601130060-Bernadeth Español Villaflor-费用报销 - 副本 - 副本 - 副本-2026-01-13 07:41:34</t>
        </is>
      </c>
      <c r="P1846"/>
      <c r="Q1846" t="inlineStr">
        <is>
          <t>Mineski PH</t>
        </is>
      </c>
      <c r="R1846"/>
      <c r="S1846" t="inlineStr">
        <is>
          <t>Outsourced Logistics Associate</t>
        </is>
      </c>
      <c r="T1846">
        <v>1</v>
      </c>
      <c r="U1846">
        <v>10500</v>
      </c>
      <c r="V1846" t="inlineStr">
        <is>
          <t>PHP</t>
        </is>
      </c>
      <c r="W1846">
        <v>10500</v>
      </c>
      <c r="X1846" s="2" t="str">
        <f>=HYPERLINK("https://www.larksuite.com/approval/admin/previewAttachment?key=PMhLCoIxDATgKyXNtJPxMm4sxQcVQfjBRc4uuHD7jXQb2T2GDPIm82IXg6RnZAZGF6qVkzI6wZp7nfdHj73muj1f7ch7HdfLmm_vYmvGACLNzE9_DwKQBuzn9g0AAP__", "2 attachment(s)")</f>
        <v>2 attachment(s)</v>
      </c>
      <c r="Y1846" t="inlineStr">
        <is>
          <t>Bank Transfer</t>
        </is>
      </c>
      <c r="Z1846" t="inlineStr">
        <is>
          <t>Rizel John Obong</t>
        </is>
      </c>
      <c r="AA1846" t="inlineStr">
        <is>
          <t>09709731174</t>
        </is>
      </c>
      <c r="AB1846" t="inlineStr">
        <is>
          <t>GCash</t>
        </is>
      </c>
      <c r="AC1846" t="inlineStr">
        <is>
          <t>Blk 1j Lot 31 Phase 3 E-1 Dagat Dagatan Caloocan City</t>
        </is>
      </c>
      <c r="AD1846" s="4">
        <v>46035</v>
      </c>
      <c r="AE1846" t="inlineStr">
        <is>
          <t>100% Full Payment - Jan. 30, 2026</t>
        </is>
      </c>
      <c r="AF1846" s="2"/>
      <c r="AG1846" t="inlineStr">
        <is>
          <t>NzQyNTk5MTgyNzQ4MTg3MDM0MTowODkxOEFCNC0yQ0ExLTQ5N0ItQUMxRC0yMkYzM0Q1RjdEN0YtMTo4MjVhYjgyZGM1M2ZjZDQ0NWI0YTM1NDBkNDkyZThhNjox</t>
        </is>
      </c>
      <c r="AH1846" t="inlineStr">
        <is>
          <t>Rizel John Obong</t>
        </is>
      </c>
      <c r="AI1846"/>
      <c r="AJ1846"/>
      <c r="AK1846"/>
    </row>
    <row r="1847" ht="25.5" customHeight="1">
      <c r="A1847" s="2" t="str">
        <f>=HYPERLINK("https://applink.larksuite.com/client/mini_program/open?appId=cli_9c7cc8a9a9edd105&amp;mode=appCenter&amp;path_pc=pc/pages/requested/index?instanceId=7597386837707017947&amp;source=bitable&amp;path=pages/detail/index?instanceId=7597386837707017947&amp;source=bitable", "202601200103")</f>
        <v>202601200103</v>
      </c>
      <c r="B1847" t="inlineStr">
        <is>
          <t>Recalled</t>
        </is>
      </c>
      <c r="C1847" t="inlineStr">
        <is>
          <t>Procurement Order</t>
        </is>
      </c>
      <c r="D1847" s="3">
        <v>46042.76466435185</v>
      </c>
      <c r="E1847" s="3">
        <v>46044.69924768519</v>
      </c>
      <c r="F1847" t="inlineStr">
        <is>
          <t>Fatima Kathleen M. FLores</t>
        </is>
      </c>
      <c r="G1847" t="inlineStr">
        <is>
          <t>Procurement</t>
        </is>
      </c>
      <c r="H1847"/>
      <c r="I1847"/>
      <c r="J1847" t="inlineStr">
        <is>
          <t>Project</t>
        </is>
      </c>
      <c r="K1847" t="inlineStr">
        <is>
          <t>PDEI - Event Service</t>
        </is>
      </c>
      <c r="L1847" t="inlineStr">
        <is>
          <t>MPL PH S16 - Playoffs</t>
        </is>
      </c>
      <c r="M1847" t="inlineStr">
        <is>
          <t>2025TEG-P0215</t>
        </is>
      </c>
      <c r="N1847" t="inlineStr">
        <is>
          <t>Katherine Denise Lee Sy</t>
        </is>
      </c>
      <c r="O1847" t="inlineStr">
        <is>
          <t>202510070048-Katherine Denise Lee Sy-费用报销 - 副本 - 副本 - 副本-2025-10-07 07:22:29</t>
        </is>
      </c>
      <c r="P1847" t="inlineStr">
        <is>
          <t>NO</t>
        </is>
      </c>
      <c r="Q1847"/>
      <c r="R1847" t="inlineStr">
        <is>
          <t>YES</t>
        </is>
      </c>
      <c r="S1847" t="inlineStr">
        <is>
          <t>Additional Safety Officer (5 days)</t>
        </is>
      </c>
      <c r="T1847">
        <v>1</v>
      </c>
      <c r="U1847">
        <v>12500</v>
      </c>
      <c r="V1847" t="inlineStr">
        <is>
          <t>PHP</t>
        </is>
      </c>
      <c r="W1847">
        <v>12500</v>
      </c>
      <c r="X1847" s="2"/>
      <c r="Y1847" t="inlineStr">
        <is>
          <t>Bank Transfer</t>
        </is>
      </c>
      <c r="Z1847" t="inlineStr">
        <is>
          <t>JEROME T. CAPOQUIAN</t>
        </is>
      </c>
      <c r="AA1847" t="inlineStr">
        <is>
          <t>9599094366</t>
        </is>
      </c>
      <c r="AB1847" t="inlineStr">
        <is>
          <t>BPI</t>
        </is>
      </c>
      <c r="AC1847" t="inlineStr">
        <is>
          <t>BLOCK 5 LOT 7 PHASE 2 SHINEVILL MAMBUGAN ANTIPOLO CITY</t>
        </is>
      </c>
      <c r="AD1847" s="4">
        <v>45952</v>
      </c>
      <c r="AE1847" t="inlineStr">
        <is>
          <t>100% Full payment</t>
        </is>
      </c>
      <c r="AF1847" s="2"/>
      <c r="AG1847" t="inlineStr">
        <is>
          <t>NzQyNTk5MTgyNzQ4MTg3MDM0MTo0MjQ2Q0Q5MS02QkUzLTQxNEEtODlGMi1BRUZGNkNEREIxQzQtMToxODJiMzJkYTZhNDIxMzQwMmM0MWViOTZjYzI4MGNlNDox</t>
        </is>
      </c>
      <c r="AH1847" t="inlineStr">
        <is>
          <t>JEROME T. CAPOQUIAN</t>
        </is>
      </c>
      <c r="AI1847"/>
      <c r="AJ1847" t="inlineStr">
        <is>
          <t>LIQUIDITY PLAN (PAR # 202509020094 / 2025TEG-P0215)
7.1 Safety &gt; 
"Safety Officer (Starting Ingress and Final Egress, 1 SO only)
Ingress - 3 days
Rehearsal - 2 days
Playoffs - 5 days"
Event Marshal (Regular Season)
Event Medical Personnel (Event Days)
Total Remaining Budget= (Php 223,500.00) NEGATIVE 
Actual Cost = Php 20,000.00
Balance = (Php 243,500.00) OVER BUDGET</t>
        </is>
      </c>
      <c r="AK1847"/>
    </row>
    <row r="1848" ht="25.5" customHeight="1">
      <c r="A1848" s="2" t="str">
        <f>=HYPERLINK("https://applink.larksuite.com/client/mini_program/open?appId=cli_9c7cc8a9a9edd105&amp;mode=appCenter&amp;path_pc=pc/pages/requested/index?instanceId=7597386837707017947&amp;source=bitable&amp;path=pages/detail/index?instanceId=7597386837707017947&amp;source=bitable", "202601200103")</f>
        <v>202601200103</v>
      </c>
      <c r="B1848" t="inlineStr">
        <is>
          <t>Recalled</t>
        </is>
      </c>
      <c r="C1848" t="inlineStr">
        <is>
          <t>Procurement Order</t>
        </is>
      </c>
      <c r="D1848" s="3">
        <v>46042.76466435185</v>
      </c>
      <c r="E1848" s="3">
        <v>46044.69924768519</v>
      </c>
      <c r="F1848" t="inlineStr">
        <is>
          <t>Fatima Kathleen M. FLores</t>
        </is>
      </c>
      <c r="G1848" t="inlineStr">
        <is>
          <t>Procurement</t>
        </is>
      </c>
      <c r="H1848"/>
      <c r="I1848"/>
      <c r="J1848" t="inlineStr">
        <is>
          <t>Project</t>
        </is>
      </c>
      <c r="K1848" t="inlineStr">
        <is>
          <t>PDEI - Event Service</t>
        </is>
      </c>
      <c r="L1848" t="inlineStr">
        <is>
          <t>MPL PH S16 - Playoffs</t>
        </is>
      </c>
      <c r="M1848" t="inlineStr">
        <is>
          <t>2025TEG-P0215</t>
        </is>
      </c>
      <c r="N1848" t="inlineStr">
        <is>
          <t>Katherine Denise Lee Sy</t>
        </is>
      </c>
      <c r="O1848" t="inlineStr">
        <is>
          <t>202510070048-Katherine Denise Lee Sy-费用报销 - 副本 - 副本 - 副本-2025-10-07 07:22:29</t>
        </is>
      </c>
      <c r="P1848" t="inlineStr">
        <is>
          <t>NO</t>
        </is>
      </c>
      <c r="Q1848"/>
      <c r="R1848" t="inlineStr">
        <is>
          <t>YES</t>
        </is>
      </c>
      <c r="S1848" t="inlineStr">
        <is>
          <t>Additional Event Marshals (5 days)</t>
        </is>
      </c>
      <c r="T1848">
        <v>1</v>
      </c>
      <c r="U1848">
        <v>7500</v>
      </c>
      <c r="V1848" t="inlineStr">
        <is>
          <t>PHP</t>
        </is>
      </c>
      <c r="W1848">
        <v>7500</v>
      </c>
      <c r="X1848" s="2" t="str">
        <f>=HYPERLINK("https://www.larksuite.com/approval/admin/previewAttachment?key=PMixDcJQDATQle6-_X02y9AQRRQkDSKBwrMjUdC-SCJy0qLgxVFga5YsI02CQJWrR1MqiHL1sq3X1-fAfoLn473tw_q439blyVkaAzJ3SwC8_N3k7lXh-Dm_AQAA__8", "2 attachment(s)")</f>
        <v>2 attachment(s)</v>
      </c>
      <c r="Y1848"/>
      <c r="Z1848"/>
      <c r="AA1848"/>
      <c r="AB1848"/>
      <c r="AC1848"/>
      <c r="AD1848" s="4"/>
      <c r="AE1848"/>
      <c r="AF1848" s="2"/>
      <c r="AG1848" t="inlineStr">
        <is>
          <t>NzQyNTk5MTgyNzQ4MTg3MDM0MTo0MjQ2Q0Q5MS02QkUzLTQxNEEtODlGMi1BRUZGNkNEREIxQzQtMjoyYWRjMmMzNGM5MDcyYmFmZTZmNTBjYTY4ZDk0ODRkNjox</t>
        </is>
      </c>
      <c r="AH1848"/>
      <c r="AI1848"/>
      <c r="AJ1848" t="inlineStr">
        <is>
          <t>LIQUIDITY PLAN (PAR # 202509020094 / 2025TEG-P0215)
7.1 Safety &gt; 
"Safety Officer (Starting Ingress and Final Egress, 1 SO only)
Ingress - 3 days
Rehearsal - 2 days
Playoffs - 5 days"
Event Marshal (Regular Season)
Event Medical Personnel (Event Days)
Total Remaining Budget= (Php 223,500.00) NEGATIVE 
Actual Cost = Php 20,000.00
Balance = (Php 243,500.00) OVER BUDGET</t>
        </is>
      </c>
      <c r="AK1848"/>
    </row>
    <row r="1849" ht="25.5" customHeight="1">
      <c r="A1849" s="2" t="str">
        <f>=HYPERLINK("https://applink.larksuite.com/client/mini_program/open?appId=cli_9c7cc8a9a9edd105&amp;mode=appCenter&amp;path_pc=pc/pages/requested/index?instanceId=7598030847861591778&amp;source=bitable&amp;path=pages/detail/index?instanceId=7598030847861591778&amp;source=bitable", "202601220012")</f>
        <v>202601220012</v>
      </c>
      <c r="B1849" t="inlineStr">
        <is>
          <t>Approved</t>
        </is>
      </c>
      <c r="C1849" t="inlineStr">
        <is>
          <t>Procurement Order</t>
        </is>
      </c>
      <c r="D1849" s="3">
        <v>46044.50015046296</v>
      </c>
      <c r="E1849" s="3">
        <v>46057.673634259256</v>
      </c>
      <c r="F1849" t="inlineStr">
        <is>
          <t>Fatima Kathleen M. FLores</t>
        </is>
      </c>
      <c r="G1849" t="inlineStr">
        <is>
          <t>Procurement</t>
        </is>
      </c>
      <c r="H1849"/>
      <c r="I1849"/>
      <c r="J1849" t="inlineStr">
        <is>
          <t>Project</t>
        </is>
      </c>
      <c r="K1849" t="inlineStr">
        <is>
          <t>PDEI - Event Service</t>
        </is>
      </c>
      <c r="L1849" t="inlineStr">
        <is>
          <t>GTCC Summer Showdown</t>
        </is>
      </c>
      <c r="M1849" t="inlineStr">
        <is>
          <t>2025TEG-P0040</t>
        </is>
      </c>
      <c r="N1849" t="inlineStr">
        <is>
          <t>Frances Angelita Arreglado</t>
        </is>
      </c>
      <c r="O1849" t="inlineStr">
        <is>
          <t>202601190014-Frances Angelita Arreglado-费用报销 - 副本 - 副本 - 副本-2026-01-19 03:27:56</t>
        </is>
      </c>
      <c r="P1849" t="inlineStr">
        <is>
          <t>NO</t>
        </is>
      </c>
      <c r="Q1849"/>
      <c r="R1849" t="inlineStr">
        <is>
          <t>NO</t>
        </is>
      </c>
      <c r="S1849" t="inlineStr">
        <is>
          <t>Outsourced Technical Services (LED, Lights, Sounds, Trussing, Genset with Logistics &amp; Delivery)</t>
        </is>
      </c>
      <c r="T1849">
        <v>1</v>
      </c>
      <c r="U1849">
        <v>1456000</v>
      </c>
      <c r="V1849" t="inlineStr">
        <is>
          <t>PHP</t>
        </is>
      </c>
      <c r="W1849">
        <v>1456000</v>
      </c>
      <c r="X1849" s="2" t="str">
        <f>=HYPERLINK("https://www.larksuite.com/approval/admin/previewAttachment?key=PMgxDsIwDAXQK_0fO_k2l2GhiihSJkSBwWdHYuj6RhAjOm0kPNkSLPUMGMIVgz0pRbWilBDlqm3Nq63P47X24HznsX_ruN_m9mRPtQaZuwUAXk43uXvmcPwdvwAAAP__", "2 attachment(s)")</f>
        <v>2 attachment(s)</v>
      </c>
      <c r="Y1849" t="inlineStr">
        <is>
          <t>Bank Transfer</t>
        </is>
      </c>
      <c r="Z1849" t="inlineStr">
        <is>
          <t>APEX FRANCHISE VENTURES OPC.</t>
        </is>
      </c>
      <c r="AA1849" t="inlineStr">
        <is>
          <t>001620006872</t>
        </is>
      </c>
      <c r="AB1849" t="inlineStr">
        <is>
          <t>UnionBank of the Philippines</t>
        </is>
      </c>
      <c r="AC1849" t="inlineStr">
        <is>
          <t>9th Floor Santolan Town Plaza 276 Santolan Road Little Baguio 1500 City of San Juan</t>
        </is>
      </c>
      <c r="AD1849" s="4">
        <v>46052</v>
      </c>
      <c r="AE1849" t="inlineStr">
        <is>
          <t>100% Full Payment</t>
        </is>
      </c>
      <c r="AF1849" s="2"/>
      <c r="AG1849" t="inlineStr">
        <is>
          <t>NzQyNTk5MTgyNzQ4MTg3MDM0MTo0RjdBMzc5Qy03QTM4LTRFRkMtOEE4MC1ENDdCOUQwNDYwODQtMTpjMDJjYWRkMWM1OTA0YTZmY2EyYzYwY2FmNTQ2MzU4ODox</t>
        </is>
      </c>
      <c r="AH1849" t="inlineStr">
        <is>
          <t>APEX FRANCHISE VENTURES OPC.</t>
        </is>
      </c>
      <c r="AI1849"/>
      <c r="AJ1849" t="inlineStr">
        <is>
          <t>LIQUIDITY PLAN (PAR # 202504250011)
Stage Technicals &gt; 
LED
Lights
Speaker
Comms
Trussing
Genset
Fuel
Total Budget = Php 3,919,000.00
Actual Cost = Php 2,683,260.16
Balance = Php 1,235,739.84</t>
        </is>
      </c>
      <c r="AK1849"/>
    </row>
    <row r="1850" ht="25.5" customHeight="1">
      <c r="A1850" s="2" t="str">
        <f>=HYPERLINK("https://applink.larksuite.com/client/mini_program/open?appId=cli_9c7cc8a9a9edd105&amp;mode=appCenter&amp;path_pc=pc/pages/requested/index?instanceId=7598030847861591778&amp;source=bitable&amp;path=pages/detail/index?instanceId=7598030847861591778&amp;source=bitable", "202601220012")</f>
        <v>202601220012</v>
      </c>
      <c r="B1850" t="inlineStr">
        <is>
          <t>Approved</t>
        </is>
      </c>
      <c r="C1850" t="inlineStr">
        <is>
          <t>Procurement Order</t>
        </is>
      </c>
      <c r="D1850" s="3">
        <v>46044.50015046296</v>
      </c>
      <c r="E1850" s="3">
        <v>46057.673634259256</v>
      </c>
      <c r="F1850" t="inlineStr">
        <is>
          <t>Fatima Kathleen M. FLores</t>
        </is>
      </c>
      <c r="G1850" t="inlineStr">
        <is>
          <t>Procurement</t>
        </is>
      </c>
      <c r="H1850"/>
      <c r="I1850"/>
      <c r="J1850" t="inlineStr">
        <is>
          <t>Project</t>
        </is>
      </c>
      <c r="K1850" t="inlineStr">
        <is>
          <t>PDEI - Event Service</t>
        </is>
      </c>
      <c r="L1850" t="inlineStr">
        <is>
          <t>GTCC Summer Showdown</t>
        </is>
      </c>
      <c r="M1850" t="inlineStr">
        <is>
          <t>2025TEG-P0040</t>
        </is>
      </c>
      <c r="N1850" t="inlineStr">
        <is>
          <t>Frances Angelita Arreglado</t>
        </is>
      </c>
      <c r="O1850" t="inlineStr">
        <is>
          <t>202601190014-Frances Angelita Arreglado-费用报销 - 副本 - 副本 - 副本-2026-01-19 03:27:56</t>
        </is>
      </c>
      <c r="P1850" t="inlineStr">
        <is>
          <t>NO</t>
        </is>
      </c>
      <c r="Q1850"/>
      <c r="R1850" t="inlineStr">
        <is>
          <t>NO</t>
        </is>
      </c>
      <c r="S1850" t="inlineStr">
        <is>
          <t>LED Rental, Logistics / Delivery</t>
        </is>
      </c>
      <c r="T1850">
        <v>1</v>
      </c>
      <c r="U1850">
        <v>1227260.16</v>
      </c>
      <c r="V1850" t="inlineStr">
        <is>
          <t>PHP</t>
        </is>
      </c>
      <c r="W1850">
        <v>1227260.16</v>
      </c>
      <c r="X1850" s="2" t="str">
        <f>=HYPERLINK("https://www.larksuite.com/approval/admin/previewAttachment?key=PMgxDsIwDAXQK_0fO_k2l2GhiihSJkSBwWdHYuj6RhAjOm0kPNkSLPUMGMIVgz0pRbWilBDlqm3Nq63P47X24HznsX_ruN_m9mRPtQaZuwUAXk43uXvmcPydvwAAAP__", "1 attachment(s)")</f>
        <v>1 attachment(s)</v>
      </c>
      <c r="Y1850"/>
      <c r="Z1850"/>
      <c r="AA1850"/>
      <c r="AB1850"/>
      <c r="AC1850"/>
      <c r="AD1850" s="4"/>
      <c r="AE1850"/>
      <c r="AF1850" s="2"/>
      <c r="AG1850" t="inlineStr">
        <is>
          <t>NzQyNTk5MTgyNzQ4MTg3MDM0MTo0RjdBMzc5Qy03QTM4LTRFRkMtOEE4MC1ENDdCOUQwNDYwODQtMjo1ZTBjZmRjNDk3YzYxZDcyOTFjNDI3NzhjZGJlYzNmMDox</t>
        </is>
      </c>
      <c r="AH1850"/>
      <c r="AI1850"/>
      <c r="AJ1850" t="inlineStr">
        <is>
          <t>LIQUIDITY PLAN (PAR # 202504250011)
Stage Technicals &gt; 
LED
Lights
Speaker
Comms
Trussing
Genset
Fuel
Total Budget = Php 3,919,000.00
Actual Cost = Php 2,683,260.16
Balance = Php 1,235,739.84</t>
        </is>
      </c>
      <c r="AK1850"/>
    </row>
    <row r="1851" ht="25.5" customHeight="1">
      <c r="A1851" s="2" t="str">
        <f>=HYPERLINK("https://applink.larksuite.com/client/mini_program/open?appId=cli_9c7cc8a9a9edd105&amp;mode=appCenter&amp;path_pc=pc/pages/requested/index?instanceId=7597644562269540062&amp;source=bitable&amp;path=pages/detail/index?instanceId=7597644562269540062&amp;source=bitable", "202601210015")</f>
        <v>202601210015</v>
      </c>
      <c r="B1851" t="inlineStr">
        <is>
          <t>Approved</t>
        </is>
      </c>
      <c r="C1851" t="inlineStr">
        <is>
          <t>Procurement Order</t>
        </is>
      </c>
      <c r="D1851" s="3">
        <v>46043.459178240744</v>
      </c>
      <c r="E1851" s="3">
        <v>46057.72453703704</v>
      </c>
      <c r="F1851" t="inlineStr">
        <is>
          <t>Fatima Kathleen M. FLores</t>
        </is>
      </c>
      <c r="G1851" t="inlineStr">
        <is>
          <t>Procurement</t>
        </is>
      </c>
      <c r="H1851"/>
      <c r="I1851"/>
      <c r="J1851" t="inlineStr">
        <is>
          <t>Project</t>
        </is>
      </c>
      <c r="K1851" t="inlineStr">
        <is>
          <t>PDEI - Game Marketing</t>
        </is>
      </c>
      <c r="L1851" t="inlineStr">
        <is>
          <t>1xbet VEEWISE watch party</t>
        </is>
      </c>
      <c r="M1851" t="inlineStr">
        <is>
          <t>2025TEG-P0181</t>
        </is>
      </c>
      <c r="N1851" t="inlineStr">
        <is>
          <t>Katherine Denise Lee Sy</t>
        </is>
      </c>
      <c r="O1851" t="inlineStr">
        <is>
          <t>202508080007-Katherine Denise Lee Sy-费用报销 - 副本 - 副本 - 副本-2025-08-08 02:18:15</t>
        </is>
      </c>
      <c r="P1851" t="inlineStr">
        <is>
          <t>NO</t>
        </is>
      </c>
      <c r="Q1851"/>
      <c r="R1851" t="inlineStr">
        <is>
          <t>YES</t>
        </is>
      </c>
      <c r="S1851" t="inlineStr">
        <is>
          <t>LED rental, Logistics and delivery</t>
        </is>
      </c>
      <c r="T1851">
        <v>1</v>
      </c>
      <c r="U1851">
        <v>82866.56</v>
      </c>
      <c r="V1851" t="inlineStr">
        <is>
          <t>PHP</t>
        </is>
      </c>
      <c r="W1851">
        <v>82866.56</v>
      </c>
      <c r="X1851" s="2" t="str">
        <f>=HYPERLINK("https://www.larksuite.com/approval/admin/previewAttachment?key=PMhBCsJQDATQK03y52cSL-PGUrRaEASpi5xdcOH2RRoip40osMwL1pqlIGe4R00C4e1tUkEmqpd9PS9D-2PL7cjb57g_-329rMvLZskdGuRIAHb6-xDJqiB-jm8AAAD__w", "2 attachment(s)")</f>
        <v>2 attachment(s)</v>
      </c>
      <c r="Y1851" t="inlineStr">
        <is>
          <t>Bank Transfer</t>
        </is>
      </c>
      <c r="Z1851" t="inlineStr">
        <is>
          <t>APEX FRANCHISE VENTURES OPC</t>
        </is>
      </c>
      <c r="AA1851" t="inlineStr">
        <is>
          <t>102000005344</t>
        </is>
      </c>
      <c r="AB1851" t="inlineStr">
        <is>
          <t>China Banking Corporation</t>
        </is>
      </c>
      <c r="AC1851" t="inlineStr">
        <is>
          <t>9F Santolan Town Plaza, San Juan City</t>
        </is>
      </c>
      <c r="AD1851" s="4">
        <v>45882</v>
      </c>
      <c r="AE1851" t="inlineStr">
        <is>
          <t>100% Full Payment</t>
        </is>
      </c>
      <c r="AF1851" s="2"/>
      <c r="AG1851" t="inlineStr">
        <is>
          <t>NzQyNTk5MTgyNzQ4MTg3MDM0MToxREIwRjY1NC1EQTIwLTQ5RDAtODQ1Ni1DNzU4Rjg4QTQ3QTUtMTpiNmYwMzZiMmZiYjkzOGFmZThhYzM1NjVjZTU5ZjExYzox</t>
        </is>
      </c>
      <c r="AH1851" t="inlineStr">
        <is>
          <t>APEX FRANCHISE VENTURES OPC</t>
        </is>
      </c>
      <c r="AI1851"/>
      <c r="AJ1851" t="inlineStr">
        <is>
          <t>LIQUIDITY PLAN (PAR # 202507250045 / 2025TEG-P0181)
TECHNICALS &gt;
Lights and Sounds
LED
Genset
Total Remaining Budget = Php 24,000.00
This Request = Php 82,866.56
Balance = (Php 58,866.56) OVER BUDGET</t>
        </is>
      </c>
      <c r="AK1851"/>
    </row>
    <row r="1852" ht="25.5" customHeight="1">
      <c r="A1852" s="2" t="str">
        <f>=HYPERLINK("https://applink.larksuite.com/client/mini_program/open?appId=cli_9c7cc8a9a9edd105&amp;mode=appCenter&amp;path_pc=pc/pages/requested/index?instanceId=7598098820467003103&amp;source=bitable&amp;path=pages/detail/index?instanceId=7598098820467003103&amp;source=bitable", "202601220057")</f>
        <v>202601220057</v>
      </c>
      <c r="B1852" t="inlineStr">
        <is>
          <t>Approved</t>
        </is>
      </c>
      <c r="C1852" t="inlineStr">
        <is>
          <t>Procurement Order</t>
        </is>
      </c>
      <c r="D1852" s="3">
        <v>46044.68332175926</v>
      </c>
      <c r="E1852" s="3">
        <v>46051.477060185185</v>
      </c>
      <c r="F1852" t="inlineStr">
        <is>
          <t>Fatima Kathleen M. FLores</t>
        </is>
      </c>
      <c r="G1852" t="inlineStr">
        <is>
          <t>Procurement</t>
        </is>
      </c>
      <c r="H1852"/>
      <c r="I1852"/>
      <c r="J1852" t="inlineStr">
        <is>
          <t>GAE</t>
        </is>
      </c>
      <c r="K1852"/>
      <c r="L1852"/>
      <c r="M1852"/>
      <c r="N1852"/>
      <c r="O1852" t="inlineStr">
        <is>
          <t>202601220036-Bernadeth Español Villaflor-费用报销 - 副本 - 副本 - 副本-2026-01-22 07:07:25</t>
        </is>
      </c>
      <c r="P1852"/>
      <c r="Q1852" t="inlineStr">
        <is>
          <t>Mineski PH</t>
        </is>
      </c>
      <c r="R1852"/>
      <c r="S1852" t="inlineStr">
        <is>
          <t>Outsourced Manpower (Office Relocation / Jan. 26 to Feb. 1, 2026)</t>
        </is>
      </c>
      <c r="T1852">
        <v>1</v>
      </c>
      <c r="U1852">
        <v>70000</v>
      </c>
      <c r="V1852" t="inlineStr">
        <is>
          <t>PHP</t>
        </is>
      </c>
      <c r="W1852">
        <v>70000</v>
      </c>
      <c r="X1852" s="2" t="str">
        <f>=HYPERLINK("https://www.larksuite.com/approval/admin/previewAttachment?key=PMg9CgJBDAXgK738TF7iZWxmGSxWEMQRi5xdsLD9IgWRQywKXqIFaY5KVKbCg4AJrLWFLFDo7OO-rq_Pnu9HzjVOnma9b3MdTxlFVdDcLQHI5e9Gd68Kx8_xDQAA__8", "2 attachment(s)")</f>
        <v>2 attachment(s)</v>
      </c>
      <c r="Y1852" t="inlineStr">
        <is>
          <t>Cash</t>
        </is>
      </c>
      <c r="Z1852" t="inlineStr">
        <is>
          <t>Bernadeth Villaflor</t>
        </is>
      </c>
      <c r="AA1852" t="inlineStr">
        <is>
          <t>09560635484</t>
        </is>
      </c>
      <c r="AB1852" t="inlineStr">
        <is>
          <t>Gcash</t>
        </is>
      </c>
      <c r="AC1852" t="inlineStr">
        <is>
          <t>Antipolo</t>
        </is>
      </c>
      <c r="AD1852" s="4">
        <v>46048</v>
      </c>
      <c r="AE1852" t="inlineStr">
        <is>
          <t>All outsourced to be paid after every day of service. Total net amount to be filed as cash advance c/o Badeth.</t>
        </is>
      </c>
      <c r="AF1852" s="2"/>
      <c r="AG1852" t="inlineStr">
        <is>
          <t>NzQyNTk5MTgyNzQ4MTg3MDM0MTo4NDRGMzkwQS0yNTAwLTQxNzctQTg5RC1CRTNCOTdEM0UxMjktMTozM2FmOWM1OWRhYmZjNjdlNmM4NGNjMWMwNzc1MjMxOTox</t>
        </is>
      </c>
      <c r="AH1852" t="inlineStr">
        <is>
          <t>Ric V. Jaca</t>
        </is>
      </c>
      <c r="AI1852"/>
      <c r="AJ1852"/>
      <c r="AK1852"/>
    </row>
    <row r="1853" ht="25.5" customHeight="1">
      <c r="A1853" s="2" t="str">
        <f>=HYPERLINK("https://applink.larksuite.com/client/mini_program/open?appId=cli_9c7cc8a9a9edd105&amp;mode=appCenter&amp;path_pc=pc/pages/requested/index?instanceId=7598107048701595360&amp;source=bitable&amp;path=pages/detail/index?instanceId=7598107048701595360&amp;source=bitable", "202601220063")</f>
        <v>202601220063</v>
      </c>
      <c r="B1853" t="inlineStr">
        <is>
          <t>Approved</t>
        </is>
      </c>
      <c r="C1853" t="inlineStr">
        <is>
          <t>Procurement Order</t>
        </is>
      </c>
      <c r="D1853" s="3">
        <v>46044.70548611111</v>
      </c>
      <c r="E1853" s="3">
        <v>46057.67502314815</v>
      </c>
      <c r="F1853" t="inlineStr">
        <is>
          <t>Fatima Kathleen M. FLores</t>
        </is>
      </c>
      <c r="G1853" t="inlineStr">
        <is>
          <t>Procurement</t>
        </is>
      </c>
      <c r="H1853"/>
      <c r="I1853"/>
      <c r="J1853" t="inlineStr">
        <is>
          <t>Project</t>
        </is>
      </c>
      <c r="K1853" t="inlineStr">
        <is>
          <t>PDEI - Event Service</t>
        </is>
      </c>
      <c r="L1853" t="inlineStr">
        <is>
          <t>MPL PH S16 Addendum</t>
        </is>
      </c>
      <c r="M1853" t="inlineStr">
        <is>
          <t>2025TEG-P0269</t>
        </is>
      </c>
      <c r="N1853" t="inlineStr">
        <is>
          <t>Katherine Denise Lee Sy</t>
        </is>
      </c>
      <c r="O1853" t="inlineStr">
        <is>
          <t>202601220026-Katherine Denise Lee Sy-费用报销 - 副本 - 副本 - 副本-2026-01-22 05:23:46</t>
        </is>
      </c>
      <c r="P1853" t="inlineStr">
        <is>
          <t>NO</t>
        </is>
      </c>
      <c r="Q1853"/>
      <c r="R1853" t="inlineStr">
        <is>
          <t>NO</t>
        </is>
      </c>
      <c r="S1853" t="inlineStr">
        <is>
          <t>Additional Safety Officer (5 days)</t>
        </is>
      </c>
      <c r="T1853">
        <v>1</v>
      </c>
      <c r="U1853">
        <v>12500</v>
      </c>
      <c r="V1853" t="inlineStr">
        <is>
          <t>PHP</t>
        </is>
      </c>
      <c r="W1853">
        <v>12500</v>
      </c>
      <c r="X1853" s="2"/>
      <c r="Y1853" t="inlineStr">
        <is>
          <t>Bank Transfer</t>
        </is>
      </c>
      <c r="Z1853" t="inlineStr">
        <is>
          <t>JEROME T. CAPOQUIAN</t>
        </is>
      </c>
      <c r="AA1853" t="inlineStr">
        <is>
          <t>9599094366</t>
        </is>
      </c>
      <c r="AB1853" t="inlineStr">
        <is>
          <t>BPI</t>
        </is>
      </c>
      <c r="AC1853" t="inlineStr">
        <is>
          <t>BLOCK 5 LOT 7 PHASE 2 SHINEVILL MAMBUGAN ANTIPOLO CITY</t>
        </is>
      </c>
      <c r="AD1853" s="4">
        <v>46052</v>
      </c>
      <c r="AE1853" t="inlineStr">
        <is>
          <t>100% Full payment</t>
        </is>
      </c>
      <c r="AF1853" s="2"/>
      <c r="AG1853" t="inlineStr">
        <is>
          <t>NzQyNTk5MTgyNzQ4MTg3MDM0MTo3OTU3MDcyQi1FRjdBLTRBNzgtOTA3Ri1EREZFQjI2MzZFRUMtMTpiYWE3MWVjYzU2MmFmMTJjNTU0MTUxZDYzYmI1OTcwODox</t>
        </is>
      </c>
      <c r="AH1853" t="inlineStr">
        <is>
          <t>JEROME T. CAPOQUIAN</t>
        </is>
      </c>
      <c r="AI1853"/>
      <c r="AJ1853" t="inlineStr">
        <is>
          <t>LIQUIDITY PLAN (PAR # 202510120019 / 2025TEG-P0269)
ADDENDUM 1 TAB &gt; Manpower &gt;
Event Marshalls
Total Budget = Php 82,500.00
Actual Cost = Php 20,000.00
Balance = Php 62,500.00</t>
        </is>
      </c>
      <c r="AK1853"/>
    </row>
    <row r="1854" ht="25.5" customHeight="1">
      <c r="A1854" s="2" t="str">
        <f>=HYPERLINK("https://applink.larksuite.com/client/mini_program/open?appId=cli_9c7cc8a9a9edd105&amp;mode=appCenter&amp;path_pc=pc/pages/requested/index?instanceId=7598107048701595360&amp;source=bitable&amp;path=pages/detail/index?instanceId=7598107048701595360&amp;source=bitable", "202601220063")</f>
        <v>202601220063</v>
      </c>
      <c r="B1854" t="inlineStr">
        <is>
          <t>Approved</t>
        </is>
      </c>
      <c r="C1854" t="inlineStr">
        <is>
          <t>Procurement Order</t>
        </is>
      </c>
      <c r="D1854" s="3">
        <v>46044.70548611111</v>
      </c>
      <c r="E1854" s="3">
        <v>46057.67502314815</v>
      </c>
      <c r="F1854" t="inlineStr">
        <is>
          <t>Fatima Kathleen M. FLores</t>
        </is>
      </c>
      <c r="G1854" t="inlineStr">
        <is>
          <t>Procurement</t>
        </is>
      </c>
      <c r="H1854"/>
      <c r="I1854"/>
      <c r="J1854" t="inlineStr">
        <is>
          <t>Project</t>
        </is>
      </c>
      <c r="K1854" t="inlineStr">
        <is>
          <t>PDEI - Event Service</t>
        </is>
      </c>
      <c r="L1854" t="inlineStr">
        <is>
          <t>MPL PH S16 Addendum</t>
        </is>
      </c>
      <c r="M1854" t="inlineStr">
        <is>
          <t>2025TEG-P0269</t>
        </is>
      </c>
      <c r="N1854" t="inlineStr">
        <is>
          <t>Katherine Denise Lee Sy</t>
        </is>
      </c>
      <c r="O1854" t="inlineStr">
        <is>
          <t>202601220026-Katherine Denise Lee Sy-费用报销 - 副本 - 副本 - 副本-2026-01-22 05:23:46</t>
        </is>
      </c>
      <c r="P1854" t="inlineStr">
        <is>
          <t>NO</t>
        </is>
      </c>
      <c r="Q1854"/>
      <c r="R1854" t="inlineStr">
        <is>
          <t>NO</t>
        </is>
      </c>
      <c r="S1854" t="inlineStr">
        <is>
          <t>Additional Event Marshals (5 days)</t>
        </is>
      </c>
      <c r="T1854">
        <v>1</v>
      </c>
      <c r="U1854">
        <v>7500</v>
      </c>
      <c r="V1854" t="inlineStr">
        <is>
          <t>PHP</t>
        </is>
      </c>
      <c r="W1854">
        <v>7500</v>
      </c>
      <c r="X1854" s="2" t="str">
        <f>=HYPERLINK("https://www.larksuite.com/approval/admin/previewAttachment?key=PMgxroIhAAPgK7VQKH2XeQuEuPwuRhMHzm7i4Pr1QfTRWHugsAQ8bhmEoWGwpdWOUw7twLR81rX_r3e2J7Tmc9-3z-s293qwxaXAVaoDAP9-Xi0p6cLX-QkAAP__", "2 attachment(s)")</f>
        <v>2 attachment(s)</v>
      </c>
      <c r="Y1854"/>
      <c r="Z1854"/>
      <c r="AA1854"/>
      <c r="AB1854"/>
      <c r="AC1854"/>
      <c r="AD1854" s="4"/>
      <c r="AE1854"/>
      <c r="AF1854" s="2"/>
      <c r="AG1854" t="inlineStr">
        <is>
          <t>NzQyNTk5MTgyNzQ4MTg3MDM0MTo3OTU3MDcyQi1FRjdBLTRBNzgtOTA3Ri1EREZFQjI2MzZFRUMtMjo0MTAyYjFlMDY1Y2RmOGQ4ZjIwNTBmZGViOGI5OGMxYTox</t>
        </is>
      </c>
      <c r="AH1854"/>
      <c r="AI1854"/>
      <c r="AJ1854" t="inlineStr">
        <is>
          <t>LIQUIDITY PLAN (PAR # 202510120019 / 2025TEG-P0269)
ADDENDUM 1 TAB &gt; Manpower &gt;
Event Marshalls
Total Budget = Php 82,500.00
Actual Cost = Php 20,000.00
Balance = Php 62,500.00</t>
        </is>
      </c>
      <c r="AK1854"/>
    </row>
    <row r="1855" ht="25.5" customHeight="1">
      <c r="A1855" s="2" t="str">
        <f>=HYPERLINK("https://applink.larksuite.com/client/mini_program/open?appId=cli_9c7cc8a9a9edd105&amp;mode=appCenter&amp;path_pc=pc/pages/requested/index?instanceId=7598409390210682591&amp;source=bitable&amp;path=pages/detail/index?instanceId=7598409390210682591&amp;source=bitable", "202601230008")</f>
        <v>202601230008</v>
      </c>
      <c r="B1855" t="inlineStr">
        <is>
          <t>Approved</t>
        </is>
      </c>
      <c r="C1855" t="inlineStr">
        <is>
          <t>Procurement Order</t>
        </is>
      </c>
      <c r="D1855" s="3">
        <v>46045.52024305556</v>
      </c>
      <c r="E1855" s="3">
        <v>46055.59527777778</v>
      </c>
      <c r="F1855" t="inlineStr">
        <is>
          <t>Fatima Kathleen M. FLores</t>
        </is>
      </c>
      <c r="G1855" t="inlineStr">
        <is>
          <t>Procurement</t>
        </is>
      </c>
      <c r="H1855"/>
      <c r="I1855"/>
      <c r="J1855" t="inlineStr">
        <is>
          <t>Project</t>
        </is>
      </c>
      <c r="K1855" t="inlineStr">
        <is>
          <t>PDEI - Game Marketing</t>
        </is>
      </c>
      <c r="L1855" t="inlineStr">
        <is>
          <t>MINESKI OUTPOST - DON BOSCO ALUMNI 2001</t>
        </is>
      </c>
      <c r="M1855" t="inlineStr">
        <is>
          <t>2026TEG-P0017</t>
        </is>
      </c>
      <c r="N1855" t="inlineStr">
        <is>
          <t>Kervin</t>
        </is>
      </c>
      <c r="O1855" t="inlineStr">
        <is>
          <t>202601220091-Kervin-费用报销 - 副本 - 副本 - 副本-2026-01-22 10:59:30</t>
        </is>
      </c>
      <c r="P1855" t="inlineStr">
        <is>
          <t>NO</t>
        </is>
      </c>
      <c r="Q1855"/>
      <c r="R1855" t="inlineStr">
        <is>
          <t>NO</t>
        </is>
      </c>
      <c r="S1855" t="inlineStr">
        <is>
          <t>Refurbishment of Mineski Outpost Booth</t>
        </is>
      </c>
      <c r="T1855">
        <v>1</v>
      </c>
      <c r="U1855">
        <v>40000</v>
      </c>
      <c r="V1855" t="inlineStr">
        <is>
          <t>PHP</t>
        </is>
      </c>
      <c r="W1855">
        <v>40000</v>
      </c>
      <c r="X1855" s="2" t="str">
        <f>=HYPERLINK("https://www.larksuite.com/approval/admin/previewAttachment?key=PMlBqgJBDATQK1WSSqfrX-ZvZhgEEQRxsBc5u-jC7XtjGsZMiyFQ5oJ1pSahEPyTnrL2tiqhrFi9347_5zq3-9KVyPUK9nnZjv1hqXJHBRkTgP39PIqkNIiv4x0AAP__", "2 attachment(s)")</f>
        <v>2 attachment(s)</v>
      </c>
      <c r="Y1855" t="inlineStr">
        <is>
          <t>Bank Transfer</t>
        </is>
      </c>
      <c r="Z1855" t="inlineStr">
        <is>
          <t>STAGE ONE EVENT SERVICES CORP.</t>
        </is>
      </c>
      <c r="AA1855" t="inlineStr">
        <is>
          <t>0124 0800 3549</t>
        </is>
      </c>
      <c r="AB1855" t="inlineStr">
        <is>
          <t>BDO</t>
        </is>
      </c>
      <c r="AC1855" t="inlineStr">
        <is>
          <t>Kamagong St. cor. Ipil St. Hillcrest Village, Brgy. 173 Camarin, Caloocan</t>
        </is>
      </c>
      <c r="AD1855" s="4">
        <v>46052</v>
      </c>
      <c r="AE1855" t="inlineStr">
        <is>
          <t>100% Full Payment</t>
        </is>
      </c>
      <c r="AF1855" s="2"/>
      <c r="AG1855" t="inlineStr">
        <is>
          <t>NzQyNTk5MTgyNzQ4MTg3MDM0MTo1Mjk0NUYyMi1EQjUyLTQxOTYtQTdBMi00RDI5QkM5RThEMUUtMTpmNzY2Y2M1NmNkMmJjODMyY2E2NzNmYTNiZjlhNmJkMzox</t>
        </is>
      </c>
      <c r="AH1855" t="inlineStr">
        <is>
          <t>STAGE ONE EVENT SERVICES CORP.</t>
        </is>
      </c>
      <c r="AI1855"/>
      <c r="AJ1855" t="inlineStr">
        <is>
          <t>LIQUIDITY PLAN (PAR # 202601140037 / 2026TEG-P0017)
BOOTH REQUIREMENTS &gt; Refurbishment
Total Budget = Php 40,000.00
Actual Cost = Php 40,000.00</t>
        </is>
      </c>
      <c r="AK1855"/>
    </row>
    <row r="1856" ht="25.5" customHeight="1">
      <c r="A1856" s="2" t="str">
        <f>=HYPERLINK("https://applink.larksuite.com/client/mini_program/open?appId=cli_9c7cc8a9a9edd105&amp;mode=appCenter&amp;path_pc=pc/pages/requested/index?instanceId=7598413913968889570&amp;source=bitable&amp;path=pages/detail/index?instanceId=7598413913968889570&amp;source=bitable", "202601230010")</f>
        <v>202601230010</v>
      </c>
      <c r="B1856" t="inlineStr">
        <is>
          <t>Approved</t>
        </is>
      </c>
      <c r="C1856" t="inlineStr">
        <is>
          <t>Procurement Order</t>
        </is>
      </c>
      <c r="D1856" s="3">
        <v>46045.532430555555</v>
      </c>
      <c r="E1856" s="3">
        <v>46057.675208333334</v>
      </c>
      <c r="F1856" t="inlineStr">
        <is>
          <t>Fatima Kathleen M. FLores</t>
        </is>
      </c>
      <c r="G1856" t="inlineStr">
        <is>
          <t>Procurement</t>
        </is>
      </c>
      <c r="H1856"/>
      <c r="I1856"/>
      <c r="J1856" t="inlineStr">
        <is>
          <t>GAE</t>
        </is>
      </c>
      <c r="K1856"/>
      <c r="L1856"/>
      <c r="M1856"/>
      <c r="N1856"/>
      <c r="O1856" t="inlineStr">
        <is>
          <t>202601190085-Madelyn Espanto-费用报销 - 副本 - 副本 - 副本-2026-01-19 07:52:31</t>
        </is>
      </c>
      <c r="P1856"/>
      <c r="Q1856" t="inlineStr">
        <is>
          <t>Mineski PH</t>
        </is>
      </c>
      <c r="R1856"/>
      <c r="S1856" t="inlineStr">
        <is>
          <t>Business Cards (Material: C2S300GSM / TWO SIDES PRINT / MATTE LAM)</t>
        </is>
      </c>
      <c r="T1856">
        <v>3</v>
      </c>
      <c r="U1856">
        <v>560</v>
      </c>
      <c r="V1856" t="inlineStr">
        <is>
          <t>PHP</t>
        </is>
      </c>
      <c r="W1856">
        <v>1680</v>
      </c>
      <c r="X1856" s="2" t="str">
        <f>=HYPERLINK("https://www.larksuite.com/approval/admin/previewAttachment?key=PMgxCgIxFATQK83k_2T-eBmbXYKIKwuCVjm7YGH7RhGjOmMYaTaDS92VDDM8qspdWG1RMkSl1n7M63nfcPI589PjeOzrfdvm_mK3WoMiMwoAL38PZaY9Ej_HNwAA__8", "2 attachment(s)")</f>
        <v>2 attachment(s)</v>
      </c>
      <c r="Y1856" t="inlineStr">
        <is>
          <t>Bank Transfer</t>
        </is>
      </c>
      <c r="Z1856" t="inlineStr">
        <is>
          <t>Bescost Digital Marketing Services Inc.</t>
        </is>
      </c>
      <c r="AA1856" t="inlineStr">
        <is>
          <t>00000-5674-8951</t>
        </is>
      </c>
      <c r="AB1856" t="inlineStr">
        <is>
          <t>Security Bank</t>
        </is>
      </c>
      <c r="AC1856" t="inlineStr">
        <is>
          <t>5105-A Sulok St., Brgy. Ugong, Valenzuela City</t>
        </is>
      </c>
      <c r="AD1856" s="4">
        <v>46059</v>
      </c>
      <c r="AE1856" t="inlineStr">
        <is>
          <t>100% Full Payment - 15 days upon complete delivery</t>
        </is>
      </c>
      <c r="AF1856" s="2"/>
      <c r="AG1856" t="inlineStr">
        <is>
          <t>NzQyNTk5MTgyNzQ4MTg3MDM0MTpDMEVCODNEMC1FMzZFLTQ2OEItQTZBMy04NjI5QjY1NkIyREUtMTpiYWY2YmU2NjI2MmNjYzY4NTM2ZWY3MzYxMDBjNzBiZjox</t>
        </is>
      </c>
      <c r="AH1856" t="inlineStr">
        <is>
          <t>Bescost Digital Marketing Services Inc.</t>
        </is>
      </c>
      <c r="AI1856"/>
      <c r="AJ1856"/>
      <c r="AK1856"/>
    </row>
    <row r="1857" ht="25.5" customHeight="1">
      <c r="A1857" s="2" t="str">
        <f>=HYPERLINK("https://applink.larksuite.com/client/mini_program/open?appId=cli_9c7cc8a9a9edd105&amp;mode=appCenter&amp;path_pc=pc/pages/requested/index?instanceId=7598410887430409948&amp;source=bitable&amp;path=pages/detail/index?instanceId=7598410887430409948&amp;source=bitable", "202601230009")</f>
        <v>202601230009</v>
      </c>
      <c r="B1857" t="inlineStr">
        <is>
          <t>Approved</t>
        </is>
      </c>
      <c r="C1857" t="inlineStr">
        <is>
          <t>Procurement Order</t>
        </is>
      </c>
      <c r="D1857" s="3">
        <v>46045.52427083333</v>
      </c>
      <c r="E1857" s="3">
        <v>46056.58894675926</v>
      </c>
      <c r="F1857" t="inlineStr">
        <is>
          <t>Fatima Kathleen M. FLores</t>
        </is>
      </c>
      <c r="G1857" t="inlineStr">
        <is>
          <t>Procurement</t>
        </is>
      </c>
      <c r="H1857"/>
      <c r="I1857"/>
      <c r="J1857" t="inlineStr">
        <is>
          <t>Project</t>
        </is>
      </c>
      <c r="K1857" t="inlineStr">
        <is>
          <t>PDEI - Game Marketing</t>
        </is>
      </c>
      <c r="L1857" t="inlineStr">
        <is>
          <t>MINESKI OUTPOST - DON BOSCO ALUMNI 2001</t>
        </is>
      </c>
      <c r="M1857" t="inlineStr">
        <is>
          <t>2026TEG-P0017</t>
        </is>
      </c>
      <c r="N1857" t="inlineStr">
        <is>
          <t>Kervin</t>
        </is>
      </c>
      <c r="O1857" t="inlineStr">
        <is>
          <t>202601220094-Kervin-费用报销 - 副本 - 副本 - 副本-2026-01-22 11:00:54</t>
        </is>
      </c>
      <c r="P1857" t="inlineStr">
        <is>
          <t>NO</t>
        </is>
      </c>
      <c r="Q1857"/>
      <c r="R1857" t="inlineStr">
        <is>
          <t>NO</t>
        </is>
      </c>
      <c r="S1857" t="inlineStr">
        <is>
          <t>Rental of Cocktail Tables with Cover (4 pcs)</t>
        </is>
      </c>
      <c r="T1857">
        <v>1</v>
      </c>
      <c r="U1857">
        <v>1400</v>
      </c>
      <c r="V1857" t="inlineStr">
        <is>
          <t>PHP</t>
        </is>
      </c>
      <c r="W1857">
        <v>1400</v>
      </c>
      <c r="X1857" s="2"/>
      <c r="Y1857" t="inlineStr">
        <is>
          <t>Bank Transfer</t>
        </is>
      </c>
      <c r="Z1857" t="inlineStr">
        <is>
          <t>SPE Events Management And Services Party Needs Rental</t>
        </is>
      </c>
      <c r="AA1857" t="inlineStr">
        <is>
          <t>141102017588</t>
        </is>
      </c>
      <c r="AB1857" t="inlineStr">
        <is>
          <t>Chinabank</t>
        </is>
      </c>
      <c r="AC1857" t="inlineStr">
        <is>
          <t>10A St. Benedict St. Paradise Village Sangandaan Quezon City</t>
        </is>
      </c>
      <c r="AD1857" s="4">
        <v>46052</v>
      </c>
      <c r="AE1857" t="inlineStr">
        <is>
          <t>100% Full Payment</t>
        </is>
      </c>
      <c r="AF1857" s="2"/>
      <c r="AG1857" t="inlineStr">
        <is>
          <t>NzQyNTk5MTgyNzQ4MTg3MDM0MTo4NENCQjI3Ny1BN0M0LTRDOTItQkIxRC04MDIzMTJERUZFNzAtMTplYTVjN2JmZDZlNzg0NTUyNjZmMzM4Yjg5ZGMwZTMzNTox</t>
        </is>
      </c>
      <c r="AH1857" t="inlineStr">
        <is>
          <t>SPE Events Management And Services Party Needs Rental</t>
        </is>
      </c>
      <c r="AI1857"/>
      <c r="AJ1857" t="inlineStr">
        <is>
          <t>LIQUIDITY PLAN (PAR # 202601140037 / 2026TEG-P0017)
BOOTH REQUIREMENTS &gt; Black Cocktail Table
Total Budget = Php 2,900.00
Actual Cost = Php 2,900.00</t>
        </is>
      </c>
      <c r="AK1857"/>
    </row>
    <row r="1858" ht="25.5" customHeight="1">
      <c r="A1858" s="2" t="str">
        <f>=HYPERLINK("https://applink.larksuite.com/client/mini_program/open?appId=cli_9c7cc8a9a9edd105&amp;mode=appCenter&amp;path_pc=pc/pages/requested/index?instanceId=7598410887430409948&amp;source=bitable&amp;path=pages/detail/index?instanceId=7598410887430409948&amp;source=bitable", "202601230009")</f>
        <v>202601230009</v>
      </c>
      <c r="B1858" t="inlineStr">
        <is>
          <t>Approved</t>
        </is>
      </c>
      <c r="C1858" t="inlineStr">
        <is>
          <t>Procurement Order</t>
        </is>
      </c>
      <c r="D1858" s="3">
        <v>46045.52427083333</v>
      </c>
      <c r="E1858" s="3">
        <v>46056.58894675926</v>
      </c>
      <c r="F1858" t="inlineStr">
        <is>
          <t>Fatima Kathleen M. FLores</t>
        </is>
      </c>
      <c r="G1858" t="inlineStr">
        <is>
          <t>Procurement</t>
        </is>
      </c>
      <c r="H1858"/>
      <c r="I1858"/>
      <c r="J1858" t="inlineStr">
        <is>
          <t>Project</t>
        </is>
      </c>
      <c r="K1858" t="inlineStr">
        <is>
          <t>PDEI - Game Marketing</t>
        </is>
      </c>
      <c r="L1858" t="inlineStr">
        <is>
          <t>MINESKI OUTPOST - DON BOSCO ALUMNI 2001</t>
        </is>
      </c>
      <c r="M1858" t="inlineStr">
        <is>
          <t>2026TEG-P0017</t>
        </is>
      </c>
      <c r="N1858" t="inlineStr">
        <is>
          <t>Kervin</t>
        </is>
      </c>
      <c r="O1858" t="inlineStr">
        <is>
          <t>202601220094-Kervin-费用报销 - 副本 - 副本 - 副本-2026-01-22 11:00:54</t>
        </is>
      </c>
      <c r="P1858" t="inlineStr">
        <is>
          <t>NO</t>
        </is>
      </c>
      <c r="Q1858"/>
      <c r="R1858" t="inlineStr">
        <is>
          <t>NO</t>
        </is>
      </c>
      <c r="S1858" t="inlineStr">
        <is>
          <t>Delivery Fee</t>
        </is>
      </c>
      <c r="T1858">
        <v>1</v>
      </c>
      <c r="U1858">
        <v>1500</v>
      </c>
      <c r="V1858" t="inlineStr">
        <is>
          <t>PHP</t>
        </is>
      </c>
      <c r="W1858">
        <v>1500</v>
      </c>
      <c r="X1858" s="2" t="str">
        <f>=HYPERLINK("https://www.larksuite.com/approval/admin/previewAttachment?key=PMgxCkIxGAPgKyVt2vzxMi6vPBzURRAcenbBwfWbRcwa7DNQ2AJuj5SIKqtDSFS7bdqBaXmvx3mlj3X6yHNk3D9rv2_HuV4ccWtwl3oB4OXv3ZKSKfyc3wAAAP__", "2 attachment(s)")</f>
        <v>2 attachment(s)</v>
      </c>
      <c r="Y1858"/>
      <c r="Z1858"/>
      <c r="AA1858"/>
      <c r="AB1858"/>
      <c r="AC1858"/>
      <c r="AD1858" s="4"/>
      <c r="AE1858"/>
      <c r="AF1858" s="2"/>
      <c r="AG1858" t="inlineStr">
        <is>
          <t>NzQyNTk5MTgyNzQ4MTg3MDM0MTo4NENCQjI3Ny1BN0M0LTRDOTItQkIxRC04MDIzMTJERUZFNzAtMjpjZDI3ZTllZTZmZDc4N2YzODNmOTE4YzM1Y2FiYmQ0OTox</t>
        </is>
      </c>
      <c r="AH1858"/>
      <c r="AI1858"/>
      <c r="AJ1858" t="inlineStr">
        <is>
          <t>LIQUIDITY PLAN (PAR # 202601140037 / 2026TEG-P0017)
BOOTH REQUIREMENTS &gt; Black Cocktail Table
Total Budget = Php 2,900.00
Actual Cost = Php 2,900.00</t>
        </is>
      </c>
      <c r="AK1858"/>
    </row>
    <row r="1859" ht="25.5" customHeight="1">
      <c r="A1859" s="2" t="str">
        <f>=HYPERLINK("https://applink.larksuite.com/client/mini_program/open?appId=cli_9c7cc8a9a9edd105&amp;mode=appCenter&amp;path_pc=pc/pages/requested/index?instanceId=7597293017048895197&amp;source=bitable&amp;path=pages/detail/index?instanceId=7597293017048895197&amp;source=bitable", "202601200019")</f>
        <v>202601200019</v>
      </c>
      <c r="B1859" t="inlineStr">
        <is>
          <t>Approved</t>
        </is>
      </c>
      <c r="C1859" t="inlineStr">
        <is>
          <t>Procurement Order</t>
        </is>
      </c>
      <c r="D1859" s="3">
        <v>46042.51184027778</v>
      </c>
      <c r="E1859" s="3">
        <v>46057.761828703704</v>
      </c>
      <c r="F1859" t="inlineStr">
        <is>
          <t>Fatima Kathleen M. FLores</t>
        </is>
      </c>
      <c r="G1859" t="inlineStr">
        <is>
          <t>Procurement</t>
        </is>
      </c>
      <c r="H1859"/>
      <c r="I1859"/>
      <c r="J1859" t="inlineStr">
        <is>
          <t>Project</t>
        </is>
      </c>
      <c r="K1859" t="inlineStr">
        <is>
          <t>PDEI - Game Marketing</t>
        </is>
      </c>
      <c r="L1859" t="inlineStr">
        <is>
          <t>Jobstreet Umbrella Production</t>
        </is>
      </c>
      <c r="M1859" t="inlineStr">
        <is>
          <t>2026TEG-P0002</t>
        </is>
      </c>
      <c r="N1859" t="inlineStr">
        <is>
          <t>Clifford Markus Ortiz Martinez</t>
        </is>
      </c>
      <c r="O1859" t="inlineStr">
        <is>
          <t>202601120057-Clifford Markus Ortiz Martinez-费用报销 - 副本 - 副本 - 副本-2026-01-12 07:01:54</t>
        </is>
      </c>
      <c r="P1859" t="inlineStr">
        <is>
          <t>NO</t>
        </is>
      </c>
      <c r="Q1859"/>
      <c r="R1859" t="inlineStr">
        <is>
          <t>YES</t>
        </is>
      </c>
      <c r="S1859" t="inlineStr">
        <is>
          <t>Customized Umbrella (Blue Outer, Magenta Inner)</t>
        </is>
      </c>
      <c r="T1859">
        <v>195</v>
      </c>
      <c r="U1859">
        <v>268.828</v>
      </c>
      <c r="V1859" t="inlineStr">
        <is>
          <t>PHP</t>
        </is>
      </c>
      <c r="W1859">
        <v>52421.46</v>
      </c>
      <c r="X1859" s="2" t="str">
        <f>=HYPERLINK("https://www.larksuite.com/approval/admin/previewAttachment?key=PMsxCkIxEATQK80km8yOl7FJCCIKgqBY5OyixW8fvJ5Ez8bajTCLwa1mFVdQiEw3WrtsSoao0J73dX5cx3vcygq35Pzs12Ws-eSvFqhG1ATA0-FVEWH3wN_xDQAA__8", "2 attachment(s)")</f>
        <v>2 attachment(s)</v>
      </c>
      <c r="Y1859" t="inlineStr">
        <is>
          <t>Bank Transfer</t>
        </is>
      </c>
      <c r="Z1859" t="inlineStr">
        <is>
          <t>APEX FRANCHISE VENTURES OPC.</t>
        </is>
      </c>
      <c r="AA1859" t="inlineStr">
        <is>
          <t>001620006872</t>
        </is>
      </c>
      <c r="AB1859" t="inlineStr">
        <is>
          <t>UnionBank of the Philippines</t>
        </is>
      </c>
      <c r="AC1859" t="inlineStr">
        <is>
          <t>9th Floor Santolan Town Plaza 276 Santolan Road Little Baguio 1500 City of San Juan</t>
        </is>
      </c>
      <c r="AD1859" s="4">
        <v>46052</v>
      </c>
      <c r="AE1859" t="inlineStr">
        <is>
          <t>100% Full Payment - 3 days upon delivery</t>
        </is>
      </c>
      <c r="AF1859" s="2"/>
      <c r="AG1859" t="inlineStr">
        <is>
          <t>NzQyNTk5MTgyNzQ4MTg3MDM0MTowQjYxQjg4Qy00NzMxLTREQTEtQTkzMC1FQjQzODI1NDY5QjQtMTowNGQ4MmQ0YzNlMWI2Y2VjY2I3MWQ0ZGU1ZmY5ZWQzOTox</t>
        </is>
      </c>
      <c r="AH1859" t="inlineStr">
        <is>
          <t>APEX FRANCHISE VENTURES OPC.</t>
        </is>
      </c>
      <c r="AI1859"/>
      <c r="AJ1859" t="inlineStr">
        <is>
          <t>LIQUIDITY PLAN (PAR # 202601090043 / 2026TEG-P0002)
Collaterals . Umbrella (Blue Outer, Magenta Inner)
Total Budget = Php 46,804.88
Actual Cost = Php 52,421.46
Balance = (Php 5,616.59) OVER BUDGET</t>
        </is>
      </c>
      <c r="AK1859"/>
    </row>
    <row r="1860" ht="25.5" customHeight="1">
      <c r="A1860" s="2" t="str">
        <f>=HYPERLINK("https://applink.larksuite.com/client/mini_program/open?appId=cli_9c7cc8a9a9edd105&amp;mode=appCenter&amp;path_pc=pc/pages/requested/index?instanceId=7599565560422141663&amp;source=bitable&amp;path=pages/detail/index?instanceId=7599565560422141663&amp;source=bitable", "202601260061")</f>
        <v>202601260061</v>
      </c>
      <c r="B1860" t="inlineStr">
        <is>
          <t>Approved</t>
        </is>
      </c>
      <c r="C1860" t="inlineStr">
        <is>
          <t>Procurement Order</t>
        </is>
      </c>
      <c r="D1860" s="3">
        <v>46048.6358912037</v>
      </c>
      <c r="E1860" s="3">
        <v>46052.81728009259</v>
      </c>
      <c r="F1860" t="inlineStr">
        <is>
          <t>Fatima Kathleen M. FLores</t>
        </is>
      </c>
      <c r="G1860" t="inlineStr">
        <is>
          <t>Procurement</t>
        </is>
      </c>
      <c r="H1860"/>
      <c r="I1860"/>
      <c r="J1860" t="inlineStr">
        <is>
          <t>Project</t>
        </is>
      </c>
      <c r="K1860" t="inlineStr">
        <is>
          <t>GG - Event Service</t>
        </is>
      </c>
      <c r="L1860" t="inlineStr">
        <is>
          <t>Kings Invitational Series Rebroadcast S4 (KIS S4)</t>
        </is>
      </c>
      <c r="M1860" t="inlineStr">
        <is>
          <t>2026TEG-P0007</t>
        </is>
      </c>
      <c r="N1860" t="inlineStr">
        <is>
          <t>Juvie Anne Asis Castres</t>
        </is>
      </c>
      <c r="O1860" t="inlineStr">
        <is>
          <t>202601160045-Juvie Anne Asis Castres-费用报销 - 副本 - 副本 - 副本-2026-01-16 10:04:36</t>
        </is>
      </c>
      <c r="P1860" t="inlineStr">
        <is>
          <t>YES</t>
        </is>
      </c>
      <c r="Q1860"/>
      <c r="R1860" t="inlineStr">
        <is>
          <t>NO</t>
        </is>
      </c>
      <c r="S1860" t="inlineStr">
        <is>
          <t>Outsourced Audio Engineer</t>
        </is>
      </c>
      <c r="T1860">
        <v>1</v>
      </c>
      <c r="U1860">
        <v>18000</v>
      </c>
      <c r="V1860" t="inlineStr">
        <is>
          <t>PHP</t>
        </is>
      </c>
      <c r="W1860">
        <v>18000</v>
      </c>
      <c r="X1860" s="2" t="str">
        <f>=HYPERLINK("https://www.larksuite.com/approval/admin/previewAttachment?key=PMg5CgJBEAXQK_3a-3sZE5vBPRF6MKizCwaTvhyCHCGWhFOUkK4gIyMSrioumdbaUkWUlFfP13a-re_-uMckbV_Pd6_rZZsfCZYqytxtAJDT4VbuTqbj7_gFAAD__w", "2 attachment(s)")</f>
        <v>2 attachment(s)</v>
      </c>
      <c r="Y1860" t="inlineStr">
        <is>
          <t>Bank Transfer</t>
        </is>
      </c>
      <c r="Z1860" t="inlineStr">
        <is>
          <t>Joshua Vignesh U Narayan</t>
        </is>
      </c>
      <c r="AA1860" t="inlineStr">
        <is>
          <t>09686047871</t>
        </is>
      </c>
      <c r="AB1860" t="inlineStr">
        <is>
          <t>GCash</t>
        </is>
      </c>
      <c r="AC1860" t="inlineStr">
        <is>
          <t>Celadon Park Condominium, Felix Huertas Rd .Santa Cruz Manila</t>
        </is>
      </c>
      <c r="AD1860" s="4">
        <v>46066</v>
      </c>
      <c r="AE1860" t="inlineStr">
        <is>
          <t>1st Payment - Feb. 13, 2026
Final Payment - Feb. 27, 2026</t>
        </is>
      </c>
      <c r="AF1860" s="2"/>
      <c r="AG1860" t="inlineStr">
        <is>
          <t>NzQyNTk5MTgyNzQ4MTg3MDM0MTowNTgxOTcyRS0xNDQxLTQ3NDQtOEYzMi0yQUY3RDQyQ0I0MjItMTowODgyMjM1MTJjNzBhNDk0ZWIyMmFlOTBkMWVlNDNkZjox</t>
        </is>
      </c>
      <c r="AH1860" t="inlineStr">
        <is>
          <t>Joshua Vignesh U Narayan</t>
        </is>
      </c>
      <c r="AI1860"/>
      <c r="AJ1860" t="inlineStr">
        <is>
          <t>LIQUIDITY PLAN (PAR # 202601190092 / 2026TEG-P0007)
116 INTERNAL CE TAB &gt; LABOR COST (PH MANPOWER) &gt;
OPERATIONS TEAM &gt; Broadcast &amp; Production &gt;
PH Sound Engineer
Total Budget = Php 20000.00
Actual Cost = Php 18,000.00
Balance = Php 2,000.00</t>
        </is>
      </c>
      <c r="AK1860"/>
    </row>
    <row r="1861" ht="25.5" customHeight="1">
      <c r="A1861" s="2" t="str">
        <f>=HYPERLINK("https://applink.larksuite.com/client/mini_program/open?appId=cli_9c7cc8a9a9edd105&amp;mode=appCenter&amp;path_pc=pc/pages/requested/index?instanceId=7599564538601590496&amp;source=bitable&amp;path=pages/detail/index?instanceId=7599564538601590496&amp;source=bitable", "202601260059")</f>
        <v>202601260059</v>
      </c>
      <c r="B1861" t="inlineStr">
        <is>
          <t>Approved</t>
        </is>
      </c>
      <c r="C1861" t="inlineStr">
        <is>
          <t>Procurement Order</t>
        </is>
      </c>
      <c r="D1861" s="3">
        <v>46048.63313657408</v>
      </c>
      <c r="E1861" s="3">
        <v>46052.81832175926</v>
      </c>
      <c r="F1861" t="inlineStr">
        <is>
          <t>Fatima Kathleen M. FLores</t>
        </is>
      </c>
      <c r="G1861" t="inlineStr">
        <is>
          <t>Procurement</t>
        </is>
      </c>
      <c r="H1861"/>
      <c r="I1861"/>
      <c r="J1861" t="inlineStr">
        <is>
          <t>Project</t>
        </is>
      </c>
      <c r="K1861" t="inlineStr">
        <is>
          <t>GG - Event Service</t>
        </is>
      </c>
      <c r="L1861" t="inlineStr">
        <is>
          <t>Kings Invitational Series Rebroadcast S4 (KIS S4)</t>
        </is>
      </c>
      <c r="M1861" t="inlineStr">
        <is>
          <t>2026TEG-P0007</t>
        </is>
      </c>
      <c r="N1861" t="inlineStr">
        <is>
          <t>Juvie Anne Asis Castres</t>
        </is>
      </c>
      <c r="O1861" t="inlineStr">
        <is>
          <t>202601160045-Juvie Anne Asis Castres-费用报销 - 副本 - 副本 - 副本-2026-01-16 10:04:36</t>
        </is>
      </c>
      <c r="P1861" t="inlineStr">
        <is>
          <t>YES</t>
        </is>
      </c>
      <c r="Q1861"/>
      <c r="R1861" t="inlineStr">
        <is>
          <t>NO</t>
        </is>
      </c>
      <c r="S1861" t="inlineStr">
        <is>
          <t>Outsourced Main CG Operator and Director</t>
        </is>
      </c>
      <c r="T1861">
        <v>1</v>
      </c>
      <c r="U1861">
        <v>24000</v>
      </c>
      <c r="V1861" t="inlineStr">
        <is>
          <t>PHP</t>
        </is>
      </c>
      <c r="W1861">
        <v>24000</v>
      </c>
      <c r="X1861" s="2" t="str">
        <f>=HYPERLINK("https://www.larksuite.com/approval/admin/previewAttachment?key=PMgxikJBEATQK1VNV3dN72U2cfgIfiNBMJiziwamryZRMxnVUHM0uJ3dWcqYBebHa49Nu2Fa3ut-_K8wNSJPn8Lrtp_Xy7EezPYYcEgxAfDv52FJ3SV8He8AAAD__w", "2 attachment(s)")</f>
        <v>2 attachment(s)</v>
      </c>
      <c r="Y1861" t="inlineStr">
        <is>
          <t>Bank Transfer</t>
        </is>
      </c>
      <c r="Z1861" t="inlineStr">
        <is>
          <t>Emir Ryan Concepcion</t>
        </is>
      </c>
      <c r="AA1861" t="inlineStr">
        <is>
          <t>3179710829</t>
        </is>
      </c>
      <c r="AB1861" t="inlineStr">
        <is>
          <t>BPI</t>
        </is>
      </c>
      <c r="AC1861" t="inlineStr">
        <is>
          <t>116 J.Molina Corner Blue Bird Street, Strip 70 Village, Concepcion Uno, Marikina City</t>
        </is>
      </c>
      <c r="AD1861" s="4">
        <v>46066</v>
      </c>
      <c r="AE1861" t="inlineStr">
        <is>
          <t>1st Payment - Feb. 13, 2026
Final Payment - Mar. 6, 2026</t>
        </is>
      </c>
      <c r="AF1861" s="2"/>
      <c r="AG1861" t="inlineStr">
        <is>
          <t>NzQyNTk5MTgyNzQ4MTg3MDM0MTo0OTM3OTZFNy1BQjM4LTQ2RkEtQkQwMS05QzA0QUM3M0QxNjgtMTo3NDg3OWYxODk0ZTdjZTE3NjZmOTgyMDNkMGQ5OGJlZjox</t>
        </is>
      </c>
      <c r="AH1861" t="inlineStr">
        <is>
          <t>Emir Ryan Concepcion</t>
        </is>
      </c>
      <c r="AI1861"/>
      <c r="AJ1861" t="inlineStr">
        <is>
          <t>LIQUIDITY PLAN (PAR # 202601190092 / 2026TEG-P0007)
116 INTERNAL CE TAB &gt; LABOR COST (PH MANPOWER) &gt;
OPERATIONS TEAM &gt; Broadcast &amp; Production &gt;
PH Main CG Operator/Director
Total Budget = Php 24,000.00
Actual Cost = Php 24,000.00</t>
        </is>
      </c>
      <c r="AK1861"/>
    </row>
    <row r="1862" ht="25.5" customHeight="1">
      <c r="A1862" s="2" t="str">
        <f>=HYPERLINK("https://applink.larksuite.com/client/mini_program/open?appId=cli_9c7cc8a9a9edd105&amp;mode=appCenter&amp;path_pc=pc/pages/requested/index?instanceId=7599566315011067618&amp;source=bitable&amp;path=pages/detail/index?instanceId=7599566315011067618&amp;source=bitable", "202601260062")</f>
        <v>202601260062</v>
      </c>
      <c r="B1862" t="inlineStr">
        <is>
          <t>Approved</t>
        </is>
      </c>
      <c r="C1862" t="inlineStr">
        <is>
          <t>Procurement Order</t>
        </is>
      </c>
      <c r="D1862" s="3">
        <v>46048.63791666667</v>
      </c>
      <c r="E1862" s="3">
        <v>46052.8190625</v>
      </c>
      <c r="F1862" t="inlineStr">
        <is>
          <t>Fatima Kathleen M. FLores</t>
        </is>
      </c>
      <c r="G1862" t="inlineStr">
        <is>
          <t>Procurement</t>
        </is>
      </c>
      <c r="H1862"/>
      <c r="I1862"/>
      <c r="J1862" t="inlineStr">
        <is>
          <t>Project</t>
        </is>
      </c>
      <c r="K1862" t="inlineStr">
        <is>
          <t>GG - Event Service</t>
        </is>
      </c>
      <c r="L1862" t="inlineStr">
        <is>
          <t>Kings Invitational Series Rebroadcast S4 (KIS S4)</t>
        </is>
      </c>
      <c r="M1862" t="inlineStr">
        <is>
          <t>2026TEG-P0007</t>
        </is>
      </c>
      <c r="N1862" t="inlineStr">
        <is>
          <t>Juvie Anne Asis Castres</t>
        </is>
      </c>
      <c r="O1862" t="inlineStr">
        <is>
          <t>202601160045-Juvie Anne Asis Castres-费用报销 - 副本 - 副本 - 副本-2026-01-16 10:04:36</t>
        </is>
      </c>
      <c r="P1862" t="inlineStr">
        <is>
          <t>YES</t>
        </is>
      </c>
      <c r="Q1862"/>
      <c r="R1862" t="inlineStr">
        <is>
          <t>NO</t>
        </is>
      </c>
      <c r="S1862" t="inlineStr">
        <is>
          <t>Outsourced Floor Manager / Talent Manager</t>
        </is>
      </c>
      <c r="T1862">
        <v>1</v>
      </c>
      <c r="U1862">
        <v>15300</v>
      </c>
      <c r="V1862" t="inlineStr">
        <is>
          <t>PHP</t>
        </is>
      </c>
      <c r="W1862">
        <v>15300</v>
      </c>
      <c r="X1862" s="2" t="str">
        <f>=HYPERLINK("https://www.larksuite.com/approval/admin/previewAttachment?key=PMi7CQJhEATglmb-fY7NmHgcohwIomCwtQsGpl82kR20FFxcAqdCikxjgERWsmcNq4RiuWY79vNmRe_j_mk-XreY9_Wyb0-Gai2UuVsD4OnvVu4upePn-AYAAP__", "2 attachment(s)")</f>
        <v>2 attachment(s)</v>
      </c>
      <c r="Y1862" t="inlineStr">
        <is>
          <t>Bank Transfer</t>
        </is>
      </c>
      <c r="Z1862" t="inlineStr">
        <is>
          <t>Yencie Edmel Tomas</t>
        </is>
      </c>
      <c r="AA1862" t="inlineStr">
        <is>
          <t>0999 859 8762</t>
        </is>
      </c>
      <c r="AB1862" t="inlineStr">
        <is>
          <t>GCash</t>
        </is>
      </c>
      <c r="AC1862" t="inlineStr">
        <is>
          <t>Blk 15 Lot 17 Purok 3 Central Bicutan Taguig City</t>
        </is>
      </c>
      <c r="AD1862" s="4">
        <v>46066</v>
      </c>
      <c r="AE1862" t="inlineStr">
        <is>
          <t>1st Payment - Feb. 13, 2026
Final Payment - Feb. 27, 2026</t>
        </is>
      </c>
      <c r="AF1862" s="2"/>
      <c r="AG1862" t="inlineStr">
        <is>
          <t>NzQyNTk5MTgyNzQ4MTg3MDM0MTozQ0VGRjg4RC1BNjRGLTQ3MTktQUYzQy02ODJBQkNGOEVDMjItMTpiYWM1ZGFhYjMzOTBjMWMwZGU4OTUzNjMwODUyNGI2NTox</t>
        </is>
      </c>
      <c r="AH1862" t="inlineStr">
        <is>
          <t>Yencie Edmel Tomas</t>
        </is>
      </c>
      <c r="AI1862"/>
      <c r="AJ1862" t="inlineStr">
        <is>
          <t>LIQUIDITY PLAN (PAR # 202601190092 / 2026TEG-P0007)
116 INTERNAL CE TAB &gt; LABOR COST (PH MANPOWER) &gt;
OPERATIONS TEAM &gt; Broadcast &amp; Production &gt;
Floor Manager / Talent Manager
Total Budget = Php 16,200.00
Actual Cost = Php 15,300.00
Balance = Php 900.00</t>
        </is>
      </c>
      <c r="AK1862"/>
    </row>
    <row r="1863" ht="25.5" customHeight="1">
      <c r="A1863" s="2" t="str">
        <f>=HYPERLINK("https://applink.larksuite.com/client/mini_program/open?appId=cli_9c7cc8a9a9edd105&amp;mode=appCenter&amp;path_pc=pc/pages/requested/index?instanceId=7599567023777042146&amp;source=bitable&amp;path=pages/detail/index?instanceId=7599567023777042146&amp;source=bitable", "202601260064")</f>
        <v>202601260064</v>
      </c>
      <c r="B1863" t="inlineStr">
        <is>
          <t>Approved</t>
        </is>
      </c>
      <c r="C1863" t="inlineStr">
        <is>
          <t>Procurement Order</t>
        </is>
      </c>
      <c r="D1863" s="3">
        <v>46048.63982638889</v>
      </c>
      <c r="E1863" s="3">
        <v>46052.81957175926</v>
      </c>
      <c r="F1863" t="inlineStr">
        <is>
          <t>Fatima Kathleen M. FLores</t>
        </is>
      </c>
      <c r="G1863" t="inlineStr">
        <is>
          <t>Procurement</t>
        </is>
      </c>
      <c r="H1863"/>
      <c r="I1863"/>
      <c r="J1863" t="inlineStr">
        <is>
          <t>Project</t>
        </is>
      </c>
      <c r="K1863" t="inlineStr">
        <is>
          <t>GG - Event Service</t>
        </is>
      </c>
      <c r="L1863" t="inlineStr">
        <is>
          <t>Kings Invitational Series Rebroadcast S4 (KIS S4)</t>
        </is>
      </c>
      <c r="M1863" t="inlineStr">
        <is>
          <t>2026TEG-P0007</t>
        </is>
      </c>
      <c r="N1863" t="inlineStr">
        <is>
          <t>Juvie Anne Asis Castres</t>
        </is>
      </c>
      <c r="O1863" t="inlineStr">
        <is>
          <t>202601160045-Juvie Anne Asis Castres-费用报销 - 副本 - 副本 - 副本-2026-01-16 10:04:36</t>
        </is>
      </c>
      <c r="P1863" t="inlineStr">
        <is>
          <t>YES</t>
        </is>
      </c>
      <c r="Q1863"/>
      <c r="R1863" t="inlineStr">
        <is>
          <t>NO</t>
        </is>
      </c>
      <c r="S1863" t="inlineStr">
        <is>
          <t>Outsourced Lead Stream Engineer</t>
        </is>
      </c>
      <c r="T1863">
        <v>1</v>
      </c>
      <c r="U1863">
        <v>18000</v>
      </c>
      <c r="V1863" t="inlineStr">
        <is>
          <t>PHP</t>
        </is>
      </c>
      <c r="W1863">
        <v>18000</v>
      </c>
      <c r="X1863" s="2" t="str">
        <f>=HYPERLINK("https://www.larksuite.com/approval/admin/previewAttachment?key=PMhJCsJQEATQK1UPv-uXl3GTEByICELERZ9dcOH21TTUHBYlpMwFaw5pFOFBEumW1d5GCjSmet238_X4vO_Phdpv-4xHH5dlW182RHcwMmMCsNPfg5kpVeLn-AYAAP__", "2 attachment(s)")</f>
        <v>2 attachment(s)</v>
      </c>
      <c r="Y1863" t="inlineStr">
        <is>
          <t>Bank Transfer</t>
        </is>
      </c>
      <c r="Z1863" t="inlineStr">
        <is>
          <t>John Mark Ramos</t>
        </is>
      </c>
      <c r="AA1863" t="inlineStr">
        <is>
          <t>0000007591426151</t>
        </is>
      </c>
      <c r="AB1863" t="inlineStr">
        <is>
          <t>RCBC</t>
        </is>
      </c>
      <c r="AC1863" t="inlineStr">
        <is>
          <t>Camella St. Patdu Compound South Green Heights, Putatan Muntinlupa City</t>
        </is>
      </c>
      <c r="AD1863" s="4">
        <v>46066</v>
      </c>
      <c r="AE1863" t="inlineStr">
        <is>
          <t>1st Payment - Feb. 13, 2026
Final Payment - Feb. 27, 2026</t>
        </is>
      </c>
      <c r="AF1863" s="2"/>
      <c r="AG1863" t="inlineStr">
        <is>
          <t>NzQyNTk5MTgyNzQ4MTg3MDM0MToyOTUxQkU0My04QTU2LTQxRkYtQTczOC1COTUzMkEwOUZDMzEtMTpjM2NkZmE4ZWE1Y2E0YjlkNTZhZTExYjkxNWQ4NTQ3OTox</t>
        </is>
      </c>
      <c r="AH1863" t="inlineStr">
        <is>
          <t>John Mark Ramos</t>
        </is>
      </c>
      <c r="AI1863"/>
      <c r="AJ1863" t="inlineStr">
        <is>
          <t>LIQUIDITY PLAN (PAR # 202601190092 / 2026TEG-P0007)
116 INTERNAL CE TAB &gt; LABOR COST (PH MANPOWER) &gt;
OPERATIONS TEAM &gt; Broadcast &amp; Production &gt;
Lead Stream Engineer
Total Budget = Php 18,000.00
Actual Cost = Php 18,000.00</t>
        </is>
      </c>
      <c r="AK1863"/>
    </row>
    <row r="1864" ht="25.5" customHeight="1">
      <c r="A1864" s="2" t="str">
        <f>=HYPERLINK("https://applink.larksuite.com/client/mini_program/open?appId=cli_9c7cc8a9a9edd105&amp;mode=appCenter&amp;path_pc=pc/pages/requested/index?instanceId=7599568738039385819&amp;source=bitable&amp;path=pages/detail/index?instanceId=7599568738039385819&amp;source=bitable", "202601260066")</f>
        <v>202601260066</v>
      </c>
      <c r="B1864" t="inlineStr">
        <is>
          <t>Approved</t>
        </is>
      </c>
      <c r="C1864" t="inlineStr">
        <is>
          <t>Procurement Order</t>
        </is>
      </c>
      <c r="D1864" s="3">
        <v>46048.64445601852</v>
      </c>
      <c r="E1864" s="3">
        <v>46051.6778125</v>
      </c>
      <c r="F1864" t="inlineStr">
        <is>
          <t>Fatima Kathleen M. FLores</t>
        </is>
      </c>
      <c r="G1864" t="inlineStr">
        <is>
          <t>Procurement</t>
        </is>
      </c>
      <c r="H1864"/>
      <c r="I1864"/>
      <c r="J1864" t="inlineStr">
        <is>
          <t>Project</t>
        </is>
      </c>
      <c r="K1864" t="inlineStr">
        <is>
          <t>GG - Event Service</t>
        </is>
      </c>
      <c r="L1864" t="inlineStr">
        <is>
          <t>Kings Invitational Series Rebroadcast S4 (KIS S4)</t>
        </is>
      </c>
      <c r="M1864" t="inlineStr">
        <is>
          <t>2026TEG-P0007</t>
        </is>
      </c>
      <c r="N1864" t="inlineStr">
        <is>
          <t>Juvie Anne Asis Castres</t>
        </is>
      </c>
      <c r="O1864" t="inlineStr">
        <is>
          <t>202601160045-Juvie Anne Asis Castres-费用报销 - 副本 - 副本 - 副本-2026-01-16 10:04:36</t>
        </is>
      </c>
      <c r="P1864" t="inlineStr">
        <is>
          <t>YES</t>
        </is>
      </c>
      <c r="Q1864"/>
      <c r="R1864" t="inlineStr">
        <is>
          <t>NO</t>
        </is>
      </c>
      <c r="S1864" t="inlineStr">
        <is>
          <t>Outsourced HMUA (for Talents)</t>
        </is>
      </c>
      <c r="T1864">
        <v>1</v>
      </c>
      <c r="U1864">
        <v>45000</v>
      </c>
      <c r="V1864" t="inlineStr">
        <is>
          <t>PHP</t>
        </is>
      </c>
      <c r="W1864">
        <v>45000</v>
      </c>
      <c r="X1864" s="2" t="str">
        <f>=HYPERLINK("https://www.larksuite.com/approval/admin/previewAttachment?key=PMgxDsJADATAL63PPq-Xz9AQRaQgioS4zm9HoqCdLEPWNE8hZEOw5pRmFr3g8ppl6tFGCjSGenvt94pxYZ1HXTiPD3s9H_v2timOAXqEFwC7_d0ZEVIGfo5vAAAA__8", "2 attachment(s)")</f>
        <v>2 attachment(s)</v>
      </c>
      <c r="Y1864" t="inlineStr">
        <is>
          <t>Bank Transfer</t>
        </is>
      </c>
      <c r="Z1864" t="inlineStr">
        <is>
          <t>Stepanee Berces</t>
        </is>
      </c>
      <c r="AA1864" t="inlineStr">
        <is>
          <t>09659949793</t>
        </is>
      </c>
      <c r="AB1864" t="inlineStr">
        <is>
          <t>GCash</t>
        </is>
      </c>
      <c r="AC1864" t="inlineStr">
        <is>
          <t>Block 1 Lot 2 Gozum St., Saint James, Nagkaisang Nayon, Quezon City</t>
        </is>
      </c>
      <c r="AD1864" s="4">
        <v>46066</v>
      </c>
      <c r="AE1864" t="inlineStr">
        <is>
          <t>1st Payment - Jan. 30, 2026
2nd Payment - Feb. 13, 2026
Final Payment - Feb. 20, 2026</t>
        </is>
      </c>
      <c r="AF1864" s="2"/>
      <c r="AG1864" t="inlineStr">
        <is>
          <t>NzQyNTk5MTgyNzQ4MTg3MDM0MTpFQkEyQzg5Ri03RjM4LTRDNjctODM5Qy0zRTc2MDUxRERBOUQtMTo5ZWJiMmY2ZDY1MmVjZmM2NWM4OGZlNjRkOWViYWY1Yjox</t>
        </is>
      </c>
      <c r="AH1864" t="inlineStr">
        <is>
          <t>Stepanee Berces</t>
        </is>
      </c>
      <c r="AI1864"/>
      <c r="AJ1864" t="inlineStr">
        <is>
          <t>LIQUIDITY PLAN (PAR # 202601190092 / 2026TEG-P0007)
116 INTERNAL CE TAB &gt; LABOR COST (PH MANPOWER) &gt;
OPERATIONS TEAM &gt; Talent Management &gt;
HMUA (for Talents)
Total Budget = Php 48,000.00
Actual Cost = Php 45,000.00
Balance = Php 3,000.00</t>
        </is>
      </c>
      <c r="AK1864"/>
    </row>
    <row r="1865" ht="25.5" customHeight="1">
      <c r="A1865" s="2" t="str">
        <f>=HYPERLINK("https://applink.larksuite.com/client/mini_program/open?appId=cli_9c7cc8a9a9edd105&amp;mode=appCenter&amp;path_pc=pc/pages/requested/index?instanceId=7599570052827844317&amp;source=bitable&amp;path=pages/detail/index?instanceId=7599570052827844317&amp;source=bitable", "202601260067")</f>
        <v>202601260067</v>
      </c>
      <c r="B1865" t="inlineStr">
        <is>
          <t>Approved</t>
        </is>
      </c>
      <c r="C1865" t="inlineStr">
        <is>
          <t>Procurement Order</t>
        </is>
      </c>
      <c r="D1865" s="3">
        <v>46048.647997685184</v>
      </c>
      <c r="E1865" s="3">
        <v>46052.82200231482</v>
      </c>
      <c r="F1865" t="inlineStr">
        <is>
          <t>Fatima Kathleen M. FLores</t>
        </is>
      </c>
      <c r="G1865" t="inlineStr">
        <is>
          <t>Procurement</t>
        </is>
      </c>
      <c r="H1865"/>
      <c r="I1865"/>
      <c r="J1865" t="inlineStr">
        <is>
          <t>Project</t>
        </is>
      </c>
      <c r="K1865" t="inlineStr">
        <is>
          <t>GG - Event Service</t>
        </is>
      </c>
      <c r="L1865" t="inlineStr">
        <is>
          <t>Kings Invitational Series Rebroadcast S4 (KIS S4)</t>
        </is>
      </c>
      <c r="M1865" t="inlineStr">
        <is>
          <t>2026TEG-P0007</t>
        </is>
      </c>
      <c r="N1865" t="inlineStr">
        <is>
          <t>Juvie Anne Asis Castres</t>
        </is>
      </c>
      <c r="O1865" t="inlineStr">
        <is>
          <t>202601160045-Juvie Anne Asis Castres-费用报销 - 副本 - 副本 - 副本-2026-01-16 10:04:36</t>
        </is>
      </c>
      <c r="P1865" t="inlineStr">
        <is>
          <t>YES</t>
        </is>
      </c>
      <c r="Q1865"/>
      <c r="R1865" t="inlineStr">
        <is>
          <t>NO</t>
        </is>
      </c>
      <c r="S1865" t="inlineStr">
        <is>
          <t>Outsourced Broadcast Manpower</t>
        </is>
      </c>
      <c r="T1865">
        <v>1</v>
      </c>
      <c r="U1865">
        <v>25650</v>
      </c>
      <c r="V1865" t="inlineStr">
        <is>
          <t>PHP</t>
        </is>
      </c>
      <c r="W1865">
        <v>25650</v>
      </c>
      <c r="X1865" s="2" t="str">
        <f>=HYPERLINK("https://www.larksuite.com/approval/admin/previewAttachment?key=PMhBqgIxEATQK1V3KqnUv8zfzDCIGBGEERd9dsGF2zdmYMwebRh0pBGlbncBPWdqki1UWSEZCtG1r-N_vf264bHOu7xds87LduzP6FYm1Mg2AcTfz5tI2oP4Oj4BAAD__w", "2 attachment(s)")</f>
        <v>2 attachment(s)</v>
      </c>
      <c r="Y1865" t="inlineStr">
        <is>
          <t>Bank Transfer</t>
        </is>
      </c>
      <c r="Z1865" t="inlineStr">
        <is>
          <t>John Benigno R. Magat</t>
        </is>
      </c>
      <c r="AA1865" t="inlineStr">
        <is>
          <t>046110005388</t>
        </is>
      </c>
      <c r="AB1865" t="inlineStr">
        <is>
          <t>PSBank</t>
        </is>
      </c>
      <c r="AC1865" t="inlineStr">
        <is>
          <t>228 Grissom st. Brgy Moonwalk Paranaque Metro Manila.</t>
        </is>
      </c>
      <c r="AD1865" s="4">
        <v>46066</v>
      </c>
      <c r="AE1865" t="inlineStr">
        <is>
          <t>1st Payment - Feb. 13, 2026
Final Payment - Feb. 27, 2026</t>
        </is>
      </c>
      <c r="AF1865" s="2"/>
      <c r="AG1865" t="inlineStr">
        <is>
          <t>NzQyNTk5MTgyNzQ4MTg3MDM0MToxQ0ZDOUVBMi1ENDYwLTQ3RTItQTgxMS02NTNGM0FDMTE5NEItMTo1MGFlMjE1ZTBhYTI0NGJkOGNkNzhkNzFkOTBmZjI0Yjox</t>
        </is>
      </c>
      <c r="AH1865" t="inlineStr">
        <is>
          <t>John Benigno R. Magat</t>
        </is>
      </c>
      <c r="AI1865"/>
      <c r="AJ1865" t="inlineStr">
        <is>
          <t>LIQUIDITY PLAN (PAR # 202601190092 / 2026TEG-P0007)
116 INTERNAL CE TAB &gt; LABOR COST (PH MANPOWER) &gt;
OPERATIONS TEAM &gt; Broadcast &amp; Production &gt;
Teleprompter
Stream Moderator / Multi-country Coordinator
Total Budget = Php 25,650.00
Actual Cost = Php 25,650.00</t>
        </is>
      </c>
      <c r="AK1865"/>
    </row>
    <row r="1866" ht="25.5" customHeight="1">
      <c r="A1866" s="2" t="str">
        <f>=HYPERLINK("https://applink.larksuite.com/client/mini_program/open?appId=cli_9c7cc8a9a9edd105&amp;mode=appCenter&amp;path_pc=pc/pages/requested/index?instanceId=7599572133559258847&amp;source=bitable&amp;path=pages/detail/index?instanceId=7599572133559258847&amp;source=bitable", "202601260071")</f>
        <v>202601260071</v>
      </c>
      <c r="B1866" t="inlineStr">
        <is>
          <t>Approved</t>
        </is>
      </c>
      <c r="C1866" t="inlineStr">
        <is>
          <t>Procurement Order</t>
        </is>
      </c>
      <c r="D1866" s="3">
        <v>46048.653599537036</v>
      </c>
      <c r="E1866" s="3">
        <v>46052.822858796295</v>
      </c>
      <c r="F1866" t="inlineStr">
        <is>
          <t>Fatima Kathleen M. FLores</t>
        </is>
      </c>
      <c r="G1866" t="inlineStr">
        <is>
          <t>Procurement</t>
        </is>
      </c>
      <c r="H1866"/>
      <c r="I1866"/>
      <c r="J1866" t="inlineStr">
        <is>
          <t>Project</t>
        </is>
      </c>
      <c r="K1866" t="inlineStr">
        <is>
          <t>GG - Event Service</t>
        </is>
      </c>
      <c r="L1866" t="inlineStr">
        <is>
          <t>Kings Invitational Series Rebroadcast S4 (KIS S4)</t>
        </is>
      </c>
      <c r="M1866" t="inlineStr">
        <is>
          <t>2026TEG-P0007</t>
        </is>
      </c>
      <c r="N1866" t="inlineStr">
        <is>
          <t>Juvie Anne Asis Castres</t>
        </is>
      </c>
      <c r="O1866" t="inlineStr">
        <is>
          <t>202601160045-Juvie Anne Asis Castres-费用报销 - 副本 - 副本 - 副本-2026-01-16 10:04:36</t>
        </is>
      </c>
      <c r="P1866" t="inlineStr">
        <is>
          <t>YES</t>
        </is>
      </c>
      <c r="Q1866"/>
      <c r="R1866" t="inlineStr">
        <is>
          <t>NO</t>
        </is>
      </c>
      <c r="S1866" t="inlineStr">
        <is>
          <t>Outsourced Logistics Associates (Ingress + Rehearsals + Egress)</t>
        </is>
      </c>
      <c r="T1866">
        <v>1</v>
      </c>
      <c r="U1866">
        <v>33000</v>
      </c>
      <c r="V1866" t="inlineStr">
        <is>
          <t>PHP</t>
        </is>
      </c>
      <c r="W1866">
        <v>33000</v>
      </c>
      <c r="X1866" s="2" t="str">
        <f>=HYPERLINK("https://www.larksuite.com/approval/admin/previewAttachment?key=PMg9igJBFATgK9X76-ray2ziMKg4JmKLwTu7YGD6jWkYsyyGkDIXrFlS0S2iSl5zJtvbSIHGVG_H_v98L93W6xJXHHfPXufTvj2sRHcwMmMCsL-fBzNTGomv4xMAAP__", "2 attachment(s)")</f>
        <v>2 attachment(s)</v>
      </c>
      <c r="Y1866" t="inlineStr">
        <is>
          <t>Bank Transfer</t>
        </is>
      </c>
      <c r="Z1866" t="inlineStr">
        <is>
          <t>Rizel John Obong</t>
        </is>
      </c>
      <c r="AA1866" t="inlineStr">
        <is>
          <t>09709731174</t>
        </is>
      </c>
      <c r="AB1866" t="inlineStr">
        <is>
          <t>GCash</t>
        </is>
      </c>
      <c r="AC1866" t="inlineStr">
        <is>
          <t>Blk 1j Lot 31 Phase 3 E-1 Dagat Dagatan Caloocan City</t>
        </is>
      </c>
      <c r="AD1866" s="4">
        <v>46066</v>
      </c>
      <c r="AE1866" t="inlineStr">
        <is>
          <t>1st Payment - Feb. 13, 2026
Final Payment - Feb. 27, 2026</t>
        </is>
      </c>
      <c r="AF1866" s="2"/>
      <c r="AG1866" t="inlineStr">
        <is>
          <t>NzQyNTk5MTgyNzQ4MTg3MDM0MTpGMEE1NzhGNi02QkQ3LTQ0REMtODhFNS0yQkMwMzVEMEU4MjItMTphZDAxZGFlYjk3OTU2ODMzYTdmNDdlMjc3NWQ0MGZhNTox</t>
        </is>
      </c>
      <c r="AH1866" t="inlineStr">
        <is>
          <t>Rizel John Obong</t>
        </is>
      </c>
      <c r="AI1866"/>
      <c r="AJ1866" t="inlineStr">
        <is>
          <t>LIQUIDITY PLAN (PAR # 202601190092 / 2026TEG-P0007)
116 INTERNAL CE TAB &gt; LABOR COST (PH MANPOWER) &gt;
OPERATIONS TEAM &gt; Broadcast &amp; Production &gt;
Event Log Boys (including Hospitality concerns)
Logistics Boys (Ingress + Egress only)
Total Budget = Php 49,500.00
Actual Cost = Php 33,000.00
Balance = Php 16,500.00</t>
        </is>
      </c>
      <c r="AK1866"/>
    </row>
    <row r="1867" ht="25.5" customHeight="1">
      <c r="A1867" s="2" t="str">
        <f>=HYPERLINK("https://applink.larksuite.com/client/mini_program/open?appId=cli_9c7cc8a9a9edd105&amp;mode=appCenter&amp;path_pc=pc/pages/requested/index?instanceId=7599572783303790302&amp;source=bitable&amp;path=pages/detail/index?instanceId=7599572783303790302&amp;source=bitable", "202601260073")</f>
        <v>202601260073</v>
      </c>
      <c r="B1867" t="inlineStr">
        <is>
          <t>Approved</t>
        </is>
      </c>
      <c r="C1867" t="inlineStr">
        <is>
          <t>Procurement Order</t>
        </is>
      </c>
      <c r="D1867" s="3">
        <v>46048.65534722222</v>
      </c>
      <c r="E1867" s="3">
        <v>46052.82365740741</v>
      </c>
      <c r="F1867" t="inlineStr">
        <is>
          <t>Fatima Kathleen M. FLores</t>
        </is>
      </c>
      <c r="G1867" t="inlineStr">
        <is>
          <t>Procurement</t>
        </is>
      </c>
      <c r="H1867"/>
      <c r="I1867"/>
      <c r="J1867" t="inlineStr">
        <is>
          <t>Project</t>
        </is>
      </c>
      <c r="K1867" t="inlineStr">
        <is>
          <t>GG - Event Service</t>
        </is>
      </c>
      <c r="L1867" t="inlineStr">
        <is>
          <t>Kings Invitational Series Rebroadcast S4 (KIS S4)</t>
        </is>
      </c>
      <c r="M1867" t="inlineStr">
        <is>
          <t>2026TEG-P0007</t>
        </is>
      </c>
      <c r="N1867" t="inlineStr">
        <is>
          <t>Juvie Anne Asis Castres</t>
        </is>
      </c>
      <c r="O1867" t="inlineStr">
        <is>
          <t>202601160045-Juvie Anne Asis Castres-费用报销 - 副本 - 副本 - 副本-2026-01-16 10:04:36</t>
        </is>
      </c>
      <c r="P1867" t="inlineStr">
        <is>
          <t>YES</t>
        </is>
      </c>
      <c r="Q1867"/>
      <c r="R1867" t="inlineStr">
        <is>
          <t>NO</t>
        </is>
      </c>
      <c r="S1867" t="inlineStr">
        <is>
          <t>Outsourced Logistics Associate (Ingress + Rehearsals + Egress)</t>
        </is>
      </c>
      <c r="T1867">
        <v>1</v>
      </c>
      <c r="U1867">
        <v>15000</v>
      </c>
      <c r="V1867" t="inlineStr">
        <is>
          <t>PHP</t>
        </is>
      </c>
      <c r="W1867">
        <v>15000</v>
      </c>
      <c r="X1867" s="2" t="str">
        <f>=HYPERLINK("https://www.larksuite.com/approval/admin/previewAttachment?key=PMg7CgIxGATgK83_ymS8jE1CkIW1ERabnF2w2PZr3dB6WTQhZS7YZklFZ49AUAj49m2kQGNqz3M9ddR31NXPdcyB975eY82PlegORmZ0APa4PZiZUkv8Hb8AAAD__w", "2 attachment(s)")</f>
        <v>2 attachment(s)</v>
      </c>
      <c r="Y1867" t="inlineStr">
        <is>
          <t>Bank Transfer</t>
        </is>
      </c>
      <c r="Z1867" t="inlineStr">
        <is>
          <t>Ziegfred Perez Domingo</t>
        </is>
      </c>
      <c r="AA1867" t="inlineStr">
        <is>
          <t>8034 7580 0832</t>
        </is>
      </c>
      <c r="AB1867" t="inlineStr">
        <is>
          <t>Maya Bank, Inc.</t>
        </is>
      </c>
      <c r="AC1867" t="inlineStr">
        <is>
          <t>Block 4 Lot 12 San Lucas Street MWSS Compound Delpan Tondo, Manila</t>
        </is>
      </c>
      <c r="AD1867" s="4">
        <v>46066</v>
      </c>
      <c r="AE1867" t="inlineStr">
        <is>
          <t>1st Payment - Feb. 13, 2026
Final Payment - Feb. 27, 2026</t>
        </is>
      </c>
      <c r="AF1867" s="2"/>
      <c r="AG1867" t="inlineStr">
        <is>
          <t>NzQyNTk5MTgyNzQ4MTg3MDM0MTpENzFFRjRCMC0wMjYzLTQ1NEItOTE3RC1CNEZCOTg3NjA4MUEtMTpkYjE1NGZiY2M2ZDE2MWM0YjdhMWI0NTdhZjUzNWQzMDox</t>
        </is>
      </c>
      <c r="AH1867" t="inlineStr">
        <is>
          <t>Ziegfred Perez Domingo</t>
        </is>
      </c>
      <c r="AI1867"/>
      <c r="AJ1867" t="inlineStr">
        <is>
          <t>LIQUIDITY PLAN (PAR # 202601190092 / 2026TEG-P0007)
116 INTERNAL CE TAB &gt; LABOR COST (PH MANPOWER) &gt;
OPERATIONS TEAM &gt; Broadcast &amp; Production &gt;
Event Log Boys (including Hospitality concerns)
Logistics Boys (Ingress + Egress only)
Total Remaining Budget = Php 16,500.00
Actual Cost = Php 15,000.00
Balance = Php 1,500.00</t>
        </is>
      </c>
      <c r="AK1867"/>
    </row>
    <row r="1868" ht="25.5" customHeight="1">
      <c r="A1868" s="2" t="str">
        <f>=HYPERLINK("https://applink.larksuite.com/client/mini_program/open?appId=cli_9c7cc8a9a9edd105&amp;mode=appCenter&amp;path_pc=pc/pages/requested/index?instanceId=7599582009865850591&amp;source=bitable&amp;path=pages/detail/index?instanceId=7599582009865850591&amp;source=bitable", "202601260078")</f>
        <v>202601260078</v>
      </c>
      <c r="B1868" t="inlineStr">
        <is>
          <t>Approved</t>
        </is>
      </c>
      <c r="C1868" t="inlineStr">
        <is>
          <t>Procurement Order</t>
        </is>
      </c>
      <c r="D1868" s="3">
        <v>46048.68021990741</v>
      </c>
      <c r="E1868" s="3">
        <v>46056.552349537036</v>
      </c>
      <c r="F1868" t="inlineStr">
        <is>
          <t>Fatima Kathleen M. FLores</t>
        </is>
      </c>
      <c r="G1868" t="inlineStr">
        <is>
          <t>Procurement</t>
        </is>
      </c>
      <c r="H1868"/>
      <c r="I1868"/>
      <c r="J1868" t="inlineStr">
        <is>
          <t>Project</t>
        </is>
      </c>
      <c r="K1868" t="inlineStr">
        <is>
          <t>GG - Event Service</t>
        </is>
      </c>
      <c r="L1868" t="inlineStr">
        <is>
          <t>Kings Invitational Series Rebroadcast S4 (KIS S4)</t>
        </is>
      </c>
      <c r="M1868" t="inlineStr">
        <is>
          <t>2026TEG-P0007</t>
        </is>
      </c>
      <c r="N1868" t="inlineStr">
        <is>
          <t>Juvie Anne Asis Castres</t>
        </is>
      </c>
      <c r="O1868" t="inlineStr">
        <is>
          <t>202601160036-Juvie Anne Asis Castres-费用报销 - 副本 - 副本 - 副本-2026-01-16 09:18:27</t>
        </is>
      </c>
      <c r="P1868" t="inlineStr">
        <is>
          <t>YES</t>
        </is>
      </c>
      <c r="Q1868"/>
      <c r="R1868" t="inlineStr">
        <is>
          <t>NO</t>
        </is>
      </c>
      <c r="S1868" t="inlineStr">
        <is>
          <t>Outsourced Talent / Caster (Manjean)</t>
        </is>
      </c>
      <c r="T1868">
        <v>1</v>
      </c>
      <c r="U1868">
        <v>84672</v>
      </c>
      <c r="V1868" t="inlineStr">
        <is>
          <t>PHP</t>
        </is>
      </c>
      <c r="W1868">
        <v>84672</v>
      </c>
      <c r="X1868" s="2" t="str">
        <f>=HYPERLINK("https://www.larksuite.com/approval/admin/previewAttachment?key=PMg7CsJgEATgK82-d7yMjSEoUQgIv9WeXbCw_bIF2SGWhFOUkKkgoxVgZ3QgKKMjVURJOWd77dd2PfE4PnacXOs5637bt7cESxVl7tYA5PJ3K3cn0_FzfAMAAP__", "2 attachment(s)")</f>
        <v>2 attachment(s)</v>
      </c>
      <c r="Y1868" t="inlineStr">
        <is>
          <t>Bank Transfer</t>
        </is>
      </c>
      <c r="Z1868" t="inlineStr">
        <is>
          <t>Manjean F. Faldas</t>
        </is>
      </c>
      <c r="AA1868" t="inlineStr">
        <is>
          <t>6086272286</t>
        </is>
      </c>
      <c r="AB1868" t="inlineStr">
        <is>
          <t>BPI Family Savings Bank</t>
        </is>
      </c>
      <c r="AC1868" t="inlineStr">
        <is>
          <t>257 - 259 Galvez Building Unit 317 A. Arnaiz St. Pasay City</t>
        </is>
      </c>
      <c r="AD1868" s="4">
        <v>46059</v>
      </c>
      <c r="AE1868" t="inlineStr">
        <is>
          <t>1st Payment - Feb. 6, 2026
2nd Payment - Feb. 20, 2026
Final Payment - Mar. 6, 2026</t>
        </is>
      </c>
      <c r="AF1868" s="2"/>
      <c r="AG1868" t="inlineStr">
        <is>
          <t>NzQyNTk5MTgyNzQ4MTg3MDM0MTowOUFBRjNBNy00RkNELTRBM0EtQjdGQi1GNkQ2MkFGNjQxQ0QtMTo0MGU1NTBjOGU3NDU2OGRlYzk2M2RjYzMwYjEzYmNkYzox</t>
        </is>
      </c>
      <c r="AH1868" t="inlineStr">
        <is>
          <t>Manjean F. Faldas</t>
        </is>
      </c>
      <c r="AI1868"/>
      <c r="AJ1868" t="inlineStr">
        <is>
          <t>LIQUIDITY PLAN (PAR # 202601190092 / 2026TEG-P0007)
116 INTERNAL CE TAB &gt; LABOR COST (PH MANPOWER) &gt;
OPERATIONS TEAM &gt; Talents &gt;
Manjean
Total Budget = Php 84,672.00
Actual Cost = Php 84,672.00</t>
        </is>
      </c>
      <c r="AK1868"/>
    </row>
    <row r="1869" ht="25.5" customHeight="1">
      <c r="A1869" s="2" t="str">
        <f>=HYPERLINK("https://applink.larksuite.com/client/mini_program/open?appId=cli_9c7cc8a9a9edd105&amp;mode=appCenter&amp;path_pc=pc/pages/requested/index?instanceId=7599582762916105954&amp;source=bitable&amp;path=pages/detail/index?instanceId=7599582762916105954&amp;source=bitable", "202601260080")</f>
        <v>202601260080</v>
      </c>
      <c r="B1869" t="inlineStr">
        <is>
          <t>Approved</t>
        </is>
      </c>
      <c r="C1869" t="inlineStr">
        <is>
          <t>Procurement Order</t>
        </is>
      </c>
      <c r="D1869" s="3">
        <v>46048.68224537037</v>
      </c>
      <c r="E1869" s="3">
        <v>46056.55298611111</v>
      </c>
      <c r="F1869" t="inlineStr">
        <is>
          <t>Fatima Kathleen M. FLores</t>
        </is>
      </c>
      <c r="G1869" t="inlineStr">
        <is>
          <t>Procurement</t>
        </is>
      </c>
      <c r="H1869"/>
      <c r="I1869"/>
      <c r="J1869" t="inlineStr">
        <is>
          <t>Project</t>
        </is>
      </c>
      <c r="K1869" t="inlineStr">
        <is>
          <t>GG - Event Service</t>
        </is>
      </c>
      <c r="L1869" t="inlineStr">
        <is>
          <t>Kings Invitational Series Rebroadcast S4 (KIS S4)</t>
        </is>
      </c>
      <c r="M1869" t="inlineStr">
        <is>
          <t>2026TEG-P0007</t>
        </is>
      </c>
      <c r="N1869" t="inlineStr">
        <is>
          <t>Juvie Anne Asis Castres</t>
        </is>
      </c>
      <c r="O1869" t="inlineStr">
        <is>
          <t>202601160036-Juvie Anne Asis Castres-费用报销 - 副本 - 副本 - 副本-2026-01-16 09:18:27</t>
        </is>
      </c>
      <c r="P1869" t="inlineStr">
        <is>
          <t>YES</t>
        </is>
      </c>
      <c r="Q1869"/>
      <c r="R1869" t="inlineStr">
        <is>
          <t>NO</t>
        </is>
      </c>
      <c r="S1869" t="inlineStr">
        <is>
          <t>Outsourced Talent / Caster (GGSphere)</t>
        </is>
      </c>
      <c r="T1869">
        <v>1</v>
      </c>
      <c r="U1869">
        <v>15600</v>
      </c>
      <c r="V1869" t="inlineStr">
        <is>
          <t>PHP</t>
        </is>
      </c>
      <c r="W1869">
        <v>15600</v>
      </c>
      <c r="X1869" s="2" t="str">
        <f>=HYPERLINK("https://www.larksuite.com/approval/admin/previewAttachment?key=PMg9CsJAFATgK828fX_jZWwMwWZFECIp9uyCRdovm8gOjhRcNIGrQoq2ShOTCIUvW6wSiuVa29zvB2e8xrvOs7_tcx3Px759GCoz1HAfDYC3y0e5u5SOv-MXAAD__w", "2 attachment(s)")</f>
        <v>2 attachment(s)</v>
      </c>
      <c r="Y1869" t="inlineStr">
        <is>
          <t>Bank Transfer</t>
        </is>
      </c>
      <c r="Z1869" t="inlineStr">
        <is>
          <t>Joseph Saratan</t>
        </is>
      </c>
      <c r="AA1869" t="inlineStr">
        <is>
          <t>109321660560</t>
        </is>
      </c>
      <c r="AB1869" t="inlineStr">
        <is>
          <t>Union Bank</t>
        </is>
      </c>
      <c r="AC1869" t="inlineStr">
        <is>
          <t>#11 Ninong Manuel Street, BF Homes Phase 1, Caloocan City</t>
        </is>
      </c>
      <c r="AD1869" s="4">
        <v>46059</v>
      </c>
      <c r="AE1869" t="inlineStr">
        <is>
          <t>100% Full Payment - Mar. 6, 2026</t>
        </is>
      </c>
      <c r="AF1869" s="2"/>
      <c r="AG1869" t="inlineStr">
        <is>
          <t>NzQyNTk5MTgyNzQ4MTg3MDM0MTpGOUU4OTI0NC1GNUFELTQ1RUUtQUE5Ri00OTgxMENBQTVGMzYtMTowNTcwYTQ5MGIyZjMyYjBlMWRkOGQzMWQ1MjUwOWU3MTox</t>
        </is>
      </c>
      <c r="AH1869" t="inlineStr">
        <is>
          <t>Joseph Saratan</t>
        </is>
      </c>
      <c r="AI1869"/>
      <c r="AJ1869" t="inlineStr">
        <is>
          <t>LIQUIDITY PLAN (PAR # 202601190092 / 2026TEG-P0007)
116 INTERNAL CE TAB &gt; LABOR COST (PH MANPOWER) &gt;
OPERATIONS TEAM &gt; Talents &gt;
GGSphere
Total Budget = Php 15,600.00
Actual Cost = Php 15,600.00</t>
        </is>
      </c>
      <c r="AK1869"/>
    </row>
    <row r="1870" ht="25.5" customHeight="1">
      <c r="A1870" s="2" t="str">
        <f>=HYPERLINK("https://applink.larksuite.com/client/mini_program/open?appId=cli_9c7cc8a9a9edd105&amp;mode=appCenter&amp;path_pc=pc/pages/requested/index?instanceId=7599583526257725150&amp;source=bitable&amp;path=pages/detail/index?instanceId=7599583526257725150&amp;source=bitable", "202601260081")</f>
        <v>202601260081</v>
      </c>
      <c r="B1870" t="inlineStr">
        <is>
          <t>Approved</t>
        </is>
      </c>
      <c r="C1870" t="inlineStr">
        <is>
          <t>Procurement Order</t>
        </is>
      </c>
      <c r="D1870" s="3">
        <v>46048.68430555556</v>
      </c>
      <c r="E1870" s="3">
        <v>46056.553935185184</v>
      </c>
      <c r="F1870" t="inlineStr">
        <is>
          <t>Fatima Kathleen M. FLores</t>
        </is>
      </c>
      <c r="G1870" t="inlineStr">
        <is>
          <t>Procurement</t>
        </is>
      </c>
      <c r="H1870"/>
      <c r="I1870"/>
      <c r="J1870" t="inlineStr">
        <is>
          <t>Project</t>
        </is>
      </c>
      <c r="K1870" t="inlineStr">
        <is>
          <t>GG - Event Service</t>
        </is>
      </c>
      <c r="L1870" t="inlineStr">
        <is>
          <t>Kings Invitational Series Rebroadcast S4 (KIS S4)</t>
        </is>
      </c>
      <c r="M1870" t="inlineStr">
        <is>
          <t>2026TEG-P0007</t>
        </is>
      </c>
      <c r="N1870" t="inlineStr">
        <is>
          <t>Juvie Anne Asis Castres</t>
        </is>
      </c>
      <c r="O1870" t="inlineStr">
        <is>
          <t>202601160036-Juvie Anne Asis Castres-费用报销 - 副本 - 副本 - 副本-2026-01-16 09:18:27</t>
        </is>
      </c>
      <c r="P1870" t="inlineStr">
        <is>
          <t>YES</t>
        </is>
      </c>
      <c r="Q1870"/>
      <c r="R1870" t="inlineStr">
        <is>
          <t>NO</t>
        </is>
      </c>
      <c r="S1870" t="inlineStr">
        <is>
          <t>Outsourced Talent / Caster (Chantelle)</t>
        </is>
      </c>
      <c r="T1870">
        <v>1</v>
      </c>
      <c r="U1870">
        <v>112168</v>
      </c>
      <c r="V1870" t="inlineStr">
        <is>
          <t>PHP</t>
        </is>
      </c>
      <c r="W1870">
        <v>112168</v>
      </c>
      <c r="X1870" s="2" t="str">
        <f>=HYPERLINK("https://www.larksuite.com/approval/admin/previewAttachment?key=PMi7DcJAEATQlmZ_Nzs0Q8LJIjEJMji52pEInL7RhtFlMYSUuWCLJVVH-fAivaywfBkp0Jhac9_usZ84shVnH9_5Wp_nY5tvK9EdjMxoAHa7PJiZ0kj8Hb8AAAD__w", "2 attachment(s)")</f>
        <v>2 attachment(s)</v>
      </c>
      <c r="Y1870" t="inlineStr">
        <is>
          <t>Bank Transfer</t>
        </is>
      </c>
      <c r="Z1870" t="inlineStr">
        <is>
          <t>Inna Chantelle B. Hernandez</t>
        </is>
      </c>
      <c r="AA1870" t="inlineStr">
        <is>
          <t>0989517023</t>
        </is>
      </c>
      <c r="AB1870" t="inlineStr">
        <is>
          <t>BPI</t>
        </is>
      </c>
      <c r="AC1870" t="inlineStr">
        <is>
          <t>30L Paseo de Roces Condominium, Chino Roces Ave, Brgy. Pio del Pilar, Makati City</t>
        </is>
      </c>
      <c r="AD1870" s="4">
        <v>46059</v>
      </c>
      <c r="AE1870" t="inlineStr">
        <is>
          <t>1st Payment - Feb. 6, 2026
2nd Payment - Feb. 20, 2026
Final Payment - Mar. 6, 2026</t>
        </is>
      </c>
      <c r="AF1870" s="2"/>
      <c r="AG1870" t="inlineStr">
        <is>
          <t>NzQyNTk5MTgyNzQ4MTg3MDM0MToyRjdBRDM1My01NzNDLTQxQzgtQjdDRC1DRTlBQjgzMEFCNzAtMTpmZWMzY2Y3YjU3OGM4ZGFhNGEwYzc4M2Q5NmFmYTcyYTox</t>
        </is>
      </c>
      <c r="AH1870" t="inlineStr">
        <is>
          <t>Inna Chantelle B. Hernandez</t>
        </is>
      </c>
      <c r="AI1870"/>
      <c r="AJ1870" t="inlineStr">
        <is>
          <t>LIQUIDITY PLAN (PAR # 202601190092 / 2026TEG-P0007)
116 INTERNAL CE TAB &gt; LABOR COST (PH MANPOWER) &gt;
OPERATIONS TEAM &gt; Talents &gt;
Chantelle
Total Budget = Php 112,168.00
Actual Cost = Php 112,168.00</t>
        </is>
      </c>
      <c r="AK1870"/>
    </row>
    <row r="1871" ht="25.5" customHeight="1">
      <c r="A1871" s="2" t="str">
        <f>=HYPERLINK("https://applink.larksuite.com/client/mini_program/open?appId=cli_9c7cc8a9a9edd105&amp;mode=appCenter&amp;path_pc=pc/pages/requested/index?instanceId=7599584143042711264&amp;source=bitable&amp;path=pages/detail/index?instanceId=7599584143042711264&amp;source=bitable", "202601260082")</f>
        <v>202601260082</v>
      </c>
      <c r="B1871" t="inlineStr">
        <is>
          <t>Approved</t>
        </is>
      </c>
      <c r="C1871" t="inlineStr">
        <is>
          <t>Procurement Order</t>
        </is>
      </c>
      <c r="D1871" s="3">
        <v>46048.685960648145</v>
      </c>
      <c r="E1871" s="3">
        <v>46056.567465277774</v>
      </c>
      <c r="F1871" t="inlineStr">
        <is>
          <t>Fatima Kathleen M. FLores</t>
        </is>
      </c>
      <c r="G1871" t="inlineStr">
        <is>
          <t>Procurement</t>
        </is>
      </c>
      <c r="H1871"/>
      <c r="I1871"/>
      <c r="J1871" t="inlineStr">
        <is>
          <t>Project</t>
        </is>
      </c>
      <c r="K1871" t="inlineStr">
        <is>
          <t>GG - Event Service</t>
        </is>
      </c>
      <c r="L1871" t="inlineStr">
        <is>
          <t>Kings Invitational Series Rebroadcast S4 (KIS S4)</t>
        </is>
      </c>
      <c r="M1871" t="inlineStr">
        <is>
          <t>2026TEG-P0007</t>
        </is>
      </c>
      <c r="N1871" t="inlineStr">
        <is>
          <t>Juvie Anne Asis Castres</t>
        </is>
      </c>
      <c r="O1871" t="inlineStr">
        <is>
          <t>202601160036-Juvie Anne Asis Castres-费用报销 - 副本 - 副本 - 副本-2026-01-16 09:18:27</t>
        </is>
      </c>
      <c r="P1871" t="inlineStr">
        <is>
          <t>YES</t>
        </is>
      </c>
      <c r="Q1871"/>
      <c r="R1871" t="inlineStr">
        <is>
          <t>NO</t>
        </is>
      </c>
      <c r="S1871" t="inlineStr">
        <is>
          <t>Outsourced Talent / Caster (OSX)</t>
        </is>
      </c>
      <c r="T1871">
        <v>1</v>
      </c>
      <c r="U1871">
        <v>89200</v>
      </c>
      <c r="V1871" t="inlineStr">
        <is>
          <t>PHP</t>
        </is>
      </c>
      <c r="W1871">
        <v>89200</v>
      </c>
      <c r="X1871" s="2" t="str">
        <f>=HYPERLINK("https://www.larksuite.com/approval/admin/previewAttachment?key=PMgxDsIwFAPQK9n_O_kxl2FpFbG0CwLBkLMjMXR9fRB9NGY3ZIbBVc1uQ1RCUWR0rVisMoolr_2Y9zw-eCmz5Ta_57nej23uTzZXBCqlHAB4uzxLkt2Fv-MXAAD__w", "2 attachment(s)")</f>
        <v>2 attachment(s)</v>
      </c>
      <c r="Y1871" t="inlineStr">
        <is>
          <t>Bank Transfer</t>
        </is>
      </c>
      <c r="Z1871" t="inlineStr">
        <is>
          <t>Francis Joses Cantero</t>
        </is>
      </c>
      <c r="AA1871" t="inlineStr">
        <is>
          <t>109327122609</t>
        </is>
      </c>
      <c r="AB1871" t="inlineStr">
        <is>
          <t>Unionbank</t>
        </is>
      </c>
      <c r="AC1871" t="inlineStr">
        <is>
          <t>4L T3, Tres Palmas, Levi Mariano Drive, Taguig City</t>
        </is>
      </c>
      <c r="AD1871" s="4">
        <v>46059</v>
      </c>
      <c r="AE1871" t="inlineStr">
        <is>
          <t>1st Payment - Feb. 6, 2026
2nd Payment - Feb. 20, 2026
Final Payment - Mar. 6, 2026</t>
        </is>
      </c>
      <c r="AF1871" s="2"/>
      <c r="AG1871" t="inlineStr">
        <is>
          <t>NzQyNTk5MTgyNzQ4MTg3MDM0MTo5MDE3QzlGQy0xRjI0LTQ2QTgtODcwMy00RUM2RDNBNkQwNUEtMTo1ZTYwNmZmZmUxNmMyNTFiYWY3YWIxZjQ2M2RmNTBjMDox</t>
        </is>
      </c>
      <c r="AH1871" t="inlineStr">
        <is>
          <t>Francis Joses Cantero</t>
        </is>
      </c>
      <c r="AI1871"/>
      <c r="AJ1871" t="inlineStr">
        <is>
          <t>LIQUIDITY PLAN (PAR # 202601190092 / 2026TEG-P0007)
116 INTERNAL CE TAB &gt; LABOR COST (PH MANPOWER) &gt;
OPERATIONS TEAM &gt; Talents &gt;
OSX
Total Budget = Php 89,200.00
Actual Cost = Php 89,200.00</t>
        </is>
      </c>
      <c r="AK1871"/>
    </row>
    <row r="1872" ht="25.5" customHeight="1">
      <c r="A1872" s="2" t="str">
        <f>=HYPERLINK("https://applink.larksuite.com/client/mini_program/open?appId=cli_9c7cc8a9a9edd105&amp;mode=appCenter&amp;path_pc=pc/pages/requested/index?instanceId=7599584761971003100&amp;source=bitable&amp;path=pages/detail/index?instanceId=7599584761971003100&amp;source=bitable", "202601260083")</f>
        <v>202601260083</v>
      </c>
      <c r="B1872" t="inlineStr">
        <is>
          <t>Approved</t>
        </is>
      </c>
      <c r="C1872" t="inlineStr">
        <is>
          <t>Procurement Order</t>
        </is>
      </c>
      <c r="D1872" s="3">
        <v>46048.687627314815</v>
      </c>
      <c r="E1872" s="3">
        <v>46056.56861111111</v>
      </c>
      <c r="F1872" t="inlineStr">
        <is>
          <t>Fatima Kathleen M. FLores</t>
        </is>
      </c>
      <c r="G1872" t="inlineStr">
        <is>
          <t>Procurement</t>
        </is>
      </c>
      <c r="H1872"/>
      <c r="I1872"/>
      <c r="J1872" t="inlineStr">
        <is>
          <t>Project</t>
        </is>
      </c>
      <c r="K1872" t="inlineStr">
        <is>
          <t>GG - Event Service</t>
        </is>
      </c>
      <c r="L1872" t="inlineStr">
        <is>
          <t>Kings Invitational Series Rebroadcast S4 (KIS S4)</t>
        </is>
      </c>
      <c r="M1872" t="inlineStr">
        <is>
          <t>2026TEG-P0007</t>
        </is>
      </c>
      <c r="N1872" t="inlineStr">
        <is>
          <t>Juvie Anne Asis Castres</t>
        </is>
      </c>
      <c r="O1872" t="inlineStr">
        <is>
          <t>202601160036-Juvie Anne Asis Castres-费用报销 - 副本 - 副本 - 副本-2026-01-16 09:18:27</t>
        </is>
      </c>
      <c r="P1872" t="inlineStr">
        <is>
          <t>YES</t>
        </is>
      </c>
      <c r="Q1872"/>
      <c r="R1872" t="inlineStr">
        <is>
          <t>NO</t>
        </is>
      </c>
      <c r="S1872" t="inlineStr">
        <is>
          <t>Outsourced Talent / Caster (Yasumeow)</t>
        </is>
      </c>
      <c r="T1872">
        <v>1</v>
      </c>
      <c r="U1872">
        <v>38640</v>
      </c>
      <c r="V1872" t="inlineStr">
        <is>
          <t>PHP</t>
        </is>
      </c>
      <c r="W1872">
        <v>38640</v>
      </c>
      <c r="X1872" s="2" t="str">
        <f>=HYPERLINK("https://www.larksuite.com/approval/admin/previewAttachment?key=PMixCgIxAAPQX0ratGn8GRePQ8FzkSs49NsFB9fXB9FHY-2BwhJwuSVtyJ0xgUpglUU7MK2s7div52fmeeKwXtP7Y837bd_ebHEpcJXqAMDL36slJV34Ob4BAAD__w", "2 attachment(s)")</f>
        <v>2 attachment(s)</v>
      </c>
      <c r="Y1872" t="inlineStr">
        <is>
          <t>Bank Transfer</t>
        </is>
      </c>
      <c r="Z1872" t="inlineStr">
        <is>
          <t>Lhea Lei Sulit</t>
        </is>
      </c>
      <c r="AA1872" t="inlineStr">
        <is>
          <t>005560206211</t>
        </is>
      </c>
      <c r="AB1872" t="inlineStr">
        <is>
          <t>BDO Unibank</t>
        </is>
      </c>
      <c r="AC1872" t="inlineStr">
        <is>
          <t>249 Purok 3, Pulong Tamo, San Ildefonso, Bulacan</t>
        </is>
      </c>
      <c r="AD1872" s="4">
        <v>46059</v>
      </c>
      <c r="AE1872" t="inlineStr">
        <is>
          <t>1st Payment - Feb. 6, 2026
2nd Payment - Feb. 20, 2026
Final Payment - Mar. 6, 2026</t>
        </is>
      </c>
      <c r="AF1872" s="2"/>
      <c r="AG1872" t="inlineStr">
        <is>
          <t>NzQyNTk5MTgyNzQ4MTg3MDM0MTo2MTI5QTIwNS1ENzhELTQzNkYtQkM3MS04RThCNkZEMTExNkMtMTo2MjFhM2M4MjNiZjNlZDUzYWJhOTMwNWFmNGMyYjAwMTox</t>
        </is>
      </c>
      <c r="AH1872" t="inlineStr">
        <is>
          <t>Lhea Lei Sulit</t>
        </is>
      </c>
      <c r="AI1872"/>
      <c r="AJ1872" t="inlineStr">
        <is>
          <t>LIQUIDITY PLAN (PAR # 202601190092 / 2026TEG-P0007)
116 INTERNAL CE TAB &gt; LABOR COST (PH MANPOWER) &gt;
OPERATIONS TEAM &gt; Talents &gt;
Yasumeow
Total Budget = Php 38,640.00
Actual Cost = Php 38,640.00</t>
        </is>
      </c>
      <c r="AK1872"/>
    </row>
    <row r="1873" ht="25.5" customHeight="1">
      <c r="A1873" s="2" t="str">
        <f>=HYPERLINK("https://applink.larksuite.com/client/mini_program/open?appId=cli_9c7cc8a9a9edd105&amp;mode=appCenter&amp;path_pc=pc/pages/requested/index?instanceId=7599585421995183838&amp;source=bitable&amp;path=pages/detail/index?instanceId=7599585421995183838&amp;source=bitable", "202601260084")</f>
        <v>202601260084</v>
      </c>
      <c r="B1873" t="inlineStr">
        <is>
          <t>Approved</t>
        </is>
      </c>
      <c r="C1873" t="inlineStr">
        <is>
          <t>Procurement Order</t>
        </is>
      </c>
      <c r="D1873" s="3">
        <v>46048.689409722225</v>
      </c>
      <c r="E1873" s="3">
        <v>46056.57030092592</v>
      </c>
      <c r="F1873" t="inlineStr">
        <is>
          <t>Fatima Kathleen M. FLores</t>
        </is>
      </c>
      <c r="G1873" t="inlineStr">
        <is>
          <t>Procurement</t>
        </is>
      </c>
      <c r="H1873"/>
      <c r="I1873"/>
      <c r="J1873" t="inlineStr">
        <is>
          <t>Project</t>
        </is>
      </c>
      <c r="K1873" t="inlineStr">
        <is>
          <t>GG - Event Service</t>
        </is>
      </c>
      <c r="L1873" t="inlineStr">
        <is>
          <t>Kings Invitational Series Rebroadcast S4 (KIS S4)</t>
        </is>
      </c>
      <c r="M1873" t="inlineStr">
        <is>
          <t>2026TEG-P0007</t>
        </is>
      </c>
      <c r="N1873" t="inlineStr">
        <is>
          <t>Juvie Anne Asis Castres</t>
        </is>
      </c>
      <c r="O1873" t="inlineStr">
        <is>
          <t>202601160036-Juvie Anne Asis Castres-费用报销 - 副本 - 副本 - 副本-2026-01-16 09:18:27</t>
        </is>
      </c>
      <c r="P1873" t="inlineStr">
        <is>
          <t>YES</t>
        </is>
      </c>
      <c r="Q1873"/>
      <c r="R1873" t="inlineStr">
        <is>
          <t>NO</t>
        </is>
      </c>
      <c r="S1873" t="inlineStr">
        <is>
          <t>Outsourced Talent / Caster (Osiris)</t>
        </is>
      </c>
      <c r="T1873">
        <v>1</v>
      </c>
      <c r="U1873">
        <v>33600</v>
      </c>
      <c r="V1873" t="inlineStr">
        <is>
          <t>PHP</t>
        </is>
      </c>
      <c r="W1873">
        <v>33600</v>
      </c>
      <c r="X1873" s="2" t="str">
        <f>=HYPERLINK("https://www.larksuite.com/approval/admin/previewAttachment?key=PMgxCgJBDAXQK_1Mkvn5XsZml0XBrWQHLHJ2wcL2zTLMSvMphGwI1kwpK2OYlFZeXj3aSIHGUO_ncb8-S6-L51YLPJ69Htuxvy3FMUCP8AJgt787I0KagZ_jGwAA__8", "2 attachment(s)")</f>
        <v>2 attachment(s)</v>
      </c>
      <c r="Y1873" t="inlineStr">
        <is>
          <t>Bank Transfer</t>
        </is>
      </c>
      <c r="Z1873" t="inlineStr">
        <is>
          <t>Rogyn Raphael S. Manansala</t>
        </is>
      </c>
      <c r="AA1873" t="inlineStr">
        <is>
          <t>1096 6002 4240</t>
        </is>
      </c>
      <c r="AB1873" t="inlineStr">
        <is>
          <t>UnionBank</t>
        </is>
      </c>
      <c r="AC1873" t="inlineStr">
        <is>
          <t>Blk 5 Lot 2 Daisy St. Ferretville Subdivision, Brgy. San Roque, Rizal, Antipolo</t>
        </is>
      </c>
      <c r="AD1873" s="4">
        <v>46059</v>
      </c>
      <c r="AE1873" t="inlineStr">
        <is>
          <t>1st Payment - Feb. 6, 2026
2nd Payment - Feb. 20, 2026
Final Payment - Mar. 6, 2026</t>
        </is>
      </c>
      <c r="AF1873" s="2"/>
      <c r="AG1873" t="inlineStr">
        <is>
          <t>NzQyNTk5MTgyNzQ4MTg3MDM0MTo1OEFEMzgxOS02QjczLTQyRUItOUUyNC0wQ0U4MjE0QjEwNEUtMTpiYTViNTFkNzdhZGRkNTRlOTFmNjNhMTA0YWNjMjZmZDox</t>
        </is>
      </c>
      <c r="AH1873" t="inlineStr">
        <is>
          <t>Rogyn Raphael S. Manansala</t>
        </is>
      </c>
      <c r="AI1873"/>
      <c r="AJ1873" t="inlineStr">
        <is>
          <t>LIQUIDITY PLAN (PAR # 202601190092 / 2026TEG-P0007)
116 INTERNAL CE TAB &gt; LABOR COST (PH MANPOWER) &gt;
OPERATIONS TEAM &gt; Talents &gt;
Osiris
Total Budget = Php 33,600.00
Actual Cost = Php 33,600.00</t>
        </is>
      </c>
      <c r="AK1873"/>
    </row>
    <row r="1874" ht="25.5" customHeight="1">
      <c r="A1874" s="2" t="str">
        <f>=HYPERLINK("https://applink.larksuite.com/client/mini_program/open?appId=cli_9c7cc8a9a9edd105&amp;mode=appCenter&amp;path_pc=pc/pages/requested/index?instanceId=7599586326630911708&amp;source=bitable&amp;path=pages/detail/index?instanceId=7599586326630911708&amp;source=bitable", "202601260085")</f>
        <v>202601260085</v>
      </c>
      <c r="B1874" t="inlineStr">
        <is>
          <t>Approved</t>
        </is>
      </c>
      <c r="C1874" t="inlineStr">
        <is>
          <t>Procurement Order</t>
        </is>
      </c>
      <c r="D1874" s="3">
        <v>46048.69185185185</v>
      </c>
      <c r="E1874" s="3">
        <v>46056.57732638889</v>
      </c>
      <c r="F1874" t="inlineStr">
        <is>
          <t>Fatima Kathleen M. FLores</t>
        </is>
      </c>
      <c r="G1874" t="inlineStr">
        <is>
          <t>Procurement</t>
        </is>
      </c>
      <c r="H1874"/>
      <c r="I1874"/>
      <c r="J1874" t="inlineStr">
        <is>
          <t>Project</t>
        </is>
      </c>
      <c r="K1874" t="inlineStr">
        <is>
          <t>GG - Event Service</t>
        </is>
      </c>
      <c r="L1874" t="inlineStr">
        <is>
          <t>Kings Invitational Series Rebroadcast S4 (KIS S4)</t>
        </is>
      </c>
      <c r="M1874" t="inlineStr">
        <is>
          <t>2026TEG-P0007</t>
        </is>
      </c>
      <c r="N1874" t="inlineStr">
        <is>
          <t>Juvie Anne Asis Castres</t>
        </is>
      </c>
      <c r="O1874" t="inlineStr">
        <is>
          <t>202601160036-Juvie Anne Asis Castres-费用报销 - 副本 - 副本 - 副本-2026-01-16 09:18:27</t>
        </is>
      </c>
      <c r="P1874" t="inlineStr">
        <is>
          <t>YES</t>
        </is>
      </c>
      <c r="Q1874"/>
      <c r="R1874" t="inlineStr">
        <is>
          <t>NO</t>
        </is>
      </c>
      <c r="S1874" t="inlineStr">
        <is>
          <t>Outsourced Talent / Caster (Dash)</t>
        </is>
      </c>
      <c r="T1874">
        <v>1</v>
      </c>
      <c r="U1874">
        <v>16128</v>
      </c>
      <c r="V1874" t="inlineStr">
        <is>
          <t>PHP</t>
        </is>
      </c>
      <c r="W1874">
        <v>16128</v>
      </c>
      <c r="X1874" s="2" t="str">
        <f>=HYPERLINK("https://www.larksuite.com/approval/admin/previewAttachment?key=PMg9CgJBDAXgK738TJLnZWwcFhEHFmSny9kFC9svShA1xIJwihLSOchRYRphoEiiWlsyiZR09lzHXTfyva5rv85a8-z9fBzzI4OpijR3KwBy-7ulu5Ph-Dm-AQAA__8", "2 attachment(s)")</f>
        <v>2 attachment(s)</v>
      </c>
      <c r="Y1874" t="inlineStr">
        <is>
          <t>Bank Transfer</t>
        </is>
      </c>
      <c r="Z1874" t="inlineStr">
        <is>
          <t>Eugene I. Esteban</t>
        </is>
      </c>
      <c r="AA1874" t="inlineStr">
        <is>
          <t>2000 5182 8177</t>
        </is>
      </c>
      <c r="AB1874" t="inlineStr">
        <is>
          <t>East West Banking Corporation</t>
        </is>
      </c>
      <c r="AC1874" t="inlineStr">
        <is>
          <t>131 P. Pablo St. 10th Ave. Caloocan City</t>
        </is>
      </c>
      <c r="AD1874" s="4">
        <v>46087</v>
      </c>
      <c r="AE1874" t="inlineStr">
        <is>
          <t>100% Full Payment - Mar. 6, 2026</t>
        </is>
      </c>
      <c r="AF1874" s="2"/>
      <c r="AG1874" t="inlineStr">
        <is>
          <t>NzQyNTk5MTgyNzQ4MTg3MDM0MTo5NUQ5MDEzQy1CM0VDLTQxMkItOTQ0Mi1FNzYxRkQ1MEMwOUEtMTpmMDE5NTQ4ODQxZDY4NGZjYThmNGI5MWViNTU0OTIyZjox</t>
        </is>
      </c>
      <c r="AH1874" t="inlineStr">
        <is>
          <t>Eugene I. Esteban</t>
        </is>
      </c>
      <c r="AI1874"/>
      <c r="AJ1874" t="inlineStr">
        <is>
          <t>LIQUIDITY PLAN (PAR # 202601190092 / 2026TEG-P0007)
116 INTERNAL CE TAB &gt; LABOR COST (PH MANPOWER) &gt;
OPERATIONS TEAM &gt; Talents &gt;
Dash
Total Budget = Php 16,128.00
Actual Cost = Php 16,128.00</t>
        </is>
      </c>
      <c r="AK1874"/>
    </row>
    <row r="1875" ht="25.5" customHeight="1">
      <c r="A1875" s="2" t="str">
        <f>=HYPERLINK("https://applink.larksuite.com/client/mini_program/open?appId=cli_9c7cc8a9a9edd105&amp;mode=appCenter&amp;path_pc=pc/pages/requested/index?instanceId=7599587178817949403&amp;source=bitable&amp;path=pages/detail/index?instanceId=7599587178817949403&amp;source=bitable", "202601260086")</f>
        <v>202601260086</v>
      </c>
      <c r="B1875" t="inlineStr">
        <is>
          <t>Approved</t>
        </is>
      </c>
      <c r="C1875" t="inlineStr">
        <is>
          <t>Procurement Order</t>
        </is>
      </c>
      <c r="D1875" s="3">
        <v>46048.69414351852</v>
      </c>
      <c r="E1875" s="3">
        <v>46056.578668981485</v>
      </c>
      <c r="F1875" t="inlineStr">
        <is>
          <t>Fatima Kathleen M. FLores</t>
        </is>
      </c>
      <c r="G1875" t="inlineStr">
        <is>
          <t>Procurement</t>
        </is>
      </c>
      <c r="H1875"/>
      <c r="I1875"/>
      <c r="J1875" t="inlineStr">
        <is>
          <t>Project</t>
        </is>
      </c>
      <c r="K1875" t="inlineStr">
        <is>
          <t>GG - Event Service</t>
        </is>
      </c>
      <c r="L1875" t="inlineStr">
        <is>
          <t>Kings Invitational Series Rebroadcast S4 (KIS S4)</t>
        </is>
      </c>
      <c r="M1875" t="inlineStr">
        <is>
          <t>2026TEG-P0007</t>
        </is>
      </c>
      <c r="N1875" t="inlineStr">
        <is>
          <t>Juvie Anne Asis Castres</t>
        </is>
      </c>
      <c r="O1875" t="inlineStr">
        <is>
          <t>202601160036-Juvie Anne Asis Castres-费用报销 - 副本 - 副本 - 副本-2026-01-16 09:18:27</t>
        </is>
      </c>
      <c r="P1875" t="inlineStr">
        <is>
          <t>YES</t>
        </is>
      </c>
      <c r="Q1875"/>
      <c r="R1875" t="inlineStr">
        <is>
          <t>NO</t>
        </is>
      </c>
      <c r="S1875" t="inlineStr">
        <is>
          <t>Outsourced Talent / Caster (Beebimbapp)</t>
        </is>
      </c>
      <c r="T1875">
        <v>1</v>
      </c>
      <c r="U1875">
        <v>29008</v>
      </c>
      <c r="V1875" t="inlineStr">
        <is>
          <t>PHP</t>
        </is>
      </c>
      <c r="W1875">
        <v>29008</v>
      </c>
      <c r="X1875" s="2" t="str">
        <f>=HYPERLINK("https://www.larksuite.com/approval/admin/previewAttachment?key=PMhBCsIwFATQK80kP5k_XsZNStGiIAglm5xdcNHt60n0bKzdCLMYXGp2S1GZlMOBusqiZIgKr-293320Ofw65nPy_Ix1Psa-fdmsUqAaURMAb5dXRYTdA3_HLwAA__8", "2 attachment(s)")</f>
        <v>2 attachment(s)</v>
      </c>
      <c r="Y1875" t="inlineStr">
        <is>
          <t>Bank Transfer</t>
        </is>
      </c>
      <c r="Z1875" t="inlineStr">
        <is>
          <t>Laurise Martinez</t>
        </is>
      </c>
      <c r="AA1875" t="inlineStr">
        <is>
          <t>006980522247</t>
        </is>
      </c>
      <c r="AB1875" t="inlineStr">
        <is>
          <t>BDO</t>
        </is>
      </c>
      <c r="AC1875" t="inlineStr">
        <is>
          <t>203 Monte Carlo Residences Sucat Parañaque</t>
        </is>
      </c>
      <c r="AD1875" s="4">
        <v>46073</v>
      </c>
      <c r="AE1875" t="inlineStr">
        <is>
          <t>1st Payment - Feb. 20, 2026
Final Payment - Mar. 6, 2026</t>
        </is>
      </c>
      <c r="AF1875" s="2"/>
      <c r="AG1875" t="inlineStr">
        <is>
          <t>NzQyNTk5MTgyNzQ4MTg3MDM0MTpDRkNBNTExMC1EMTFCLTQzMzEtQTMzNC1EM0M3QUVGREYxQ0QtMTo3M2JkYzY4ZDE1MWEzYjEwYzE5ZjNmZDQ0NGZkZDJjZTox</t>
        </is>
      </c>
      <c r="AH1875" t="inlineStr">
        <is>
          <t>Laurise Martinez</t>
        </is>
      </c>
      <c r="AI1875"/>
      <c r="AJ1875" t="inlineStr">
        <is>
          <t>LIQUIDITY PLAN (PAR # 202601190092 / 2026TEG-P0007)
116 INTERNAL CE TAB &gt; LABOR COST (PH MANPOWER) &gt;
OPERATIONS TEAM &gt; Talents &gt;
Beebimbapp
Total Budget = Php 29,008.00
Actual Cost = Php 29,008.00</t>
        </is>
      </c>
      <c r="AK1875"/>
    </row>
    <row r="1876" ht="25.5" customHeight="1">
      <c r="A1876" s="2" t="str">
        <f>=HYPERLINK("https://applink.larksuite.com/client/mini_program/open?appId=cli_9c7cc8a9a9edd105&amp;mode=appCenter&amp;path_pc=pc/pages/requested/index?instanceId=7599587996492533469&amp;source=bitable&amp;path=pages/detail/index?instanceId=7599587996492533469&amp;source=bitable", "202601260087")</f>
        <v>202601260087</v>
      </c>
      <c r="B1876" t="inlineStr">
        <is>
          <t>Approved</t>
        </is>
      </c>
      <c r="C1876" t="inlineStr">
        <is>
          <t>Procurement Order</t>
        </is>
      </c>
      <c r="D1876" s="3">
        <v>46048.69634259259</v>
      </c>
      <c r="E1876" s="3">
        <v>46056.58017361111</v>
      </c>
      <c r="F1876" t="inlineStr">
        <is>
          <t>Fatima Kathleen M. FLores</t>
        </is>
      </c>
      <c r="G1876" t="inlineStr">
        <is>
          <t>Procurement</t>
        </is>
      </c>
      <c r="H1876"/>
      <c r="I1876"/>
      <c r="J1876" t="inlineStr">
        <is>
          <t>Project</t>
        </is>
      </c>
      <c r="K1876" t="inlineStr">
        <is>
          <t>GG - Event Service</t>
        </is>
      </c>
      <c r="L1876" t="inlineStr">
        <is>
          <t>Kings Invitational Series Rebroadcast S4 (KIS S4)</t>
        </is>
      </c>
      <c r="M1876" t="inlineStr">
        <is>
          <t>2026TEG-P0007</t>
        </is>
      </c>
      <c r="N1876" t="inlineStr">
        <is>
          <t>Juvie Anne Asis Castres</t>
        </is>
      </c>
      <c r="O1876" t="inlineStr">
        <is>
          <t>202601160036-Juvie Anne Asis Castres-费用报销 - 副本 - 副本 - 副本-2026-01-16 09:18:27</t>
        </is>
      </c>
      <c r="P1876" t="inlineStr">
        <is>
          <t>YES</t>
        </is>
      </c>
      <c r="Q1876"/>
      <c r="R1876" t="inlineStr">
        <is>
          <t>NO</t>
        </is>
      </c>
      <c r="S1876" t="inlineStr">
        <is>
          <t>Outsourced Talent / Caster (Sh1nboo)</t>
        </is>
      </c>
      <c r="T1876">
        <v>1</v>
      </c>
      <c r="U1876">
        <v>59248</v>
      </c>
      <c r="V1876" t="inlineStr">
        <is>
          <t>PHP</t>
        </is>
      </c>
      <c r="W1876">
        <v>59248</v>
      </c>
      <c r="X1876" s="2" t="str">
        <f>=HYPERLINK("https://www.larksuite.com/approval/admin/previewAttachment?key=PMwxjkIxEAPQK3kyThzvZbYhikDiV4gvUczZERS0r3hjBsbskcOgoxlR6nafsgfdeiaHq1VIhkJ0rWP_r1Tw7o1z347nq87rZa9HdKs1KMmcAOLv5ymSnxNfxzsAAP__", "2 attachment(s)")</f>
        <v>2 attachment(s)</v>
      </c>
      <c r="Y1876" t="inlineStr">
        <is>
          <t>Bank Transfer</t>
        </is>
      </c>
      <c r="Z1876" t="inlineStr">
        <is>
          <t>SHIN BOO C PONFERRADA</t>
        </is>
      </c>
      <c r="AA1876" t="inlineStr">
        <is>
          <t>4359 4142 05</t>
        </is>
      </c>
      <c r="AB1876" t="inlineStr">
        <is>
          <t>BPI</t>
        </is>
      </c>
      <c r="AC1876" t="inlineStr">
        <is>
          <t>44H 20th Avenue, Brgy. San Roque, Quezon City</t>
        </is>
      </c>
      <c r="AD1876" s="4">
        <v>46059</v>
      </c>
      <c r="AE1876" t="inlineStr">
        <is>
          <t>1st Payment - Feb. 6, 2026
2nd Payment - Feb. 20, 2026
Final Payment - Mar. 6, 2026</t>
        </is>
      </c>
      <c r="AF1876" s="2"/>
      <c r="AG1876" t="inlineStr">
        <is>
          <t>NzQyNTk5MTgyNzQ4MTg3MDM0MTo1Q0FBQ0YyNi05M0UwLTQwQzEtOTBDQy0xMEIwMUQxMEFBQTYtMTpiOTY2ODAyY2MxODNmY2QxMTc1NzE0NDVjMGJmMGYzNzox</t>
        </is>
      </c>
      <c r="AH1876" t="inlineStr">
        <is>
          <t>SHIN BOO C PONFERRADA</t>
        </is>
      </c>
      <c r="AI1876"/>
      <c r="AJ1876" t="inlineStr">
        <is>
          <t>LIQUIDITY PLAN (PAR # 202601190092 / 2026TEG-P0007)
116 INTERNAL CE TAB &gt; LABOR COST (PH MANPOWER) &gt;
OPERATIONS TEAM &gt; Talents &gt;
Sh1nboo
Total Budget = Php 59,248.00
Actual Cost = Php 59,248.00</t>
        </is>
      </c>
      <c r="AK1876"/>
    </row>
    <row r="1877" ht="25.5" customHeight="1">
      <c r="A1877" s="2" t="str">
        <f>=HYPERLINK("https://applink.larksuite.com/client/mini_program/open?appId=cli_9c7cc8a9a9edd105&amp;mode=appCenter&amp;path_pc=pc/pages/requested/index?instanceId=7599588686681935579&amp;source=bitable&amp;path=pages/detail/index?instanceId=7599588686681935579&amp;source=bitable", "202601260088")</f>
        <v>202601260088</v>
      </c>
      <c r="B1877" t="inlineStr">
        <is>
          <t>Approved</t>
        </is>
      </c>
      <c r="C1877" t="inlineStr">
        <is>
          <t>Procurement Order</t>
        </is>
      </c>
      <c r="D1877" s="3">
        <v>46048.69820601852</v>
      </c>
      <c r="E1877" s="3">
        <v>46056.580717592595</v>
      </c>
      <c r="F1877" t="inlineStr">
        <is>
          <t>Fatima Kathleen M. FLores</t>
        </is>
      </c>
      <c r="G1877" t="inlineStr">
        <is>
          <t>Procurement</t>
        </is>
      </c>
      <c r="H1877"/>
      <c r="I1877"/>
      <c r="J1877" t="inlineStr">
        <is>
          <t>Project</t>
        </is>
      </c>
      <c r="K1877" t="inlineStr">
        <is>
          <t>GG - Event Service</t>
        </is>
      </c>
      <c r="L1877" t="inlineStr">
        <is>
          <t>Kings Invitational Series Rebroadcast S4 (KIS S4)</t>
        </is>
      </c>
      <c r="M1877" t="inlineStr">
        <is>
          <t>2026TEG-P0007</t>
        </is>
      </c>
      <c r="N1877" t="inlineStr">
        <is>
          <t>Juvie Anne Asis Castres</t>
        </is>
      </c>
      <c r="O1877" t="inlineStr">
        <is>
          <t>202601160036-Juvie Anne Asis Castres-费用报销 - 副本 - 副本 - 副本-2026-01-16 09:18:27</t>
        </is>
      </c>
      <c r="P1877" t="inlineStr">
        <is>
          <t>YES</t>
        </is>
      </c>
      <c r="Q1877"/>
      <c r="R1877" t="inlineStr">
        <is>
          <t>NO</t>
        </is>
      </c>
      <c r="S1877" t="inlineStr">
        <is>
          <t>Outsourced Talent / Caster (Butters)</t>
        </is>
      </c>
      <c r="T1877">
        <v>1</v>
      </c>
      <c r="U1877">
        <v>50000</v>
      </c>
      <c r="V1877" t="inlineStr">
        <is>
          <t>PHP</t>
        </is>
      </c>
      <c r="W1877">
        <v>50000</v>
      </c>
      <c r="X1877" s="2" t="str">
        <f>=HYPERLINK("https://www.larksuite.com/approval/admin/previewAttachment?key=PMg9qsJwEATwK83-92N23mVekxBESSURLPbsgoXtr9pQneYlhGwJNkwpu6ur2uSZ1KwxUqAxNPt5_NPOy_Xe4nrcoZ7XbTv2p6W4FugR3gDs7-fOiJAq8HV8AgAA__8", "2 attachment(s)")</f>
        <v>2 attachment(s)</v>
      </c>
      <c r="Y1877" t="inlineStr">
        <is>
          <t>Bank Transfer</t>
        </is>
      </c>
      <c r="Z1877" t="inlineStr">
        <is>
          <t>Mark Adrian Jison</t>
        </is>
      </c>
      <c r="AA1877" t="inlineStr">
        <is>
          <t>112302110673</t>
        </is>
      </c>
      <c r="AB1877" t="inlineStr">
        <is>
          <t>Chinabank Corporation</t>
        </is>
      </c>
      <c r="AC1877" t="inlineStr">
        <is>
          <t>2019 San Pascual St Malate Manila</t>
        </is>
      </c>
      <c r="AD1877" s="4">
        <v>46059</v>
      </c>
      <c r="AE1877" t="inlineStr">
        <is>
          <t>1st Payment - Feb. 6, 2026
2nd Payment - Feb. 20, 2026
Final Payment - Mar. 6, 2026</t>
        </is>
      </c>
      <c r="AF1877" s="2"/>
      <c r="AG1877" t="inlineStr">
        <is>
          <t>NzQyNTk5MTgyNzQ4MTg3MDM0MTozQTc1MDY4My1DQjEyLTQ2MjMtODM4Ni02RUY0MDM4MUY5QTQtMTplZjg2YzUyMjRkN2YwNzVjMDc2NTViMzA5OTRkNGI2OTox</t>
        </is>
      </c>
      <c r="AH1877" t="inlineStr">
        <is>
          <t>Mark Adrian Jison</t>
        </is>
      </c>
      <c r="AI1877"/>
      <c r="AJ1877" t="inlineStr">
        <is>
          <t>LIQUIDITY PLAN (PAR # 202601190092 / 2026TEG-P0007)
116 INTERNAL CE TAB &gt; LABOR COST (PH MANPOWER) &gt;
OPERATIONS TEAM &gt; Talents &gt;
Butters
Total Budget = Php 50,000.00
Actual Cost = Php 50,000.00</t>
        </is>
      </c>
      <c r="AK1877"/>
    </row>
    <row r="1878" ht="25.5" customHeight="1">
      <c r="A1878" s="2" t="str">
        <f>=HYPERLINK("https://applink.larksuite.com/client/mini_program/open?appId=cli_9c7cc8a9a9edd105&amp;mode=appCenter&amp;path_pc=pc/pages/requested/index?instanceId=7597355573864091357&amp;source=bitable&amp;path=pages/detail/index?instanceId=7597355573864091357&amp;source=bitable", "202601200066")</f>
        <v>202601200066</v>
      </c>
      <c r="B1878" t="inlineStr">
        <is>
          <t>Approved</t>
        </is>
      </c>
      <c r="C1878" t="inlineStr">
        <is>
          <t>Procurement Order</t>
        </is>
      </c>
      <c r="D1878" s="3">
        <v>46042.68041666667</v>
      </c>
      <c r="E1878" s="3">
        <v>46125.53009259259</v>
      </c>
      <c r="F1878" t="inlineStr">
        <is>
          <t>Fatima Kathleen M. FLores</t>
        </is>
      </c>
      <c r="G1878" t="inlineStr">
        <is>
          <t>Procurement</t>
        </is>
      </c>
      <c r="H1878"/>
      <c r="I1878"/>
      <c r="J1878" t="inlineStr">
        <is>
          <t>Project</t>
        </is>
      </c>
      <c r="K1878" t="inlineStr">
        <is>
          <t>PDEI - Event Service</t>
        </is>
      </c>
      <c r="L1878" t="inlineStr">
        <is>
          <t>MPL PH S16 - Playoffs</t>
        </is>
      </c>
      <c r="M1878" t="inlineStr">
        <is>
          <t>2025TEG-P0215</t>
        </is>
      </c>
      <c r="N1878" t="inlineStr">
        <is>
          <t>Katherine Denise Lee Sy</t>
        </is>
      </c>
      <c r="O1878" t="inlineStr">
        <is>
          <t>202510290103-Katherine Denise Lee Sy-费用报销 - 副本 - 副本 - 副本-2025-10-29 08:07:11</t>
        </is>
      </c>
      <c r="P1878" t="inlineStr">
        <is>
          <t>NO</t>
        </is>
      </c>
      <c r="Q1878"/>
      <c r="R1878" t="inlineStr">
        <is>
          <t>YES</t>
        </is>
      </c>
      <c r="S1878" t="inlineStr">
        <is>
          <t>LED Rental , Logistics/Delivery, Manpower</t>
        </is>
      </c>
      <c r="T1878">
        <v>1</v>
      </c>
      <c r="U1878">
        <v>1426667.86</v>
      </c>
      <c r="V1878" t="inlineStr">
        <is>
          <t>PHP</t>
        </is>
      </c>
      <c r="W1878">
        <v>1426667.86</v>
      </c>
      <c r="X1878" s="2" t="str">
        <f>=HYPERLINK("https://www.larksuite.com/approval/admin/previewAttachment?key=PMgxDsIwFAPQK9n5_8cxl2FpVYFQuyCFKWdHYmB9fRB9FKMbaTaDS2VFVSlGT5hRWm1RMkSl134e94uX7O3Z5sfnC2s-tmN_s6zWoMiMAYC3v4cy0-6Jn-MbAAD__w", "2 attachment(s)")</f>
        <v>2 attachment(s)</v>
      </c>
      <c r="Y1878" t="inlineStr">
        <is>
          <t>Bank Transfer</t>
        </is>
      </c>
      <c r="Z1878" t="inlineStr">
        <is>
          <t>APEX FRANCHISE VENTURES OPC.</t>
        </is>
      </c>
      <c r="AA1878" t="inlineStr">
        <is>
          <t>001620006872</t>
        </is>
      </c>
      <c r="AB1878" t="inlineStr">
        <is>
          <t>UnionBank of the Philippines</t>
        </is>
      </c>
      <c r="AC1878" t="inlineStr">
        <is>
          <t>9th Floor Santolan Town Plaza 276 Santolan Road Little Baguio 1500 City of San Juan</t>
        </is>
      </c>
      <c r="AD1878" s="4">
        <v>45946</v>
      </c>
      <c r="AE1878" t="inlineStr">
        <is>
          <t>100% Full Payment</t>
        </is>
      </c>
      <c r="AF1878" s="2"/>
      <c r="AG1878" t="inlineStr">
        <is>
          <t>NzQyNTk5MTgyNzQ4MTg3MDM0MTo2MkZCNkI4MS0wRDY3LTQyQTgtQkQwNi0xMjU0MUZFRDdERkItMTo3NDI5ZmU5NjhhODJiN2RhNDBiODllM2M2NWNlYTJmNzox</t>
        </is>
      </c>
      <c r="AH1878" t="inlineStr">
        <is>
          <t>APEX FRANCHISE VENTURES OPC.</t>
        </is>
      </c>
      <c r="AI1878"/>
      <c r="AJ1878" t="inlineStr">
        <is>
          <t>LIQUIDITY PLAN (PAR # 202509020094 / 2025TEG-P0215)
4.1 Staging and Production &gt; STAGE TECHNICALS (Playoffs) &gt;
LED
Lighting
Sound
Trussing
Comms System
Genset
Total Budget= Php 3,810,000.00
Actual Cost = Php 5,621,267.86
Balance = (Php 1,811,267.86) TO BE CHARGED TO ADDENDUM
LIQUIDITY PLAN (PAR # 202510120019 / 2025TEG-P0269)
ADDENDUM 1 TAB &gt; 
Additional Meals &gt; Hide from client (tech)
DTI Raffle &gt; Hide from client (tech)
Additional Internet Line &gt; Hide from client (tech)
Opening Performance &gt; Hide from client (tech)
MPL Festival Broadcast Tech &gt; Hide from client (for tech)
Hide from client (for tech)
Hide from client (for tech)
Hide from client (for tech)
Total Budget = Php 233,000.00
Actual Cost = (Php 1,811,267.86) OVER BUDGET FROM PO CE
Balance = (Php 1,578,267.86) OVER BUDGET</t>
        </is>
      </c>
      <c r="AK1878"/>
    </row>
    <row r="1879" ht="25.5" customHeight="1">
      <c r="A1879" s="2" t="str">
        <f>=HYPERLINK("https://applink.larksuite.com/client/mini_program/open?appId=cli_9c7cc8a9a9edd105&amp;mode=appCenter&amp;path_pc=pc/pages/requested/index?instanceId=7597355573864091357&amp;source=bitable&amp;path=pages/detail/index?instanceId=7597355573864091357&amp;source=bitable", "202601200066")</f>
        <v>202601200066</v>
      </c>
      <c r="B1879" t="inlineStr">
        <is>
          <t>Approved</t>
        </is>
      </c>
      <c r="C1879" t="inlineStr">
        <is>
          <t>Procurement Order</t>
        </is>
      </c>
      <c r="D1879" s="3">
        <v>46042.68041666667</v>
      </c>
      <c r="E1879" s="3">
        <v>46125.53009259259</v>
      </c>
      <c r="F1879" t="inlineStr">
        <is>
          <t>Fatima Kathleen M. FLores</t>
        </is>
      </c>
      <c r="G1879" t="inlineStr">
        <is>
          <t>Procurement</t>
        </is>
      </c>
      <c r="H1879"/>
      <c r="I1879"/>
      <c r="J1879" t="inlineStr">
        <is>
          <t>Project</t>
        </is>
      </c>
      <c r="K1879" t="inlineStr">
        <is>
          <t>PDEI - Event Service</t>
        </is>
      </c>
      <c r="L1879" t="inlineStr">
        <is>
          <t>MPL PH S16 - Playoffs</t>
        </is>
      </c>
      <c r="M1879" t="inlineStr">
        <is>
          <t>2025TEG-P0215</t>
        </is>
      </c>
      <c r="N1879" t="inlineStr">
        <is>
          <t>Katherine Denise Lee Sy</t>
        </is>
      </c>
      <c r="O1879" t="inlineStr">
        <is>
          <t>202510290103-Katherine Denise Lee Sy-费用报销 - 副本 - 副本 - 副本-2025-10-29 08:07:11</t>
        </is>
      </c>
      <c r="P1879" t="inlineStr">
        <is>
          <t>NO</t>
        </is>
      </c>
      <c r="Q1879"/>
      <c r="R1879" t="inlineStr">
        <is>
          <t>YES</t>
        </is>
      </c>
      <c r="S1879" t="inlineStr">
        <is>
          <t>Rental of Lights, Sounds, Trussing, Genset (with Logistics &amp; Delivery)</t>
        </is>
      </c>
      <c r="T1879">
        <v>1</v>
      </c>
      <c r="U1879">
        <v>4194600</v>
      </c>
      <c r="V1879" t="inlineStr">
        <is>
          <t>PHP</t>
        </is>
      </c>
      <c r="W1879">
        <v>4194600</v>
      </c>
      <c r="X1879" s="2" t="str">
        <f>=HYPERLINK("https://www.larksuite.com/approval/admin/previewAttachment?key=PMgxDsIwFAPQK9n5_8cxl2FpVYFQuyCFKWdHYmB9fRB9FKMbaTaDS2VFVSlGT5hRWm1RMkSl134e94uX7O3Z5sfnC2s-tmN_s6zWoMiMAYC3v4cy0-6Jn_MbAAD__w", "1 attachment(s)")</f>
        <v>1 attachment(s)</v>
      </c>
      <c r="Y1879"/>
      <c r="Z1879"/>
      <c r="AA1879"/>
      <c r="AB1879"/>
      <c r="AC1879"/>
      <c r="AD1879" s="4"/>
      <c r="AE1879"/>
      <c r="AF1879" s="2"/>
      <c r="AG1879" t="inlineStr">
        <is>
          <t>NzQyNTk5MTgyNzQ4MTg3MDM0MTo2MkZCNkI4MS0wRDY3LTQyQTgtQkQwNi0xMjU0MUZFRDdERkItMjphNTAyMmNiZDMwYWNhYmRjYTc0MjEzZjliOWI4ZTI5MTox</t>
        </is>
      </c>
      <c r="AH1879"/>
      <c r="AI1879"/>
      <c r="AJ1879" t="inlineStr">
        <is>
          <t>LIQUIDITY PLAN (PAR # 202509020094 / 2025TEG-P0215)
4.1 Staging and Production &gt; STAGE TECHNICALS (Playoffs) &gt;
LED
Lighting
Sound
Trussing
Comms System
Genset
Total Budget= Php 3,810,000.00
Actual Cost = Php 5,621,267.86
Balance = (Php 1,811,267.86) TO BE CHARGED TO ADDENDUM
LIQUIDITY PLAN (PAR # 202510120019 / 2025TEG-P0269)
ADDENDUM 1 TAB &gt; 
Additional Meals &gt; Hide from client (tech)
DTI Raffle &gt; Hide from client (tech)
Additional Internet Line &gt; Hide from client (tech)
Opening Performance &gt; Hide from client (tech)
MPL Festival Broadcast Tech &gt; Hide from client (for tech)
Hide from client (for tech)
Hide from client (for tech)
Hide from client (for tech)
Total Budget = Php 233,000.00
Actual Cost = (Php 1,811,267.86) OVER BUDGET FROM PO CE
Balance = (Php 1,578,267.86) OVER BUDGET</t>
        </is>
      </c>
      <c r="AK1879"/>
    </row>
    <row r="1880" ht="25.5" customHeight="1">
      <c r="A1880" s="2" t="str">
        <f>=HYPERLINK("https://applink.larksuite.com/client/mini_program/open?appId=cli_9c7cc8a9a9edd105&amp;mode=appCenter&amp;path_pc=pc/pages/requested/index?instanceId=7599889020436401888&amp;source=bitable&amp;path=pages/detail/index?instanceId=7599889020436401888&amp;source=bitable", "202601270025")</f>
        <v>202601270025</v>
      </c>
      <c r="B1880" t="inlineStr">
        <is>
          <t>Approved</t>
        </is>
      </c>
      <c r="C1880" t="inlineStr">
        <is>
          <t>Procurement Order</t>
        </is>
      </c>
      <c r="D1880" s="3">
        <v>46049.5075462963</v>
      </c>
      <c r="E1880" s="3">
        <v>46052.820625</v>
      </c>
      <c r="F1880" t="inlineStr">
        <is>
          <t>Fatima Kathleen M. FLores</t>
        </is>
      </c>
      <c r="G1880" t="inlineStr">
        <is>
          <t>Procurement</t>
        </is>
      </c>
      <c r="H1880"/>
      <c r="I1880"/>
      <c r="J1880" t="inlineStr">
        <is>
          <t>Project</t>
        </is>
      </c>
      <c r="K1880" t="inlineStr">
        <is>
          <t>GG - Event Service</t>
        </is>
      </c>
      <c r="L1880" t="inlineStr">
        <is>
          <t>Kings Invitational Series Rebroadcast S4 (KIS S4)</t>
        </is>
      </c>
      <c r="M1880" t="inlineStr">
        <is>
          <t>2026TEG-P0007</t>
        </is>
      </c>
      <c r="N1880" t="inlineStr">
        <is>
          <t>Randy Vince Fernandez Apura</t>
        </is>
      </c>
      <c r="O1880" t="inlineStr">
        <is>
          <t>202601160059-Randy Vince Fernandez Apura-费用报销 - 副本 - 副本 - 副本-2026-01-16 23:40:11</t>
        </is>
      </c>
      <c r="P1880" t="inlineStr">
        <is>
          <t>NO</t>
        </is>
      </c>
      <c r="Q1880"/>
      <c r="R1880" t="inlineStr">
        <is>
          <t>NO</t>
        </is>
      </c>
      <c r="S1880" t="inlineStr">
        <is>
          <t>A5 SIZE CUE CARD STICKER ON SINTRA</t>
        </is>
      </c>
      <c r="T1880">
        <v>4</v>
      </c>
      <c r="U1880">
        <v>78.4</v>
      </c>
      <c r="V1880" t="inlineStr">
        <is>
          <t>PHP</t>
        </is>
      </c>
      <c r="W1880">
        <v>313.6</v>
      </c>
      <c r="X1880" s="2" t="str">
        <f>=HYPERLINK("https://www.larksuite.com/approval/admin/previewAttachment?key=PMgxCgJBDAXQK_1k_iT5XsbGZRBWRRBWLHJ2wcL2RRmipo0QKHPBOqdUJTg4grCqam_LFNKS6u2-zn4gd9w-S-8H9mcf18vaXjaV7shBjgJgp7-PJCkF8XN8AwAA__8", "2 attachment(s)")</f>
        <v>2 attachment(s)</v>
      </c>
      <c r="Y1880" t="inlineStr">
        <is>
          <t>Bank Transfer</t>
        </is>
      </c>
      <c r="Z1880" t="inlineStr">
        <is>
          <t>iLIGHT PRODUCTION</t>
        </is>
      </c>
      <c r="AA1880" t="inlineStr">
        <is>
          <t>007960010274</t>
        </is>
      </c>
      <c r="AB1880" t="inlineStr">
        <is>
          <t>BDO</t>
        </is>
      </c>
      <c r="AC1880" t="inlineStr">
        <is>
          <t>3791 Mascardo St. Brgy, Sta Cruz, Makati City</t>
        </is>
      </c>
      <c r="AD1880" s="4">
        <v>46059</v>
      </c>
      <c r="AE1880" t="inlineStr">
        <is>
          <t>100% Full Payment</t>
        </is>
      </c>
      <c r="AF1880" s="2"/>
      <c r="AG1880" t="inlineStr">
        <is>
          <t>NzQyNTk5MTgyNzQ4MTg3MDM0MToyN0U1RTZDQi01OTY2LTRCOTItOEZFQy0yQUU3QUU0NUYxRkUtMTo3NDljNjMzYWNlYmU2NzQwNmQ3YTU1NDNlZDMzYjZmNjox</t>
        </is>
      </c>
      <c r="AH1880" t="inlineStr">
        <is>
          <t>iLIGHT PRODUCTION</t>
        </is>
      </c>
      <c r="AI1880"/>
      <c r="AJ1880" t="inlineStr">
        <is>
          <t>LIQUIDITY PLAN (PAR # 202601190092 / 2026TEG-P0007)
116 INTERNAL CE TAB &gt;COLLATERAL &amp; VENUE SKINNING &gt;
Print &amp; Collateral &gt; Cue Cards
Total Budget = Php 1,200.00
Actual Cost = Php 313.60
Balance = Php 886.40</t>
        </is>
      </c>
      <c r="AK1880"/>
    </row>
    <row r="1881" ht="25.5" customHeight="1">
      <c r="A1881" s="2" t="str">
        <f>=HYPERLINK("https://applink.larksuite.com/client/mini_program/open?appId=cli_9c7cc8a9a9edd105&amp;mode=appCenter&amp;path_pc=pc/pages/requested/index?instanceId=7599891245246205660&amp;source=bitable&amp;path=pages/detail/index?instanceId=7599891245246205660&amp;source=bitable", "202601270028")</f>
        <v>202601270028</v>
      </c>
      <c r="B1881" t="inlineStr">
        <is>
          <t>Approved</t>
        </is>
      </c>
      <c r="C1881" t="inlineStr">
        <is>
          <t>Procurement Order</t>
        </is>
      </c>
      <c r="D1881" s="3">
        <v>46049.51354166667</v>
      </c>
      <c r="E1881" s="3">
        <v>46056.588171296295</v>
      </c>
      <c r="F1881" t="inlineStr">
        <is>
          <t>Fatima Kathleen M. FLores</t>
        </is>
      </c>
      <c r="G1881" t="inlineStr">
        <is>
          <t>Procurement</t>
        </is>
      </c>
      <c r="H1881"/>
      <c r="I1881"/>
      <c r="J1881" t="inlineStr">
        <is>
          <t>Project</t>
        </is>
      </c>
      <c r="K1881" t="inlineStr">
        <is>
          <t>PDEI - Game Marketing</t>
        </is>
      </c>
      <c r="L1881" t="inlineStr">
        <is>
          <t>MINESKI OUTPOST - DON BOSCO ALUMNI 2001</t>
        </is>
      </c>
      <c r="M1881" t="inlineStr">
        <is>
          <t>2026TEG-P0017</t>
        </is>
      </c>
      <c r="N1881" t="inlineStr">
        <is>
          <t>Kervin</t>
        </is>
      </c>
      <c r="O1881" t="inlineStr">
        <is>
          <t>202601220087-Kervin-费用报销 - 副本 - 副本 - 副本-2026-01-22 10:55:01</t>
        </is>
      </c>
      <c r="P1881" t="inlineStr">
        <is>
          <t>YES</t>
        </is>
      </c>
      <c r="Q1881"/>
      <c r="R1881" t="inlineStr">
        <is>
          <t>NO</t>
        </is>
      </c>
      <c r="S1881" t="inlineStr">
        <is>
          <t>Outsourced Logistics Associates</t>
        </is>
      </c>
      <c r="T1881">
        <v>1</v>
      </c>
      <c r="U1881">
        <v>7500</v>
      </c>
      <c r="V1881" t="inlineStr">
        <is>
          <t>PHP</t>
        </is>
      </c>
      <c r="W1881">
        <v>7500</v>
      </c>
      <c r="X1881" s="2" t="str">
        <f>=HYPERLINK("https://www.larksuite.com/approval/admin/previewAttachment?key=PMgxCgJBDAXQK_1kkvz5XsZml0UGBUFcsMjZBQvbV9NQM22UEDIXrJnSlHmkRzmyCu1tpEBjqPfHcd3efG7jw_tcuc7V52079pel6A6OiDEB2OXvgxEhVeDn-AYAAP__", "2 attachment(s)")</f>
        <v>2 attachment(s)</v>
      </c>
      <c r="Y1881" t="inlineStr">
        <is>
          <t>Bank Transfer</t>
        </is>
      </c>
      <c r="Z1881" t="inlineStr">
        <is>
          <t>Rizel John Obong</t>
        </is>
      </c>
      <c r="AA1881" t="inlineStr">
        <is>
          <t>09709731174</t>
        </is>
      </c>
      <c r="AB1881" t="inlineStr">
        <is>
          <t>GCash</t>
        </is>
      </c>
      <c r="AC1881" t="inlineStr">
        <is>
          <t>Blk 1j Lot 31 Phase 3 E-1 Dagat Dagatan Caloocan City</t>
        </is>
      </c>
      <c r="AD1881" s="4">
        <v>46059</v>
      </c>
      <c r="AE1881" t="inlineStr">
        <is>
          <t>100% Full Payment</t>
        </is>
      </c>
      <c r="AF1881" s="2"/>
      <c r="AG1881" t="inlineStr">
        <is>
          <t>NzQyNTk5MTgyNzQ4MTg3MDM0MTo4QjdEQTE5NC1ERjhBLTQyNjctQkUzNS1EMTZDMDk1NTMwQTQtMTo1ZTBlZjk5ZmUyNWE2NmM4OTBlMDNiMzQ5OTM3YWQxMzox</t>
        </is>
      </c>
      <c r="AH1881" t="inlineStr">
        <is>
          <t>Rizel John Obong</t>
        </is>
      </c>
      <c r="AI1881"/>
      <c r="AJ1881" t="inlineStr">
        <is>
          <t>LIQUIDITY PLAN (PAR # 202601140037 / 2026TEG-P0017)
LOGISTICS &gt;
Ingress Manpower
Egress Manpower
Total Budget = Php 7,500.00
Actual Cost = Php 7,500.00</t>
        </is>
      </c>
      <c r="AK1881"/>
    </row>
    <row r="1882" ht="25.5" customHeight="1">
      <c r="A1882" s="2" t="str">
        <f>=HYPERLINK("https://applink.larksuite.com/client/mini_program/open?appId=cli_9c7cc8a9a9edd105&amp;mode=appCenter&amp;path_pc=pc/pages/requested/index?instanceId=7599944551138168542&amp;source=bitable&amp;path=pages/detail/index?instanceId=7599944551138168542&amp;source=bitable", "202601270056")</f>
        <v>202601270056</v>
      </c>
      <c r="B1882" t="inlineStr">
        <is>
          <t>Approved</t>
        </is>
      </c>
      <c r="C1882" t="inlineStr">
        <is>
          <t>Procurement Order</t>
        </is>
      </c>
      <c r="D1882" s="3">
        <v>46049.6571875</v>
      </c>
      <c r="E1882" s="3">
        <v>46052.688263888886</v>
      </c>
      <c r="F1882" t="inlineStr">
        <is>
          <t>Fatima Kathleen M. FLores</t>
        </is>
      </c>
      <c r="G1882" t="inlineStr">
        <is>
          <t>Procurement</t>
        </is>
      </c>
      <c r="H1882"/>
      <c r="I1882"/>
      <c r="J1882" t="inlineStr">
        <is>
          <t>Project</t>
        </is>
      </c>
      <c r="K1882" t="inlineStr">
        <is>
          <t>PDEI - Game Marketing</t>
        </is>
      </c>
      <c r="L1882" t="inlineStr">
        <is>
          <t>CCAP CXtreme MLBB Tournament</t>
        </is>
      </c>
      <c r="M1882" t="inlineStr">
        <is>
          <t>2025TEG-P0121</t>
        </is>
      </c>
      <c r="N1882" t="inlineStr">
        <is>
          <t>Maura Aurel Atilano Yap</t>
        </is>
      </c>
      <c r="O1882" t="inlineStr">
        <is>
          <t>202601220039-Maura Aurel Atilano Yap-费用报销 - 副本 - 副本 - 副本-2026-01-22 07:24:25</t>
        </is>
      </c>
      <c r="P1882" t="inlineStr">
        <is>
          <t>YES</t>
        </is>
      </c>
      <c r="Q1882"/>
      <c r="R1882" t="inlineStr">
        <is>
          <t>NO</t>
        </is>
      </c>
      <c r="S1882" t="inlineStr">
        <is>
          <t>Outsourced Broadcast Manpower</t>
        </is>
      </c>
      <c r="T1882">
        <v>1</v>
      </c>
      <c r="U1882">
        <v>9000</v>
      </c>
      <c r="V1882" t="inlineStr">
        <is>
          <t>PHP</t>
        </is>
      </c>
      <c r="W1882">
        <v>9000</v>
      </c>
      <c r="X1882" s="2"/>
      <c r="Y1882" t="inlineStr">
        <is>
          <t>Bank Transfer</t>
        </is>
      </c>
      <c r="Z1882" t="inlineStr">
        <is>
          <t>John Benigno R. Magat</t>
        </is>
      </c>
      <c r="AA1882" t="inlineStr">
        <is>
          <t>046110005388</t>
        </is>
      </c>
      <c r="AB1882" t="inlineStr">
        <is>
          <t>PSBank</t>
        </is>
      </c>
      <c r="AC1882" t="inlineStr">
        <is>
          <t>228 Grissom st. Brgy Moonwalk Paranaque</t>
        </is>
      </c>
      <c r="AD1882" s="4">
        <v>46066</v>
      </c>
      <c r="AE1882" t="inlineStr">
        <is>
          <t>100% Full Payment</t>
        </is>
      </c>
      <c r="AF1882" s="2"/>
      <c r="AG1882" t="inlineStr">
        <is>
          <t>NzQyNTk5MTgyNzQ4MTg3MDM0MTpFN0ZBQUExQy04QkUwLTRDMzUtOTRERS04NjQzQTBEMkZBNTgtMTpkNmNhZWViMmJjYmY0N2VkNWU5YTlhN2EyMjM2ZGZlODox</t>
        </is>
      </c>
      <c r="AH1882" t="inlineStr">
        <is>
          <t>John Benigno R. Magat</t>
        </is>
      </c>
      <c r="AI1882"/>
      <c r="AJ1882" t="inlineStr">
        <is>
          <t>LIQUIDITY PLAN (PAR # 202512120012 / 2025TEG-P0121)
MANPOWER &gt; BROADCAST &gt; Floor Director
STAGING AND PRODUCTION &gt; CAMERA TEAM &gt;
Roving Camera
Static Camera
Total Budget = Php 57,500.00
This Request = Php 27,000.00
Balance = Php 30,500.00</t>
        </is>
      </c>
      <c r="AK1882"/>
    </row>
    <row r="1883" ht="25.5" customHeight="1">
      <c r="A1883" s="2" t="str">
        <f>=HYPERLINK("https://applink.larksuite.com/client/mini_program/open?appId=cli_9c7cc8a9a9edd105&amp;mode=appCenter&amp;path_pc=pc/pages/requested/index?instanceId=7599944551138168542&amp;source=bitable&amp;path=pages/detail/index?instanceId=7599944551138168542&amp;source=bitable", "202601270056")</f>
        <v>202601270056</v>
      </c>
      <c r="B1883" t="inlineStr">
        <is>
          <t>Approved</t>
        </is>
      </c>
      <c r="C1883" t="inlineStr">
        <is>
          <t>Procurement Order</t>
        </is>
      </c>
      <c r="D1883" s="3">
        <v>46049.6571875</v>
      </c>
      <c r="E1883" s="3">
        <v>46052.688263888886</v>
      </c>
      <c r="F1883" t="inlineStr">
        <is>
          <t>Fatima Kathleen M. FLores</t>
        </is>
      </c>
      <c r="G1883" t="inlineStr">
        <is>
          <t>Procurement</t>
        </is>
      </c>
      <c r="H1883"/>
      <c r="I1883"/>
      <c r="J1883" t="inlineStr">
        <is>
          <t>Project</t>
        </is>
      </c>
      <c r="K1883" t="inlineStr">
        <is>
          <t>PDEI - Game Marketing</t>
        </is>
      </c>
      <c r="L1883" t="inlineStr">
        <is>
          <t>CCAP CXtreme MLBB Tournament</t>
        </is>
      </c>
      <c r="M1883" t="inlineStr">
        <is>
          <t>2025TEG-P0121</t>
        </is>
      </c>
      <c r="N1883" t="inlineStr">
        <is>
          <t>Maura Aurel Atilano Yap</t>
        </is>
      </c>
      <c r="O1883" t="inlineStr">
        <is>
          <t>202601220039-Maura Aurel Atilano Yap-费用报销 - 副本 - 副本 - 副本-2026-01-22 07:24:25</t>
        </is>
      </c>
      <c r="P1883" t="inlineStr">
        <is>
          <t>YES</t>
        </is>
      </c>
      <c r="Q1883"/>
      <c r="R1883" t="inlineStr">
        <is>
          <t>NO</t>
        </is>
      </c>
      <c r="S1883" t="inlineStr">
        <is>
          <t>Rental of Camera Equipment</t>
        </is>
      </c>
      <c r="T1883">
        <v>1</v>
      </c>
      <c r="U1883">
        <v>18000</v>
      </c>
      <c r="V1883" t="inlineStr">
        <is>
          <t>PHP</t>
        </is>
      </c>
      <c r="W1883">
        <v>18000</v>
      </c>
      <c r="X1883" s="2" t="str">
        <f>=HYPERLINK("https://www.larksuite.com/approval/admin/previewAttachment?key=PMgxqsMwEATQK82sZrWaf5nf2IiksDGEuNPZAynSvj6IPpKtGzLD4Kq0LWWSbbCPVKxYrDKKJa_9mP_buy4ceT7Ped2MdT-2ub-YrghUk9oAwL-ft5Jkd-Hr_AQAAP__", "2 attachment(s)")</f>
        <v>2 attachment(s)</v>
      </c>
      <c r="Y1883"/>
      <c r="Z1883"/>
      <c r="AA1883"/>
      <c r="AB1883"/>
      <c r="AC1883"/>
      <c r="AD1883" s="4"/>
      <c r="AE1883"/>
      <c r="AF1883" s="2"/>
      <c r="AG1883" t="inlineStr">
        <is>
          <t>NzQyNTk5MTgyNzQ4MTg3MDM0MTpFN0ZBQUExQy04QkUwLTRDMzUtOTRERS04NjQzQTBEMkZBNTgtMjo5M2M1YThhYTZjYjhjNTM1YTM2ODQxODAxY2U0ZTg1Yzox</t>
        </is>
      </c>
      <c r="AH1883"/>
      <c r="AI1883"/>
      <c r="AJ1883" t="inlineStr">
        <is>
          <t>LIQUIDITY PLAN (PAR # 202512120012 / 2025TEG-P0121)
MANPOWER &gt; BROADCAST &gt; Floor Director
STAGING AND PRODUCTION &gt; CAMERA TEAM &gt;
Roving Camera
Static Camera
Total Budget = Php 57,500.00
This Request = Php 27,000.00
Balance = Php 30,500.00</t>
        </is>
      </c>
      <c r="AK1883"/>
    </row>
    <row r="1884" ht="25.5" customHeight="1">
      <c r="A1884" s="2" t="str">
        <f>=HYPERLINK("https://applink.larksuite.com/client/mini_program/open?appId=cli_9c7cc8a9a9edd105&amp;mode=appCenter&amp;path_pc=pc/pages/requested/index?instanceId=7599948058272485089&amp;source=bitable&amp;path=pages/detail/index?instanceId=7599948058272485089&amp;source=bitable", "202601270059")</f>
        <v>202601270059</v>
      </c>
      <c r="B1884" t="inlineStr">
        <is>
          <t>Approved</t>
        </is>
      </c>
      <c r="C1884" t="inlineStr">
        <is>
          <t>Procurement Order</t>
        </is>
      </c>
      <c r="D1884" s="3">
        <v>46049.66664351852</v>
      </c>
      <c r="E1884" s="3">
        <v>46052.695972222224</v>
      </c>
      <c r="F1884" t="inlineStr">
        <is>
          <t>Fatima Kathleen M. FLores</t>
        </is>
      </c>
      <c r="G1884" t="inlineStr">
        <is>
          <t>Procurement</t>
        </is>
      </c>
      <c r="H1884"/>
      <c r="I1884"/>
      <c r="J1884" t="inlineStr">
        <is>
          <t>Project</t>
        </is>
      </c>
      <c r="K1884" t="inlineStr">
        <is>
          <t>PDEI - Game Marketing</t>
        </is>
      </c>
      <c r="L1884" t="inlineStr">
        <is>
          <t>CCAP CXtreme MLBB Tournament</t>
        </is>
      </c>
      <c r="M1884" t="inlineStr">
        <is>
          <t>2025TEG-P0121</t>
        </is>
      </c>
      <c r="N1884" t="inlineStr">
        <is>
          <t>Maura Aurel Atilano Yap</t>
        </is>
      </c>
      <c r="O1884" t="inlineStr">
        <is>
          <t>202601220051-Maura Aurel Atilano Yap-费用报销 - 副本 - 副本 - 副本-2026-01-22 08:01:56</t>
        </is>
      </c>
      <c r="P1884" t="inlineStr">
        <is>
          <t>YES</t>
        </is>
      </c>
      <c r="Q1884"/>
      <c r="R1884" t="inlineStr">
        <is>
          <t>NO</t>
        </is>
      </c>
      <c r="S1884" t="inlineStr">
        <is>
          <t>Outsourced Team Liaison Officer</t>
        </is>
      </c>
      <c r="T1884">
        <v>1</v>
      </c>
      <c r="U1884">
        <v>1500</v>
      </c>
      <c r="V1884" t="inlineStr">
        <is>
          <t>PHP</t>
        </is>
      </c>
      <c r="W1884">
        <v>1500</v>
      </c>
      <c r="X1884" s="2" t="str">
        <f>=HYPERLINK("https://www.larksuite.com/approval/admin/previewAttachment?key=PMhBqoIxDATgK03SSZN5l3kbS9H6C4IguujZBRduv16GXmGtC5S5YDtDEgtRns4KlLZvyxTSktrjNv-PWNc5XnZc1nrbfT_PpzkeFkp3ZCNbAbC_n7ckKXXi6_gEAAD__w", "2 attachment(s)")</f>
        <v>2 attachment(s)</v>
      </c>
      <c r="Y1884" t="inlineStr">
        <is>
          <t>Bank Transfer</t>
        </is>
      </c>
      <c r="Z1884" t="inlineStr">
        <is>
          <t>Mico Tabernilla</t>
        </is>
      </c>
      <c r="AA1884" t="inlineStr">
        <is>
          <t>303-900-2977</t>
        </is>
      </c>
      <c r="AB1884" t="inlineStr">
        <is>
          <t>BPI</t>
        </is>
      </c>
      <c r="AC1884" t="inlineStr">
        <is>
          <t>4004 Yague St. Brgy Tejeros, Makati City</t>
        </is>
      </c>
      <c r="AD1884" s="4">
        <v>46066</v>
      </c>
      <c r="AE1884" t="inlineStr">
        <is>
          <t>100% Full Payment</t>
        </is>
      </c>
      <c r="AF1884" s="2"/>
      <c r="AG1884" t="inlineStr">
        <is>
          <t>NzQyNTk5MTgyNzQ4MTg3MDM0MTowRUY0NEFEQy0yN0FBLTQ5MTUtQjUzMC1CN0FGOUEzRkM0NjctMToxNWUzNmY1MWI3NDhlMjk2MDE4NmE3ZmZkYTgwZjUzOTox</t>
        </is>
      </c>
      <c r="AH1884" t="inlineStr">
        <is>
          <t>Mico Tabernilla</t>
        </is>
      </c>
      <c r="AI1884"/>
      <c r="AJ1884" t="inlineStr">
        <is>
          <t>LIQUIDITY PLAN (PAR # 202512120012 / 2025TEG-P0121)
MANPOWER &gt; HOSPITALITY &gt;
Finalist 1/2 Team Liaison
Total Budget = Php 2,000.00
This Request = Php 1,500.00
Balance = Php 500.00</t>
        </is>
      </c>
      <c r="AK1884"/>
    </row>
    <row r="1885" ht="25.5" customHeight="1">
      <c r="A1885" s="2" t="str">
        <f>=HYPERLINK("https://applink.larksuite.com/client/mini_program/open?appId=cli_9c7cc8a9a9edd105&amp;mode=appCenter&amp;path_pc=pc/pages/requested/index?instanceId=7599948891174899426&amp;source=bitable&amp;path=pages/detail/index?instanceId=7599948891174899426&amp;source=bitable", "202601270060")</f>
        <v>202601270060</v>
      </c>
      <c r="B1885" t="inlineStr">
        <is>
          <t>Approved</t>
        </is>
      </c>
      <c r="C1885" t="inlineStr">
        <is>
          <t>Procurement Order</t>
        </is>
      </c>
      <c r="D1885" s="3">
        <v>46049.66888888889</v>
      </c>
      <c r="E1885" s="3">
        <v>46052.69763888889</v>
      </c>
      <c r="F1885" t="inlineStr">
        <is>
          <t>Fatima Kathleen M. FLores</t>
        </is>
      </c>
      <c r="G1885" t="inlineStr">
        <is>
          <t>Procurement</t>
        </is>
      </c>
      <c r="H1885"/>
      <c r="I1885"/>
      <c r="J1885" t="inlineStr">
        <is>
          <t>Project</t>
        </is>
      </c>
      <c r="K1885" t="inlineStr">
        <is>
          <t>PDEI - Game Marketing</t>
        </is>
      </c>
      <c r="L1885" t="inlineStr">
        <is>
          <t>CCAP CXtreme MLBB Tournament</t>
        </is>
      </c>
      <c r="M1885" t="inlineStr">
        <is>
          <t>2025TEG-P0121</t>
        </is>
      </c>
      <c r="N1885" t="inlineStr">
        <is>
          <t>Maura Aurel Atilano Yap</t>
        </is>
      </c>
      <c r="O1885" t="inlineStr">
        <is>
          <t>202601220051-Maura Aurel Atilano Yap-费用报销 - 副本 - 副本 - 副本-2026-01-22 08:01:56</t>
        </is>
      </c>
      <c r="P1885" t="inlineStr">
        <is>
          <t>YES</t>
        </is>
      </c>
      <c r="Q1885"/>
      <c r="R1885" t="inlineStr">
        <is>
          <t>NO</t>
        </is>
      </c>
      <c r="S1885" t="inlineStr">
        <is>
          <t>Outsourced Team Liaison Officer</t>
        </is>
      </c>
      <c r="T1885">
        <v>1</v>
      </c>
      <c r="U1885">
        <v>1500</v>
      </c>
      <c r="V1885" t="inlineStr">
        <is>
          <t>PHP</t>
        </is>
      </c>
      <c r="W1885">
        <v>1500</v>
      </c>
      <c r="X1885" s="2" t="str">
        <f>=HYPERLINK("https://www.larksuite.com/approval/admin/previewAttachment?key=PMgxCsJAFATQK83sTvb_8TI2hkWIAUEMpvhnFyxs30hi5MI-DJnNYMViW5kmQ2mrjWrFCCMYcq37vL7Pw8_52R_znBu3Ou63ub64OFpDdKknAF7-3kOSPYSf4xsAAP__", "2 attachment(s)")</f>
        <v>2 attachment(s)</v>
      </c>
      <c r="Y1885" t="inlineStr">
        <is>
          <t>Bank Transfer</t>
        </is>
      </c>
      <c r="Z1885" t="inlineStr">
        <is>
          <t>Wilbert Rysher Dela Cruz Manabat</t>
        </is>
      </c>
      <c r="AA1885" t="inlineStr">
        <is>
          <t>1093-2482-8669</t>
        </is>
      </c>
      <c r="AB1885" t="inlineStr">
        <is>
          <t>Unionbank</t>
        </is>
      </c>
      <c r="AC1885" t="inlineStr">
        <is>
          <t>1277-B Kagitingan St. Morga EXT. Tondo, Manila</t>
        </is>
      </c>
      <c r="AD1885" s="4">
        <v>46066</v>
      </c>
      <c r="AE1885" t="inlineStr">
        <is>
          <t>100% Full Payment</t>
        </is>
      </c>
      <c r="AF1885" s="2"/>
      <c r="AG1885" t="inlineStr">
        <is>
          <t>NzQyNTk5MTgyNzQ4MTg3MDM0MTo0NERDMkU1OC0xMEMzLTRCMDQtOUFCNC0zQzQ5RUU2OUUyNTUtMTplMzA5YjllZjMxYTU0YzQxYTM1MzY0M2JlNGYyOGI5OTox</t>
        </is>
      </c>
      <c r="AH1885" t="inlineStr">
        <is>
          <t>Wilbert Rysher Dela Cruz Manabat</t>
        </is>
      </c>
      <c r="AI1885"/>
      <c r="AJ1885" t="inlineStr">
        <is>
          <t>LIQUIDITY PLAN (PAR # 202512120012 / 2025TEG-P0121)
MANPOWER &gt; HOSPITALITY &gt;
Finalist 3/4 Team Liaison
Total Budget = Php 2,000.00
This Request = Php 1,500.00
Balance = Php 500.00</t>
        </is>
      </c>
      <c r="AK1885"/>
    </row>
    <row r="1886" ht="25.5" customHeight="1">
      <c r="A1886" s="2" t="str">
        <f>=HYPERLINK("https://applink.larksuite.com/client/mini_program/open?appId=cli_9c7cc8a9a9edd105&amp;mode=appCenter&amp;path_pc=pc/pages/requested/index?instanceId=7599951023872003804&amp;source=bitable&amp;path=pages/detail/index?instanceId=7599951023872003804&amp;source=bitable", "202601270062")</f>
        <v>202601270062</v>
      </c>
      <c r="B1886" t="inlineStr">
        <is>
          <t>Approved</t>
        </is>
      </c>
      <c r="C1886" t="inlineStr">
        <is>
          <t>Procurement Order</t>
        </is>
      </c>
      <c r="D1886" s="3">
        <v>46049.674629629626</v>
      </c>
      <c r="E1886" s="3">
        <v>46052.698229166665</v>
      </c>
      <c r="F1886" t="inlineStr">
        <is>
          <t>Fatima Kathleen M. FLores</t>
        </is>
      </c>
      <c r="G1886" t="inlineStr">
        <is>
          <t>Procurement</t>
        </is>
      </c>
      <c r="H1886"/>
      <c r="I1886"/>
      <c r="J1886" t="inlineStr">
        <is>
          <t>Project</t>
        </is>
      </c>
      <c r="K1886" t="inlineStr">
        <is>
          <t>PDEI - Game Marketing</t>
        </is>
      </c>
      <c r="L1886" t="inlineStr">
        <is>
          <t>CCAP CXtreme MLBB Tournament</t>
        </is>
      </c>
      <c r="M1886" t="inlineStr">
        <is>
          <t>2025TEG-P0121</t>
        </is>
      </c>
      <c r="N1886" t="inlineStr">
        <is>
          <t>Maura Aurel Atilano Yap</t>
        </is>
      </c>
      <c r="O1886" t="inlineStr">
        <is>
          <t>202601220051-Maura Aurel Atilano Yap-费用报销 - 副本 - 副本 - 副本-2026-01-22 08:01:56</t>
        </is>
      </c>
      <c r="P1886" t="inlineStr">
        <is>
          <t>YES</t>
        </is>
      </c>
      <c r="Q1886"/>
      <c r="R1886" t="inlineStr">
        <is>
          <t>NO</t>
        </is>
      </c>
      <c r="S1886" t="inlineStr">
        <is>
          <t>Outsourced Road Manager</t>
        </is>
      </c>
      <c r="T1886">
        <v>1</v>
      </c>
      <c r="U1886">
        <v>2200</v>
      </c>
      <c r="V1886" t="inlineStr">
        <is>
          <t>PHP</t>
        </is>
      </c>
      <c r="W1886">
        <v>2200</v>
      </c>
      <c r="X1886" s="2" t="str">
        <f>=HYPERLINK("https://www.larksuite.com/approval/admin/previewAttachment?key=PMg9CgIxFATgK837SSbjZWwMQdBUwq7NO7tgse3Xh6GPZtGFlLlgxSapGTwGHYiBLC8jBRpTNfe6-wGu8_y-X9v3XHU8H2t-rInuYGTGAGC3y4OZKfXE3_ELAAD__w", "2 attachment(s)")</f>
        <v>2 attachment(s)</v>
      </c>
      <c r="Y1886" t="inlineStr">
        <is>
          <t>Bank Transfer</t>
        </is>
      </c>
      <c r="Z1886" t="inlineStr">
        <is>
          <t>Kimberly Ramos</t>
        </is>
      </c>
      <c r="AA1886" t="inlineStr">
        <is>
          <t>2703911772885</t>
        </is>
      </c>
      <c r="AB1886" t="inlineStr">
        <is>
          <t>Metrobank</t>
        </is>
      </c>
      <c r="AC1886" t="inlineStr">
        <is>
          <t>53 Rosal Street Miguelito Homes Gen. T. De Leon Valenzuela City</t>
        </is>
      </c>
      <c r="AD1886" s="4">
        <v>46066</v>
      </c>
      <c r="AE1886" t="inlineStr">
        <is>
          <t>100% Full Payment</t>
        </is>
      </c>
      <c r="AF1886" s="2"/>
      <c r="AG1886" t="inlineStr">
        <is>
          <t>NzQyNTk5MTgyNzQ4MTg3MDM0MTo1QjY3QkMyMS05NkE3LTQ5RUItQUQ5Ri00MUI3QjVENzNDQzgtMTpkYzg4NmMyZDRjM2U5ODRjNGU3MmE2Njg5OGQzNWY2Yzox</t>
        </is>
      </c>
      <c r="AH1886" t="inlineStr">
        <is>
          <t>Kimberly Ramos</t>
        </is>
      </c>
      <c r="AI1886"/>
      <c r="AJ1886" t="inlineStr">
        <is>
          <t>LIQUIDITY PLAN (PAR # 202512120012 / 2025TEG-P0121)
MANPOWER &gt; BROADCAST &gt;
Talent Manager
Total Budget = Php 2,700.00
This Request = Php 2,200.00
Balance = Php 500.00</t>
        </is>
      </c>
      <c r="AK1886"/>
    </row>
    <row r="1887" ht="25.5" customHeight="1">
      <c r="A1887" s="2" t="str">
        <f>=HYPERLINK("https://applink.larksuite.com/client/mini_program/open?appId=cli_9c7cc8a9a9edd105&amp;mode=appCenter&amp;path_pc=pc/pages/requested/index?instanceId=7599954735482801884&amp;source=bitable&amp;path=pages/detail/index?instanceId=7599954735482801884&amp;source=bitable", "202601270066")</f>
        <v>202601270066</v>
      </c>
      <c r="B1887" t="inlineStr">
        <is>
          <t>Approved</t>
        </is>
      </c>
      <c r="C1887" t="inlineStr">
        <is>
          <t>Procurement Order</t>
        </is>
      </c>
      <c r="D1887" s="3">
        <v>46049.68462962963</v>
      </c>
      <c r="E1887" s="3">
        <v>46052.69881944444</v>
      </c>
      <c r="F1887" t="inlineStr">
        <is>
          <t>Fatima Kathleen M. FLores</t>
        </is>
      </c>
      <c r="G1887" t="inlineStr">
        <is>
          <t>Procurement</t>
        </is>
      </c>
      <c r="H1887"/>
      <c r="I1887"/>
      <c r="J1887" t="inlineStr">
        <is>
          <t>Project</t>
        </is>
      </c>
      <c r="K1887" t="inlineStr">
        <is>
          <t>PDEI - Game Marketing</t>
        </is>
      </c>
      <c r="L1887" t="inlineStr">
        <is>
          <t>CCAP CXtreme MLBB Tournament</t>
        </is>
      </c>
      <c r="M1887" t="inlineStr">
        <is>
          <t>2025TEG-P0121</t>
        </is>
      </c>
      <c r="N1887" t="inlineStr">
        <is>
          <t>Maura Aurel Atilano Yap</t>
        </is>
      </c>
      <c r="O1887" t="inlineStr">
        <is>
          <t>202601220058-Maura Aurel Atilano Yap-费用报销 - 副本 - 副本 - 副本-2026-01-22 08:26:02</t>
        </is>
      </c>
      <c r="P1887" t="inlineStr">
        <is>
          <t>YES</t>
        </is>
      </c>
      <c r="Q1887"/>
      <c r="R1887" t="inlineStr">
        <is>
          <t>NO</t>
        </is>
      </c>
      <c r="S1887" t="inlineStr">
        <is>
          <t>Outsourced Audio Engineer</t>
        </is>
      </c>
      <c r="T1887">
        <v>1</v>
      </c>
      <c r="U1887">
        <v>2200</v>
      </c>
      <c r="V1887" t="inlineStr">
        <is>
          <t>PHP</t>
        </is>
      </c>
      <c r="W1887">
        <v>2200</v>
      </c>
      <c r="X1887" s="2" t="str">
        <f>=HYPERLINK("https://www.larksuite.com/approval/admin/previewAttachment?key=PMgxCgIxFATQK81PJpk_XsbGJYi4siAoFv_sgoXtmxmYOaJPg45mRGnYHlQfzJaITFarkAyF6Nr2dd4_fh-39Th0Ty7V63pZ2zOG1RrUyZ4A4vT3LpL2JH6ObwAAAP__", "2 attachment(s)")</f>
        <v>2 attachment(s)</v>
      </c>
      <c r="Y1887" t="inlineStr">
        <is>
          <t>Bank Transfer</t>
        </is>
      </c>
      <c r="Z1887" t="inlineStr">
        <is>
          <t>James Alvin Christian P. Romero</t>
        </is>
      </c>
      <c r="AA1887" t="inlineStr">
        <is>
          <t>09274449760</t>
        </is>
      </c>
      <c r="AB1887" t="inlineStr">
        <is>
          <t>GCash</t>
        </is>
      </c>
      <c r="AC1887" t="inlineStr">
        <is>
          <t>Block 28 Lot 6 Brgy Nicolasa Virata G.M.A., Cavite</t>
        </is>
      </c>
      <c r="AD1887" s="4">
        <v>46066</v>
      </c>
      <c r="AE1887" t="inlineStr">
        <is>
          <t>100% Full Payment</t>
        </is>
      </c>
      <c r="AF1887" s="2"/>
      <c r="AG1887" t="inlineStr">
        <is>
          <t>NzQyNTk5MTgyNzQ4MTg3MDM0MTo0ODg1Q0M3RC1DNjUwLTQ0NDgtQTk3MC0zMDIyQzgxRURBODAtMTo4ZDVmZjU3OGQ3YmRkNTIxMjJlMDc5MGU1ZTQ5MWVjMDox</t>
        </is>
      </c>
      <c r="AH1887" t="inlineStr">
        <is>
          <t>James Alvin Christian P. Romero</t>
        </is>
      </c>
      <c r="AI1887"/>
      <c r="AJ1887" t="inlineStr">
        <is>
          <t>LIQUIDITY PLAN (PAR # 202512120012 / 2025TEG-P0121)
MANPOWER &gt; BROADCAST &gt;
Audio Engineer
Total Budget = Php 2,500.00
Actual Cost = Php 2,200.00
Balance = Php 300.00</t>
        </is>
      </c>
      <c r="AK1887"/>
    </row>
    <row r="1888" ht="25.5" customHeight="1">
      <c r="A1888" s="2" t="str">
        <f>=HYPERLINK("https://applink.larksuite.com/client/mini_program/open?appId=cli_9c7cc8a9a9edd105&amp;mode=appCenter&amp;path_pc=pc/pages/requested/index?instanceId=7599953705747697378&amp;source=bitable&amp;path=pages/detail/index?instanceId=7599953705747697378&amp;source=bitable", "202601270065")</f>
        <v>202601270065</v>
      </c>
      <c r="B1888" t="inlineStr">
        <is>
          <t>Approved</t>
        </is>
      </c>
      <c r="C1888" t="inlineStr">
        <is>
          <t>Procurement Order</t>
        </is>
      </c>
      <c r="D1888" s="3">
        <v>46049.681863425925</v>
      </c>
      <c r="E1888" s="3">
        <v>46052.69975694444</v>
      </c>
      <c r="F1888" t="inlineStr">
        <is>
          <t>Fatima Kathleen M. FLores</t>
        </is>
      </c>
      <c r="G1888" t="inlineStr">
        <is>
          <t>Procurement</t>
        </is>
      </c>
      <c r="H1888"/>
      <c r="I1888"/>
      <c r="J1888" t="inlineStr">
        <is>
          <t>Project</t>
        </is>
      </c>
      <c r="K1888" t="inlineStr">
        <is>
          <t>PDEI - Game Marketing</t>
        </is>
      </c>
      <c r="L1888" t="inlineStr">
        <is>
          <t>CCAP CXtreme MLBB Tournament</t>
        </is>
      </c>
      <c r="M1888" t="inlineStr">
        <is>
          <t>2025TEG-P0121</t>
        </is>
      </c>
      <c r="N1888" t="inlineStr">
        <is>
          <t>Maura Aurel Atilano Yap</t>
        </is>
      </c>
      <c r="O1888" t="inlineStr">
        <is>
          <t>202601220058-Maura Aurel Atilano Yap-费用报销 - 副本 - 副本 - 副本-2026-01-22 08:26:02</t>
        </is>
      </c>
      <c r="P1888" t="inlineStr">
        <is>
          <t>YES</t>
        </is>
      </c>
      <c r="Q1888"/>
      <c r="R1888" t="inlineStr">
        <is>
          <t>NO</t>
        </is>
      </c>
      <c r="S1888" t="inlineStr">
        <is>
          <t>Outsourced LED Operator/ Tech</t>
        </is>
      </c>
      <c r="T1888">
        <v>1</v>
      </c>
      <c r="U1888">
        <v>2500</v>
      </c>
      <c r="V1888" t="inlineStr">
        <is>
          <t>PHP</t>
        </is>
      </c>
      <c r="W1888">
        <v>2500</v>
      </c>
      <c r="X1888" s="2" t="str">
        <f>=HYPERLINK("https://www.larksuite.com/approval/admin/previewAttachment?key=PMhBqgIxEATQK1Wnq1Opf5m_mRBEnNkIgoucXXDh9vUR6KMiu0FHM2KrbFcKJapbqbHbDslQiN7zXP9V81pzXu9D54P3_bodaz6jrNagJHMAiL-fp0janfg6PgEAAP__", "2 attachment(s)")</f>
        <v>2 attachment(s)</v>
      </c>
      <c r="Y1888" t="inlineStr">
        <is>
          <t>Bank Transfer</t>
        </is>
      </c>
      <c r="Z1888" t="inlineStr">
        <is>
          <t>Kenneth Bayona</t>
        </is>
      </c>
      <c r="AA1888" t="inlineStr">
        <is>
          <t>09484380719</t>
        </is>
      </c>
      <c r="AB1888" t="inlineStr">
        <is>
          <t>GCash</t>
        </is>
      </c>
      <c r="AC1888" t="inlineStr">
        <is>
          <t>San Nicolas 2nd, Magalang, Pampanga</t>
        </is>
      </c>
      <c r="AD1888" s="4">
        <v>46066</v>
      </c>
      <c r="AE1888" t="inlineStr">
        <is>
          <t>100% Full Payment</t>
        </is>
      </c>
      <c r="AF1888" s="2"/>
      <c r="AG1888" t="inlineStr">
        <is>
          <t>NzQyNTk5MTgyNzQ4MTg3MDM0MToxMDY1N0RFNi0xNkM0LTQ5QTYtQjkxMS02RUIxMDAyNzBGNjAtMTo2NjRmZmMxMjY3MWYzMGNjY2NkNjMxODdlMmE1YmFkYzox</t>
        </is>
      </c>
      <c r="AH1888" t="inlineStr">
        <is>
          <t>Kenneth Bayona</t>
        </is>
      </c>
      <c r="AI1888"/>
      <c r="AJ1888" t="inlineStr">
        <is>
          <t>LIQUIDITY PLAN (PAR # 202512120012 / 2025TEG-P0121)
MANPOWER &gt; BROADCAST &gt;
Led Operator/Tech
Total Budget = Php 2,500.00
Actual Cost = Php 2,500.00</t>
        </is>
      </c>
      <c r="AK1888"/>
    </row>
    <row r="1889" ht="25.5" customHeight="1">
      <c r="A1889" s="2" t="str">
        <f>=HYPERLINK("https://applink.larksuite.com/client/mini_program/open?appId=cli_9c7cc8a9a9edd105&amp;mode=appCenter&amp;path_pc=pc/pages/requested/index?instanceId=7600243877404004059&amp;source=bitable&amp;path=pages/detail/index?instanceId=7600243877404004059&amp;source=bitable", "202601280012")</f>
        <v>202601280012</v>
      </c>
      <c r="B1889" t="inlineStr">
        <is>
          <t>Approved</t>
        </is>
      </c>
      <c r="C1889" t="inlineStr">
        <is>
          <t>Procurement Order</t>
        </is>
      </c>
      <c r="D1889" s="3">
        <v>46050.46381944444</v>
      </c>
      <c r="E1889" s="3">
        <v>46051.47613425926</v>
      </c>
      <c r="F1889" t="inlineStr">
        <is>
          <t>Fatima Kathleen M. FLores</t>
        </is>
      </c>
      <c r="G1889" t="inlineStr">
        <is>
          <t>Procurement</t>
        </is>
      </c>
      <c r="H1889"/>
      <c r="I1889"/>
      <c r="J1889" t="inlineStr">
        <is>
          <t>Project</t>
        </is>
      </c>
      <c r="K1889" t="inlineStr">
        <is>
          <t>PDEI - Game Marketing</t>
        </is>
      </c>
      <c r="L1889" t="inlineStr">
        <is>
          <t>CCAP CXtreme MLBB Tournament</t>
        </is>
      </c>
      <c r="M1889" t="inlineStr">
        <is>
          <t>2025TEG-P0121</t>
        </is>
      </c>
      <c r="N1889" t="inlineStr">
        <is>
          <t>Maura Aurel Atilano Yap</t>
        </is>
      </c>
      <c r="O1889" t="inlineStr">
        <is>
          <t>202511300011-Maura Aurel Atilano Yap-费用报销 - 副本 - 副本 - 副本-2025-11-30 09:19:07</t>
        </is>
      </c>
      <c r="P1889" t="inlineStr">
        <is>
          <t>NO</t>
        </is>
      </c>
      <c r="Q1889"/>
      <c r="R1889" t="inlineStr">
        <is>
          <t>YES</t>
        </is>
      </c>
      <c r="S1889" t="inlineStr">
        <is>
          <t>Crew and Talent Meals (Breakfast, Lunch and Dinner) - (Ingress + Event Days + Egress)</t>
        </is>
      </c>
      <c r="T1889">
        <v>132</v>
      </c>
      <c r="U1889">
        <v>130</v>
      </c>
      <c r="V1889" t="inlineStr">
        <is>
          <t>PHP</t>
        </is>
      </c>
      <c r="W1889">
        <v>17160</v>
      </c>
      <c r="X1889" s="2" t="str">
        <f>=HYPERLINK("https://www.larksuite.com/approval/admin/previewAttachment?key=PMixDcJQDATQlc72fd83y9AQRYACDSKh8exIFLQvpyHnsMgCy7xgrQScMSWCADGqvU0qyMTq5bGeEdv70HO_3Y_x0db79bIuLxsldyjImADs9PcQyaokfo5vAAAA__8", "2 attachment(s)")</f>
        <v>2 attachment(s)</v>
      </c>
      <c r="Y1889" t="inlineStr">
        <is>
          <t>Bank Transfer</t>
        </is>
      </c>
      <c r="Z1889" t="inlineStr">
        <is>
          <t>ANTHONY ROBERT CAMAYANG</t>
        </is>
      </c>
      <c r="AA1889" t="inlineStr">
        <is>
          <t>2609349312</t>
        </is>
      </c>
      <c r="AB1889" t="inlineStr">
        <is>
          <t>BPI</t>
        </is>
      </c>
      <c r="AC1889" t="inlineStr">
        <is>
          <t>BLK 1 LOT 1 A3 JENNYS AVE MILLENIUM GARDEN MAYBUNGA 1607 PASIG CITY</t>
        </is>
      </c>
      <c r="AD1889" s="4">
        <v>46051</v>
      </c>
      <c r="AE1889" t="inlineStr">
        <is>
          <t>50% Down Payment upon confirmation
50% Final payment upon completion of services</t>
        </is>
      </c>
      <c r="AF1889" s="2" t="str">
        <f>=HYPERLINK("https://www.larksuite.com/approval/admin/previewAttachment?key=TMixDcJQDATQle6-_W0fy9AQRYACDSKh8exIVLQvioiatBBcHAI7AxhulelwwDHVo5kpJNPVy2M9w7b3kc_9dj_mJ7fer5d1eTHKAq7pTgHg6c9JqCzs5_gGAAD__w", "6 attachment(s)")</f>
        <v>6 attachment(s)</v>
      </c>
      <c r="AG1889" t="inlineStr">
        <is>
          <t>NzQyNTk5MTgyNzQ4MTg3MDM0MToxRUEyNkVEOS1FOTMxLTRBN0YtQkVENC1CQkU4RUZCNDdFNTMtMTpkNzM4NzZmODdmNTM0N2ViODZkOTBkYWNhM2U3NWNjMzox</t>
        </is>
      </c>
      <c r="AH1889" t="inlineStr">
        <is>
          <t>AJS FOOD CONTRACTING SERVICES</t>
        </is>
      </c>
      <c r="AI1889"/>
      <c r="AJ1889" t="inlineStr">
        <is>
          <t>LIQUIDITY PLAN (PAR # 202512120012 / 2025TEG-P0121)
CONSUMABLES &gt; FOOD &gt;
Grand Finals Food
Total Budget = Php 14,850.00
Actual Cost = Php 17,160.00
Balance = (Php 2,310.00) OVER BUDGET</t>
        </is>
      </c>
      <c r="AK1889"/>
    </row>
    <row r="1890" ht="25.5" customHeight="1">
      <c r="A1890" s="2" t="str">
        <f>=HYPERLINK("https://applink.larksuite.com/client/mini_program/open?appId=cli_9c7cc8a9a9edd105&amp;mode=appCenter&amp;path_pc=pc/pages/requested/index?instanceId=7600258201803558624&amp;source=bitable&amp;path=pages/detail/index?instanceId=7600258201803558624&amp;source=bitable", "202601280020")</f>
        <v>202601280020</v>
      </c>
      <c r="B1890" t="inlineStr">
        <is>
          <t>Approved</t>
        </is>
      </c>
      <c r="C1890" t="inlineStr">
        <is>
          <t>Procurement Order</t>
        </is>
      </c>
      <c r="D1890" s="3">
        <v>46050.50241898148</v>
      </c>
      <c r="E1890" s="3">
        <v>46052.70107638889</v>
      </c>
      <c r="F1890" t="inlineStr">
        <is>
          <t>Fatima Kathleen M. FLores</t>
        </is>
      </c>
      <c r="G1890" t="inlineStr">
        <is>
          <t>Procurement</t>
        </is>
      </c>
      <c r="H1890"/>
      <c r="I1890"/>
      <c r="J1890" t="inlineStr">
        <is>
          <t>Project</t>
        </is>
      </c>
      <c r="K1890" t="inlineStr">
        <is>
          <t>PDEI - Game Marketing</t>
        </is>
      </c>
      <c r="L1890" t="inlineStr">
        <is>
          <t>CCAP CXtreme MLBB Tournament</t>
        </is>
      </c>
      <c r="M1890" t="inlineStr">
        <is>
          <t>2025TEG-P0121</t>
        </is>
      </c>
      <c r="N1890" t="inlineStr">
        <is>
          <t>Maura Aurel Atilano Yap</t>
        </is>
      </c>
      <c r="O1890" t="inlineStr">
        <is>
          <t>202601220043-Maura Aurel Atilano Yap-费用报销 - 副本 - 副本 - 副本-2026-01-22 07:37:54</t>
        </is>
      </c>
      <c r="P1890" t="inlineStr">
        <is>
          <t>NO</t>
        </is>
      </c>
      <c r="Q1890"/>
      <c r="R1890" t="inlineStr">
        <is>
          <t>NO</t>
        </is>
      </c>
      <c r="S1890" t="inlineStr">
        <is>
          <t>Rental of Red Carpet (42ft x 3ft)</t>
        </is>
      </c>
      <c r="T1890">
        <v>1</v>
      </c>
      <c r="U1890">
        <v>4500</v>
      </c>
      <c r="V1890" t="inlineStr">
        <is>
          <t>PHP</t>
        </is>
      </c>
      <c r="W1890">
        <v>4500</v>
      </c>
      <c r="X1890" s="2"/>
      <c r="Y1890" t="inlineStr">
        <is>
          <t>Bank Transfer</t>
        </is>
      </c>
      <c r="Z1890" t="inlineStr">
        <is>
          <t>SPE Events Management And Services Party Needs Rental</t>
        </is>
      </c>
      <c r="AA1890" t="inlineStr">
        <is>
          <t>141102017588</t>
        </is>
      </c>
      <c r="AB1890" t="inlineStr">
        <is>
          <t>Chinabank</t>
        </is>
      </c>
      <c r="AC1890" t="inlineStr">
        <is>
          <t>10A St. Benedict St. Paradise Village Sangandaan Quezon City</t>
        </is>
      </c>
      <c r="AD1890" s="4">
        <v>46059</v>
      </c>
      <c r="AE1890" t="inlineStr">
        <is>
          <t>100% Full Payment</t>
        </is>
      </c>
      <c r="AF1890" s="2"/>
      <c r="AG1890" t="inlineStr">
        <is>
          <t>NzQyNTk5MTgyNzQ4MTg3MDM0MTpBRDE4NEVEMC1DQTg0LTQ2QjItQjNGQy01NUM0OTEyNjMwRkItMTpjNDEzZTdlNDNiNzAzOTlhODg4ZGMwOTlhMGY5M2QxZTox</t>
        </is>
      </c>
      <c r="AH1890" t="inlineStr">
        <is>
          <t>SPE Events Management And Services Party Needs Rental</t>
        </is>
      </c>
      <c r="AI1890"/>
      <c r="AJ1890" t="inlineStr">
        <is>
          <t>LIQUIDITY PLAN (PAR # 202512120012 / 2025TEG-P0121)
STAGING AND PRODUCTION &gt; STAGING PACKAGE &gt;
Venue Accent
Total Budget = Php 75,000.00
Actual Cost = Php 6,500.00
Balance = Php 68,500.00</t>
        </is>
      </c>
      <c r="AK1890"/>
    </row>
    <row r="1891" ht="25.5" customHeight="1">
      <c r="A1891" s="2" t="str">
        <f>=HYPERLINK("https://applink.larksuite.com/client/mini_program/open?appId=cli_9c7cc8a9a9edd105&amp;mode=appCenter&amp;path_pc=pc/pages/requested/index?instanceId=7600258201803558624&amp;source=bitable&amp;path=pages/detail/index?instanceId=7600258201803558624&amp;source=bitable", "202601280020")</f>
        <v>202601280020</v>
      </c>
      <c r="B1891" t="inlineStr">
        <is>
          <t>Approved</t>
        </is>
      </c>
      <c r="C1891" t="inlineStr">
        <is>
          <t>Procurement Order</t>
        </is>
      </c>
      <c r="D1891" s="3">
        <v>46050.50241898148</v>
      </c>
      <c r="E1891" s="3">
        <v>46052.70107638889</v>
      </c>
      <c r="F1891" t="inlineStr">
        <is>
          <t>Fatima Kathleen M. FLores</t>
        </is>
      </c>
      <c r="G1891" t="inlineStr">
        <is>
          <t>Procurement</t>
        </is>
      </c>
      <c r="H1891"/>
      <c r="I1891"/>
      <c r="J1891" t="inlineStr">
        <is>
          <t>Project</t>
        </is>
      </c>
      <c r="K1891" t="inlineStr">
        <is>
          <t>PDEI - Game Marketing</t>
        </is>
      </c>
      <c r="L1891" t="inlineStr">
        <is>
          <t>CCAP CXtreme MLBB Tournament</t>
        </is>
      </c>
      <c r="M1891" t="inlineStr">
        <is>
          <t>2025TEG-P0121</t>
        </is>
      </c>
      <c r="N1891" t="inlineStr">
        <is>
          <t>Maura Aurel Atilano Yap</t>
        </is>
      </c>
      <c r="O1891" t="inlineStr">
        <is>
          <t>202601220043-Maura Aurel Atilano Yap-费用报销 - 副本 - 副本 - 副本-2026-01-22 07:37:54</t>
        </is>
      </c>
      <c r="P1891" t="inlineStr">
        <is>
          <t>NO</t>
        </is>
      </c>
      <c r="Q1891"/>
      <c r="R1891" t="inlineStr">
        <is>
          <t>NO</t>
        </is>
      </c>
      <c r="S1891" t="inlineStr">
        <is>
          <t>Delivery Fee</t>
        </is>
      </c>
      <c r="T1891">
        <v>1</v>
      </c>
      <c r="U1891">
        <v>2000</v>
      </c>
      <c r="V1891" t="inlineStr">
        <is>
          <t>PHP</t>
        </is>
      </c>
      <c r="W1891">
        <v>2000</v>
      </c>
      <c r="X1891" s="2" t="str">
        <f>=HYPERLINK("https://www.larksuite.com/approval/admin/previewAttachment?key=PMg5CgJBEAXQK_1fXauXMZlmcEERhNakzi4YTPo8CU_j8IIWpcAOB8RSwMQwSxdtaUYUgqHV87GfX7fNrt_FD2ren6vXZdvnm1YhghiqIwHwdPgIVa1yxd_5CwAA__8", "2 attachment(s)")</f>
        <v>2 attachment(s)</v>
      </c>
      <c r="Y1891"/>
      <c r="Z1891"/>
      <c r="AA1891"/>
      <c r="AB1891"/>
      <c r="AC1891"/>
      <c r="AD1891" s="4"/>
      <c r="AE1891"/>
      <c r="AF1891" s="2"/>
      <c r="AG1891" t="inlineStr">
        <is>
          <t>NzQyNTk5MTgyNzQ4MTg3MDM0MTpBRDE4NEVEMC1DQTg0LTQ2QjItQjNGQy01NUM0OTEyNjMwRkItMjpjY2ZjYWMwNDgyYWZhODM1YmUwMGEzMmZhYzljODRmNzox</t>
        </is>
      </c>
      <c r="AH1891"/>
      <c r="AI1891"/>
      <c r="AJ1891" t="inlineStr">
        <is>
          <t>LIQUIDITY PLAN (PAR # 202512120012 / 2025TEG-P0121)
STAGING AND PRODUCTION &gt; STAGING PACKAGE &gt;
Venue Accent
Total Budget = Php 75,000.00
Actual Cost = Php 6,500.00
Balance = Php 68,500.00</t>
        </is>
      </c>
      <c r="AK1891"/>
    </row>
    <row r="1892" ht="25.5" customHeight="1">
      <c r="A1892" s="2" t="str">
        <f>=HYPERLINK("https://applink.larksuite.com/client/mini_program/open?appId=cli_9c7cc8a9a9edd105&amp;mode=appCenter&amp;path_pc=pc/pages/requested/index?instanceId=7600301712120745698&amp;source=bitable&amp;path=pages/detail/index?instanceId=7600301712120745698&amp;source=bitable", "202601280035")</f>
        <v>202601280035</v>
      </c>
      <c r="B1892" t="inlineStr">
        <is>
          <t>Approved</t>
        </is>
      </c>
      <c r="C1892" t="inlineStr">
        <is>
          <t>Procurement Order</t>
        </is>
      </c>
      <c r="D1892" s="3">
        <v>46050.61966435185</v>
      </c>
      <c r="E1892" s="3">
        <v>46056.58943287037</v>
      </c>
      <c r="F1892" t="inlineStr">
        <is>
          <t>Fatima Kathleen M. FLores</t>
        </is>
      </c>
      <c r="G1892" t="inlineStr">
        <is>
          <t>Procurement</t>
        </is>
      </c>
      <c r="H1892"/>
      <c r="I1892"/>
      <c r="J1892" t="inlineStr">
        <is>
          <t>Project</t>
        </is>
      </c>
      <c r="K1892" t="inlineStr">
        <is>
          <t>PDEI - Game Marketing</t>
        </is>
      </c>
      <c r="L1892" t="inlineStr">
        <is>
          <t>MINESKI OUTPOST - DON BOSCO ALUMNI 2001</t>
        </is>
      </c>
      <c r="M1892" t="inlineStr">
        <is>
          <t>2026TEG-P0017</t>
        </is>
      </c>
      <c r="N1892" t="inlineStr">
        <is>
          <t>Kervin</t>
        </is>
      </c>
      <c r="O1892" t="inlineStr">
        <is>
          <t>202601220096-Kervin-费用报销 - 副本 - 副本 - 副本-2026-01-22 11:03:21</t>
        </is>
      </c>
      <c r="P1892" t="inlineStr">
        <is>
          <t>NO</t>
        </is>
      </c>
      <c r="Q1892"/>
      <c r="R1892" t="inlineStr">
        <is>
          <t>NO</t>
        </is>
      </c>
      <c r="S1892" t="inlineStr">
        <is>
          <t>Outsourced Logistics Services (Trucking)</t>
        </is>
      </c>
      <c r="T1892">
        <v>1</v>
      </c>
      <c r="U1892">
        <v>15000</v>
      </c>
      <c r="V1892" t="inlineStr">
        <is>
          <t>PHP</t>
        </is>
      </c>
      <c r="W1892">
        <v>15000</v>
      </c>
      <c r="X1892" s="2" t="str">
        <f>=HYPERLINK("https://www.larksuite.com/approval/admin/previewAttachment?key=PMgxCkIxEATQK81sNjsZL2PzQ1BBG0GxyNkFC9tXg6jR2cpIMwxuFdBAMRhQ9vLYsSkZotJ73tf5nfEJ9OtyP27rsV-XY80nuxUBtcw2APD096bMtCvxc3wDAAD__w", "2 attachment(s)")</f>
        <v>2 attachment(s)</v>
      </c>
      <c r="Y1892" t="inlineStr">
        <is>
          <t>Bank Transfer</t>
        </is>
      </c>
      <c r="Z1892" t="inlineStr">
        <is>
          <t>VICHAN TRUCKING SERVICES</t>
        </is>
      </c>
      <c r="AA1892" t="inlineStr">
        <is>
          <t>006220 1084 33</t>
        </is>
      </c>
      <c r="AB1892" t="inlineStr">
        <is>
          <t>BDO</t>
        </is>
      </c>
      <c r="AC1892" t="inlineStr">
        <is>
          <t>60 Corumi Street, Masambong, QC</t>
        </is>
      </c>
      <c r="AD1892" s="4">
        <v>46052</v>
      </c>
      <c r="AE1892" t="inlineStr">
        <is>
          <t>100% Full Payment</t>
        </is>
      </c>
      <c r="AF1892" s="2" t="str">
        <f>=HYPERLINK("https://www.larksuite.com/approval/admin/previewAttachment?key=TMgxCkJBDATQK81ks0nGy9j8ZVFBG0GxyNkFK9sXRURNjhBcNIGdAQwwaTSkz1C1NTOFZLp63ff57fYxzOvWPG770a_LsdeTUSPgmu4UAJ7-nIRqxPg5vgEAAP__", "3 attachment(s)")</f>
        <v>3 attachment(s)</v>
      </c>
      <c r="AG1892" t="inlineStr">
        <is>
          <t>NzQyNTk5MTgyNzQ4MTg3MDM0MTo3NTA4OENCMy0yODY4LTQzMjItODYzNy0zMDk3MzVDRDY1MEMtMTpjYWMxMDY1NDQ3ZjRmOGRiZDdhZjc5NWI3ZWNiZjk1Mzox</t>
        </is>
      </c>
      <c r="AH1892" t="inlineStr">
        <is>
          <t>VICHAN TRUCKING SERVICES</t>
        </is>
      </c>
      <c r="AI1892"/>
      <c r="AJ1892" t="inlineStr">
        <is>
          <t>LIQUIDITY PLAN (PAR # 202601140037 / 2026TEG-P0017)
LOGISTICS &gt; APEX LED Trucking
Total Budget = Php 15,000.00
Actual Cost = Php 15,000.00</t>
        </is>
      </c>
      <c r="AK1892"/>
    </row>
    <row r="1893" ht="25.5" customHeight="1">
      <c r="A1893" s="2" t="str">
        <f>=HYPERLINK("https://applink.larksuite.com/client/mini_program/open?appId=cli_9c7cc8a9a9edd105&amp;mode=appCenter&amp;path_pc=pc/pages/requested/index?instanceId=7600309478176689883&amp;source=bitable&amp;path=pages/detail/index?instanceId=7600309478176689883&amp;source=bitable", "202601280044")</f>
        <v>202601280044</v>
      </c>
      <c r="B1893" t="inlineStr">
        <is>
          <t>Approved</t>
        </is>
      </c>
      <c r="C1893" t="inlineStr">
        <is>
          <t>Procurement Order</t>
        </is>
      </c>
      <c r="D1893" s="3">
        <v>46050.64059027778</v>
      </c>
      <c r="E1893" s="3">
        <v>46051.62464120371</v>
      </c>
      <c r="F1893" t="inlineStr">
        <is>
          <t>Fatima Kathleen M. FLores</t>
        </is>
      </c>
      <c r="G1893" t="inlineStr">
        <is>
          <t>Procurement</t>
        </is>
      </c>
      <c r="H1893"/>
      <c r="I1893"/>
      <c r="J1893" t="inlineStr">
        <is>
          <t>GAE</t>
        </is>
      </c>
      <c r="K1893"/>
      <c r="L1893"/>
      <c r="M1893"/>
      <c r="N1893"/>
      <c r="O1893" t="inlineStr">
        <is>
          <t>202601280037-Zaira Villar-费用报销 - 副本 - 副本 - 副本-2026-01-28 06:56:47</t>
        </is>
      </c>
      <c r="P1893"/>
      <c r="Q1893" t="inlineStr">
        <is>
          <t>Mineski PH</t>
        </is>
      </c>
      <c r="R1893"/>
      <c r="S1893" t="inlineStr">
        <is>
          <t>Outsourced Housekeeping Manpower (new office)</t>
        </is>
      </c>
      <c r="T1893">
        <v>1</v>
      </c>
      <c r="U1893">
        <v>4000</v>
      </c>
      <c r="V1893" t="inlineStr">
        <is>
          <t>PHP</t>
        </is>
      </c>
      <c r="W1893">
        <v>4000</v>
      </c>
      <c r="X1893" s="2" t="str">
        <f>=HYPERLINK("https://www.larksuite.com/approval/admin/previewAttachment?key=PMhBCkIxDATQK02a_EzGy7hpKVIRBPGDi55dcOH2ZRmyDvMUQtYE20zAoWAZM0tVvts2UqAxtMdjXp-rH_297uf0NeZnn7c-x8sOsTXQI7wA2OXvzoiQMvBzfAMAAP__", "2 attachment(s)")</f>
        <v>2 attachment(s)</v>
      </c>
      <c r="Y1893" t="inlineStr">
        <is>
          <t>Bank Transfer</t>
        </is>
      </c>
      <c r="Z1893" t="inlineStr">
        <is>
          <t>Sam Ylagan</t>
        </is>
      </c>
      <c r="AA1893" t="inlineStr">
        <is>
          <t>09661700244</t>
        </is>
      </c>
      <c r="AB1893" t="inlineStr">
        <is>
          <t>GCash</t>
        </is>
      </c>
      <c r="AC1893" t="inlineStr">
        <is>
          <t>3848 F. Nazario St. Barangay Singkamas Makati City</t>
        </is>
      </c>
      <c r="AD1893" s="4">
        <v>46051</v>
      </c>
      <c r="AE1893" t="inlineStr">
        <is>
          <t>100% Full Payment upon completion of services</t>
        </is>
      </c>
      <c r="AF1893" s="2"/>
      <c r="AG1893" t="inlineStr">
        <is>
          <t>NzQyNTk5MTgyNzQ4MTg3MDM0MTozNDk5RDA3Ni05MDUwLTQ5QjgtQkJERi1EODU5RDhBODg3REMtMTphNDFhYjRhMTY5MDNhOTIzYzAyMDYyNmNiMjFmYTQ2Mzox</t>
        </is>
      </c>
      <c r="AH1893" t="inlineStr">
        <is>
          <t>Sam Viray Ylagan</t>
        </is>
      </c>
      <c r="AI1893"/>
      <c r="AJ1893"/>
      <c r="AK1893"/>
    </row>
    <row r="1894" ht="25.5" customHeight="1">
      <c r="A1894" s="2" t="str">
        <f>=HYPERLINK("https://applink.larksuite.com/client/mini_program/open?appId=cli_9c7cc8a9a9edd105&amp;mode=appCenter&amp;path_pc=pc/pages/requested/index?instanceId=7600325222516018908&amp;source=bitable&amp;path=pages/detail/index?instanceId=7600325222516018908&amp;source=bitable", "202601280054")</f>
        <v>202601280054</v>
      </c>
      <c r="B1894" t="inlineStr">
        <is>
          <t>Approved</t>
        </is>
      </c>
      <c r="C1894" t="inlineStr">
        <is>
          <t>Procurement Order</t>
        </is>
      </c>
      <c r="D1894" s="3">
        <v>46050.683020833334</v>
      </c>
      <c r="E1894" s="3">
        <v>46052.70185185185</v>
      </c>
      <c r="F1894" t="inlineStr">
        <is>
          <t>Fatima Kathleen M. FLores</t>
        </is>
      </c>
      <c r="G1894" t="inlineStr">
        <is>
          <t>Procurement</t>
        </is>
      </c>
      <c r="H1894"/>
      <c r="I1894"/>
      <c r="J1894" t="inlineStr">
        <is>
          <t>Project</t>
        </is>
      </c>
      <c r="K1894" t="inlineStr">
        <is>
          <t>PDEI - Game Marketing</t>
        </is>
      </c>
      <c r="L1894" t="inlineStr">
        <is>
          <t>CCAP CXtreme MLBB Tournament</t>
        </is>
      </c>
      <c r="M1894" t="inlineStr">
        <is>
          <t>2025TEG-P0121</t>
        </is>
      </c>
      <c r="N1894" t="inlineStr">
        <is>
          <t>Maura Aurel Atilano Yap</t>
        </is>
      </c>
      <c r="O1894" t="inlineStr">
        <is>
          <t>202601270013-Maura Aurel Atilano Yap-费用报销 - 副本 - 副本 - 副本-2026-01-27 02:50:52</t>
        </is>
      </c>
      <c r="P1894" t="inlineStr">
        <is>
          <t>NO</t>
        </is>
      </c>
      <c r="Q1894"/>
      <c r="R1894" t="inlineStr">
        <is>
          <t>NO</t>
        </is>
      </c>
      <c r="S1894" t="inlineStr">
        <is>
          <t>Outsourced IT Support</t>
        </is>
      </c>
      <c r="T1894">
        <v>1</v>
      </c>
      <c r="U1894">
        <v>1670</v>
      </c>
      <c r="V1894" t="inlineStr">
        <is>
          <t>PHP</t>
        </is>
      </c>
      <c r="W1894">
        <v>1670</v>
      </c>
      <c r="X1894" s="2" t="str">
        <f>=HYPERLINK("https://www.larksuite.com/approval/admin/previewAttachment?key=PMg9DgFxEAXwK7033-MyGpuNsCrxp5mzSxTaXxQR5dRoWFManAxAxUXEGWA1amSY2Uim9WyP_Qw9Xkdt6-1c989t1vWyb096pwhSzbQA8PR3TTPrDsPP8Q0AAP__", "2 attachment(s)")</f>
        <v>2 attachment(s)</v>
      </c>
      <c r="Y1894" t="inlineStr">
        <is>
          <t>Bank Transfer</t>
        </is>
      </c>
      <c r="Z1894" t="inlineStr">
        <is>
          <t>Jay Laurence Francisco</t>
        </is>
      </c>
      <c r="AA1894" t="inlineStr">
        <is>
          <t>09275444740</t>
        </is>
      </c>
      <c r="AB1894" t="inlineStr">
        <is>
          <t>GCash</t>
        </is>
      </c>
      <c r="AC1894" t="inlineStr">
        <is>
          <t>45 Zamora Compound Banaba San Mateo Rizal</t>
        </is>
      </c>
      <c r="AD1894" s="4">
        <v>46066</v>
      </c>
      <c r="AE1894" t="inlineStr">
        <is>
          <t>100% Full Payment</t>
        </is>
      </c>
      <c r="AF1894" s="2"/>
      <c r="AG1894" t="inlineStr">
        <is>
          <t>NzQyNTk5MTgyNzQ4MTg3MDM0MTo5RUI5NUVFRS0wNEVBLTQ1MDUtQUM5OC03RjI5M0Q1MTAyNUQtMToxNjdlZjA2NmZhMjY5OGViNmM1NmUwODFmODllYzE5Yjox</t>
        </is>
      </c>
      <c r="AH1894" t="inlineStr">
        <is>
          <t>Jay Laurence Francisco</t>
        </is>
      </c>
      <c r="AI1894"/>
      <c r="AJ1894" t="inlineStr">
        <is>
          <t>LIQUIDITY PLAN (PAR # 202512120012 / 2025TEG-P0121)
MANPOWER &gt; IT AND LOGISTICS &gt;
IT Associate
Total Budget = Php 1,800.00
Actual Cost = Php 1,670.00
Balance = Php 130.00</t>
        </is>
      </c>
      <c r="AK1894"/>
    </row>
    <row r="1895" ht="25.5" customHeight="1">
      <c r="A1895" s="2" t="str">
        <f>=HYPERLINK("https://applink.larksuite.com/client/mini_program/open?appId=cli_9c7cc8a9a9edd105&amp;mode=appCenter&amp;path_pc=pc/pages/requested/index?instanceId=7600326549585366749&amp;source=bitable&amp;path=pages/detail/index?instanceId=7600326549585366749&amp;source=bitable", "202601280055")</f>
        <v>202601280055</v>
      </c>
      <c r="B1895" t="inlineStr">
        <is>
          <t>Approved</t>
        </is>
      </c>
      <c r="C1895" t="inlineStr">
        <is>
          <t>Procurement Order</t>
        </is>
      </c>
      <c r="D1895" s="3">
        <v>46050.68659722222</v>
      </c>
      <c r="E1895" s="3">
        <v>46052.69708333333</v>
      </c>
      <c r="F1895" t="inlineStr">
        <is>
          <t>Fatima Kathleen M. FLores</t>
        </is>
      </c>
      <c r="G1895" t="inlineStr">
        <is>
          <t>Procurement</t>
        </is>
      </c>
      <c r="H1895"/>
      <c r="I1895"/>
      <c r="J1895" t="inlineStr">
        <is>
          <t>Project</t>
        </is>
      </c>
      <c r="K1895" t="inlineStr">
        <is>
          <t>PDEI - Game Marketing</t>
        </is>
      </c>
      <c r="L1895" t="inlineStr">
        <is>
          <t>CCAP CXtreme MLBB Tournament</t>
        </is>
      </c>
      <c r="M1895" t="inlineStr">
        <is>
          <t>2025TEG-P0121</t>
        </is>
      </c>
      <c r="N1895" t="inlineStr">
        <is>
          <t>Maura Aurel Atilano Yap</t>
        </is>
      </c>
      <c r="O1895" t="inlineStr">
        <is>
          <t>202601220040-Maura Aurel Atilano Yap-费用报销 - 副本 - 副本 - 副本-2026-01-22 07:31:47</t>
        </is>
      </c>
      <c r="P1895" t="inlineStr">
        <is>
          <t>NO</t>
        </is>
      </c>
      <c r="Q1895"/>
      <c r="R1895" t="inlineStr">
        <is>
          <t>YES</t>
        </is>
      </c>
      <c r="S1895" t="inlineStr">
        <is>
          <t>Outsourced Logistics Associates (Ingress + Event Day + Egress)</t>
        </is>
      </c>
      <c r="T1895">
        <v>1</v>
      </c>
      <c r="U1895">
        <v>15000</v>
      </c>
      <c r="V1895" t="inlineStr">
        <is>
          <t>PHP</t>
        </is>
      </c>
      <c r="W1895">
        <v>15000</v>
      </c>
      <c r="X1895" s="2" t="str">
        <f>=HYPERLINK("https://www.larksuite.com/approval/admin/previewAttachment?key=PMg7jgIxEATQK1W7qz-1l9nEI4tkJkECEfjsCALC97IN2WGeAmVDsF0J-MigosMzi9pjW5VQ9sFxrv_zpacmfV3zYs_9uM113C1UY6Cc9AZgf7_3Iikl8X28AwAA__8", "2 attachment(s)")</f>
        <v>2 attachment(s)</v>
      </c>
      <c r="Y1895" t="inlineStr">
        <is>
          <t>Bank Transfer</t>
        </is>
      </c>
      <c r="Z1895" t="inlineStr">
        <is>
          <t>Rizel John Obong</t>
        </is>
      </c>
      <c r="AA1895" t="inlineStr">
        <is>
          <t>09709731174</t>
        </is>
      </c>
      <c r="AB1895" t="inlineStr">
        <is>
          <t>GCash</t>
        </is>
      </c>
      <c r="AC1895" t="inlineStr">
        <is>
          <t>Blk 1j Lot 31 Phase 3 E-1 Dagat Dagatan Caloocan City</t>
        </is>
      </c>
      <c r="AD1895" s="4">
        <v>46066</v>
      </c>
      <c r="AE1895" t="inlineStr">
        <is>
          <t>100% Full Payment</t>
        </is>
      </c>
      <c r="AF1895" s="2"/>
      <c r="AG1895" t="inlineStr">
        <is>
          <t>NzQyNTk5MTgyNzQ4MTg3MDM0MTo1QkVDRTEwNi0wRjBBLTQyQTItQTA0MS1DNDJFQTBDODcwNTktMTpiZTliYTExZDg2ZTMxOGVlOGUwOGEyMzQ4ZjIyMjE5ODox</t>
        </is>
      </c>
      <c r="AH1895" t="inlineStr">
        <is>
          <t>Rizel John Obong</t>
        </is>
      </c>
      <c r="AI1895"/>
      <c r="AJ1895" t="inlineStr">
        <is>
          <t>LIQUIDITY PLAN (PAR # 202512120012 / 2025TEG-P0121)
MANPOWER &gt; IT AND LOGISTICS &gt;
Logistics Officer
Ingress/Egress Logistics
Total Budget = Php 12,500.00
Actual Cost = Php 15,000.00
Balance = (Php 2,500.00) OVER BUDGET</t>
        </is>
      </c>
      <c r="AK1895"/>
    </row>
    <row r="1896" ht="25.5" customHeight="1">
      <c r="A1896" s="2" t="str">
        <f>=HYPERLINK("https://applink.larksuite.com/client/mini_program/open?appId=cli_9c7cc8a9a9edd105&amp;mode=appCenter&amp;path_pc=pc/pages/requested/index?instanceId=7599956574014033632&amp;source=bitable&amp;path=pages/detail/index?instanceId=7599956574014033632&amp;source=bitable", "202601270067")</f>
        <v>202601270067</v>
      </c>
      <c r="B1896" t="inlineStr">
        <is>
          <t>Recalled</t>
        </is>
      </c>
      <c r="C1896" t="inlineStr">
        <is>
          <t>Procurement Order</t>
        </is>
      </c>
      <c r="D1896" s="3">
        <v>46049.68959490741</v>
      </c>
      <c r="E1896" s="3">
        <v>46052.54325231481</v>
      </c>
      <c r="F1896" t="inlineStr">
        <is>
          <t>Fatima Kathleen M. FLores</t>
        </is>
      </c>
      <c r="G1896" t="inlineStr">
        <is>
          <t>Procurement</t>
        </is>
      </c>
      <c r="H1896"/>
      <c r="I1896"/>
      <c r="J1896" t="inlineStr">
        <is>
          <t>Project</t>
        </is>
      </c>
      <c r="K1896" t="inlineStr">
        <is>
          <t>PDEI - Game Marketing</t>
        </is>
      </c>
      <c r="L1896" t="inlineStr">
        <is>
          <t>CCAP CXtreme MLBB Tournament</t>
        </is>
      </c>
      <c r="M1896" t="inlineStr">
        <is>
          <t>2025TEG-P0121</t>
        </is>
      </c>
      <c r="N1896" t="inlineStr">
        <is>
          <t>Maura Aurel Atilano Yap</t>
        </is>
      </c>
      <c r="O1896" t="inlineStr">
        <is>
          <t>202601220044-Maura Aurel Atilano Yap-费用报销 - 副本 - 副本 - 副本-2026-01-22 07:42:33</t>
        </is>
      </c>
      <c r="P1896" t="inlineStr">
        <is>
          <t>YES</t>
        </is>
      </c>
      <c r="Q1896"/>
      <c r="R1896" t="inlineStr">
        <is>
          <t>YES</t>
        </is>
      </c>
      <c r="S1896" t="inlineStr">
        <is>
          <t>Outsourced HMUA</t>
        </is>
      </c>
      <c r="T1896">
        <v>1</v>
      </c>
      <c r="U1896">
        <v>5200</v>
      </c>
      <c r="V1896" t="inlineStr">
        <is>
          <t>PHP</t>
        </is>
      </c>
      <c r="W1896">
        <v>5200</v>
      </c>
      <c r="X1896" s="2" t="str">
        <f>=HYPERLINK("https://www.larksuite.com/approval/admin/previewAttachment?key=PMgxDsJADATAL63Pa_uWz9AkOlEEhIRC57cjUaSdnIacYZ4CZUOwrpAUGUUY4Z4-erRVCWVF9f5c9-2sN3wF7ZzH6-jvY1v7x0I1BspJnwDsdrkXSSmJv-MXAAD__w", "2 attachment(s)")</f>
        <v>2 attachment(s)</v>
      </c>
      <c r="Y1896" t="inlineStr">
        <is>
          <t>Bank Transfer</t>
        </is>
      </c>
      <c r="Z1896" t="inlineStr">
        <is>
          <t>Grace Filomeno</t>
        </is>
      </c>
      <c r="AA1896" t="inlineStr">
        <is>
          <t>007340484415</t>
        </is>
      </c>
      <c r="AB1896" t="inlineStr">
        <is>
          <t>BDO</t>
        </is>
      </c>
      <c r="AC1896" t="inlineStr">
        <is>
          <t>89 T Santos St. San Jose, Rodriguez, Rizal</t>
        </is>
      </c>
      <c r="AD1896" s="4">
        <v>46066</v>
      </c>
      <c r="AE1896" t="inlineStr">
        <is>
          <t>100% Full Payment</t>
        </is>
      </c>
      <c r="AF1896" s="2"/>
      <c r="AG1896" t="inlineStr">
        <is>
          <t>NzQyNTk5MTgyNzQ4MTg3MDM0MTo5NTY4QkNGNS00OEYwLTRBOUMtQjVCOC0yNTdCQ0Q5MkQ1OTItMTpiZmM2ZTU3Yjc1N2EwYTFkYjE2NzAzYjg0MTJiMzkwYjox</t>
        </is>
      </c>
      <c r="AH1896" t="inlineStr">
        <is>
          <t>Grace Filomeno</t>
        </is>
      </c>
      <c r="AI1896"/>
      <c r="AJ1896" t="inlineStr">
        <is>
          <t>LIQUIDITY PLAN (PAR # 202512120012 / 2025TEG-P0121)
MANPOWER &gt; TALENTS &gt;
HMUA (For Finals)
Total Budget = Php 4,500.00
Actual Cost = Php 5,200.00
Balance = (Php 700.00) OVER BUDGET</t>
        </is>
      </c>
      <c r="AK1896"/>
    </row>
    <row r="1897" ht="25.5" customHeight="1">
      <c r="A1897" s="2" t="str">
        <f>=HYPERLINK("https://applink.larksuite.com/client/mini_program/open?appId=cli_9c7cc8a9a9edd105&amp;mode=appCenter&amp;path_pc=pc/pages/requested/index?instanceId=7600662396671151841&amp;source=bitable&amp;path=pages/detail/index?instanceId=7600662396671151841&amp;source=bitable", "202601290024")</f>
        <v>202601290024</v>
      </c>
      <c r="B1897" t="inlineStr">
        <is>
          <t>Approved</t>
        </is>
      </c>
      <c r="C1897" t="inlineStr">
        <is>
          <t>Procurement Order</t>
        </is>
      </c>
      <c r="D1897" s="3">
        <v>46051.59164351852</v>
      </c>
      <c r="E1897" s="3">
        <v>46057.75239583333</v>
      </c>
      <c r="F1897" t="inlineStr">
        <is>
          <t>Fatima Kathleen M. FLores</t>
        </is>
      </c>
      <c r="G1897" t="inlineStr">
        <is>
          <t>Procurement</t>
        </is>
      </c>
      <c r="H1897"/>
      <c r="I1897"/>
      <c r="J1897" t="inlineStr">
        <is>
          <t>Project</t>
        </is>
      </c>
      <c r="K1897" t="inlineStr">
        <is>
          <t>GG - Event Service</t>
        </is>
      </c>
      <c r="L1897" t="inlineStr">
        <is>
          <t>HOK Philippine Kings League - Fall Season</t>
        </is>
      </c>
      <c r="M1897" t="inlineStr">
        <is>
          <t>2025TEG-P0219</t>
        </is>
      </c>
      <c r="N1897" t="inlineStr">
        <is>
          <t>Frances Angelita Arreglado</t>
        </is>
      </c>
      <c r="O1897" t="inlineStr">
        <is>
          <t>202509280008-Reign Santos Fortea-费用报销 - 副本 - 副本 - 副本-2025-09-28 08:19:20</t>
        </is>
      </c>
      <c r="P1897" t="inlineStr">
        <is>
          <t>NO</t>
        </is>
      </c>
      <c r="Q1897"/>
      <c r="R1897" t="inlineStr">
        <is>
          <t>NO</t>
        </is>
      </c>
      <c r="S1897" t="inlineStr">
        <is>
          <t>MIC FLAG (Material: 1.5mm sintra board, Matte vinyl sticker / Size: 7in x 5.1in / 1 Side Print UV PRINT)</t>
        </is>
      </c>
      <c r="T1897">
        <v>4</v>
      </c>
      <c r="U1897">
        <v>51.98</v>
      </c>
      <c r="V1897" t="inlineStr">
        <is>
          <t>PHP</t>
        </is>
      </c>
      <c r="W1897">
        <v>207.92</v>
      </c>
      <c r="X1897" s="2"/>
      <c r="Y1897" t="inlineStr">
        <is>
          <t>Bank Transfer</t>
        </is>
      </c>
      <c r="Z1897" t="inlineStr">
        <is>
          <t>Bescost Digital Marketing Services Inc.</t>
        </is>
      </c>
      <c r="AA1897" t="inlineStr">
        <is>
          <t>00000-5674-8951</t>
        </is>
      </c>
      <c r="AB1897" t="inlineStr">
        <is>
          <t>Security Bank</t>
        </is>
      </c>
      <c r="AC1897" t="inlineStr">
        <is>
          <t>5105-A Sulok St., Brgy. Ugong, Valenzuela City</t>
        </is>
      </c>
      <c r="AD1897" s="4">
        <v>46059</v>
      </c>
      <c r="AE1897" t="inlineStr">
        <is>
          <t>100% Full Payment - 15 days upon completion of services</t>
        </is>
      </c>
      <c r="AF1897" s="2"/>
      <c r="AG1897" t="inlineStr">
        <is>
          <t>NzQyNTk5MTgyNzQ4MTg3MDM0MTo5QjJBQTgzNy0yQzI5LTQ1NzgtQkMyQi04M0IxRTgyQzgzMzYtMTo4YWY3ZGRkOThmYjFjMzFkNmM5MTk5NWJhMGM0ODgwYjox</t>
        </is>
      </c>
      <c r="AH1897" t="inlineStr">
        <is>
          <t>Bescost Digital Marketing Services Inc.</t>
        </is>
      </c>
      <c r="AI1897"/>
      <c r="AJ1897" t="inlineStr">
        <is>
          <t>LIQUIDITY PLAN (PAR # 202508190134 / 2025TEG-P0219)
INTERNAL 0820 COST ESTIMATE &gt; PLAYOFFS &gt;
Collateral &amp; Venue Skinning &gt; AWARDING &gt; Mock Check
PRINT &amp; SKINNING &gt;
Venue Skinning
Feather Banners
Directional Signages (A4)
Mic Flag
Cue Cards
Total Budget = Php 52,500.00
Actual Cost = Php 41,926.08
Balance = Php 10,573.92</t>
        </is>
      </c>
      <c r="AK1897"/>
    </row>
    <row r="1898" ht="25.5" customHeight="1">
      <c r="A1898" s="2" t="str">
        <f>=HYPERLINK("https://applink.larksuite.com/client/mini_program/open?appId=cli_9c7cc8a9a9edd105&amp;mode=appCenter&amp;path_pc=pc/pages/requested/index?instanceId=7600662396671151841&amp;source=bitable&amp;path=pages/detail/index?instanceId=7600662396671151841&amp;source=bitable", "202601290024")</f>
        <v>202601290024</v>
      </c>
      <c r="B1898" t="inlineStr">
        <is>
          <t>Approved</t>
        </is>
      </c>
      <c r="C1898" t="inlineStr">
        <is>
          <t>Procurement Order</t>
        </is>
      </c>
      <c r="D1898" s="3">
        <v>46051.59164351852</v>
      </c>
      <c r="E1898" s="3">
        <v>46057.75239583333</v>
      </c>
      <c r="F1898" t="inlineStr">
        <is>
          <t>Fatima Kathleen M. FLores</t>
        </is>
      </c>
      <c r="G1898" t="inlineStr">
        <is>
          <t>Procurement</t>
        </is>
      </c>
      <c r="H1898"/>
      <c r="I1898"/>
      <c r="J1898" t="inlineStr">
        <is>
          <t>Project</t>
        </is>
      </c>
      <c r="K1898" t="inlineStr">
        <is>
          <t>GG - Event Service</t>
        </is>
      </c>
      <c r="L1898" t="inlineStr">
        <is>
          <t>HOK Philippine Kings League - Fall Season</t>
        </is>
      </c>
      <c r="M1898" t="inlineStr">
        <is>
          <t>2025TEG-P0219</t>
        </is>
      </c>
      <c r="N1898" t="inlineStr">
        <is>
          <t>Frances Angelita Arreglado</t>
        </is>
      </c>
      <c r="O1898" t="inlineStr">
        <is>
          <t>202509280008-Reign Santos Fortea-费用报销 - 副本 - 副本 - 副本-2025-09-28 08:19:20</t>
        </is>
      </c>
      <c r="P1898" t="inlineStr">
        <is>
          <t>NO</t>
        </is>
      </c>
      <c r="Q1898"/>
      <c r="R1898" t="inlineStr">
        <is>
          <t>NO</t>
        </is>
      </c>
      <c r="S1898" t="inlineStr">
        <is>
          <t>CUE CARDS (Material: 1.5mm sintra board, Matte vinyl sticker / Size: A5 = 5.8in x 8.3in / 1 Side Print UV PRINT)</t>
        </is>
      </c>
      <c r="T1898">
        <v>4</v>
      </c>
      <c r="U1898">
        <v>70.1</v>
      </c>
      <c r="V1898" t="inlineStr">
        <is>
          <t>PHP</t>
        </is>
      </c>
      <c r="W1898">
        <v>280.4</v>
      </c>
      <c r="X1898" s="2"/>
      <c r="Y1898"/>
      <c r="Z1898"/>
      <c r="AA1898"/>
      <c r="AB1898"/>
      <c r="AC1898"/>
      <c r="AD1898" s="4"/>
      <c r="AE1898"/>
      <c r="AF1898" s="2"/>
      <c r="AG1898" t="inlineStr">
        <is>
          <t>NzQyNTk5MTgyNzQ4MTg3MDM0MTo5QjJBQTgzNy0yQzI5LTQ1NzgtQkMyQi04M0IxRTgyQzgzMzYtMjpjZDdkNjBjN2RiOTkwMDU1YTFlMDZjNzZlMDM2MDA0NTox</t>
        </is>
      </c>
      <c r="AH1898"/>
      <c r="AI1898"/>
      <c r="AJ1898" t="inlineStr">
        <is>
          <t>LIQUIDITY PLAN (PAR # 202508190134 / 2025TEG-P0219)
INTERNAL 0820 COST ESTIMATE &gt; PLAYOFFS &gt;
Collateral &amp; Venue Skinning &gt; AWARDING &gt; Mock Check
PRINT &amp; SKINNING &gt;
Venue Skinning
Feather Banners
Directional Signages (A4)
Mic Flag
Cue Cards
Total Budget = Php 52,500.00
Actual Cost = Php 41,926.08
Balance = Php 10,573.92</t>
        </is>
      </c>
      <c r="AK1898"/>
    </row>
    <row r="1899" ht="25.5" customHeight="1">
      <c r="A1899" s="2" t="str">
        <f>=HYPERLINK("https://applink.larksuite.com/client/mini_program/open?appId=cli_9c7cc8a9a9edd105&amp;mode=appCenter&amp;path_pc=pc/pages/requested/index?instanceId=7600662396671151841&amp;source=bitable&amp;path=pages/detail/index?instanceId=7600662396671151841&amp;source=bitable", "202601290024")</f>
        <v>202601290024</v>
      </c>
      <c r="B1899" t="inlineStr">
        <is>
          <t>Approved</t>
        </is>
      </c>
      <c r="C1899" t="inlineStr">
        <is>
          <t>Procurement Order</t>
        </is>
      </c>
      <c r="D1899" s="3">
        <v>46051.59164351852</v>
      </c>
      <c r="E1899" s="3">
        <v>46057.75239583333</v>
      </c>
      <c r="F1899" t="inlineStr">
        <is>
          <t>Fatima Kathleen M. FLores</t>
        </is>
      </c>
      <c r="G1899" t="inlineStr">
        <is>
          <t>Procurement</t>
        </is>
      </c>
      <c r="H1899"/>
      <c r="I1899"/>
      <c r="J1899" t="inlineStr">
        <is>
          <t>Project</t>
        </is>
      </c>
      <c r="K1899" t="inlineStr">
        <is>
          <t>GG - Event Service</t>
        </is>
      </c>
      <c r="L1899" t="inlineStr">
        <is>
          <t>HOK Philippine Kings League - Fall Season</t>
        </is>
      </c>
      <c r="M1899" t="inlineStr">
        <is>
          <t>2025TEG-P0219</t>
        </is>
      </c>
      <c r="N1899" t="inlineStr">
        <is>
          <t>Frances Angelita Arreglado</t>
        </is>
      </c>
      <c r="O1899" t="inlineStr">
        <is>
          <t>202509280008-Reign Santos Fortea-费用报销 - 副本 - 副本 - 副本-2025-09-28 08:19:20</t>
        </is>
      </c>
      <c r="P1899" t="inlineStr">
        <is>
          <t>NO</t>
        </is>
      </c>
      <c r="Q1899"/>
      <c r="R1899" t="inlineStr">
        <is>
          <t>NO</t>
        </is>
      </c>
      <c r="S1899" t="inlineStr">
        <is>
          <t>MOCK CHEQUE (Material: 3mm sintra board, Matte vinyl sticker / Size: 2ft x 4ft = 24in x 48in / Back to back print UV PRINT)</t>
        </is>
      </c>
      <c r="T1899">
        <v>4</v>
      </c>
      <c r="U1899">
        <v>3225.6</v>
      </c>
      <c r="V1899" t="inlineStr">
        <is>
          <t>PHP</t>
        </is>
      </c>
      <c r="W1899">
        <v>12902.4</v>
      </c>
      <c r="X1899" s="2"/>
      <c r="Y1899"/>
      <c r="Z1899"/>
      <c r="AA1899"/>
      <c r="AB1899"/>
      <c r="AC1899"/>
      <c r="AD1899" s="4"/>
      <c r="AE1899"/>
      <c r="AF1899" s="2"/>
      <c r="AG1899" t="inlineStr">
        <is>
          <t>NzQyNTk5MTgyNzQ4MTg3MDM0MTo5QjJBQTgzNy0yQzI5LTQ1NzgtQkMyQi04M0IxRTgyQzgzMzYtMzo0OGI0M2I3MTE2Yzg1ODhkZTU5M2Y1MDgwZmNkYjIxNTox</t>
        </is>
      </c>
      <c r="AH1899"/>
      <c r="AI1899"/>
      <c r="AJ1899" t="inlineStr">
        <is>
          <t>LIQUIDITY PLAN (PAR # 202508190134 / 2025TEG-P0219)
INTERNAL 0820 COST ESTIMATE &gt; PLAYOFFS &gt;
Collateral &amp; Venue Skinning &gt; AWARDING &gt; Mock Check
PRINT &amp; SKINNING &gt;
Venue Skinning
Feather Banners
Directional Signages (A4)
Mic Flag
Cue Cards
Total Budget = Php 52,500.00
Actual Cost = Php 41,926.08
Balance = Php 10,573.92</t>
        </is>
      </c>
      <c r="AK1899"/>
    </row>
    <row r="1900" ht="25.5" customHeight="1">
      <c r="A1900" s="2" t="str">
        <f>=HYPERLINK("https://applink.larksuite.com/client/mini_program/open?appId=cli_9c7cc8a9a9edd105&amp;mode=appCenter&amp;path_pc=pc/pages/requested/index?instanceId=7600662396671151841&amp;source=bitable&amp;path=pages/detail/index?instanceId=7600662396671151841&amp;source=bitable", "202601290024")</f>
        <v>202601290024</v>
      </c>
      <c r="B1900" t="inlineStr">
        <is>
          <t>Approved</t>
        </is>
      </c>
      <c r="C1900" t="inlineStr">
        <is>
          <t>Procurement Order</t>
        </is>
      </c>
      <c r="D1900" s="3">
        <v>46051.59164351852</v>
      </c>
      <c r="E1900" s="3">
        <v>46057.75239583333</v>
      </c>
      <c r="F1900" t="inlineStr">
        <is>
          <t>Fatima Kathleen M. FLores</t>
        </is>
      </c>
      <c r="G1900" t="inlineStr">
        <is>
          <t>Procurement</t>
        </is>
      </c>
      <c r="H1900"/>
      <c r="I1900"/>
      <c r="J1900" t="inlineStr">
        <is>
          <t>Project</t>
        </is>
      </c>
      <c r="K1900" t="inlineStr">
        <is>
          <t>GG - Event Service</t>
        </is>
      </c>
      <c r="L1900" t="inlineStr">
        <is>
          <t>HOK Philippine Kings League - Fall Season</t>
        </is>
      </c>
      <c r="M1900" t="inlineStr">
        <is>
          <t>2025TEG-P0219</t>
        </is>
      </c>
      <c r="N1900" t="inlineStr">
        <is>
          <t>Frances Angelita Arreglado</t>
        </is>
      </c>
      <c r="O1900" t="inlineStr">
        <is>
          <t>202509280008-Reign Santos Fortea-费用报销 - 副本 - 副本 - 副本-2025-09-28 08:19:20</t>
        </is>
      </c>
      <c r="P1900" t="inlineStr">
        <is>
          <t>NO</t>
        </is>
      </c>
      <c r="Q1900"/>
      <c r="R1900" t="inlineStr">
        <is>
          <t>NO</t>
        </is>
      </c>
      <c r="S1900" t="inlineStr">
        <is>
          <t>DOME BANNER (Material: 12oz tarp Size: 33ft x 10ft = 396in x 120in / MIMAKI SOLVENT PRINT)</t>
        </is>
      </c>
      <c r="T1900">
        <v>3</v>
      </c>
      <c r="U1900">
        <v>9240</v>
      </c>
      <c r="V1900" t="inlineStr">
        <is>
          <t>PHP</t>
        </is>
      </c>
      <c r="W1900">
        <v>27720</v>
      </c>
      <c r="X1900" s="2"/>
      <c r="Y1900"/>
      <c r="Z1900"/>
      <c r="AA1900"/>
      <c r="AB1900"/>
      <c r="AC1900"/>
      <c r="AD1900" s="4"/>
      <c r="AE1900"/>
      <c r="AF1900" s="2"/>
      <c r="AG1900" t="inlineStr">
        <is>
          <t>NzQyNTk5MTgyNzQ4MTg3MDM0MTo5QjJBQTgzNy0yQzI5LTQ1NzgtQkMyQi04M0IxRTgyQzgzMzYtNDo5ZDNkMzhkZDZhMzgyZjNmYWM3MTM4NTZlMjQyZmYzMzox</t>
        </is>
      </c>
      <c r="AH1900"/>
      <c r="AI1900"/>
      <c r="AJ1900" t="inlineStr">
        <is>
          <t>LIQUIDITY PLAN (PAR # 202508190134 / 2025TEG-P0219)
INTERNAL 0820 COST ESTIMATE &gt; PLAYOFFS &gt;
Collateral &amp; Venue Skinning &gt; AWARDING &gt; Mock Check
PRINT &amp; SKINNING &gt;
Venue Skinning
Feather Banners
Directional Signages (A4)
Mic Flag
Cue Cards
Total Budget = Php 52,500.00
Actual Cost = Php 41,926.08
Balance = Php 10,573.92</t>
        </is>
      </c>
      <c r="AK1900"/>
    </row>
    <row r="1901" ht="25.5" customHeight="1">
      <c r="A1901" s="2" t="str">
        <f>=HYPERLINK("https://applink.larksuite.com/client/mini_program/open?appId=cli_9c7cc8a9a9edd105&amp;mode=appCenter&amp;path_pc=pc/pages/requested/index?instanceId=7600662396671151841&amp;source=bitable&amp;path=pages/detail/index?instanceId=7600662396671151841&amp;source=bitable", "202601290024")</f>
        <v>202601290024</v>
      </c>
      <c r="B1901" t="inlineStr">
        <is>
          <t>Approved</t>
        </is>
      </c>
      <c r="C1901" t="inlineStr">
        <is>
          <t>Procurement Order</t>
        </is>
      </c>
      <c r="D1901" s="3">
        <v>46051.59164351852</v>
      </c>
      <c r="E1901" s="3">
        <v>46057.75239583333</v>
      </c>
      <c r="F1901" t="inlineStr">
        <is>
          <t>Fatima Kathleen M. FLores</t>
        </is>
      </c>
      <c r="G1901" t="inlineStr">
        <is>
          <t>Procurement</t>
        </is>
      </c>
      <c r="H1901"/>
      <c r="I1901"/>
      <c r="J1901" t="inlineStr">
        <is>
          <t>Project</t>
        </is>
      </c>
      <c r="K1901" t="inlineStr">
        <is>
          <t>GG - Event Service</t>
        </is>
      </c>
      <c r="L1901" t="inlineStr">
        <is>
          <t>HOK Philippine Kings League - Fall Season</t>
        </is>
      </c>
      <c r="M1901" t="inlineStr">
        <is>
          <t>2025TEG-P0219</t>
        </is>
      </c>
      <c r="N1901" t="inlineStr">
        <is>
          <t>Frances Angelita Arreglado</t>
        </is>
      </c>
      <c r="O1901" t="inlineStr">
        <is>
          <t>202509280008-Reign Santos Fortea-费用报销 - 副本 - 副本 - 副本-2025-09-28 08:19:20</t>
        </is>
      </c>
      <c r="P1901" t="inlineStr">
        <is>
          <t>NO</t>
        </is>
      </c>
      <c r="Q1901"/>
      <c r="R1901" t="inlineStr">
        <is>
          <t>NO</t>
        </is>
      </c>
      <c r="S1901" t="inlineStr">
        <is>
          <t>MIC FLAG (Material: 1.5mm sintra, matte vinyl sticker / Size: 2.75in x 2.75in)</t>
        </is>
      </c>
      <c r="T1901">
        <v>4</v>
      </c>
      <c r="U1901">
        <v>203.84</v>
      </c>
      <c r="V1901" t="inlineStr">
        <is>
          <t>PHP</t>
        </is>
      </c>
      <c r="W1901">
        <v>815.36</v>
      </c>
      <c r="X1901" s="2" t="str">
        <f>=HYPERLINK("https://www.larksuite.com/approval/admin/previewAttachment?key=PMgxDsIwFAPQK9mJ83_MZVhaVQgRFgSd_tmRGFhfTCLmYA9DZjNYGUBE645IcnCK1YqZRjLl2tdxTa63HuZ63ud2nvW5bcf-4nC2huxSnwB4-XtPSXYIP9c3AAD__w", "3 attachment(s)")</f>
        <v>3 attachment(s)</v>
      </c>
      <c r="Y1901"/>
      <c r="Z1901"/>
      <c r="AA1901"/>
      <c r="AB1901"/>
      <c r="AC1901"/>
      <c r="AD1901" s="4"/>
      <c r="AE1901"/>
      <c r="AF1901" s="2"/>
      <c r="AG1901" t="inlineStr">
        <is>
          <t>NzQyNTk5MTgyNzQ4MTg3MDM0MTo5QjJBQTgzNy0yQzI5LTQ1NzgtQkMyQi04M0IxRTgyQzgzMzYtNTplMzZiZmQ3NWI2ZTIxNWM3ZTNhZTA5OGFlZGZhN2YzYTox</t>
        </is>
      </c>
      <c r="AH1901"/>
      <c r="AI1901"/>
      <c r="AJ1901" t="inlineStr">
        <is>
          <t>LIQUIDITY PLAN (PAR # 202508190134 / 2025TEG-P0219)
INTERNAL 0820 COST ESTIMATE &gt; PLAYOFFS &gt;
Collateral &amp; Venue Skinning &gt; AWARDING &gt; Mock Check
PRINT &amp; SKINNING &gt;
Venue Skinning
Feather Banners
Directional Signages (A4)
Mic Flag
Cue Cards
Total Budget = Php 52,500.00
Actual Cost = Php 41,926.08
Balance = Php 10,573.92</t>
        </is>
      </c>
      <c r="AK1901"/>
    </row>
    <row r="1902" ht="25.5" customHeight="1">
      <c r="A1902" s="2" t="str">
        <f>=HYPERLINK("https://applink.larksuite.com/client/mini_program/open?appId=cli_9c7cc8a9a9edd105&amp;mode=appCenter&amp;path_pc=pc/pages/requested/index?instanceId=7600665394008919771&amp;source=bitable&amp;path=pages/detail/index?instanceId=7600665394008919771&amp;source=bitable", "202601290026")</f>
        <v>202601290026</v>
      </c>
      <c r="B1902" t="inlineStr">
        <is>
          <t>Approved</t>
        </is>
      </c>
      <c r="C1902" t="inlineStr">
        <is>
          <t>Procurement Order</t>
        </is>
      </c>
      <c r="D1902" s="3">
        <v>46051.59972222222</v>
      </c>
      <c r="E1902" s="3">
        <v>46080.784317129626</v>
      </c>
      <c r="F1902" t="inlineStr">
        <is>
          <t>Fatima Kathleen M. FLores</t>
        </is>
      </c>
      <c r="G1902" t="inlineStr">
        <is>
          <t>Procurement</t>
        </is>
      </c>
      <c r="H1902"/>
      <c r="I1902"/>
      <c r="J1902" t="inlineStr">
        <is>
          <t>Project</t>
        </is>
      </c>
      <c r="K1902" t="inlineStr">
        <is>
          <t>GG - Event Service</t>
        </is>
      </c>
      <c r="L1902" t="inlineStr">
        <is>
          <t>KIC 2025 - Playoffs</t>
        </is>
      </c>
      <c r="M1902" t="inlineStr">
        <is>
          <t>2025TEG-P0321</t>
        </is>
      </c>
      <c r="N1902" t="inlineStr">
        <is>
          <t>Juvie Anne Asis Castres</t>
        </is>
      </c>
      <c r="O1902" t="inlineStr">
        <is>
          <t>202511200114-Juvie Anne Asis Castres-费用报销 - 副本 - 副本 - 副本-2025-11-20 10:58:42</t>
        </is>
      </c>
      <c r="P1902" t="inlineStr">
        <is>
          <t>NO</t>
        </is>
      </c>
      <c r="Q1902"/>
      <c r="R1902" t="inlineStr">
        <is>
          <t>NO</t>
        </is>
      </c>
      <c r="S1902" t="inlineStr">
        <is>
          <t>Dome Banner - Tarpauline 13oz (Back to back printing) / 4m x 15m</t>
        </is>
      </c>
      <c r="T1902">
        <v>4</v>
      </c>
      <c r="U1902">
        <v>7484.67</v>
      </c>
      <c r="V1902" t="inlineStr">
        <is>
          <t>PHP</t>
        </is>
      </c>
      <c r="W1902">
        <v>29938.68</v>
      </c>
      <c r="X1902" s="2" t="str">
        <f>=HYPERLINK("https://www.larksuite.com/approval/admin/previewAttachment?key=PMg9CkIxEATgK81kNzsZL2NjePjPA0GrnF2wsP1qEDU6o4w0m8GlAqp6OIFhWuJqi5IhKr3mYzve-_V22WPC_jy9r_f5tM0Xu9UaFJkxAPDw91Bm2pX4Ob4BAAD__w", "2 attachment(s)")</f>
        <v>2 attachment(s)</v>
      </c>
      <c r="Y1902" t="inlineStr">
        <is>
          <t>Bank Transfer</t>
        </is>
      </c>
      <c r="Z1902" t="inlineStr">
        <is>
          <t>Bescost Digital Marketing Services Inc.</t>
        </is>
      </c>
      <c r="AA1902" t="inlineStr">
        <is>
          <t>00000-5674-8951</t>
        </is>
      </c>
      <c r="AB1902" t="inlineStr">
        <is>
          <t>Security Bank</t>
        </is>
      </c>
      <c r="AC1902" t="inlineStr">
        <is>
          <t>5105-A Sulok St., Brgy. Ugong, Valenzuela City</t>
        </is>
      </c>
      <c r="AD1902" s="4">
        <v>45996</v>
      </c>
      <c r="AE1902" t="inlineStr">
        <is>
          <t>100% Full Payment - 15 days upon completion of services</t>
        </is>
      </c>
      <c r="AF1902" s="2"/>
      <c r="AG1902" t="inlineStr">
        <is>
          <t>NzQyNTk5MTgyNzQ4MTg3MDM0MTo1QUMwQzNBOC1CRTEzLTRFNzktQjFEQy0yNkJDODcyRUMwMjQtMTpmNDNmYzA1YzkxZGI0OTkzNTQ2ZWY5MTliZTE0YjQ4Yzox</t>
        </is>
      </c>
      <c r="AH1902" t="inlineStr">
        <is>
          <t>Bescost Digital Marketing Services Inc.</t>
        </is>
      </c>
      <c r="AI1902"/>
      <c r="AJ1902" t="inlineStr">
        <is>
          <t>UPDATED LIQUIDITY PLAN (PAR # 202511200098 / 2025TEG-P0321)
COLLATERAL &amp; VENUE SKINNING &gt; Print &amp; Collateral &gt;
Dome Banners - including print + delivery
Total Remaining Budget = Php 48,327.30
Actual Cost = Php 29,938.68
Balance = Php 18,388.62</t>
        </is>
      </c>
      <c r="AK1902"/>
    </row>
    <row r="1903" ht="25.5" customHeight="1">
      <c r="A1903" s="2" t="str">
        <f>=HYPERLINK("https://applink.larksuite.com/client/mini_program/open?appId=cli_9c7cc8a9a9edd105&amp;mode=appCenter&amp;path_pc=pc/pages/requested/index?instanceId=7601142061986746079&amp;source=bitable&amp;path=pages/detail/index?instanceId=7601142061986746079&amp;source=bitable", "202601300131")</f>
        <v>202601300131</v>
      </c>
      <c r="B1903" t="inlineStr">
        <is>
          <t>Approved</t>
        </is>
      </c>
      <c r="C1903" t="inlineStr">
        <is>
          <t>Procurement Order</t>
        </is>
      </c>
      <c r="D1903" s="3">
        <v>46052.88423611111</v>
      </c>
      <c r="E1903" s="3">
        <v>46056.6866087963</v>
      </c>
      <c r="F1903" t="inlineStr">
        <is>
          <t>Fatima Kathleen M. FLores</t>
        </is>
      </c>
      <c r="G1903" t="inlineStr">
        <is>
          <t>Procurement</t>
        </is>
      </c>
      <c r="H1903"/>
      <c r="I1903"/>
      <c r="J1903" t="inlineStr">
        <is>
          <t>Project</t>
        </is>
      </c>
      <c r="K1903" t="inlineStr">
        <is>
          <t>PDEI - Game Marketing</t>
        </is>
      </c>
      <c r="L1903" t="inlineStr">
        <is>
          <t>CCAP CXtreme MLBB Tournament</t>
        </is>
      </c>
      <c r="M1903" t="inlineStr">
        <is>
          <t>2025TEG-P0121</t>
        </is>
      </c>
      <c r="N1903" t="inlineStr">
        <is>
          <t>Maura Aurel Atilano Yap</t>
        </is>
      </c>
      <c r="O1903" t="inlineStr">
        <is>
          <t>202601220044-Maura Aurel Atilano Yap-费用报销 - 副本 - 副本 - 副本-2026-01-22 07:42:33</t>
        </is>
      </c>
      <c r="P1903" t="inlineStr">
        <is>
          <t>YES</t>
        </is>
      </c>
      <c r="Q1903"/>
      <c r="R1903" t="inlineStr">
        <is>
          <t>YES</t>
        </is>
      </c>
      <c r="S1903" t="inlineStr">
        <is>
          <t>Outsourced HMUA</t>
        </is>
      </c>
      <c r="T1903">
        <v>1</v>
      </c>
      <c r="U1903">
        <v>6000</v>
      </c>
      <c r="V1903" t="inlineStr">
        <is>
          <t>PHP</t>
        </is>
      </c>
      <c r="W1903">
        <v>6000</v>
      </c>
      <c r="X1903" s="2" t="str">
        <f>=HYPERLINK("https://www.larksuite.com/approval/admin/previewAttachment?key=PMg9rgJBDAPgK9kZbzJ-l3nNrFb8CBokoMnZkShov5xEzo0jDZlhsCtBKpD0zFKi3NGsMool9347_q-h18LlvsjzeLufp3XsD26uCNSQxgTAv5-PkmSn8HV8AgAA__8", "2 attachment(s)")</f>
        <v>2 attachment(s)</v>
      </c>
      <c r="Y1903" t="inlineStr">
        <is>
          <t>Bank Transfer</t>
        </is>
      </c>
      <c r="Z1903" t="inlineStr">
        <is>
          <t>John Marlon Mendizabal</t>
        </is>
      </c>
      <c r="AA1903" t="inlineStr">
        <is>
          <t>0000009058459599</t>
        </is>
      </c>
      <c r="AB1903" t="inlineStr">
        <is>
          <t>RCBC</t>
        </is>
      </c>
      <c r="AC1903" t="inlineStr">
        <is>
          <t>5535 Chicago st hinapao Brgy. San Jose Antipolo City</t>
        </is>
      </c>
      <c r="AD1903" s="4">
        <v>46059</v>
      </c>
      <c r="AE1903" t="inlineStr">
        <is>
          <t>100% Full Payment</t>
        </is>
      </c>
      <c r="AF1903" s="2"/>
      <c r="AG1903" t="inlineStr">
        <is>
          <t>NzQyNTk5MTgyNzQ4MTg3MDM0MTpFN0FGQTkyQy04NkY0LTQ0OTQtOUU3MS1ERDc2RkE2QTFBNTUtMTpjYjkzYTRkYTRiZmUyY2E3OTY2NzQ0NmRlMTYxY2VlYTox</t>
        </is>
      </c>
      <c r="AH1903" t="inlineStr">
        <is>
          <t>John Marlon Mendizabal</t>
        </is>
      </c>
      <c r="AI1903"/>
      <c r="AJ1903" t="inlineStr">
        <is>
          <t>LIQUIDITY PLAN (PAR # 202512120012 / 2025TEG-P0121)
MANPOWER &gt; TALENTS &gt;
HMUA (For Finals)
Total Budget = Php 4,500.00
Actual Cost = Php 6,000.00
Balance = (Php 1,500.00) OVER BUDGET</t>
        </is>
      </c>
      <c r="AK1903"/>
    </row>
    <row r="1904" ht="25.5" customHeight="1">
      <c r="A1904" s="2" t="str">
        <f>=HYPERLINK("https://applink.larksuite.com/client/mini_program/open?appId=cli_9c7cc8a9a9edd105&amp;mode=appCenter&amp;path_pc=pc/pages/requested/index?instanceId=7601140765586116321&amp;source=bitable&amp;path=pages/detail/index?instanceId=7601140765586116321&amp;source=bitable", "202601300129")</f>
        <v>202601300129</v>
      </c>
      <c r="B1904" t="inlineStr">
        <is>
          <t>Approved</t>
        </is>
      </c>
      <c r="C1904" t="inlineStr">
        <is>
          <t>Procurement Order</t>
        </is>
      </c>
      <c r="D1904" s="3">
        <v>46052.88075231481</v>
      </c>
      <c r="E1904" s="3">
        <v>46057.63238425926</v>
      </c>
      <c r="F1904" t="inlineStr">
        <is>
          <t>Fatima Kathleen M. FLores</t>
        </is>
      </c>
      <c r="G1904" t="inlineStr">
        <is>
          <t>Procurement</t>
        </is>
      </c>
      <c r="H1904"/>
      <c r="I1904"/>
      <c r="J1904" t="inlineStr">
        <is>
          <t>GAE</t>
        </is>
      </c>
      <c r="K1904"/>
      <c r="L1904"/>
      <c r="M1904"/>
      <c r="N1904"/>
      <c r="O1904" t="inlineStr">
        <is>
          <t>202601230018-Madelyn Espanto-费用报销 - 副本 - 副本-2026-01-23 06:04:12</t>
        </is>
      </c>
      <c r="P1904"/>
      <c r="Q1904" t="inlineStr">
        <is>
          <t>Mineski PH</t>
        </is>
      </c>
      <c r="R1904"/>
      <c r="S1904" t="inlineStr">
        <is>
          <t>Google Workspace Subscription / Business Standard Edition - 5 users Renewal (34 months)</t>
        </is>
      </c>
      <c r="T1904">
        <v>1</v>
      </c>
      <c r="U1904">
        <v>2370.83</v>
      </c>
      <c r="V1904" t="inlineStr">
        <is>
          <t>USD</t>
        </is>
      </c>
      <c r="W1904">
        <v>2370.83</v>
      </c>
      <c r="X1904" s="2" t="str">
        <f>=HYPERLINK("https://www.larksuite.com/approval/admin/previewAttachment?key=PMgxrgIxEAPQK9kZZ5z5l_kNUUTBboPE0uTsSBS0LweRozOyoGIrcDtBCs7eR5IZjbtt2gXTqj2P9b_iOD0uzcf1Prv3635b88lebg0OKQYA_v08LKkqha_jEwAA__8", "2 attachment(s)")</f>
        <v>2 attachment(s)</v>
      </c>
      <c r="Y1904" t="inlineStr">
        <is>
          <t>Bank Transfer</t>
        </is>
      </c>
      <c r="Z1904" t="inlineStr">
        <is>
          <t>Kollab Inc.</t>
        </is>
      </c>
      <c r="AA1904" t="inlineStr">
        <is>
          <t>0018-6000-1959</t>
        </is>
      </c>
      <c r="AB1904" t="inlineStr">
        <is>
          <t>UnionBank of the Philippines</t>
        </is>
      </c>
      <c r="AC1904" t="inlineStr">
        <is>
          <t>G/F, Unit 18, BSA Twin Towers, Bank Drive, Ortigas Center Mandaluyong City</t>
        </is>
      </c>
      <c r="AD1904" s="4">
        <v>45632</v>
      </c>
      <c r="AE1904" t="inlineStr">
        <is>
          <t>Coverage: 29-NOV-2025 to 28-NOV-2028
Monthly Billing</t>
        </is>
      </c>
      <c r="AF1904" s="2"/>
      <c r="AG1904" t="inlineStr">
        <is>
          <t>NzQyNTk5MTgyNzQ4MTg3MDM0MTpDOTE2MDg1Qy0yMDNCLTRGMTEtQTNDRS0wQTg2ODUwQUREQTUtMTo0ZjVjMDYwY2UxNmY4YTFhZmQxZGU5NGIxOGM5ZThmMDox</t>
        </is>
      </c>
      <c r="AH1904" t="inlineStr">
        <is>
          <t>Kollab Inc.</t>
        </is>
      </c>
      <c r="AI1904"/>
      <c r="AJ1904"/>
      <c r="AK1904"/>
    </row>
    <row r="1905" ht="25.5" customHeight="1">
      <c r="A1905" s="2" t="str">
        <f>=HYPERLINK("https://applink.larksuite.com/client/mini_program/open?appId=cli_9c7cc8a9a9edd105&amp;mode=appCenter&amp;path_pc=pc/pages/requested/index?instanceId=7601153833925873372&amp;source=bitable&amp;path=pages/detail/index?instanceId=7601153833925873372&amp;source=bitable", "202601300142")</f>
        <v>202601300142</v>
      </c>
      <c r="B1905" t="inlineStr">
        <is>
          <t>Approved</t>
        </is>
      </c>
      <c r="C1905" t="inlineStr">
        <is>
          <t>Procurement Order</t>
        </is>
      </c>
      <c r="D1905" s="3">
        <v>46052.91596064815</v>
      </c>
      <c r="E1905" s="3">
        <v>46055.60395833333</v>
      </c>
      <c r="F1905" t="inlineStr">
        <is>
          <t>Fatima Kathleen M. FLores</t>
        </is>
      </c>
      <c r="G1905" t="inlineStr">
        <is>
          <t>Procurement</t>
        </is>
      </c>
      <c r="H1905"/>
      <c r="I1905"/>
      <c r="J1905" t="inlineStr">
        <is>
          <t>Project</t>
        </is>
      </c>
      <c r="K1905" t="inlineStr">
        <is>
          <t>PDEI - Game Marketing</t>
        </is>
      </c>
      <c r="L1905" t="inlineStr">
        <is>
          <t>CCAP CXtreme MLBB Tournament</t>
        </is>
      </c>
      <c r="M1905" t="inlineStr">
        <is>
          <t>2025TEG-P0121</t>
        </is>
      </c>
      <c r="N1905" t="inlineStr">
        <is>
          <t>Maura Aurel Atilano Yap</t>
        </is>
      </c>
      <c r="O1905" t="inlineStr">
        <is>
          <t>202601230017-Maura Aurel Atilano Yap-费用报销 - 副本 - 副本 - 副本-2026-01-23 05:58:02</t>
        </is>
      </c>
      <c r="P1905" t="inlineStr">
        <is>
          <t>NO</t>
        </is>
      </c>
      <c r="Q1905"/>
      <c r="R1905" t="inlineStr">
        <is>
          <t>NO</t>
        </is>
      </c>
      <c r="S1905" t="inlineStr">
        <is>
          <t>Outsourced Technical Services (Comset + Manpower)</t>
        </is>
      </c>
      <c r="T1905">
        <v>1</v>
      </c>
      <c r="U1905">
        <v>28000</v>
      </c>
      <c r="V1905" t="inlineStr">
        <is>
          <t>PHP</t>
        </is>
      </c>
      <c r="W1905">
        <v>28000</v>
      </c>
      <c r="X1905" s="2" t="str">
        <f>=HYPERLINK("https://www.larksuite.com/approval/admin/previewAttachment?key=PMg7CoIxEATgK80-ktnxMjb-BBEMgqA2e3bBwvabZZg1LKaQMhesOWE2oiLkoxhBb28jBRpTfdzX-Z3-qHWT9ifW2v26XtbxtCG6g5EZBcBOfw9mpjQTP8c3AAD__w", "2 attachment(s)")</f>
        <v>2 attachment(s)</v>
      </c>
      <c r="Y1905" t="inlineStr">
        <is>
          <t>Bank Transfer</t>
        </is>
      </c>
      <c r="Z1905" t="inlineStr">
        <is>
          <t>XSTATIC EVENT SYSTEM INC.</t>
        </is>
      </c>
      <c r="AA1905" t="inlineStr">
        <is>
          <t>011728001773</t>
        </is>
      </c>
      <c r="AB1905" t="inlineStr">
        <is>
          <t>BDO</t>
        </is>
      </c>
      <c r="AC1905" t="inlineStr">
        <is>
          <t>Blk. 15 Lot 26 BF Martinville Las Piñas City</t>
        </is>
      </c>
      <c r="AD1905" s="4">
        <v>46059</v>
      </c>
      <c r="AE1905" t="inlineStr">
        <is>
          <t>100% Full Payment</t>
        </is>
      </c>
      <c r="AF1905" s="2"/>
      <c r="AG1905" t="inlineStr">
        <is>
          <t>NzQyNTk5MTgyNzQ4MTg3MDM0MTpCNjA5MTRGMC03RDVDLTQ5OUYtQTcyNy0zOUVGMzE2QkFDOUMtMTphY2ViOTYwZGE4YTYwNWEwMDIyYWE2ZjE2ZjIzMjVmMDox</t>
        </is>
      </c>
      <c r="AH1905" t="inlineStr">
        <is>
          <t>XSTATIC EVENT SYSTEM INC.</t>
        </is>
      </c>
      <c r="AI1905"/>
      <c r="AJ1905" t="inlineStr">
        <is>
          <t>LIQUIDITY PLAN (PAR # 202512120012 / 2025TEG-P0121)
BROADCAST TECHNICALS &gt; Broadcast Technical Bundle
Total Budget = Php 88,000.00
Actual Cost = Php 28,000.00
Balance = Php 60,000.00</t>
        </is>
      </c>
      <c r="AK1905"/>
    </row>
    <row r="1906" ht="25.5" customHeight="1">
      <c r="A1906" s="2" t="str">
        <f>=HYPERLINK("https://applink.larksuite.com/client/mini_program/open?appId=cli_9c7cc8a9a9edd105&amp;mode=appCenter&amp;path_pc=pc/pages/requested/index?instanceId=7602100892543815387&amp;source=bitable&amp;path=pages/detail/index?instanceId=7602100892543815387&amp;source=bitable", "202602020011")</f>
        <v>202602020011</v>
      </c>
      <c r="B1906" t="inlineStr">
        <is>
          <t>Approved</t>
        </is>
      </c>
      <c r="C1906" t="inlineStr">
        <is>
          <t>Procurement Order</t>
        </is>
      </c>
      <c r="D1906" s="3">
        <v>46055.46810185185</v>
      </c>
      <c r="E1906" s="3">
        <v>46056.68560185185</v>
      </c>
      <c r="F1906" t="inlineStr">
        <is>
          <t>Fatima Kathleen M. FLores</t>
        </is>
      </c>
      <c r="G1906" t="inlineStr">
        <is>
          <t>Procurement</t>
        </is>
      </c>
      <c r="H1906"/>
      <c r="I1906"/>
      <c r="J1906" t="inlineStr">
        <is>
          <t>Project</t>
        </is>
      </c>
      <c r="K1906" t="inlineStr">
        <is>
          <t>PDEI - Game Marketing</t>
        </is>
      </c>
      <c r="L1906" t="inlineStr">
        <is>
          <t>CCAP CXtreme MLBB Tournament</t>
        </is>
      </c>
      <c r="M1906" t="inlineStr">
        <is>
          <t>2025TEG-P0121</t>
        </is>
      </c>
      <c r="N1906" t="inlineStr">
        <is>
          <t>Maura Aurel Atilano Yap</t>
        </is>
      </c>
      <c r="O1906" t="inlineStr">
        <is>
          <t>202601270013-Maura Aurel Atilano Yap-费用报销 - 副本 - 副本 - 副本-2026-01-27 02:50:52</t>
        </is>
      </c>
      <c r="P1906" t="inlineStr">
        <is>
          <t>NO</t>
        </is>
      </c>
      <c r="Q1906"/>
      <c r="R1906" t="inlineStr">
        <is>
          <t>NO</t>
        </is>
      </c>
      <c r="S1906" t="inlineStr">
        <is>
          <t>Outsourced IT Support</t>
        </is>
      </c>
      <c r="T1906">
        <v>1</v>
      </c>
      <c r="U1906">
        <v>1670</v>
      </c>
      <c r="V1906" t="inlineStr">
        <is>
          <t>PHP</t>
        </is>
      </c>
      <c r="W1906">
        <v>1670</v>
      </c>
      <c r="X1906" s="2" t="str">
        <f>=HYPERLINK("https://www.larksuite.com/approval/admin/previewAttachment?key=PMg7CgJhDATgK83k8SfjZWxcFgtdBEGxyNkFC9tvNbE66UsI0QROLRiBlmV4M71rbFglFCs0230_w2_Kxvv4UEc-5nW97NuTqTJDeYQ3AJ7-7hUR0gr8HN8AAAD__w", "2 attachment(s)")</f>
        <v>2 attachment(s)</v>
      </c>
      <c r="Y1906" t="inlineStr">
        <is>
          <t>Bank Transfer</t>
        </is>
      </c>
      <c r="Z1906" t="inlineStr">
        <is>
          <t>Juan Gregorio Leona</t>
        </is>
      </c>
      <c r="AA1906" t="inlineStr">
        <is>
          <t>09850715294</t>
        </is>
      </c>
      <c r="AB1906" t="inlineStr">
        <is>
          <t>GCash</t>
        </is>
      </c>
      <c r="AC1906" t="inlineStr">
        <is>
          <t>Blk 4 Lot 26 Doha Street Napindan Taguig</t>
        </is>
      </c>
      <c r="AD1906" s="4">
        <v>46066</v>
      </c>
      <c r="AE1906" t="inlineStr">
        <is>
          <t>100% Full Payment</t>
        </is>
      </c>
      <c r="AF1906" s="2"/>
      <c r="AG1906" t="inlineStr">
        <is>
          <t>NzQyNTk5MTgyNzQ4MTg3MDM0MTpCNEE4QzE3NS03QzQzLTQ1RTEtQjQwNy1DQTg1QTgxRDUwREItMTpiYzg4N2ZmYWExZThmYjE1YjExYzkwNjk0ZWRhY2EyODox</t>
        </is>
      </c>
      <c r="AH1906" t="inlineStr">
        <is>
          <t>Juan Gregorio Leona</t>
        </is>
      </c>
      <c r="AI1906"/>
      <c r="AJ1906" t="inlineStr">
        <is>
          <t>LIQUIDITY PLAN (PAR # 202512120012 / 2025TEG-P0121)
MANPOWER &gt; IT AND LOGISTICS &gt;
IT Associate
Total Budget = Php 1,800.00
Actual Cost = Php 1,670.00
Balance = Php 130.00</t>
        </is>
      </c>
      <c r="AK1906"/>
    </row>
    <row r="1907" ht="25.5" customHeight="1">
      <c r="A1907" s="2" t="str">
        <f>=HYPERLINK("https://applink.larksuite.com/client/mini_program/open?appId=cli_9c7cc8a9a9edd105&amp;mode=appCenter&amp;path_pc=pc/pages/requested/index?instanceId=7602107972226961118&amp;source=bitable&amp;path=pages/detail/index?instanceId=7602107972226961118&amp;source=bitable", "202602020015")</f>
        <v>202602020015</v>
      </c>
      <c r="B1907" t="inlineStr">
        <is>
          <t>Approved</t>
        </is>
      </c>
      <c r="C1907" t="inlineStr">
        <is>
          <t>Procurement Order</t>
        </is>
      </c>
      <c r="D1907" s="3">
        <v>46055.487175925926</v>
      </c>
      <c r="E1907" s="3">
        <v>46056.58274305556</v>
      </c>
      <c r="F1907" t="inlineStr">
        <is>
          <t>Fatima Kathleen M. FLores</t>
        </is>
      </c>
      <c r="G1907" t="inlineStr">
        <is>
          <t>Procurement</t>
        </is>
      </c>
      <c r="H1907"/>
      <c r="I1907"/>
      <c r="J1907" t="inlineStr">
        <is>
          <t>Project</t>
        </is>
      </c>
      <c r="K1907" t="inlineStr">
        <is>
          <t>GG - Event Service</t>
        </is>
      </c>
      <c r="L1907" t="inlineStr">
        <is>
          <t>Kings Invitational Series Rebroadcast S4 (KIS S4)</t>
        </is>
      </c>
      <c r="M1907" t="inlineStr">
        <is>
          <t>2026TEG-P0007</t>
        </is>
      </c>
      <c r="N1907" t="inlineStr">
        <is>
          <t>Juvie Anne Asis Castres</t>
        </is>
      </c>
      <c r="O1907" t="inlineStr">
        <is>
          <t>202601160039-Juvie Anne Asis Castres-费用报销 - 副本 - 副本 - 副本-2026-01-16 09:28:34</t>
        </is>
      </c>
      <c r="P1907" t="inlineStr">
        <is>
          <t>NO</t>
        </is>
      </c>
      <c r="Q1907"/>
      <c r="R1907" t="inlineStr">
        <is>
          <t>NO</t>
        </is>
      </c>
      <c r="S1907" t="inlineStr">
        <is>
          <t>Outsourced Logistics Services (16ft closed van / Jan 26, 2026)</t>
        </is>
      </c>
      <c r="T1907">
        <v>1</v>
      </c>
      <c r="U1907">
        <v>8712</v>
      </c>
      <c r="V1907" t="inlineStr">
        <is>
          <t>PHP</t>
        </is>
      </c>
      <c r="W1907">
        <v>8712</v>
      </c>
      <c r="X1907" s="2" t="str">
        <f>=HYPERLINK("https://www.larksuite.com/approval/admin/previewAttachment?key=PMtBqoIxDATgK82kaZJ5l3mbliKCIAj_LmcXXbj94IsioiZHCC6awM6AEak0s1CQrLZmppBMV-_H-X_eV2rNmucq7tPXbZ394vws5HAfBYB_Px_p7lI4vo53AAAA__8", "3 attachment(s)")</f>
        <v>3 attachment(s)</v>
      </c>
      <c r="Y1907" t="inlineStr">
        <is>
          <t>Bank Transfer</t>
        </is>
      </c>
      <c r="Z1907" t="inlineStr">
        <is>
          <t>ONE-MAX TRUCKING SERVICES</t>
        </is>
      </c>
      <c r="AA1907" t="inlineStr">
        <is>
          <t>504-3-50448621-5</t>
        </is>
      </c>
      <c r="AB1907" t="inlineStr">
        <is>
          <t>METROBANK</t>
        </is>
      </c>
      <c r="AC1907" t="inlineStr">
        <is>
          <t>Eastdrive St., Marikina Heights, Marikina City</t>
        </is>
      </c>
      <c r="AD1907" s="4">
        <v>46066</v>
      </c>
      <c r="AE1907" t="inlineStr">
        <is>
          <t>100% Full Payment</t>
        </is>
      </c>
      <c r="AF1907" s="2"/>
      <c r="AG1907" t="inlineStr">
        <is>
          <t>NzQyNTk5MTgyNzQ4MTg3MDM0MToyRjdGQjQyOC03RkYxLTQ5NUItODUxOS01RDYwMkY0OTk3QzQtMTpjMTYzNTFkYThiNjdlZTExOGFhZWJlNTliMTI3NGM4Nzox</t>
        </is>
      </c>
      <c r="AH1907" t="inlineStr">
        <is>
          <t>ONE-MAX TRUCKING SERVICES</t>
        </is>
      </c>
      <c r="AI1907"/>
      <c r="AJ1907" t="inlineStr">
        <is>
          <t>LIQUIDITY PLAN (PAR # 202601190092 / 2026TEG-P0007)
116 INTERNAL CE TAB &gt; MOBILIZATION &gt;
Ingress &amp; Egress Mobilization
Total Budget = Php 20,000.00
Actual Cost = Php 8,712.00
Balance = Php 11,288.00</t>
        </is>
      </c>
      <c r="AK1907"/>
    </row>
    <row r="1908" ht="25.5" customHeight="1">
      <c r="A1908" s="2" t="str">
        <f>=HYPERLINK("https://applink.larksuite.com/client/mini_program/open?appId=cli_9c7cc8a9a9edd105&amp;mode=appCenter&amp;path_pc=pc/pages/requested/index?instanceId=7602556907525557980&amp;source=bitable&amp;path=pages/detail/index?instanceId=7602556907525557980&amp;source=bitable", "202602030080")</f>
        <v>202602030080</v>
      </c>
      <c r="B1908" t="inlineStr">
        <is>
          <t>Approved</t>
        </is>
      </c>
      <c r="C1908" t="inlineStr">
        <is>
          <t>Procurement Order</t>
        </is>
      </c>
      <c r="D1908" s="3">
        <v>46056.696967592594</v>
      </c>
      <c r="E1908" s="3">
        <v>46056.75342592593</v>
      </c>
      <c r="F1908" t="inlineStr">
        <is>
          <t>Fatima Kathleen M. FLores</t>
        </is>
      </c>
      <c r="G1908" t="inlineStr">
        <is>
          <t>Procurement</t>
        </is>
      </c>
      <c r="H1908"/>
      <c r="I1908"/>
      <c r="J1908" t="inlineStr">
        <is>
          <t>GAE</t>
        </is>
      </c>
      <c r="K1908"/>
      <c r="L1908"/>
      <c r="M1908"/>
      <c r="N1908"/>
      <c r="O1908" t="inlineStr">
        <is>
          <t>202602030059-Jessica Jane Lor Felicilda-费用报销 - 副本 - 副本 - 副本-2026-02-03 07:52:12</t>
        </is>
      </c>
      <c r="P1908"/>
      <c r="Q1908" t="inlineStr">
        <is>
          <t>Mineski PH</t>
        </is>
      </c>
      <c r="R1908"/>
      <c r="S1908" t="inlineStr">
        <is>
          <t>Outsourced Deep Cleaning Services (5 hours) - for new office</t>
        </is>
      </c>
      <c r="T1908">
        <v>1</v>
      </c>
      <c r="U1908">
        <v>33725</v>
      </c>
      <c r="V1908" t="inlineStr">
        <is>
          <t>PHP</t>
        </is>
      </c>
      <c r="W1908">
        <v>33725</v>
      </c>
      <c r="X1908" s="2" t="str">
        <f>=HYPERLINK("https://www.larksuite.com/approval/admin/previewAttachment?key=PMgxCgJBDAXQK_1kkvz5XsbGYRHWFUEQm5xdsNj21TTUTBslhMwFaxY8swSmZyY10d5GCjSGeh3bNXy8tJ47jgf27-rP_batt6XoDo6IMQHY5fTBiJAq8Hf8AgAA__8", "2 attachment(s)")</f>
        <v>2 attachment(s)</v>
      </c>
      <c r="Y1908" t="inlineStr">
        <is>
          <t>Bank Transfer</t>
        </is>
      </c>
      <c r="Z1908" t="inlineStr">
        <is>
          <t>JobWellDone Cleaning Service</t>
        </is>
      </c>
      <c r="AA1908" t="inlineStr">
        <is>
          <t>4579 3805 81</t>
        </is>
      </c>
      <c r="AB1908" t="inlineStr">
        <is>
          <t>BPI</t>
        </is>
      </c>
      <c r="AC1908" t="inlineStr">
        <is>
          <t>Rm 726 KB Arizona Tower Cond. P Campa St., Sampaloc, Manila</t>
        </is>
      </c>
      <c r="AD1908" s="4">
        <v>46057</v>
      </c>
      <c r="AE1908" t="inlineStr">
        <is>
          <t>Php 6,250 - Down payment upon confirmation
Balance upon completion of services</t>
        </is>
      </c>
      <c r="AF1908" s="2" t="str">
        <f>=HYPERLINK("https://www.larksuite.com/approval/admin/previewAttachment?key=TMg9CsJAFATgK83svr_xMjYuQYgRQRCbd3bBKu0XRUQ5ZwgmDoGdgeEeQvpw91ShRzNTSKap17FdbcyX1nPH8cD-Xf2537b1ZtQMmNyMAsDLyUmoZsy_4xcAAP__", "2 attachment(s)")</f>
        <v>2 attachment(s)</v>
      </c>
      <c r="AG1908" t="inlineStr">
        <is>
          <t>NzQyNTk5MTgyNzQ4MTg3MDM0MTowQUIzMUY2OS1DOTBELTQzNDYtQTUxNi0yRUIxOTlGNTYzQzUtMTozMmI2Zjg5ODk4ZTU0NmRiMjBlZDdmZTFhMTBiMzA3Mjox</t>
        </is>
      </c>
      <c r="AH1908" t="inlineStr">
        <is>
          <t>JobWellDone Cleaning Service</t>
        </is>
      </c>
      <c r="AI1908"/>
      <c r="AJ1908"/>
      <c r="AK1908"/>
    </row>
    <row r="1909" ht="25.5" customHeight="1">
      <c r="A1909" s="2" t="str">
        <f>=HYPERLINK("https://applink.larksuite.com/client/mini_program/open?appId=cli_9c7cc8a9a9edd105&amp;mode=appCenter&amp;path_pc=pc/pages/requested/index?instanceId=7602563569783164638&amp;source=bitable&amp;path=pages/detail/index?instanceId=7602563569783164638&amp;source=bitable", "202602030095")</f>
        <v>202602030095</v>
      </c>
      <c r="B1909" t="inlineStr">
        <is>
          <t>Approved</t>
        </is>
      </c>
      <c r="C1909" t="inlineStr">
        <is>
          <t>Procurement Order</t>
        </is>
      </c>
      <c r="D1909" s="3">
        <v>46056.71491898148</v>
      </c>
      <c r="E1909" s="3">
        <v>46080.78628472222</v>
      </c>
      <c r="F1909" t="inlineStr">
        <is>
          <t>Fatima Kathleen M. FLores</t>
        </is>
      </c>
      <c r="G1909" t="inlineStr">
        <is>
          <t>Procurement</t>
        </is>
      </c>
      <c r="H1909"/>
      <c r="I1909"/>
      <c r="J1909" t="inlineStr">
        <is>
          <t>Project</t>
        </is>
      </c>
      <c r="K1909" t="inlineStr">
        <is>
          <t>PDEI - Event Service</t>
        </is>
      </c>
      <c r="L1909" t="inlineStr">
        <is>
          <t>MPL PH S16 - Regular Season</t>
        </is>
      </c>
      <c r="M1909" t="inlineStr">
        <is>
          <t>2025TEG-P0214</t>
        </is>
      </c>
      <c r="N1909" t="inlineStr">
        <is>
          <t>Katherine Denise Lee Sy</t>
        </is>
      </c>
      <c r="O1909" t="inlineStr">
        <is>
          <t>202601280051-Katherine Denise Lee Sy-费用报销 - 副本 - 副本 - 副本-2026-01-28 08:00:07</t>
        </is>
      </c>
      <c r="P1909" t="inlineStr">
        <is>
          <t>NO</t>
        </is>
      </c>
      <c r="Q1909"/>
      <c r="R1909" t="inlineStr">
        <is>
          <t>NO</t>
        </is>
      </c>
      <c r="S1909" t="inlineStr">
        <is>
          <t>Venue Damages and Incidental Charges</t>
        </is>
      </c>
      <c r="T1909">
        <v>1</v>
      </c>
      <c r="U1909">
        <v>25000</v>
      </c>
      <c r="V1909" t="inlineStr">
        <is>
          <t>PHP</t>
        </is>
      </c>
      <c r="W1909">
        <v>25000</v>
      </c>
      <c r="X1909" s="2" t="str">
        <f>=HYPERLINK("https://www.larksuite.com/approval/admin/previewAttachment?key=PMgxDsIwFAPQK9n5zv8xl2FpVSFKsyCx5exIDKwvB5GjM9KQ2QyuSrSe0dM1gqmMsdpilVEsee3XcZ-c2yWc2_TreWJ9Htuxv9ldraFCigGAt79HSbJT-Dm-AQAA__8", "2 attachment(s)")</f>
        <v>2 attachment(s)</v>
      </c>
      <c r="Y1909" t="inlineStr">
        <is>
          <t>Bank Transfer</t>
        </is>
      </c>
      <c r="Z1909" t="inlineStr">
        <is>
          <t>Green Sun Hotel Management Inc.</t>
        </is>
      </c>
      <c r="AA1909" t="inlineStr">
        <is>
          <t>634-7-634-02936-9</t>
        </is>
      </c>
      <c r="AB1909" t="inlineStr">
        <is>
          <t>Metrobank</t>
        </is>
      </c>
      <c r="AC1909" t="inlineStr">
        <is>
          <t>2285 Don Chino Roces Ave. Ext., Magallanes, Makati City</t>
        </is>
      </c>
      <c r="AD1909" s="4">
        <v>46066</v>
      </c>
      <c r="AE1909" t="inlineStr">
        <is>
          <t>100% Full Payment</t>
        </is>
      </c>
      <c r="AF1909" s="2"/>
      <c r="AG1909" t="inlineStr">
        <is>
          <t>NzQyNTk5MTgyNzQ4MTg3MDM0MTowN0IxQzBFRi0xMDdCLTQyMzAtQUZDRS05MjFCN0I1NkYwMTQtMTo2MDI1Yjc2MzFiOTQ2ZjZlY2I3NzBmMzE2OTNhZTQyMTox</t>
        </is>
      </c>
      <c r="AH1909" t="inlineStr">
        <is>
          <t>Green Sun Hotel Management Inc.</t>
        </is>
      </c>
      <c r="AI1909"/>
      <c r="AJ1909" t="inlineStr">
        <is>
          <t>LIQUIDITY PLAN (PAR # 202509020093 / 2025TEG-P0214)
REGULAR SEASON CE TAB &gt; 4.1 Staging and Production&gt;
BROADCAST TECHNICALS (TUCK IN HERE) &gt;
HIDE FROM CLIENT
Total Remaining Budget = Php 173,928.55
Actual Cost = Php 25,000.00
Balance = Php 148,928.55</t>
        </is>
      </c>
      <c r="AK1909"/>
    </row>
    <row r="1910" ht="25.5" customHeight="1">
      <c r="A1910" s="2" t="str">
        <f>=HYPERLINK("https://applink.larksuite.com/client/mini_program/open?appId=cli_9c7cc8a9a9edd105&amp;mode=appCenter&amp;path_pc=pc/pages/requested/index?instanceId=7602562064149663455&amp;source=bitable&amp;path=pages/detail/index?instanceId=7602562064149663455&amp;source=bitable", "202602030092")</f>
        <v>202602030092</v>
      </c>
      <c r="B1910" t="inlineStr">
        <is>
          <t>Approved</t>
        </is>
      </c>
      <c r="C1910" t="inlineStr">
        <is>
          <t>Procurement Order</t>
        </is>
      </c>
      <c r="D1910" s="3">
        <v>46056.710868055554</v>
      </c>
      <c r="E1910" s="3">
        <v>46057.66202546296</v>
      </c>
      <c r="F1910" t="inlineStr">
        <is>
          <t>Fatima Kathleen M. FLores</t>
        </is>
      </c>
      <c r="G1910" t="inlineStr">
        <is>
          <t>Procurement</t>
        </is>
      </c>
      <c r="H1910"/>
      <c r="I1910"/>
      <c r="J1910" t="inlineStr">
        <is>
          <t>Project</t>
        </is>
      </c>
      <c r="K1910" t="inlineStr">
        <is>
          <t>PDEI - Game Marketing</t>
        </is>
      </c>
      <c r="L1910" t="inlineStr">
        <is>
          <t>CCAP CXtreme MLBB Tournament</t>
        </is>
      </c>
      <c r="M1910" t="inlineStr">
        <is>
          <t>2025TEG-P0121</t>
        </is>
      </c>
      <c r="N1910" t="inlineStr">
        <is>
          <t>Maura Aurel Atilano Yap</t>
        </is>
      </c>
      <c r="O1910" t="inlineStr">
        <is>
          <t>202601270009-Maura Aurel Atilano Yap-费用报销 - 副本 - 副本 - 副本-2026-01-27 02:39:31</t>
        </is>
      </c>
      <c r="P1910" t="inlineStr">
        <is>
          <t>YES</t>
        </is>
      </c>
      <c r="Q1910"/>
      <c r="R1910" t="inlineStr">
        <is>
          <t>NO</t>
        </is>
      </c>
      <c r="S1910" t="inlineStr">
        <is>
          <t>Outsourced Talent / Caster (Athena)</t>
        </is>
      </c>
      <c r="T1910">
        <v>1</v>
      </c>
      <c r="U1910">
        <v>15600</v>
      </c>
      <c r="V1910" t="inlineStr">
        <is>
          <t>PHP</t>
        </is>
      </c>
      <c r="W1910">
        <v>15600</v>
      </c>
      <c r="X1910" s="2" t="str">
        <f>=HYPERLINK("https://www.larksuite.com/approval/admin/previewAttachment?key=PMhBCsJQDATQK80kk-THy7ixFKnUjVh08c8uuOj25SByBD0balqDsxIWaUhRnemKmDZZ1ShWYC77et12Pt7mtXF8vsdzHvfburwYXWYol3wA4OV0L0ndKfwdvwAAAP__", "2 attachment(s)")</f>
        <v>2 attachment(s)</v>
      </c>
      <c r="Y1910" t="inlineStr">
        <is>
          <t>Bank Transfer</t>
        </is>
      </c>
      <c r="Z1910" t="inlineStr">
        <is>
          <t>Rikaexa Paloma</t>
        </is>
      </c>
      <c r="AA1910" t="inlineStr">
        <is>
          <t>4859070642</t>
        </is>
      </c>
      <c r="AB1910" t="inlineStr">
        <is>
          <t>BPI</t>
        </is>
      </c>
      <c r="AC1910" t="inlineStr">
        <is>
          <t>75 M. Santos St. Santolan Malabon</t>
        </is>
      </c>
      <c r="AD1910" s="4">
        <v>46066</v>
      </c>
      <c r="AE1910" t="inlineStr">
        <is>
          <t>100% Full Payment</t>
        </is>
      </c>
      <c r="AF1910" s="2"/>
      <c r="AG1910" t="inlineStr">
        <is>
          <t>NzQyNTk5MTgyNzQ4MTg3MDM0MTo3NTkxREExNC1BRjcwLTRBNEEtQkJFNC1BQTg4MjVBNzlGMTUtMTo1MjZhODkyMjc3MDA2NTJjMzljMmI4MTU4MDA1NGZmNDox</t>
        </is>
      </c>
      <c r="AH1910" t="inlineStr">
        <is>
          <t>Rikaexa Paloma</t>
        </is>
      </c>
      <c r="AI1910"/>
      <c r="AJ1910" t="inlineStr">
        <is>
          <t>LIQUIDITY PLAN (PAR # 202512120012 / 2025TEG-P0121)
MANPOWER &gt; TALENTS &gt;
Casters (Qualifiers)
Caster (Finals)
Total Remaining Budget = Php 28,900.00
Actual Cost = Php 15,600.00
Balance = Php 13,300.00</t>
        </is>
      </c>
      <c r="AK1910"/>
    </row>
    <row r="1911" ht="25.5" customHeight="1">
      <c r="A1911" s="2" t="str">
        <f>=HYPERLINK("https://applink.larksuite.com/client/mini_program/open?appId=cli_9c7cc8a9a9edd105&amp;mode=appCenter&amp;path_pc=pc/pages/requested/index?instanceId=7602561378490011361&amp;source=bitable&amp;path=pages/detail/index?instanceId=7602561378490011361&amp;source=bitable", "202602030090")</f>
        <v>202602030090</v>
      </c>
      <c r="B1911" t="inlineStr">
        <is>
          <t>Approved</t>
        </is>
      </c>
      <c r="C1911" t="inlineStr">
        <is>
          <t>Procurement Order</t>
        </is>
      </c>
      <c r="D1911" s="3">
        <v>46056.709016203706</v>
      </c>
      <c r="E1911" s="3">
        <v>46057.66273148148</v>
      </c>
      <c r="F1911" t="inlineStr">
        <is>
          <t>Fatima Kathleen M. FLores</t>
        </is>
      </c>
      <c r="G1911" t="inlineStr">
        <is>
          <t>Procurement</t>
        </is>
      </c>
      <c r="H1911"/>
      <c r="I1911"/>
      <c r="J1911" t="inlineStr">
        <is>
          <t>Project</t>
        </is>
      </c>
      <c r="K1911" t="inlineStr">
        <is>
          <t>PDEI - Game Marketing</t>
        </is>
      </c>
      <c r="L1911" t="inlineStr">
        <is>
          <t>CCAP CXtreme MLBB Tournament</t>
        </is>
      </c>
      <c r="M1911" t="inlineStr">
        <is>
          <t>2025TEG-P0121</t>
        </is>
      </c>
      <c r="N1911" t="inlineStr">
        <is>
          <t>Maura Aurel Atilano Yap</t>
        </is>
      </c>
      <c r="O1911" t="inlineStr">
        <is>
          <t>202601270009-Maura Aurel Atilano Yap-费用报销 - 副本 - 副本 - 副本-2026-01-27 02:39:31</t>
        </is>
      </c>
      <c r="P1911" t="inlineStr">
        <is>
          <t>YES</t>
        </is>
      </c>
      <c r="Q1911"/>
      <c r="R1911" t="inlineStr">
        <is>
          <t>NO</t>
        </is>
      </c>
      <c r="S1911" t="inlineStr">
        <is>
          <t>Outsourced Talent / Caster (Uomi)</t>
        </is>
      </c>
      <c r="T1911">
        <v>1</v>
      </c>
      <c r="U1911">
        <v>14500</v>
      </c>
      <c r="V1911" t="inlineStr">
        <is>
          <t>PHP</t>
        </is>
      </c>
      <c r="W1911">
        <v>14500</v>
      </c>
      <c r="X1911" s="2" t="str">
        <f>=HYPERLINK("https://www.larksuite.com/approval/admin/previewAttachment?key=PMg7CsJgEATgK83sa_71MjYJQQiCIJhqzy5Y2H61iFpJr0Y0rcFRwbLoWtEA6cWxodQQlZj9edyvMLyu7fQ9_UzM57Ed-5vZMoM8whcA3v7uiojuCvwc3wAAAP__", "2 attachment(s)")</f>
        <v>2 attachment(s)</v>
      </c>
      <c r="Y1911" t="inlineStr">
        <is>
          <t>Bank Transfer</t>
        </is>
      </c>
      <c r="Z1911" t="inlineStr">
        <is>
          <t>Marcus Theodore R. Ignacio</t>
        </is>
      </c>
      <c r="AA1911" t="inlineStr">
        <is>
          <t>146210035714</t>
        </is>
      </c>
      <c r="AB1911" t="inlineStr">
        <is>
          <t>PNB</t>
        </is>
      </c>
      <c r="AC1911" t="inlineStr">
        <is>
          <t>Maricielo Villas, Pulanglupa Uno, Las Pinas City</t>
        </is>
      </c>
      <c r="AD1911" s="4">
        <v>46066</v>
      </c>
      <c r="AE1911" t="inlineStr">
        <is>
          <t>100% Full Payment</t>
        </is>
      </c>
      <c r="AF1911" s="2"/>
      <c r="AG1911" t="inlineStr">
        <is>
          <t>NzQyNTk5MTgyNzQ4MTg3MDM0MTpBMDgzRjhGRi0xNzlELTRBNzMtQTdDMC01QTY5QjZGOTJFREItMTo4MmU0MGJkMTVkOWZhMzhiZDMyNjNiN2FiODUzNzcwZjox</t>
        </is>
      </c>
      <c r="AH1911" t="inlineStr">
        <is>
          <t>Marcus Theodore R. Ignacio</t>
        </is>
      </c>
      <c r="AI1911"/>
      <c r="AJ1911" t="inlineStr">
        <is>
          <t>LIQUIDITY PLAN (PAR # 202512120012 / 2025TEG-P0121)
MANPOWER &gt; TALENTS &gt;
Casters (Qualifiers)
Caster (Finals)
Total Remaining Budget = Php 43,400.00
Actual Cost = Php 14,500.00
Balance = Php 28,900.00</t>
        </is>
      </c>
      <c r="AK1911"/>
    </row>
    <row r="1912" ht="25.5" customHeight="1">
      <c r="A1912" s="2" t="str">
        <f>=HYPERLINK("https://applink.larksuite.com/client/mini_program/open?appId=cli_9c7cc8a9a9edd105&amp;mode=appCenter&amp;path_pc=pc/pages/requested/index?instanceId=7602560185353113309&amp;source=bitable&amp;path=pages/detail/index?instanceId=7602560185353113309&amp;source=bitable", "202602030089")</f>
        <v>202602030089</v>
      </c>
      <c r="B1912" t="inlineStr">
        <is>
          <t>Approved</t>
        </is>
      </c>
      <c r="C1912" t="inlineStr">
        <is>
          <t>Procurement Order</t>
        </is>
      </c>
      <c r="D1912" s="3">
        <v>46056.70579861111</v>
      </c>
      <c r="E1912" s="3">
        <v>46057.657858796294</v>
      </c>
      <c r="F1912" t="inlineStr">
        <is>
          <t>Fatima Kathleen M. FLores</t>
        </is>
      </c>
      <c r="G1912" t="inlineStr">
        <is>
          <t>Procurement</t>
        </is>
      </c>
      <c r="H1912"/>
      <c r="I1912"/>
      <c r="J1912" t="inlineStr">
        <is>
          <t>Project</t>
        </is>
      </c>
      <c r="K1912" t="inlineStr">
        <is>
          <t>PDEI - Game Marketing</t>
        </is>
      </c>
      <c r="L1912" t="inlineStr">
        <is>
          <t>CCAP CXtreme MLBB Tournament</t>
        </is>
      </c>
      <c r="M1912" t="inlineStr">
        <is>
          <t>2025TEG-P0121</t>
        </is>
      </c>
      <c r="N1912" t="inlineStr">
        <is>
          <t>Maura Aurel Atilano Yap</t>
        </is>
      </c>
      <c r="O1912" t="inlineStr">
        <is>
          <t>202601270009-Maura Aurel Atilano Yap-费用报销 - 副本 - 副本 - 副本-2026-01-27 02:39:31</t>
        </is>
      </c>
      <c r="P1912" t="inlineStr">
        <is>
          <t>YES</t>
        </is>
      </c>
      <c r="Q1912"/>
      <c r="R1912" t="inlineStr">
        <is>
          <t>NO</t>
        </is>
      </c>
      <c r="S1912" t="inlineStr">
        <is>
          <t>Outsourced Talent / Caster (Brigida)</t>
        </is>
      </c>
      <c r="T1912">
        <v>1</v>
      </c>
      <c r="U1912">
        <v>15600</v>
      </c>
      <c r="V1912" t="inlineStr">
        <is>
          <t>PHP</t>
        </is>
      </c>
      <c r="W1912">
        <v>15600</v>
      </c>
      <c r="X1912" s="2" t="str">
        <f>=HYPERLINK("https://www.larksuite.com/approval/admin/previewAttachment?key=PMg9CsJQEATgK828_Zm3XsYmIYhBEcSgxZ5dsLD9chI5g5YFL44CW4kRCc6wMNIM1aMpFUQFer1t58d12XV_7TSt7-PTx2XZ1iejNAZk7jYB8PR3k7tXpePn-AYAAP__", "2 attachment(s)")</f>
        <v>2 attachment(s)</v>
      </c>
      <c r="Y1912" t="inlineStr">
        <is>
          <t>Bank Transfer</t>
        </is>
      </c>
      <c r="Z1912" t="inlineStr">
        <is>
          <t>Bridgitte Alexandra Ramos</t>
        </is>
      </c>
      <c r="AA1912" t="inlineStr">
        <is>
          <t>1979109799</t>
        </is>
      </c>
      <c r="AB1912" t="inlineStr">
        <is>
          <t>BPI</t>
        </is>
      </c>
      <c r="AC1912" t="inlineStr">
        <is>
          <t>20-G Samat st., Brgy. Lourdes, QC</t>
        </is>
      </c>
      <c r="AD1912" s="4">
        <v>46066</v>
      </c>
      <c r="AE1912" t="inlineStr">
        <is>
          <t>100% Full Payment</t>
        </is>
      </c>
      <c r="AF1912" s="2"/>
      <c r="AG1912" t="inlineStr">
        <is>
          <t>NzQyNTk5MTgyNzQ4MTg3MDM0MTpFNEMwRjNCMC0xREY3LTQ4NTQtOEVEOC05NjlCQjkxMUQ3MEUtMTphZmJhODgzODI3ODZmMDM3NTAzYjkwYmJiNzE3N2U3Mzox</t>
        </is>
      </c>
      <c r="AH1912" t="inlineStr">
        <is>
          <t>Bridgitte Alexandra Ramos</t>
        </is>
      </c>
      <c r="AI1912"/>
      <c r="AJ1912" t="inlineStr">
        <is>
          <t>LIQUIDITY PLAN (PAR # 202512120012 / 2025TEG-P0121)
MANPOWER &gt; TALENTS &gt;
Casters (Qualifiers)
Caster (Finals)
Total Remaining Budget = Php 59,000.00
Actual Cost = Php 15,600.00
Balance = Php 43,400.00</t>
        </is>
      </c>
      <c r="AK1912"/>
    </row>
    <row r="1913" ht="25.5" customHeight="1">
      <c r="A1913" s="2" t="str">
        <f>=HYPERLINK("https://applink.larksuite.com/client/mini_program/open?appId=cli_9c7cc8a9a9edd105&amp;mode=appCenter&amp;path_pc=pc/pages/requested/index?instanceId=7602574121767063264&amp;source=bitable&amp;path=pages/detail/index?instanceId=7602574121767063264&amp;source=bitable", "202602030102")</f>
        <v>202602030102</v>
      </c>
      <c r="B1913" t="inlineStr">
        <is>
          <t>Recalled</t>
        </is>
      </c>
      <c r="C1913" t="inlineStr">
        <is>
          <t>Procurement Order</t>
        </is>
      </c>
      <c r="D1913" s="3">
        <v>46056.74335648148</v>
      </c>
      <c r="E1913" s="3">
        <v>46058.51534722222</v>
      </c>
      <c r="F1913" t="inlineStr">
        <is>
          <t>Fatima Kathleen M. FLores</t>
        </is>
      </c>
      <c r="G1913" t="inlineStr">
        <is>
          <t>Procurement</t>
        </is>
      </c>
      <c r="H1913"/>
      <c r="I1913"/>
      <c r="J1913" t="inlineStr">
        <is>
          <t>GAE</t>
        </is>
      </c>
      <c r="K1913"/>
      <c r="L1913"/>
      <c r="M1913"/>
      <c r="N1913"/>
      <c r="O1913" t="inlineStr">
        <is>
          <t>202602030062-Jessica Jane Lor Felicilda-费用报销 - 副本 - 副本 - 副本-2026-02-03 08:10:44</t>
        </is>
      </c>
      <c r="P1913"/>
      <c r="Q1913" t="inlineStr">
        <is>
          <t>Mineski PH</t>
        </is>
      </c>
      <c r="R1913"/>
      <c r="S1913" t="inlineStr">
        <is>
          <t>Outsourced Logistics Associates</t>
        </is>
      </c>
      <c r="T1913">
        <v>1</v>
      </c>
      <c r="U1913">
        <v>3000</v>
      </c>
      <c r="V1913" t="inlineStr">
        <is>
          <t>PHP</t>
        </is>
      </c>
      <c r="W1913">
        <v>3000</v>
      </c>
      <c r="X1913" s="2" t="str">
        <f>=HYPERLINK("https://www.larksuite.com/approval/admin/previewAttachment?key=PMgxDsIwFAPQK9k_znc-l2GhqhgoCyphydmRGFhfDiJHZ8uCilHgciK6xaDTyBapFYt2wXTH2o79OhTAZxzPc87H6fW-3_btxV6OgJvUBgBe_t4sqSqFn-MbAAD__w", "2 attachment(s)")</f>
        <v>2 attachment(s)</v>
      </c>
      <c r="Y1913" t="inlineStr">
        <is>
          <t>Bank Transfer</t>
        </is>
      </c>
      <c r="Z1913" t="inlineStr">
        <is>
          <t>RIC JACA</t>
        </is>
      </c>
      <c r="AA1913" t="inlineStr">
        <is>
          <t>09509516216</t>
        </is>
      </c>
      <c r="AB1913" t="inlineStr">
        <is>
          <t>GCASH</t>
        </is>
      </c>
      <c r="AC1913" t="inlineStr">
        <is>
          <t>321 Sitio Langhaya Brgy. Dela Paz Antipolo Ri</t>
        </is>
      </c>
      <c r="AD1913" s="4">
        <v>46060</v>
      </c>
      <c r="AE1913" t="inlineStr">
        <is>
          <t>100% Full Payment</t>
        </is>
      </c>
      <c r="AF1913" s="2"/>
      <c r="AG1913" t="inlineStr">
        <is>
          <t>NzQyNTk5MTgyNzQ4MTg3MDM0MTo1NUM2QjBFNy04REQwLTQ5MzMtOTdERi1GOURFMzAxRjY1ODUtMTowZWU1ODU5ODI0YjMzMzk3ZWEwZjE4NmUxMDU2MWNmNjox</t>
        </is>
      </c>
      <c r="AH1913" t="inlineStr">
        <is>
          <t>RIC JACA</t>
        </is>
      </c>
      <c r="AI1913"/>
      <c r="AJ1913"/>
      <c r="AK1913"/>
    </row>
    <row r="1914" ht="25.5" customHeight="1">
      <c r="A1914" s="2" t="str">
        <f>=HYPERLINK("https://applink.larksuite.com/client/mini_program/open?appId=cli_9c7cc8a9a9edd105&amp;mode=appCenter&amp;path_pc=pc/pages/requested/index?instanceId=7600671668167577312&amp;source=bitable&amp;path=pages/detail/index?instanceId=7600671668167577312&amp;source=bitable", "202601290033")</f>
        <v>202601290033</v>
      </c>
      <c r="B1914" t="inlineStr">
        <is>
          <t>Approved</t>
        </is>
      </c>
      <c r="C1914" t="inlineStr">
        <is>
          <t>Procurement Order</t>
        </is>
      </c>
      <c r="D1914" s="3">
        <v>46051.61662037037</v>
      </c>
      <c r="E1914" s="3">
        <v>46090.41568287037</v>
      </c>
      <c r="F1914" t="inlineStr">
        <is>
          <t>Fatima Kathleen M. FLores</t>
        </is>
      </c>
      <c r="G1914" t="inlineStr">
        <is>
          <t>Procurement</t>
        </is>
      </c>
      <c r="H1914"/>
      <c r="I1914"/>
      <c r="J1914" t="inlineStr">
        <is>
          <t>Project</t>
        </is>
      </c>
      <c r="K1914" t="inlineStr">
        <is>
          <t>PDEI - Event Service</t>
        </is>
      </c>
      <c r="L1914" t="inlineStr">
        <is>
          <t>KIC 2025 - Group Stage &amp; Knockouts</t>
        </is>
      </c>
      <c r="M1914" t="inlineStr">
        <is>
          <t>2025TEG-P0286</t>
        </is>
      </c>
      <c r="N1914" t="inlineStr">
        <is>
          <t>Frances Angelita Arreglado</t>
        </is>
      </c>
      <c r="O1914" t="inlineStr">
        <is>
          <t>202511170053-Carla Andrea Calma Crespo-费用报销 - 副本 - 副本 - 副本-2025-11-17 07:41:10</t>
        </is>
      </c>
      <c r="P1914" t="inlineStr">
        <is>
          <t>NO</t>
        </is>
      </c>
      <c r="Q1914"/>
      <c r="R1914" t="inlineStr">
        <is>
          <t>YES</t>
        </is>
      </c>
      <c r="S1914" t="inlineStr">
        <is>
          <t>GO Wifi Business OTC (Event Wifi) - Nov. 23, 2025 to Dec. 1, 2025</t>
        </is>
      </c>
      <c r="T1914">
        <v>1</v>
      </c>
      <c r="U1914">
        <v>352240</v>
      </c>
      <c r="V1914" t="inlineStr">
        <is>
          <t>PHP</t>
        </is>
      </c>
      <c r="W1914">
        <v>352240</v>
      </c>
      <c r="X1914" s="2" t="str">
        <f>=HYPERLINK("https://www.larksuite.com/approval/admin/previewAttachment?key=PMg9CgJRDATgK828_EziZWx8LCpuJdjl7IKF7ZdFZAUtG95cDY4SSDGzmArJuGYNpYaowOzzuG4TXyeK9rBnxXzut2O_Ga21IHO3AsDL303u3p2On-MbAAD__w", "3 attachment(s)")</f>
        <v>3 attachment(s)</v>
      </c>
      <c r="Y1914" t="inlineStr">
        <is>
          <t>Bank Transfer</t>
        </is>
      </c>
      <c r="Z1914" t="inlineStr">
        <is>
          <t>INNOVE COMMUNICATIONS INC.</t>
        </is>
      </c>
      <c r="AA1914" t="inlineStr">
        <is>
          <t>otc</t>
        </is>
      </c>
      <c r="AB1914" t="inlineStr">
        <is>
          <t>BDO</t>
        </is>
      </c>
      <c r="AC1914" t="inlineStr">
        <is>
          <t>32nd Street cor. 7th Ave., BGC, Taguig City</t>
        </is>
      </c>
      <c r="AD1914" s="4">
        <v>46059</v>
      </c>
      <c r="AE1914" t="inlineStr">
        <is>
          <t>100% Full Payment</t>
        </is>
      </c>
      <c r="AF1914" s="2"/>
      <c r="AG1914" t="inlineStr">
        <is>
          <t>NzQyNTk5MTgyNzQ4MTg3MDM0MTpBQkE4NzgxQS02OTA1LTRFQzctQTdGNy03RUVGQ0QxQTVGREMtMTozOTRhM2UyZTQzMmRlMGZlZGQyMDY1Y2VhMTAwMzQ4Mzox</t>
        </is>
      </c>
      <c r="AH1914" t="inlineStr">
        <is>
          <t>INNOVE COMMUNICATIONS INC.</t>
        </is>
      </c>
      <c r="AI1914"/>
      <c r="AJ1914" t="inlineStr">
        <is>
          <t>LIQUIDITY PLAN (PAR # 202510290062 / 2025TEG-P0286)
1120 CE KIC GS+KO TAB &gt; GROUPSTAGE - KNOCKOUTS (Main Event) &gt; 
NETWORK &amp; ISP &gt; ISP DEDICATED 500mbps
Total Budget = Php 350,000.00
Actual Cost = Php 352,240.00
Balance = (Php 2,240.00) OVER BUDGET</t>
        </is>
      </c>
      <c r="AK1914"/>
    </row>
    <row r="1915" ht="25.5" customHeight="1">
      <c r="A1915" s="2" t="str">
        <f>=HYPERLINK("https://applink.larksuite.com/client/mini_program/open?appId=cli_9c7cc8a9a9edd105&amp;mode=appCenter&amp;path_pc=pc/pages/requested/index?instanceId=7602973549564825308&amp;source=bitable&amp;path=pages/detail/index?instanceId=7602973549564825308&amp;source=bitable", "202602040100")</f>
        <v>202602040100</v>
      </c>
      <c r="B1915" t="inlineStr">
        <is>
          <t>Approved</t>
        </is>
      </c>
      <c r="C1915" t="inlineStr">
        <is>
          <t>Procurement Order</t>
        </is>
      </c>
      <c r="D1915" s="3">
        <v>46057.8197337963</v>
      </c>
      <c r="E1915" s="3">
        <v>46058.674849537034</v>
      </c>
      <c r="F1915" t="inlineStr">
        <is>
          <t>Fatima Kathleen M. FLores</t>
        </is>
      </c>
      <c r="G1915" t="inlineStr">
        <is>
          <t>Procurement</t>
        </is>
      </c>
      <c r="H1915"/>
      <c r="I1915"/>
      <c r="J1915" t="inlineStr">
        <is>
          <t>GAE</t>
        </is>
      </c>
      <c r="K1915"/>
      <c r="L1915"/>
      <c r="M1915"/>
      <c r="N1915"/>
      <c r="O1915" t="inlineStr">
        <is>
          <t>202602030059-Jessica Jane Lor Felicilda-费用报销 - 副本 - 副本 - 副本-2026-02-03 07:52:12</t>
        </is>
      </c>
      <c r="P1915"/>
      <c r="Q1915" t="inlineStr">
        <is>
          <t>Mineski PH</t>
        </is>
      </c>
      <c r="R1915"/>
      <c r="S1915" t="inlineStr">
        <is>
          <t>Outsourced Deep Cleaning Services (5 hours / Starting 4am) - for new office</t>
        </is>
      </c>
      <c r="T1915">
        <v>1</v>
      </c>
      <c r="U1915">
        <v>40475</v>
      </c>
      <c r="V1915" t="inlineStr">
        <is>
          <t>PHP</t>
        </is>
      </c>
      <c r="W1915">
        <v>40475</v>
      </c>
      <c r="X1915" s="2" t="str">
        <f>=HYPERLINK("https://www.larksuite.com/approval/admin/previewAttachment?key=PMg7CgIxGATgK83_nIyXsdklqOA2QrqcXbCw_XoYepRFCylzwTYbLkalqnN4Bcb2baRAY2Gf73nXq45JX3FNPvPa63HM82MluoORGQOA3f4ezEypEz_HNwAA__8", "2 attachment(s)")</f>
        <v>2 attachment(s)</v>
      </c>
      <c r="Y1915" t="inlineStr">
        <is>
          <t>Bank Transfer</t>
        </is>
      </c>
      <c r="Z1915" t="inlineStr">
        <is>
          <t>JobWellDone Cleaning Service</t>
        </is>
      </c>
      <c r="AA1915" t="inlineStr">
        <is>
          <t>4579 3805 81</t>
        </is>
      </c>
      <c r="AB1915" t="inlineStr">
        <is>
          <t>BPI</t>
        </is>
      </c>
      <c r="AC1915" t="inlineStr">
        <is>
          <t>Rm 726 KB Arizona Tower Cond. P Campa St., Sampaloc, Manila</t>
        </is>
      </c>
      <c r="AD1915" s="4">
        <v>46057</v>
      </c>
      <c r="AE1915" t="inlineStr">
        <is>
          <t>Php 6,250 - Down payment upon confirmation
Balance upon completion of services</t>
        </is>
      </c>
      <c r="AF1915" s="2" t="str">
        <f>=HYPERLINK("https://www.larksuite.com/approval/admin/previewAttachment?key=TMg7CgIxGATgK83kf46XsdklqOA2QrqcXbCy_bKJ7KCl4OIQuCsxVBauSO8Rht5js0ooVmCf73nXK45ZY9k16-nXXo9jnh9mW8IV7hQA3v6chNrSfo5vAAAA__8", "2 attachment(s)")</f>
        <v>2 attachment(s)</v>
      </c>
      <c r="AG1915" t="inlineStr">
        <is>
          <t>NzQyNTk5MTgyNzQ4MTg3MDM0MTo0ODk2OUVCMi1EN0FFLTRFNTYtQTU5OS00QjJDNDk0MEE0QjktMTo0MzczMDZkMmM2NTEwYmJiMWQ1ZGM0ZTI0YzMxNTkyZDox</t>
        </is>
      </c>
      <c r="AH1915" t="inlineStr">
        <is>
          <t>JobWellDone Cleaning Service</t>
        </is>
      </c>
      <c r="AI1915"/>
      <c r="AJ1915"/>
      <c r="AK1915"/>
    </row>
    <row r="1916" ht="25.5" customHeight="1">
      <c r="A1916" s="2" t="str">
        <f>=HYPERLINK("https://applink.larksuite.com/client/mini_program/open?appId=cli_9c7cc8a9a9edd105&amp;mode=appCenter&amp;path_pc=pc/pages/requested/index?instanceId=7602975976561102556&amp;source=bitable&amp;path=pages/detail/index?instanceId=7602975976561102556&amp;source=bitable", "202602040101")</f>
        <v>202602040101</v>
      </c>
      <c r="B1916" t="inlineStr">
        <is>
          <t>Approved</t>
        </is>
      </c>
      <c r="C1916" t="inlineStr">
        <is>
          <t>Procurement Order</t>
        </is>
      </c>
      <c r="D1916" s="3">
        <v>46057.826273148145</v>
      </c>
      <c r="E1916" s="3">
        <v>46058.675104166665</v>
      </c>
      <c r="F1916" t="inlineStr">
        <is>
          <t>Fatima Kathleen M. FLores</t>
        </is>
      </c>
      <c r="G1916" t="inlineStr">
        <is>
          <t>Procurement</t>
        </is>
      </c>
      <c r="H1916"/>
      <c r="I1916"/>
      <c r="J1916" t="inlineStr">
        <is>
          <t>GAE</t>
        </is>
      </c>
      <c r="K1916"/>
      <c r="L1916"/>
      <c r="M1916"/>
      <c r="N1916"/>
      <c r="O1916" t="inlineStr">
        <is>
          <t>202602040089-Jessica Jane Lor Felicilda-费用报销 - 副本 - 副本 - 副本-2026-02-04 10:43:16</t>
        </is>
      </c>
      <c r="P1916"/>
      <c r="Q1916" t="inlineStr">
        <is>
          <t>Mineski PH</t>
        </is>
      </c>
      <c r="R1916"/>
      <c r="S1916" t="inlineStr">
        <is>
          <t>Inaugural Flower Standee (+ ribbon ball)</t>
        </is>
      </c>
      <c r="T1916">
        <v>1</v>
      </c>
      <c r="U1916">
        <v>7000</v>
      </c>
      <c r="V1916" t="inlineStr">
        <is>
          <t>PHP</t>
        </is>
      </c>
      <c r="W1916">
        <v>7000</v>
      </c>
      <c r="X1916" s="2" t="str">
        <f>=HYPERLINK("https://www.larksuite.com/approval/admin/previewAttachment?key=PMg9CgIxFATgK828v8nzMjYuQYRU4oJFzi5YbPvVIGokvRrRtAa3CtbKVmWRsMzatik1RCX2seZdXD65vvLTPv7a5_MxjzezZQZ5hA8AvF3uiojuCvwdvwAAAP__", "2 attachment(s)")</f>
        <v>2 attachment(s)</v>
      </c>
      <c r="Y1916" t="inlineStr">
        <is>
          <t>Bank Transfer</t>
        </is>
      </c>
      <c r="Z1916" t="inlineStr">
        <is>
          <t>Cherry Mae Marcelo</t>
        </is>
      </c>
      <c r="AA1916" t="inlineStr">
        <is>
          <t>09637232701</t>
        </is>
      </c>
      <c r="AB1916" t="inlineStr">
        <is>
          <t>GCash</t>
        </is>
      </c>
      <c r="AC1916" t="inlineStr">
        <is>
          <t>1354 Ma. Cristina St., Sampaloc, Manila</t>
        </is>
      </c>
      <c r="AD1916" s="4">
        <v>46058</v>
      </c>
      <c r="AE1916" t="inlineStr">
        <is>
          <t>50% Down Payment upon confirmation of order
50% Balance upon delivery</t>
        </is>
      </c>
      <c r="AF1916" s="2" t="str">
        <f>=HYPERLINK("https://www.larksuite.com/approval/admin/previewAttachment?key=TMgxCgJBDAXQK_2fTH4mXsbGZRBhKnHBImcXrLZ9moRm0FUYRSuwU7DKqFSIhEWorZlZSGagj73uye2L-5t-2sdffT4f63hT04VRMQYLAG8XJ1HT5X_HLwAA__8", "2 attachment(s)")</f>
        <v>2 attachment(s)</v>
      </c>
      <c r="AG1916" t="inlineStr">
        <is>
          <t>NzQyNTk5MTgyNzQ4MTg3MDM0MTo0NkEyODk5NS1GRTNELTQ4NzgtOTI4RS0yQkE0NzE5RUVFRkMtMTo3MTI2ODVjZmI2YjA4YzczNjAyOGExYmQwYTNjOWM4ZDox</t>
        </is>
      </c>
      <c r="AH1916" t="inlineStr">
        <is>
          <t>Violeta Flower Shop</t>
        </is>
      </c>
      <c r="AI1916"/>
      <c r="AJ1916"/>
      <c r="AK1916"/>
    </row>
    <row r="1917" ht="25.5" customHeight="1">
      <c r="A1917" s="2" t="str">
        <f>=HYPERLINK("https://applink.larksuite.com/client/mini_program/open?appId=cli_9c7cc8a9a9edd105&amp;mode=appCenter&amp;path_pc=pc/pages/requested/index?instanceId=7602978177765396187&amp;source=bitable&amp;path=pages/detail/index?instanceId=7602978177765396187&amp;source=bitable", "202602040103")</f>
        <v>202602040103</v>
      </c>
      <c r="B1917" t="inlineStr">
        <is>
          <t>Approved</t>
        </is>
      </c>
      <c r="C1917" t="inlineStr">
        <is>
          <t>Procurement Order</t>
        </is>
      </c>
      <c r="D1917" s="3">
        <v>46057.83219907407</v>
      </c>
      <c r="E1917" s="3">
        <v>46058.683391203704</v>
      </c>
      <c r="F1917" t="inlineStr">
        <is>
          <t>Fatima Kathleen M. FLores</t>
        </is>
      </c>
      <c r="G1917" t="inlineStr">
        <is>
          <t>Procurement</t>
        </is>
      </c>
      <c r="H1917"/>
      <c r="I1917"/>
      <c r="J1917" t="inlineStr">
        <is>
          <t>GAE</t>
        </is>
      </c>
      <c r="K1917"/>
      <c r="L1917"/>
      <c r="M1917"/>
      <c r="N1917"/>
      <c r="O1917" t="inlineStr">
        <is>
          <t>202602020083-Jean Pauline Dela Luna Dela Luna-费用报销 - 副本 - 副本 - 副本-2026-02-02 10:09:39</t>
        </is>
      </c>
      <c r="P1917"/>
      <c r="Q1917" t="inlineStr">
        <is>
          <t>Mineski PH</t>
        </is>
      </c>
      <c r="R1917"/>
      <c r="S1917" t="inlineStr">
        <is>
          <t>Outsourced Logistics Services (Toyota Alphard / 1 day / 10 hours)</t>
        </is>
      </c>
      <c r="T1917">
        <v>1</v>
      </c>
      <c r="U1917">
        <v>17920</v>
      </c>
      <c r="V1917" t="inlineStr">
        <is>
          <t>PHP</t>
        </is>
      </c>
      <c r="W1917">
        <v>17920</v>
      </c>
      <c r="X1917" s="2" t="str">
        <f>=HYPERLINK("https://www.larksuite.com/approval/admin/previewAttachment?key=PMgxDsIwDAXQK_1vO_4xl2FpVTEQVAk1W86OxND1ZSeyN3oWomgFLiWs1Ckpm1eya9miVBDVsPZxPCfHZ9p1nfD3do41X9uxf9lKZpBHeAfAx-2uiKjKwN_xCwAA__8", "2 attachment(s)")</f>
        <v>2 attachment(s)</v>
      </c>
      <c r="Y1917" t="inlineStr">
        <is>
          <t>Bank Transfer</t>
        </is>
      </c>
      <c r="Z1917" t="inlineStr">
        <is>
          <t>L &amp; L Transport</t>
        </is>
      </c>
      <c r="AA1917" t="inlineStr">
        <is>
          <t>008490148576</t>
        </is>
      </c>
      <c r="AB1917" t="inlineStr">
        <is>
          <t>BDO</t>
        </is>
      </c>
      <c r="AC1917" t="inlineStr">
        <is>
          <t># 23 Amber St. Northview 1 Subdivision, Batasan Hills, Quezon City</t>
        </is>
      </c>
      <c r="AD1917" s="4">
        <v>46058</v>
      </c>
      <c r="AE1917" t="inlineStr">
        <is>
          <t>50% Down payment upon confirmation
50% Balance upon completion of services</t>
        </is>
      </c>
      <c r="AF1917" s="2" t="str">
        <f>=HYPERLINK("https://www.larksuite.com/approval/admin/previewAttachment?key=TMgxDsIwDAXQK_0fJ_42l2FpVTEQVAk1m8-OxNT1eRAeg-aJnmwJlhwtFZTkw9IZqlaUEqIGap_Hc3F-VruuE_bezlnrtR37lx7m6Dl6ZwLg4-YkMszt7_gFAAD__w", "2 attachment(s)")</f>
        <v>2 attachment(s)</v>
      </c>
      <c r="AG1917" t="inlineStr">
        <is>
          <t>NzQyNTk5MTgyNzQ4MTg3MDM0MTo0MTNCNDBDNS01RDI2LTRDOTItQTk0Ni0yMjFFMUZENzZBRDMtMTo2ZDFlYTllNDRjMGExNmY2MTg4YTkxNGY3YzAxYWU2Yzox</t>
        </is>
      </c>
      <c r="AH1917" t="inlineStr">
        <is>
          <t>L &amp; L Transport</t>
        </is>
      </c>
      <c r="AI1917"/>
      <c r="AJ1917"/>
      <c r="AK1917"/>
    </row>
    <row r="1918" ht="25.5" customHeight="1">
      <c r="A1918" s="2" t="str">
        <f>=HYPERLINK("https://applink.larksuite.com/client/mini_program/open?appId=cli_9c7cc8a9a9edd105&amp;mode=appCenter&amp;path_pc=pc/pages/requested/index?instanceId=7603231928782704349&amp;source=bitable&amp;path=pages/detail/index?instanceId=7603231928782704349&amp;source=bitable", "202602050013")</f>
        <v>202602050013</v>
      </c>
      <c r="B1918" t="inlineStr">
        <is>
          <t>Approved</t>
        </is>
      </c>
      <c r="C1918" t="inlineStr">
        <is>
          <t>Procurement Order</t>
        </is>
      </c>
      <c r="D1918" s="3">
        <v>46058.51600694445</v>
      </c>
      <c r="E1918" s="3">
        <v>46058.68315972222</v>
      </c>
      <c r="F1918" t="inlineStr">
        <is>
          <t>Fatima Kathleen M. FLores</t>
        </is>
      </c>
      <c r="G1918" t="inlineStr">
        <is>
          <t>Procurement</t>
        </is>
      </c>
      <c r="H1918"/>
      <c r="I1918"/>
      <c r="J1918" t="inlineStr">
        <is>
          <t>GAE</t>
        </is>
      </c>
      <c r="K1918"/>
      <c r="L1918"/>
      <c r="M1918"/>
      <c r="N1918"/>
      <c r="O1918" t="inlineStr">
        <is>
          <t>202602030062-Jessica Jane Lor Felicilda-费用报销 - 副本 - 副本 - 副本-2026-02-03 08:10:44</t>
        </is>
      </c>
      <c r="P1918"/>
      <c r="Q1918" t="inlineStr">
        <is>
          <t>Mineski PH</t>
        </is>
      </c>
      <c r="R1918"/>
      <c r="S1918" t="inlineStr">
        <is>
          <t>Outsourced Logistics Associates (Feb. 5 to 8, 2026)</t>
        </is>
      </c>
      <c r="T1918">
        <v>1</v>
      </c>
      <c r="U1918">
        <v>20000</v>
      </c>
      <c r="V1918" t="inlineStr">
        <is>
          <t>PHP</t>
        </is>
      </c>
      <c r="W1918">
        <v>20000</v>
      </c>
      <c r="X1918" s="2" t="str">
        <f>=HYPERLINK("https://www.larksuite.com/approval/admin/previewAttachment?key=PMg9CkIxEATgK83-JLPjZWzeI6iYShAs9uyChe03yzBrWEwhZS5YcyI8TF4sJzJS7W2kQONAn3td90fP0489lvP-YL9vxzpfNkR3MDKjANjl78HMlGbi5_gGAAD__w", "2 attachment(s)")</f>
        <v>2 attachment(s)</v>
      </c>
      <c r="Y1918" t="inlineStr">
        <is>
          <t>Bank Transfer</t>
        </is>
      </c>
      <c r="Z1918" t="inlineStr">
        <is>
          <t>RIC JACA</t>
        </is>
      </c>
      <c r="AA1918" t="inlineStr">
        <is>
          <t>09509516216</t>
        </is>
      </c>
      <c r="AB1918" t="inlineStr">
        <is>
          <t>GCASH</t>
        </is>
      </c>
      <c r="AC1918" t="inlineStr">
        <is>
          <t>321 Sitio Langhaya Brgy. Dela Paz Antipolo Ri</t>
        </is>
      </c>
      <c r="AD1918" s="4">
        <v>46060</v>
      </c>
      <c r="AE1918" t="inlineStr">
        <is>
          <t>100% Full Payment</t>
        </is>
      </c>
      <c r="AF1918" s="2"/>
      <c r="AG1918" t="inlineStr">
        <is>
          <t>NzQyNTk5MTgyNzQ4MTg3MDM0MTo0MUIzMTQyMi04RDJGLTQwREYtQjc3RC02ODE1NEFBMEE0NkUtMToyY2U3OGM2NGFjNThhYTljZWM3ODZmNmNjNjY4MWVlMDox</t>
        </is>
      </c>
      <c r="AH1918" t="inlineStr">
        <is>
          <t>RIC JACA</t>
        </is>
      </c>
      <c r="AI1918"/>
      <c r="AJ1918"/>
      <c r="AK1918"/>
    </row>
    <row r="1919" ht="25.5" customHeight="1">
      <c r="A1919" s="2" t="str">
        <f>=HYPERLINK("https://applink.larksuite.com/client/mini_program/open?appId=cli_9c7cc8a9a9edd105&amp;mode=appCenter&amp;path_pc=pc/pages/requested/index?instanceId=7603586074228625122&amp;source=bitable&amp;path=pages/detail/index?instanceId=7603586074228625122&amp;source=bitable", "202602060007")</f>
        <v>202602060007</v>
      </c>
      <c r="B1919" t="inlineStr">
        <is>
          <t>Approved</t>
        </is>
      </c>
      <c r="C1919" t="inlineStr">
        <is>
          <t>Procurement Order</t>
        </is>
      </c>
      <c r="D1919" s="3">
        <v>46059.470358796294</v>
      </c>
      <c r="E1919" s="3">
        <v>46059.498402777775</v>
      </c>
      <c r="F1919" t="inlineStr">
        <is>
          <t>Fatima Kathleen M. FLores</t>
        </is>
      </c>
      <c r="G1919" t="inlineStr">
        <is>
          <t>Procurement</t>
        </is>
      </c>
      <c r="H1919"/>
      <c r="I1919"/>
      <c r="J1919" t="inlineStr">
        <is>
          <t>GAE</t>
        </is>
      </c>
      <c r="K1919"/>
      <c r="L1919"/>
      <c r="M1919"/>
      <c r="N1919"/>
      <c r="O1919" t="inlineStr">
        <is>
          <t>202602050087-Jessica Jane Lor Felicilda-费用报销 - 副本 - 副本 - 副本-2026-02-05 16:11:32</t>
        </is>
      </c>
      <c r="P1919"/>
      <c r="Q1919" t="inlineStr">
        <is>
          <t>Mineski PH</t>
        </is>
      </c>
      <c r="R1919"/>
      <c r="S1919" t="inlineStr">
        <is>
          <t>Food Trays (50 pax)</t>
        </is>
      </c>
      <c r="T1919">
        <v>1</v>
      </c>
      <c r="U1919">
        <v>31500</v>
      </c>
      <c r="V1919" t="inlineStr">
        <is>
          <t>PHP</t>
        </is>
      </c>
      <c r="W1919">
        <v>31500</v>
      </c>
      <c r="X1919" s="2" t="str">
        <f>=HYPERLINK("https://www.larksuite.com/approval/admin/previewAttachment?key=PMg7jgIxEATQK1VV_9x7mU1mZAGCCGGR-OxIBKQvB5EjaNnwphrclbAYiXJppILS1mZVo1iBfT7m_z1u4PGyeX0v09rrcszzyeiSUOZuAwD_fm7l7t3p-Do-AQAA__8", "2 attachment(s)")</f>
        <v>2 attachment(s)</v>
      </c>
      <c r="Y1919" t="inlineStr">
        <is>
          <t>Bank Transfer</t>
        </is>
      </c>
      <c r="Z1919" t="inlineStr">
        <is>
          <t>MICHELIN CUISINE AND FINE FOODS, INC.</t>
        </is>
      </c>
      <c r="AA1919" t="inlineStr">
        <is>
          <t>000-220-132-453</t>
        </is>
      </c>
      <c r="AB1919" t="inlineStr">
        <is>
          <t>BDO</t>
        </is>
      </c>
      <c r="AC1919" t="inlineStr">
        <is>
          <t>No. 1 Kalantiaw St., cor. 20th Ave., Brgy San Roque, Project 4, QC</t>
        </is>
      </c>
      <c r="AD1919" s="4">
        <v>46059</v>
      </c>
      <c r="AE1919" t="inlineStr">
        <is>
          <t>100% Full payment upon confirmation</t>
        </is>
      </c>
      <c r="AF1919" s="2" t="str">
        <f>=HYPERLINK("https://www.larksuite.com/approval/admin/previewAttachment?key=TMg9igJBEAXgK71X_7WX2WSGRkUjsTGpswtGpl8UEeXUaFhTGpwMqFcgTaRCnCIjw8xGMh1zPtb_3W_g8dJ1fW-VPftyrPPJKA1YuxkbAP9-nESXhn4dnwAAAP__", "2 attachment(s)")</f>
        <v>2 attachment(s)</v>
      </c>
      <c r="AG1919" t="inlineStr">
        <is>
          <t>NzQyNTk5MTgyNzQ4MTg3MDM0MTo4Q0ZBMTM5Qy0yQkIzLTQ3NDQtODMwMC04NzY0MTc4N0IyMEMtMToxNDBjYTZiNGNiOGQyOWQ2N2JmZDlhOGIwNGZhZGM5YTox</t>
        </is>
      </c>
      <c r="AH1919" t="inlineStr">
        <is>
          <t>MICHELIN CUISINE AND FINE FOODS, INC.</t>
        </is>
      </c>
      <c r="AI1919"/>
      <c r="AJ1919"/>
      <c r="AK1919"/>
    </row>
    <row r="1920" ht="25.5" customHeight="1">
      <c r="A1920" s="2" t="str">
        <f>=HYPERLINK("https://applink.larksuite.com/client/mini_program/open?appId=cli_9c7cc8a9a9edd105&amp;mode=appCenter&amp;path_pc=pc/pages/requested/index?instanceId=7604767799004630753&amp;source=bitable&amp;path=pages/detail/index?instanceId=7604767799004630753&amp;source=bitable", "202602090065")</f>
        <v>202602090065</v>
      </c>
      <c r="B1920" t="inlineStr">
        <is>
          <t>Approved</t>
        </is>
      </c>
      <c r="C1920" t="inlineStr">
        <is>
          <t>Procurement Order</t>
        </is>
      </c>
      <c r="D1920" s="3">
        <v>46062.65487268518</v>
      </c>
      <c r="E1920" s="3">
        <v>46065.44118055556</v>
      </c>
      <c r="F1920" t="inlineStr">
        <is>
          <t>Fatima Kathleen M. FLores</t>
        </is>
      </c>
      <c r="G1920" t="inlineStr">
        <is>
          <t>Procurement</t>
        </is>
      </c>
      <c r="H1920"/>
      <c r="I1920"/>
      <c r="J1920" t="inlineStr">
        <is>
          <t>GAE</t>
        </is>
      </c>
      <c r="K1920"/>
      <c r="L1920"/>
      <c r="M1920"/>
      <c r="N1920"/>
      <c r="O1920" t="inlineStr">
        <is>
          <t>202602030059-Jessica Jane Lor Felicilda-费用报销 - 副本 - 副本 - 副本-2026-02-03 07:52:12</t>
        </is>
      </c>
      <c r="P1920"/>
      <c r="Q1920" t="inlineStr">
        <is>
          <t>Mineski PH</t>
        </is>
      </c>
      <c r="R1920"/>
      <c r="S1920" t="inlineStr">
        <is>
          <t>Outsourced Deep Cleaning Services (Sofa Cleaning)</t>
        </is>
      </c>
      <c r="T1920">
        <v>1</v>
      </c>
      <c r="U1920">
        <v>2998</v>
      </c>
      <c r="V1920" t="inlineStr">
        <is>
          <t>PHP</t>
        </is>
      </c>
      <c r="W1920">
        <v>2998</v>
      </c>
      <c r="X1920" s="2" t="str">
        <f>=HYPERLINK("https://www.larksuite.com/approval/admin/previewAttachment?key=PMhNCgIxDAXgK700aV6fl3HjUPxBEKQjLnJ2wcVsvxyGHN08hZA1wYqJYJISEOlg92plpEBjR23PeV7f_TOn3dZ6Pe7utV8vc3tbF1sDPcIHADsd7owIKQN_xy8AAP__", "2 attachment(s)")</f>
        <v>2 attachment(s)</v>
      </c>
      <c r="Y1920" t="inlineStr">
        <is>
          <t>Bank Transfer</t>
        </is>
      </c>
      <c r="Z1920" t="inlineStr">
        <is>
          <t>JobWellDone Cleaning Service</t>
        </is>
      </c>
      <c r="AA1920" t="inlineStr">
        <is>
          <t>4579 3805 81</t>
        </is>
      </c>
      <c r="AB1920" t="inlineStr">
        <is>
          <t>BPI</t>
        </is>
      </c>
      <c r="AC1920" t="inlineStr">
        <is>
          <t>Rm 726 KB Arizona Tower Cond. P Campa St., Sampaloc, Manila</t>
        </is>
      </c>
      <c r="AD1920" s="4">
        <v>46066</v>
      </c>
      <c r="AE1920" t="inlineStr">
        <is>
          <t>100% Full Payment</t>
        </is>
      </c>
      <c r="AF1920" s="2" t="str">
        <f>=HYPERLINK("https://www.larksuite.com/approval/admin/previewAttachment?key=TMhNCgIxDAXgK703SZM-L-PGofiDIEgrLnJ2wdVsv-hE9EYLwcVNYGXAMzIlwMOQzWorZgrJbKj9Oc7zuz5j8Dbn63E3q3W9jP3N6BZwNXcKAE8HJ6FuYX_HLwAA__8", "2 attachment(s)")</f>
        <v>2 attachment(s)</v>
      </c>
      <c r="AG1920" t="inlineStr">
        <is>
          <t>NzQyNTk5MTgyNzQ4MTg3MDM0MTo2QzkxNjRCRS04RDM0LTQ3MTYtQTZENS1BN0FBRkFBMEE1QjktMTo2NDBhZTZiOThjNmM1OTZjYjQ0ZTAwMmM5ZTA2YzVkMTox</t>
        </is>
      </c>
      <c r="AH1920" t="inlineStr">
        <is>
          <t>JobWellDone Cleaning Service</t>
        </is>
      </c>
      <c r="AI1920"/>
      <c r="AJ1920"/>
      <c r="AK1920"/>
    </row>
    <row r="1921" ht="25.5" customHeight="1">
      <c r="A1921" s="2" t="str">
        <f>=HYPERLINK("https://applink.larksuite.com/client/mini_program/open?appId=cli_9c7cc8a9a9edd105&amp;mode=appCenter&amp;path_pc=pc/pages/requested/index?instanceId=7604769938779229921&amp;source=bitable&amp;path=pages/detail/index?instanceId=7604769938779229921&amp;source=bitable", "202602090068")</f>
        <v>202602090068</v>
      </c>
      <c r="B1921" t="inlineStr">
        <is>
          <t>Approved</t>
        </is>
      </c>
      <c r="C1921" t="inlineStr">
        <is>
          <t>Procurement Order</t>
        </is>
      </c>
      <c r="D1921" s="3">
        <v>46062.66063657407</v>
      </c>
      <c r="E1921" s="3">
        <v>46063.698287037034</v>
      </c>
      <c r="F1921" t="inlineStr">
        <is>
          <t>Fatima Kathleen M. FLores</t>
        </is>
      </c>
      <c r="G1921" t="inlineStr">
        <is>
          <t>Procurement</t>
        </is>
      </c>
      <c r="H1921"/>
      <c r="I1921"/>
      <c r="J1921" t="inlineStr">
        <is>
          <t>Project</t>
        </is>
      </c>
      <c r="K1921" t="inlineStr">
        <is>
          <t>PDEI - Game Marketing</t>
        </is>
      </c>
      <c r="L1921" t="inlineStr">
        <is>
          <t>CCAP CXtreme MLBB Tournament</t>
        </is>
      </c>
      <c r="M1921" t="inlineStr">
        <is>
          <t>2025TEG-P0121</t>
        </is>
      </c>
      <c r="N1921" t="inlineStr">
        <is>
          <t>Maura Aurel Atilano Yap</t>
        </is>
      </c>
      <c r="O1921" t="inlineStr">
        <is>
          <t>202601220041-Maura Aurel Atilano Yap-费用报销 - 副本 - 副本 - 副本-2026-01-22 07:33:27</t>
        </is>
      </c>
      <c r="P1921" t="inlineStr">
        <is>
          <t>NO</t>
        </is>
      </c>
      <c r="Q1921"/>
      <c r="R1921" t="inlineStr">
        <is>
          <t>NO</t>
        </is>
      </c>
      <c r="S1921" t="inlineStr">
        <is>
          <t>Logistics Services (Ingress) (Jan. 30, 2026)</t>
        </is>
      </c>
      <c r="T1921">
        <v>1</v>
      </c>
      <c r="U1921">
        <v>7060</v>
      </c>
      <c r="V1921" t="inlineStr">
        <is>
          <t>PHP</t>
        </is>
      </c>
      <c r="W1921">
        <v>7060</v>
      </c>
      <c r="X1921" s="2" t="str">
        <f>=HYPERLINK("https://www.larksuite.com/approval/admin/previewAttachment?key=PMixDUIxDATQlc6O48uxDM2PIgT8ChEqz45EQftyGHJ0aymEzAUrJoIptUHKXXIrLyMFGjtqnuv67PfPfO_H0j5O37Vvx5ov66I72CLaAGCXvzdGhJSBn-MbAAD__w", "3 attachment(s)")</f>
        <v>3 attachment(s)</v>
      </c>
      <c r="Y1921" t="inlineStr">
        <is>
          <t>Bank Transfer</t>
        </is>
      </c>
      <c r="Z1921" t="inlineStr">
        <is>
          <t>Truckrentalph Transport Logistics Inc</t>
        </is>
      </c>
      <c r="AA1921" t="inlineStr">
        <is>
          <t>121-700-001-557</t>
        </is>
      </c>
      <c r="AB1921" t="inlineStr">
        <is>
          <t>Chinabank</t>
        </is>
      </c>
      <c r="AC1921" t="inlineStr">
        <is>
          <t>3878 Daffodil St., Sun Valley Parañaque</t>
        </is>
      </c>
      <c r="AD1921" s="4">
        <v>46066</v>
      </c>
      <c r="AE1921" t="inlineStr">
        <is>
          <t>100% Full Payment upon completion of services</t>
        </is>
      </c>
      <c r="AF1921" s="2"/>
      <c r="AG1921" t="inlineStr">
        <is>
          <t>NzQyNTk5MTgyNzQ4MTg3MDM0MTo2QjZFQzY5RS1BMUFGLTQ5REQtQjIzQS05NTFCQkM1QUMwNDctMTo1YjU5ODg4YjA5YjYzM2QyZDM0NDg5MWE4MTczMDZiNjox</t>
        </is>
      </c>
      <c r="AH1921" t="inlineStr">
        <is>
          <t>Truckrentalph Transport Logistics Inc.</t>
        </is>
      </c>
      <c r="AI1921"/>
      <c r="AJ1921" t="inlineStr">
        <is>
          <t>LIQUIDITY PLAN (PAR # 202512120012 / 2025TEG-P0121)
LOGISTICS &gt; INGRESS  &amp; EGRESS Mobilization (from MET)
Total Budget = Php 16,000.00
Actual Cost = Php 7,060.00
Balance = Php 8,940.00</t>
        </is>
      </c>
      <c r="AK1921"/>
    </row>
    <row r="1922" ht="25.5" customHeight="1">
      <c r="A1922" s="2" t="str">
        <f>=HYPERLINK("https://applink.larksuite.com/client/mini_program/open?appId=cli_9c7cc8a9a9edd105&amp;mode=appCenter&amp;path_pc=pc/pages/requested/index?instanceId=7605085813017235168&amp;source=bitable&amp;path=pages/detail/index?instanceId=7605085813017235168&amp;source=bitable", "202602100015")</f>
        <v>202602100015</v>
      </c>
      <c r="B1922" t="inlineStr">
        <is>
          <t>Approved</t>
        </is>
      </c>
      <c r="C1922" t="inlineStr">
        <is>
          <t>Procurement Order</t>
        </is>
      </c>
      <c r="D1922" s="3">
        <v>46063.51186342593</v>
      </c>
      <c r="E1922" s="3">
        <v>46065.4531712963</v>
      </c>
      <c r="F1922" t="inlineStr">
        <is>
          <t>Fatima Kathleen M. FLores</t>
        </is>
      </c>
      <c r="G1922" t="inlineStr">
        <is>
          <t>Procurement</t>
        </is>
      </c>
      <c r="H1922"/>
      <c r="I1922"/>
      <c r="J1922" t="inlineStr">
        <is>
          <t>GAE</t>
        </is>
      </c>
      <c r="K1922"/>
      <c r="L1922"/>
      <c r="M1922"/>
      <c r="N1922"/>
      <c r="O1922" t="inlineStr">
        <is>
          <t>202602090099-Jessica Jane Lor Felicilda-费用报销 - 副本 - 副本 - 副本-2026-02-09 10:07:05</t>
        </is>
      </c>
      <c r="P1922"/>
      <c r="Q1922" t="inlineStr">
        <is>
          <t>Mineski PH</t>
        </is>
      </c>
      <c r="R1922"/>
      <c r="S1922" t="inlineStr">
        <is>
          <t>Outsourced Logistics Associates (Feb. 10 to 11, 2026)</t>
        </is>
      </c>
      <c r="T1922">
        <v>1</v>
      </c>
      <c r="U1922">
        <v>6000</v>
      </c>
      <c r="V1922" t="inlineStr">
        <is>
          <t>PHP</t>
        </is>
      </c>
      <c r="W1922">
        <v>6000</v>
      </c>
      <c r="X1922" s="2" t="str">
        <f>=HYPERLINK("https://www.larksuite.com/approval/admin/previewAttachment?key=PMg5CgJREATQK1X13l7GZD6DoEYyLkGfXTAwfVFElFOjYU1pcDLgKC8qmKLOqJFhZiOZjln3_XwV2z43pR6vY633PC_bvh70ThGkmmkB4OnvmmbWHYaf4xsAAP__", "2 attachment(s)")</f>
        <v>2 attachment(s)</v>
      </c>
      <c r="Y1922" t="inlineStr">
        <is>
          <t>Bank Transfer</t>
        </is>
      </c>
      <c r="Z1922" t="inlineStr">
        <is>
          <t>RIC JACA</t>
        </is>
      </c>
      <c r="AA1922" t="inlineStr">
        <is>
          <t>09509516216</t>
        </is>
      </c>
      <c r="AB1922" t="inlineStr">
        <is>
          <t>GCASH</t>
        </is>
      </c>
      <c r="AC1922" t="inlineStr">
        <is>
          <t>321 Sitio Langhaya Brgy. Dela Paz Antipolo Ri</t>
        </is>
      </c>
      <c r="AD1922" s="4">
        <v>46066</v>
      </c>
      <c r="AE1922" t="inlineStr">
        <is>
          <t>100% Full Payment</t>
        </is>
      </c>
      <c r="AF1922" s="2"/>
      <c r="AG1922" t="inlineStr">
        <is>
          <t>NzQyNTk5MTgyNzQ4MTg3MDM0MTo5Q0ZDQjY1MS1BM0ZGLTQ4MzgtQTczNC04OTE2MEJDQjFCRTUtMTpiZDliYWFlYTVjOWUyZWFkZDZhYmJmZjA3ZjY2NWJiOTox</t>
        </is>
      </c>
      <c r="AH1922" t="inlineStr">
        <is>
          <t>RIC JACA</t>
        </is>
      </c>
      <c r="AI1922"/>
      <c r="AJ1922"/>
      <c r="AK1922"/>
    </row>
    <row r="1923" ht="25.5" customHeight="1">
      <c r="A1923" s="2" t="str">
        <f>=HYPERLINK("https://applink.larksuite.com/client/mini_program/open?appId=cli_9c7cc8a9a9edd105&amp;mode=appCenter&amp;path_pc=pc/pages/requested/index?instanceId=7605492115933662941&amp;source=bitable&amp;path=pages/detail/index?instanceId=7605492115933662941&amp;source=bitable", "202602110047")</f>
        <v>202602110047</v>
      </c>
      <c r="B1923" t="inlineStr">
        <is>
          <t>Approved</t>
        </is>
      </c>
      <c r="C1923" t="inlineStr">
        <is>
          <t>Procurement Order</t>
        </is>
      </c>
      <c r="D1923" s="3">
        <v>46064.60675925926</v>
      </c>
      <c r="E1923" s="3">
        <v>46080.80006944444</v>
      </c>
      <c r="F1923" t="inlineStr">
        <is>
          <t>Fatima Kathleen M. FLores</t>
        </is>
      </c>
      <c r="G1923" t="inlineStr">
        <is>
          <t>Procurement</t>
        </is>
      </c>
      <c r="H1923"/>
      <c r="I1923"/>
      <c r="J1923" t="inlineStr">
        <is>
          <t>Project</t>
        </is>
      </c>
      <c r="K1923" t="inlineStr">
        <is>
          <t>PDEI - Event Service</t>
        </is>
      </c>
      <c r="L1923" t="inlineStr">
        <is>
          <t>M5 Main Event - Broadcast</t>
        </is>
      </c>
      <c r="M1923" t="inlineStr">
        <is>
          <t>2023TEG-P0102</t>
        </is>
      </c>
      <c r="N1923" t="inlineStr">
        <is>
          <t>Duane Aaron Baret Cadangan</t>
        </is>
      </c>
      <c r="O1923" t="inlineStr">
        <is>
          <t>202601050088-Duane Aaron Baret Cadangan-费用报销 - 副本 - 副本 - 副本-2026-01-05 07:57:19</t>
        </is>
      </c>
      <c r="P1923" t="inlineStr">
        <is>
          <t>NO</t>
        </is>
      </c>
      <c r="Q1923"/>
      <c r="R1923" t="inlineStr">
        <is>
          <t>YES</t>
        </is>
      </c>
      <c r="S1923" t="inlineStr">
        <is>
          <t>Outsourced Caretaker (for tent) with travel allowance</t>
        </is>
      </c>
      <c r="T1923">
        <v>1</v>
      </c>
      <c r="U1923">
        <v>50700</v>
      </c>
      <c r="V1923" t="inlineStr">
        <is>
          <t>PHP</t>
        </is>
      </c>
      <c r="W1923">
        <v>50700</v>
      </c>
      <c r="X1923" s="2" t="str">
        <f>=HYPERLINK("https://www.larksuite.com/approval/admin/previewAttachment?key=PMg7CsJgEATgK83s8x8vY2MIChEEid2eXbCw_WoRtZJeQogmcLqQISNT7lWm4NiwW2h2YrbnfoUfffLM9fIjHzmf-23f3ky1GdojfAHg5e_eESFV4Of4BgAA__8", "2 attachment(s)")</f>
        <v>2 attachment(s)</v>
      </c>
      <c r="Y1923" t="inlineStr">
        <is>
          <t>Bank Transfer</t>
        </is>
      </c>
      <c r="Z1923" t="inlineStr">
        <is>
          <t>Dennis Mariano Paradillo</t>
        </is>
      </c>
      <c r="AA1923" t="inlineStr">
        <is>
          <t>0000049259890</t>
        </is>
      </c>
      <c r="AB1923" t="inlineStr">
        <is>
          <t>Security Bank</t>
        </is>
      </c>
      <c r="AC1923" t="inlineStr">
        <is>
          <t>1037 Gen San Miguel Sangandaan, Brgy. 4 Caloocan City</t>
        </is>
      </c>
      <c r="AD1923" s="4">
        <v>45283</v>
      </c>
      <c r="AE1923" t="inlineStr">
        <is>
          <t>THIS IS A CONFIRMING PO ONLY. SERVICES ALREADY DONE AND PAID.</t>
        </is>
      </c>
      <c r="AF1923" s="2" t="str">
        <f>=HYPERLINK("https://www.larksuite.com/approval/admin/previewAttachment?key=TMg7CsJgEATgK838-xwvY2MIChEEid2eXbCy_bKJ7KCl4OISOJUI1yJDZplLzlnDKqFYgdme-xV21Mkz-mVHPGI-99u-vZltCVe4UwB4-XMSakv7Ob4BAAD__w", "2 attachment(s)")</f>
        <v>2 attachment(s)</v>
      </c>
      <c r="AG1923" t="inlineStr">
        <is>
          <t>NzQyNTk5MTgyNzQ4MTg3MDM0MToxRkI0Nzc5NS05NDI0LTQ5MjEtODM0Ri05OTNGMjhCN0Y1MkEtMTozZTFhZTZlOTY4OWYxNDA3MTA1YjliNGRjOTRkZjIyMTox</t>
        </is>
      </c>
      <c r="AH1923" t="inlineStr">
        <is>
          <t>Dennis Tent Rental</t>
        </is>
      </c>
      <c r="AI1923"/>
      <c r="AJ1923" t="inlineStr">
        <is>
          <t>NO LINE ITEM IN INTERNAL CE. UNBUDGETED.</t>
        </is>
      </c>
      <c r="AK1923"/>
    </row>
    <row r="1924" ht="25.5" customHeight="1">
      <c r="A1924" s="2" t="str">
        <f>=HYPERLINK("https://applink.larksuite.com/client/mini_program/open?appId=cli_9c7cc8a9a9edd105&amp;mode=appCenter&amp;path_pc=pc/pages/requested/index?instanceId=7605498462754410203&amp;source=bitable&amp;path=pages/detail/index?instanceId=7605498462754410203&amp;source=bitable", "202602110049")</f>
        <v>202602110049</v>
      </c>
      <c r="B1924" t="inlineStr">
        <is>
          <t>Approved</t>
        </is>
      </c>
      <c r="C1924" t="inlineStr">
        <is>
          <t>Procurement Order</t>
        </is>
      </c>
      <c r="D1924" s="3">
        <v>46064.62386574074</v>
      </c>
      <c r="E1924" s="3">
        <v>46080.80142361111</v>
      </c>
      <c r="F1924" t="inlineStr">
        <is>
          <t>Fatima Kathleen M. FLores</t>
        </is>
      </c>
      <c r="G1924" t="inlineStr">
        <is>
          <t>Procurement</t>
        </is>
      </c>
      <c r="H1924"/>
      <c r="I1924"/>
      <c r="J1924" t="inlineStr">
        <is>
          <t>Project</t>
        </is>
      </c>
      <c r="K1924" t="inlineStr">
        <is>
          <t>PDEI - Event Service</t>
        </is>
      </c>
      <c r="L1924" t="inlineStr">
        <is>
          <t>M5 On-Ground Activations</t>
        </is>
      </c>
      <c r="M1924" t="inlineStr">
        <is>
          <t>2023TEG-P0146</t>
        </is>
      </c>
      <c r="N1924" t="inlineStr">
        <is>
          <t>Duane Aaron Baret Cadangan</t>
        </is>
      </c>
      <c r="O1924" t="inlineStr">
        <is>
          <t>202601050093-Duane Aaron Baret Cadangan-费用报销 - 副本 - 副本 - 副本-2026-01-05 08:12:19</t>
        </is>
      </c>
      <c r="P1924" t="inlineStr">
        <is>
          <t>NO</t>
        </is>
      </c>
      <c r="Q1924"/>
      <c r="R1924" t="inlineStr">
        <is>
          <t>YES</t>
        </is>
      </c>
      <c r="S1924" t="inlineStr">
        <is>
          <t>Outsourced Technical Services</t>
        </is>
      </c>
      <c r="T1924">
        <v>1</v>
      </c>
      <c r="U1924">
        <v>51020.41</v>
      </c>
      <c r="V1924" t="inlineStr">
        <is>
          <t>PHP</t>
        </is>
      </c>
      <c r="W1924">
        <v>51020.41</v>
      </c>
      <c r="X1924" s="2" t="str">
        <f>=HYPERLINK("https://www.larksuite.com/approval/admin/previewAttachment?key=PMhBCkIxDATQK03SSabxMm5agnwQBMFdzy64cPtyGnKGjSywzAt2lAjWZLqCNDjG8WNSQabA2c--v661Q-7Xanb3-TxW77dFyR0a5JgA7Pb3IZJVSfwc3wAAAP__", "2 attachment(s)")</f>
        <v>2 attachment(s)</v>
      </c>
      <c r="Y1924" t="inlineStr">
        <is>
          <t>Bank Transfer</t>
        </is>
      </c>
      <c r="Z1924" t="inlineStr">
        <is>
          <t>JOHN SEBASTIAN MACABUAG</t>
        </is>
      </c>
      <c r="AA1924" t="inlineStr">
        <is>
          <t>5626-7598-25</t>
        </is>
      </c>
      <c r="AB1924" t="inlineStr">
        <is>
          <t>BPI</t>
        </is>
      </c>
      <c r="AC1924" t="inlineStr">
        <is>
          <t>#1361 Fruto Santos Avenue, Zapote, Las Pinas City</t>
        </is>
      </c>
      <c r="AD1924" s="4">
        <v>45283</v>
      </c>
      <c r="AE1924" t="inlineStr">
        <is>
          <t>THIS IS A CONFIRMING PO ONLY. SERVICES ALREADY DONE AND PAID.</t>
        </is>
      </c>
      <c r="AF1924" s="2" t="str">
        <f>=HYPERLINK("https://www.larksuite.com/approval/admin/previewAttachment?key=TMs9qoJBDAXQLd2bye_bzGtmCPKBIAh2WbtoZXvgeBKexuUFLUqBEw7TSnUJUyUEa2QYUQiGYc69_x_XPhYi127t7nnddp8nPZdD6_MKAP9-nETl8vV1vAMAAP__", "1 attachment(s)")</f>
        <v>1 attachment(s)</v>
      </c>
      <c r="AG1924" t="inlineStr">
        <is>
          <t>NzQyNTk5MTgyNzQ4MTg3MDM0MTo1NjhGMjEwOS1EODE3LTQ5MzktOTFGNC02RTE5OUM2OTU5MjgtMTo3OGViOTIwYjEzMmZmOGZlMmY0ZDAyMGMwZjk3MzU2ZTox</t>
        </is>
      </c>
      <c r="AH1924" t="inlineStr">
        <is>
          <t>ORB VIDEO PRODUCTION</t>
        </is>
      </c>
      <c r="AI1924"/>
      <c r="AJ1924" t="inlineStr">
        <is>
          <t>NO LINE ITEM IN INTERNAL CE. UNBUDGETED</t>
        </is>
      </c>
      <c r="AK1924"/>
    </row>
    <row r="1925" ht="25.5" customHeight="1">
      <c r="A1925" s="2" t="str">
        <f>=HYPERLINK("https://applink.larksuite.com/client/mini_program/open?appId=cli_9c7cc8a9a9edd105&amp;mode=appCenter&amp;path_pc=pc/pages/requested/index?instanceId=7606271830600519392&amp;source=bitable&amp;path=pages/detail/index?instanceId=7606271830600519392&amp;source=bitable", "202602130079")</f>
        <v>202602130079</v>
      </c>
      <c r="B1925" t="inlineStr">
        <is>
          <t>Approved</t>
        </is>
      </c>
      <c r="C1925" t="inlineStr">
        <is>
          <t>Procurement Order</t>
        </is>
      </c>
      <c r="D1925" s="3">
        <v>46066.70793981481</v>
      </c>
      <c r="E1925" s="3">
        <v>46069.71612268518</v>
      </c>
      <c r="F1925" t="inlineStr">
        <is>
          <t>Fatima Kathleen M. FLores</t>
        </is>
      </c>
      <c r="G1925" t="inlineStr">
        <is>
          <t>Procurement</t>
        </is>
      </c>
      <c r="H1925"/>
      <c r="I1925"/>
      <c r="J1925" t="inlineStr">
        <is>
          <t>GAE</t>
        </is>
      </c>
      <c r="K1925"/>
      <c r="L1925"/>
      <c r="M1925"/>
      <c r="N1925"/>
      <c r="O1925" t="inlineStr">
        <is>
          <t>202602020044-Madelyn Espanto-费用报销 - 副本 - 副本 - 副本-2026-02-02 06:29:10</t>
        </is>
      </c>
      <c r="P1925"/>
      <c r="Q1925" t="inlineStr">
        <is>
          <t>Mineski PH</t>
        </is>
      </c>
      <c r="R1925"/>
      <c r="S1925" t="inlineStr">
        <is>
          <t>Outsourced Logistics Services (16ft Closed Van / Jan. 27 &amp; 28 / Jan 30 &amp; 31)</t>
        </is>
      </c>
      <c r="T1925">
        <v>1</v>
      </c>
      <c r="U1925">
        <v>33336</v>
      </c>
      <c r="V1925" t="inlineStr">
        <is>
          <t>PHP</t>
        </is>
      </c>
      <c r="W1925">
        <v>33336</v>
      </c>
      <c r="X1925" s="2" t="str">
        <f>=HYPERLINK("https://www.larksuite.com/approval/admin/previewAttachment?key=PMgxjkIxDATQK83Yjh3vZbbB-qIAFAklnc-OREH7fBI-B9UTlpQEOxwuwalwYDA1paUZkQjGQNfz-peDtc961a5Hrd3nfrvqzZEhglAznQD493MNM8t0w9fxCQAA__8", "3 attachment(s)")</f>
        <v>3 attachment(s)</v>
      </c>
      <c r="Y1925" t="inlineStr">
        <is>
          <t>Bank Transfer</t>
        </is>
      </c>
      <c r="Z1925" t="inlineStr">
        <is>
          <t>ONE-MAX TRUCKING SERVICES</t>
        </is>
      </c>
      <c r="AA1925" t="inlineStr">
        <is>
          <t>504-3-50448621-5</t>
        </is>
      </c>
      <c r="AB1925" t="inlineStr">
        <is>
          <t>Metrobank</t>
        </is>
      </c>
      <c r="AC1925" t="inlineStr">
        <is>
          <t>Eastdrive St., Marikina Heights, Marikina City</t>
        </is>
      </c>
      <c r="AD1925" s="4">
        <v>46073</v>
      </c>
      <c r="AE1925" t="inlineStr">
        <is>
          <t>100% Full Payment</t>
        </is>
      </c>
      <c r="AF1925" s="2"/>
      <c r="AG1925" t="inlineStr">
        <is>
          <t>NzQyNTk5MTgyNzQ4MTg3MDM0MTo3NDg3Q0UzOC02NUE0LTQwNTktQTU0OS03NjcxQzUxMThFMjgtMTo4YjZhODU0MzNiZWFmYTg3NzIzYTFlYTc4YmNhZjNhZjox</t>
        </is>
      </c>
      <c r="AH1925" t="inlineStr">
        <is>
          <t>ONE-MAX TRUCKING SERVICES</t>
        </is>
      </c>
      <c r="AI1925"/>
      <c r="AJ1925"/>
      <c r="AK1925"/>
    </row>
    <row r="1926" ht="25.5" customHeight="1">
      <c r="A1926" s="2" t="str">
        <f>=HYPERLINK("https://applink.larksuite.com/client/mini_program/open?appId=cli_9c7cc8a9a9edd105&amp;mode=appCenter&amp;path_pc=pc/pages/requested/index?instanceId=7606572576080400091&amp;source=bitable&amp;path=pages/detail/index?instanceId=7606572576080400091&amp;source=bitable", "202602140006")</f>
        <v>202602140006</v>
      </c>
      <c r="B1926" t="inlineStr">
        <is>
          <t>Approved</t>
        </is>
      </c>
      <c r="C1926" t="inlineStr">
        <is>
          <t>Procurement Order</t>
        </is>
      </c>
      <c r="D1926" s="3">
        <v>46067.5183912037</v>
      </c>
      <c r="E1926" s="3">
        <v>46069.53662037037</v>
      </c>
      <c r="F1926" t="inlineStr">
        <is>
          <t>Fatima Kathleen M. FLores</t>
        </is>
      </c>
      <c r="G1926" t="inlineStr">
        <is>
          <t>Procurement</t>
        </is>
      </c>
      <c r="H1926"/>
      <c r="I1926"/>
      <c r="J1926" t="inlineStr">
        <is>
          <t>Project</t>
        </is>
      </c>
      <c r="K1926" t="inlineStr">
        <is>
          <t>GG - Event Service</t>
        </is>
      </c>
      <c r="L1926" t="inlineStr">
        <is>
          <t>Philippine Kings League Spring Season 2026 (PKL)</t>
        </is>
      </c>
      <c r="M1926" t="inlineStr">
        <is>
          <t>2026TEG-P0037</t>
        </is>
      </c>
      <c r="N1926" t="inlineStr">
        <is>
          <t>Juvie Anne Asis Castres</t>
        </is>
      </c>
      <c r="O1926" t="inlineStr">
        <is>
          <t>202602130072-Juvie Anne Asis Castres-费用报销 - 副本 - 副本 - 副本-2026-02-13 08:24:03</t>
        </is>
      </c>
      <c r="P1926" t="inlineStr">
        <is>
          <t>NO</t>
        </is>
      </c>
      <c r="Q1926"/>
      <c r="R1926" t="inlineStr">
        <is>
          <t>NO</t>
        </is>
      </c>
      <c r="S1926" t="inlineStr">
        <is>
          <t>Booth &amp; Players' Area Rental / Fabrication - Option 1 (Feb. 18 to March 21, 2026)</t>
        </is>
      </c>
      <c r="T1926">
        <v>1</v>
      </c>
      <c r="U1926">
        <v>220000</v>
      </c>
      <c r="V1926" t="inlineStr">
        <is>
          <t>PHP</t>
        </is>
      </c>
      <c r="W1926">
        <v>220000</v>
      </c>
      <c r="X1926" s="2" t="str">
        <f>=HYPERLINK("https://www.larksuite.com/approval/admin/previewAttachment?key=PMwxrsIwEATQK82s1zveXOY334oAKTRICS727IiG9hUvBhGjs0XCk5ZgKRBd1hUYcADJsqKUENVZ89j_7ud62nW9_bHWYbPO2_8-X-wpM6i5twGA28-b3D0zviG44RMAAP__", "2 attachment(s)")</f>
        <v>2 attachment(s)</v>
      </c>
      <c r="Y1926" t="inlineStr">
        <is>
          <t>Bank Transfer</t>
        </is>
      </c>
      <c r="Z1926" t="inlineStr">
        <is>
          <t>Mangotree Marketing Solutions Corp</t>
        </is>
      </c>
      <c r="AA1926" t="inlineStr">
        <is>
          <t>1037-0000-9622</t>
        </is>
      </c>
      <c r="AB1926" t="inlineStr">
        <is>
          <t>CHINA BANKING CORPORATION</t>
        </is>
      </c>
      <c r="AC1926" t="inlineStr">
        <is>
          <t>107 Diamond St., CVS Homes, Imelda Ave., Brgy. Sto. Domingo, Cainta Rizal</t>
        </is>
      </c>
      <c r="AD1926" s="4">
        <v>46069</v>
      </c>
      <c r="AE1926" t="inlineStr">
        <is>
          <t>50% down payment upon signing of contract; full payment after Walk through</t>
        </is>
      </c>
      <c r="AF1926" s="2" t="str">
        <f>=HYPERLINK("https://www.larksuite.com/approval/admin/previewAttachment?key=TMg9CsJAEAXgK703O79exsYlqBAbIXGLObtgZft5Ep7G4QUtSoEdDrcQC0dCARRbmhGFYBh77tv1cayXnOdHn2vtMvu437b5pudwaJkqCwAvf06icvj4Ob4BAAD__w", "3 attachment(s)")</f>
        <v>3 attachment(s)</v>
      </c>
      <c r="AG1926" t="inlineStr">
        <is>
          <t>NzQyNTk5MTgyNzQ4MTg3MDM0MTo5MERCNjc4RC02Qzk0LTQ5REEtOEVEOS02REE5OEI1NDRCQTItMToyMDRjNDRhYzkzZDgwMDE3M2FkYTk0YjA3ZDBmM2I0Mzox</t>
        </is>
      </c>
      <c r="AH1926" t="inlineStr">
        <is>
          <t>Mangotree Marketing Solutions Corp.</t>
        </is>
      </c>
      <c r="AI1926"/>
      <c r="AJ1926" t="inlineStr">
        <is>
          <t>LIQUIDITY PLAN (PAR # 202602120015 / 2026TEG-P0037)
REGULAR SEASON &gt; STAGING &amp; STUDIO &gt;
Fabrication, Venue Skinning &amp; Collateral &gt; 
Panel Area - inclusive of Platform and Backdrop Reskinning
Player Area - Full backdrop for 5v5
Total Budget = Php 350,000.00
Actual Cost = Php 220,000.00
Balance = Php 130,000.00</t>
        </is>
      </c>
      <c r="AK1926"/>
    </row>
    <row r="1927" ht="25.5" customHeight="1">
      <c r="A1927" s="2" t="str">
        <f>=HYPERLINK("https://applink.larksuite.com/client/mini_program/open?appId=cli_9c7cc8a9a9edd105&amp;mode=appCenter&amp;path_pc=pc/pages/requested/index?instanceId=7607355024273428194&amp;source=bitable&amp;path=pages/detail/index?instanceId=7607355024273428194&amp;source=bitable", "202602160057")</f>
        <v>202602160057</v>
      </c>
      <c r="B1927" t="inlineStr">
        <is>
          <t>Approved</t>
        </is>
      </c>
      <c r="C1927" t="inlineStr">
        <is>
          <t>Procurement Order</t>
        </is>
      </c>
      <c r="D1927" s="3">
        <v>46069.626921296294</v>
      </c>
      <c r="E1927" s="3">
        <v>46080.79553240741</v>
      </c>
      <c r="F1927" t="inlineStr">
        <is>
          <t>Fatima Kathleen M. FLores</t>
        </is>
      </c>
      <c r="G1927" t="inlineStr">
        <is>
          <t>Procurement</t>
        </is>
      </c>
      <c r="H1927"/>
      <c r="I1927"/>
      <c r="J1927" t="inlineStr">
        <is>
          <t>Project</t>
        </is>
      </c>
      <c r="K1927" t="inlineStr">
        <is>
          <t>GG - Event Service</t>
        </is>
      </c>
      <c r="L1927" t="inlineStr">
        <is>
          <t>KIC 2025 - Addendum</t>
        </is>
      </c>
      <c r="M1927" t="inlineStr">
        <is>
          <t>2026TEG-P0003</t>
        </is>
      </c>
      <c r="N1927" t="inlineStr">
        <is>
          <t>Frances Angelita Arreglado</t>
        </is>
      </c>
      <c r="O1927" t="inlineStr">
        <is>
          <t>202601090048-Frances Angelita Arreglado-费用报销 - 副本 - 副本 - 副本-2026-01-09 10:04:53</t>
        </is>
      </c>
      <c r="P1927" t="inlineStr">
        <is>
          <t>NO</t>
        </is>
      </c>
      <c r="Q1927"/>
      <c r="R1927" t="inlineStr">
        <is>
          <t>NO</t>
        </is>
      </c>
      <c r="S1927" t="inlineStr">
        <is>
          <t>Outsourced Live Camera Gimbal Operator (Nov. 27 to 30, 2025)</t>
        </is>
      </c>
      <c r="T1927">
        <v>1</v>
      </c>
      <c r="U1927">
        <v>80640</v>
      </c>
      <c r="V1927" t="inlineStr">
        <is>
          <t>PHP</t>
        </is>
      </c>
      <c r="W1927">
        <v>80640</v>
      </c>
      <c r="X1927" s="2" t="str">
        <f>=HYPERLINK("https://www.larksuite.com/approval/admin/previewAttachment?key=PMgxCsMwDAXQK_0vyf5WL9MlwTRDQ6AQvOjshQ5dXx9EH43eE5G0BEsd8tZgYfKwwYyyopQQ1Vj7ez6p7TznOq417Truul_b3D9sKTPII3wA4OPvrojI7IGf4xsAAP__", "2 attachment(s)")</f>
        <v>2 attachment(s)</v>
      </c>
      <c r="Y1927" t="inlineStr">
        <is>
          <t>Bank Transfer</t>
        </is>
      </c>
      <c r="Z1927" t="inlineStr">
        <is>
          <t>Ryan Matias</t>
        </is>
      </c>
      <c r="AA1927" t="inlineStr">
        <is>
          <t>1996 2285 79</t>
        </is>
      </c>
      <c r="AB1927" t="inlineStr">
        <is>
          <t>BPI</t>
        </is>
      </c>
      <c r="AC1927" t="inlineStr">
        <is>
          <t>Kingsville, Antipolo</t>
        </is>
      </c>
      <c r="AD1927" s="4">
        <v>46080</v>
      </c>
      <c r="AE1927" t="inlineStr">
        <is>
          <t>100% Full Payment</t>
        </is>
      </c>
      <c r="AF1927" s="2"/>
      <c r="AG1927" t="inlineStr">
        <is>
          <t>NzQyNTk5MTgyNzQ4MTg3MDM0MTo0MTdFQ0MyQS03MjJDLTQ0QUUtQkVCOS1DNTYzRUE1MERDQUItMTozNmZlYjFkZjM3MzJjNjU2Yzc4NDNjN2VkMmI4NDhlOTox</t>
        </is>
      </c>
      <c r="AH1927" t="inlineStr">
        <is>
          <t>RY MATIAS PHOTO &amp; VIDEO SERVICES</t>
        </is>
      </c>
      <c r="AI1927"/>
      <c r="AJ1927" t="inlineStr">
        <is>
          <t>LIQUIDITY PLAN (PAR # 202601050114 / 2026TEG-P0003)
PLAYOFFS &gt; PURCHASE &amp; RENTAL &gt;
Equipment &gt; Sony FX3 (Gimbal)
Total Budget = Php 140,000.00
Actual Cost = Php 80,640.00
Balance = Php 59,360.00</t>
        </is>
      </c>
      <c r="AK1927"/>
    </row>
    <row r="1928" ht="25.5" customHeight="1">
      <c r="A1928" s="2" t="str">
        <f>=HYPERLINK("https://applink.larksuite.com/client/mini_program/open?appId=cli_9c7cc8a9a9edd105&amp;mode=appCenter&amp;path_pc=pc/pages/requested/index?instanceId=7607361635698609885&amp;source=bitable&amp;path=pages/detail/index?instanceId=7607361635698609885&amp;source=bitable", "202602160064")</f>
        <v>202602160064</v>
      </c>
      <c r="B1928" t="inlineStr">
        <is>
          <t>Approved</t>
        </is>
      </c>
      <c r="C1928" t="inlineStr">
        <is>
          <t>Procurement Order</t>
        </is>
      </c>
      <c r="D1928" s="3">
        <v>46069.64474537037</v>
      </c>
      <c r="E1928" s="3">
        <v>46078.61116898148</v>
      </c>
      <c r="F1928" t="inlineStr">
        <is>
          <t>Fatima Kathleen M. FLores</t>
        </is>
      </c>
      <c r="G1928" t="inlineStr">
        <is>
          <t>Procurement</t>
        </is>
      </c>
      <c r="H1928"/>
      <c r="I1928"/>
      <c r="J1928" t="inlineStr">
        <is>
          <t>Project</t>
        </is>
      </c>
      <c r="K1928" t="inlineStr">
        <is>
          <t>GG - Event Service</t>
        </is>
      </c>
      <c r="L1928" t="inlineStr">
        <is>
          <t>Kings Invitational Series Rebroadcast S4 (KIS S4)</t>
        </is>
      </c>
      <c r="M1928" t="inlineStr">
        <is>
          <t>2026TEG-P0007</t>
        </is>
      </c>
      <c r="N1928" t="inlineStr">
        <is>
          <t>Randy Vince Fernandez Apura</t>
        </is>
      </c>
      <c r="O1928" t="inlineStr">
        <is>
          <t>202601160060-Randy Vince Fernandez Apura-费用报销 - 副本 - 副本 - 副本-2026-01-16 23:51:16;202601170001-Randy Vince Fernandez Apura-费用报销 - 副本 - 副本 - 副本-2026-01-17 00:03:23</t>
        </is>
      </c>
      <c r="P1928" t="inlineStr">
        <is>
          <t>NO</t>
        </is>
      </c>
      <c r="Q1928"/>
      <c r="R1928" t="inlineStr">
        <is>
          <t>NO</t>
        </is>
      </c>
      <c r="S1928" t="inlineStr">
        <is>
          <t>Crew Meals - Ingress, Rehearsals &amp; Event Day 1 (Jan. 29 to 30, Feb. 2 to 8, 2026)</t>
        </is>
      </c>
      <c r="T1928">
        <v>745</v>
      </c>
      <c r="U1928">
        <v>130</v>
      </c>
      <c r="V1928" t="inlineStr">
        <is>
          <t>PHP</t>
        </is>
      </c>
      <c r="W1928">
        <v>96850</v>
      </c>
      <c r="X1928" s="2"/>
      <c r="Y1928" t="inlineStr">
        <is>
          <t>Bank Transfer</t>
        </is>
      </c>
      <c r="Z1928" t="inlineStr">
        <is>
          <t>Michelle Francine G. Manuntag</t>
        </is>
      </c>
      <c r="AA1928" t="inlineStr">
        <is>
          <t>000170292002</t>
        </is>
      </c>
      <c r="AB1928" t="inlineStr">
        <is>
          <t>BDO</t>
        </is>
      </c>
      <c r="AC1928" t="inlineStr">
        <is>
          <t>Makati City</t>
        </is>
      </c>
      <c r="AD1928" s="4">
        <v>46073</v>
      </c>
      <c r="AE1928" t="inlineStr">
        <is>
          <t>100% Full Payment</t>
        </is>
      </c>
      <c r="AF1928" s="2"/>
      <c r="AG1928" t="inlineStr">
        <is>
          <t>NzQyNTk5MTgyNzQ4MTg3MDM0MTo3RDY1ODUwOC04MERFLTQ3MzAtQUIzNi0zQzE5Njg2QTIzRjAtMTowNTBhOWI5NmM0Nzg5MTdlNzcwZGZmYWVjZWU5YzExYzox</t>
        </is>
      </c>
      <c r="AH1928" t="inlineStr">
        <is>
          <t>Michelle Francine G. Manuntag</t>
        </is>
      </c>
      <c r="AI1928"/>
      <c r="AJ1928" t="inlineStr">
        <is>
          <t>LIQUIDITY PLAN (PAR # 202601190092 / 2026TEG-P0007)
116 INTERNAL CE TAB &gt; HOSPITALITY &amp; CONSUMABLES &gt;
CREW MEALS &gt; Ingress + Rehearsal &gt;
Supplier
Operations Manpower 
Production Team (B/L/D only)
Logistics Team
Event Days &gt; 
Operations Manpower
Production Team
Logistics Team
Egress &gt; 
Supplier
Operations Manpower
Production Team
Total Budget = Php 108,702.00
Actual Cost = Php 100,449.00
Balance = Php 8,253.00</t>
        </is>
      </c>
      <c r="AK1928"/>
    </row>
    <row r="1929" ht="25.5" customHeight="1">
      <c r="A1929" s="2" t="str">
        <f>=HYPERLINK("https://applink.larksuite.com/client/mini_program/open?appId=cli_9c7cc8a9a9edd105&amp;mode=appCenter&amp;path_pc=pc/pages/requested/index?instanceId=7607361635698609885&amp;source=bitable&amp;path=pages/detail/index?instanceId=7607361635698609885&amp;source=bitable", "202602160064")</f>
        <v>202602160064</v>
      </c>
      <c r="B1929" t="inlineStr">
        <is>
          <t>Approved</t>
        </is>
      </c>
      <c r="C1929" t="inlineStr">
        <is>
          <t>Procurement Order</t>
        </is>
      </c>
      <c r="D1929" s="3">
        <v>46069.64474537037</v>
      </c>
      <c r="E1929" s="3">
        <v>46078.61116898148</v>
      </c>
      <c r="F1929" t="inlineStr">
        <is>
          <t>Fatima Kathleen M. FLores</t>
        </is>
      </c>
      <c r="G1929" t="inlineStr">
        <is>
          <t>Procurement</t>
        </is>
      </c>
      <c r="H1929"/>
      <c r="I1929"/>
      <c r="J1929" t="inlineStr">
        <is>
          <t>Project</t>
        </is>
      </c>
      <c r="K1929" t="inlineStr">
        <is>
          <t>GG - Event Service</t>
        </is>
      </c>
      <c r="L1929" t="inlineStr">
        <is>
          <t>Kings Invitational Series Rebroadcast S4 (KIS S4)</t>
        </is>
      </c>
      <c r="M1929" t="inlineStr">
        <is>
          <t>2026TEG-P0007</t>
        </is>
      </c>
      <c r="N1929" t="inlineStr">
        <is>
          <t>Randy Vince Fernandez Apura</t>
        </is>
      </c>
      <c r="O1929" t="inlineStr">
        <is>
          <t>202601160060-Randy Vince Fernandez Apura-费用报销 - 副本 - 副本 - 副本-2026-01-16 23:51:16;202601170001-Randy Vince Fernandez Apura-费用报销 - 副本 - 副本 - 副本-2026-01-17 00:03:23</t>
        </is>
      </c>
      <c r="P1929" t="inlineStr">
        <is>
          <t>NO</t>
        </is>
      </c>
      <c r="Q1929"/>
      <c r="R1929" t="inlineStr">
        <is>
          <t>NO</t>
        </is>
      </c>
      <c r="S1929" t="inlineStr">
        <is>
          <t>Delivery Fee</t>
        </is>
      </c>
      <c r="T1929">
        <v>1</v>
      </c>
      <c r="U1929">
        <v>3599</v>
      </c>
      <c r="V1929" t="inlineStr">
        <is>
          <t>PHP</t>
        </is>
      </c>
      <c r="W1929">
        <v>3599</v>
      </c>
      <c r="X1929" s="2" t="str">
        <f>=HYPERLINK("https://www.larksuite.com/approval/admin/previewAttachment?key=PMhBCsJQDATQK8385CcZL-PGUlzYUhCKLnJ2wUW3L4qImrQQXBwCOwNpwbAZqoCqZo9mppDMyV629W7b5zhOc3sJ333v8_lYlzencgykuVsB4O1yS3eXwvF3_gIAAP__", "3 attachment(s)")</f>
        <v>3 attachment(s)</v>
      </c>
      <c r="Y1929"/>
      <c r="Z1929"/>
      <c r="AA1929"/>
      <c r="AB1929"/>
      <c r="AC1929"/>
      <c r="AD1929" s="4"/>
      <c r="AE1929"/>
      <c r="AF1929" s="2"/>
      <c r="AG1929" t="inlineStr">
        <is>
          <t>NzQyNTk5MTgyNzQ4MTg3MDM0MTo3RDY1ODUwOC04MERFLTQ3MzAtQUIzNi0zQzE5Njg2QTIzRjAtMjo4NzgxZTBjODI4ODIxNjU2NTg5YWM0NGI5MDc3MmIxNTox</t>
        </is>
      </c>
      <c r="AH1929"/>
      <c r="AI1929"/>
      <c r="AJ1929" t="inlineStr">
        <is>
          <t>LIQUIDITY PLAN (PAR # 202601190092 / 2026TEG-P0007)
116 INTERNAL CE TAB &gt; HOSPITALITY &amp; CONSUMABLES &gt;
CREW MEALS &gt; Ingress + Rehearsal &gt;
Supplier
Operations Manpower 
Production Team (B/L/D only)
Logistics Team
Event Days &gt; 
Operations Manpower
Production Team
Logistics Team
Egress &gt; 
Supplier
Operations Manpower
Production Team
Total Budget = Php 108,702.00
Actual Cost = Php 100,449.00
Balance = Php 8,253.00</t>
        </is>
      </c>
      <c r="AK1929"/>
    </row>
    <row r="1930" ht="25.5" customHeight="1">
      <c r="A1930" s="2" t="str">
        <f>=HYPERLINK("https://applink.larksuite.com/client/mini_program/open?appId=cli_9c7cc8a9a9edd105&amp;mode=appCenter&amp;path_pc=pc/pages/requested/index?instanceId=7607372106371780318&amp;source=bitable&amp;path=pages/detail/index?instanceId=7607372106371780318&amp;source=bitable", "202602160071")</f>
        <v>202602160071</v>
      </c>
      <c r="B1930" t="inlineStr">
        <is>
          <t>Approved</t>
        </is>
      </c>
      <c r="C1930" t="inlineStr">
        <is>
          <t>Procurement Order</t>
        </is>
      </c>
      <c r="D1930" s="3">
        <v>46069.67296296296</v>
      </c>
      <c r="E1930" s="3">
        <v>46080.789189814815</v>
      </c>
      <c r="F1930" t="inlineStr">
        <is>
          <t>Fatima Kathleen M. FLores</t>
        </is>
      </c>
      <c r="G1930" t="inlineStr">
        <is>
          <t>Procurement</t>
        </is>
      </c>
      <c r="H1930"/>
      <c r="I1930"/>
      <c r="J1930" t="inlineStr">
        <is>
          <t>Project</t>
        </is>
      </c>
      <c r="K1930" t="inlineStr">
        <is>
          <t>PDEI - Event Service</t>
        </is>
      </c>
      <c r="L1930" t="inlineStr">
        <is>
          <t>GTCC Summer Showdown</t>
        </is>
      </c>
      <c r="M1930" t="inlineStr">
        <is>
          <t>2025TEG-P0040</t>
        </is>
      </c>
      <c r="N1930" t="inlineStr">
        <is>
          <t>Frances Angelita Arreglado</t>
        </is>
      </c>
      <c r="O1930" t="inlineStr">
        <is>
          <t>202601190019-Frances Angelita Arreglado-费用报销 - 副本 - 副本 - 副本-2026-01-19 03:47:22</t>
        </is>
      </c>
      <c r="P1930" t="inlineStr">
        <is>
          <t>NO</t>
        </is>
      </c>
      <c r="Q1930"/>
      <c r="R1930" t="inlineStr">
        <is>
          <t>NO</t>
        </is>
      </c>
      <c r="S1930" t="inlineStr">
        <is>
          <t>Additional On-ground Fabrication</t>
        </is>
      </c>
      <c r="T1930">
        <v>1</v>
      </c>
      <c r="U1930">
        <v>110000</v>
      </c>
      <c r="V1930" t="inlineStr">
        <is>
          <t>PHP</t>
        </is>
      </c>
      <c r="W1930">
        <v>110000</v>
      </c>
      <c r="X1930" s="2" t="str">
        <f>=HYPERLINK("https://www.larksuite.com/approval/admin/previewAttachment?key=PMg9CgJRDATgK828_EziZWxcFhWejWCXswsWtl8WkRW0bHhzNThKyLSINFEFY80aSg1RwTn2ee1nSMHHjngdO-Zzv53Hm9FaCzJ3KwC8_N3k7t3p-Dm-AQAA__8", "2 attachment(s)")</f>
        <v>2 attachment(s)</v>
      </c>
      <c r="Y1930" t="inlineStr">
        <is>
          <t>Bank Transfer</t>
        </is>
      </c>
      <c r="Z1930" t="inlineStr">
        <is>
          <t>STAGE ONE EVENT SERVICES CORP.</t>
        </is>
      </c>
      <c r="AA1930" t="inlineStr">
        <is>
          <t>0124 0800 3549</t>
        </is>
      </c>
      <c r="AB1930" t="inlineStr">
        <is>
          <t>BDO</t>
        </is>
      </c>
      <c r="AC1930" t="inlineStr">
        <is>
          <t>Kamagong St. cor. Ipil St. Hillcrest Village, Brgy. 173 Camarin, Caloocan</t>
        </is>
      </c>
      <c r="AD1930" s="4">
        <v>46080</v>
      </c>
      <c r="AE1930" t="inlineStr">
        <is>
          <t>100% Full Payment</t>
        </is>
      </c>
      <c r="AF1930" s="2"/>
      <c r="AG1930" t="inlineStr">
        <is>
          <t>NzQyNTk5MTgyNzQ4MTg3MDM0MTo5NDA5MkZFNC00OEVELTRFREItODFBOS0zQjZGOTYxNUI4QTItMTplMmQyODc1MmUyMDBhZjc1Y2VjYTdkNzMzN2Q2YjExNjox</t>
        </is>
      </c>
      <c r="AH1930" t="inlineStr">
        <is>
          <t>STAGE ONE EVENT SERVICES CORP.</t>
        </is>
      </c>
      <c r="AI1930"/>
      <c r="AJ1930" t="inlineStr">
        <is>
          <t>LIQUIDITY PLAN (PAR # 202504250011)
Staging &amp; Fabrication &gt;
Main Stage Fabrication 
Off-Stage Fabrication
Total Remaining Budget = Php 400,000.00
Actual Cost = Php 110,000.00
Balance = Php 290,000.00</t>
        </is>
      </c>
      <c r="AK1930"/>
    </row>
    <row r="1931" ht="25.5" customHeight="1">
      <c r="A1931" s="2" t="str">
        <f>=HYPERLINK("https://applink.larksuite.com/client/mini_program/open?appId=cli_9c7cc8a9a9edd105&amp;mode=appCenter&amp;path_pc=pc/pages/requested/index?instanceId=7607366218315517661&amp;source=bitable&amp;path=pages/detail/index?instanceId=7607366218315517661&amp;source=bitable", "202602160065")</f>
        <v>202602160065</v>
      </c>
      <c r="B1931" t="inlineStr">
        <is>
          <t>Approved</t>
        </is>
      </c>
      <c r="C1931" t="inlineStr">
        <is>
          <t>Procurement Order</t>
        </is>
      </c>
      <c r="D1931" s="3">
        <v>46069.65709490741</v>
      </c>
      <c r="E1931" s="3">
        <v>46080.79263888889</v>
      </c>
      <c r="F1931" t="inlineStr">
        <is>
          <t>Fatima Kathleen M. FLores</t>
        </is>
      </c>
      <c r="G1931" t="inlineStr">
        <is>
          <t>Procurement</t>
        </is>
      </c>
      <c r="H1931"/>
      <c r="I1931"/>
      <c r="J1931" t="inlineStr">
        <is>
          <t>Project</t>
        </is>
      </c>
      <c r="K1931" t="inlineStr">
        <is>
          <t>GG - Event Service</t>
        </is>
      </c>
      <c r="L1931" t="inlineStr">
        <is>
          <t>KIC 2025 - SB19 Tech and Security Rider (Playoffs)</t>
        </is>
      </c>
      <c r="M1931" t="inlineStr">
        <is>
          <t>2025TEG-P0325</t>
        </is>
      </c>
      <c r="N1931" t="inlineStr">
        <is>
          <t>Frances Angelita Arreglado</t>
        </is>
      </c>
      <c r="O1931" t="inlineStr">
        <is>
          <t>202601190054-Frances Angelita Arreglado-费用报销 - 副本 - 副本 - 副本-2026-01-19 06:01:11</t>
        </is>
      </c>
      <c r="P1931" t="inlineStr">
        <is>
          <t>NO</t>
        </is>
      </c>
      <c r="Q1931"/>
      <c r="R1931" t="inlineStr">
        <is>
          <t>NO</t>
        </is>
      </c>
      <c r="S1931" t="inlineStr">
        <is>
          <t>Outsourced Event Security Marshals (10 pax / Nov. 30, 2025)</t>
        </is>
      </c>
      <c r="T1931">
        <v>1</v>
      </c>
      <c r="U1931">
        <v>15000</v>
      </c>
      <c r="V1931" t="inlineStr">
        <is>
          <t>PHP</t>
        </is>
      </c>
      <c r="W1931">
        <v>15000</v>
      </c>
      <c r="X1931" s="2" t="str">
        <f>=HYPERLINK("https://www.larksuite.com/approval/admin/previewAttachment?key=PMg9CsJAEAXgK703vztexmaXoEJEkIjNnF2wSPvFIGI4NQpWlAI7A6kRwqF0Z0awpZlZSKaz175dHzvnXF_z512O19Gf29zWm14pglQzHQB4OV3TzKrC8Hf8AgAA__8", "2 attachment(s)")</f>
        <v>2 attachment(s)</v>
      </c>
      <c r="Y1931" t="inlineStr">
        <is>
          <t>Bank Transfer</t>
        </is>
      </c>
      <c r="Z1931" t="inlineStr">
        <is>
          <t>JEROME T. CAPOQUIAN</t>
        </is>
      </c>
      <c r="AA1931" t="inlineStr">
        <is>
          <t>9599094366</t>
        </is>
      </c>
      <c r="AB1931" t="inlineStr">
        <is>
          <t>BPI</t>
        </is>
      </c>
      <c r="AC1931" t="inlineStr">
        <is>
          <t>BLOCK 5 LOT 7 PHASE 2 SHINEVILL MAMBUGAN ANTIPOLO CITY</t>
        </is>
      </c>
      <c r="AD1931" s="4">
        <v>46073</v>
      </c>
      <c r="AE1931" t="inlineStr">
        <is>
          <t>100% Full Payment</t>
        </is>
      </c>
      <c r="AF1931" s="2"/>
      <c r="AG1931" t="inlineStr">
        <is>
          <t>NzQyNTk5MTgyNzQ4MTg3MDM0MTowNkE0MUI5RC05QTk2LTREOUItQTA1QS1GNUM3MDk4OTFCQkUtMToyOTM5N2FmOWU2MmVhMDM3MmEzOWU1ZDM1MjRmNzdjODox</t>
        </is>
      </c>
      <c r="AH1931" t="inlineStr">
        <is>
          <t>JC SAFETY AND MEDICAL SERVICES</t>
        </is>
      </c>
      <c r="AI1931"/>
      <c r="AJ1931" t="inlineStr">
        <is>
          <t>LIQUIDITY PLAN (PAR # 202511270039 / 2025TEG-P0325)
SECURITY RIDER &gt; SAFETY &amp; SECURITY (Augmentation) &gt;
Additional Event Marshals (c/o MET)
Total Budget = Php 37,500.00
Actual Cost = Php 15,000.00
Balance = Php 22,500.00</t>
        </is>
      </c>
      <c r="AK1931"/>
    </row>
    <row r="1932" ht="25.5" customHeight="1">
      <c r="A1932" s="2" t="str">
        <f>=HYPERLINK("https://applink.larksuite.com/client/mini_program/open?appId=cli_9c7cc8a9a9edd105&amp;mode=appCenter&amp;path_pc=pc/pages/requested/index?instanceId=7607403398471618269&amp;source=bitable&amp;path=pages/detail/index?instanceId=7607403398471618269&amp;source=bitable", "202602160090")</f>
        <v>202602160090</v>
      </c>
      <c r="B1932" t="inlineStr">
        <is>
          <t>Approved</t>
        </is>
      </c>
      <c r="C1932" t="inlineStr">
        <is>
          <t>Procurement Order</t>
        </is>
      </c>
      <c r="D1932" s="3">
        <v>46069.75728009259</v>
      </c>
      <c r="E1932" s="3">
        <v>46071.62472222222</v>
      </c>
      <c r="F1932" t="inlineStr">
        <is>
          <t>Fatima Kathleen M. FLores</t>
        </is>
      </c>
      <c r="G1932" t="inlineStr">
        <is>
          <t>Procurement</t>
        </is>
      </c>
      <c r="H1932"/>
      <c r="I1932"/>
      <c r="J1932" t="inlineStr">
        <is>
          <t>Project</t>
        </is>
      </c>
      <c r="K1932" t="inlineStr">
        <is>
          <t>GG - Event Service</t>
        </is>
      </c>
      <c r="L1932" t="inlineStr">
        <is>
          <t>Philippine Kings League Spring Season 2026 (PKL)</t>
        </is>
      </c>
      <c r="M1932" t="inlineStr">
        <is>
          <t>2026TEG-P0037</t>
        </is>
      </c>
      <c r="N1932" t="inlineStr">
        <is>
          <t>Juvie Anne Asis Castres</t>
        </is>
      </c>
      <c r="O1932" t="inlineStr">
        <is>
          <t>202602120094-Juvie Anne Asis Castres-费用报销 - 副本 - 副本 - 副本-2026-02-12 09:33:18</t>
        </is>
      </c>
      <c r="P1932" t="inlineStr">
        <is>
          <t>YES</t>
        </is>
      </c>
      <c r="Q1932"/>
      <c r="R1932" t="inlineStr">
        <is>
          <t>NO</t>
        </is>
      </c>
      <c r="S1932" t="inlineStr">
        <is>
          <t>Outsourced Logistics Associates</t>
        </is>
      </c>
      <c r="T1932">
        <v>1</v>
      </c>
      <c r="U1932">
        <v>6000</v>
      </c>
      <c r="V1932" t="inlineStr">
        <is>
          <t>PHP</t>
        </is>
      </c>
      <c r="W1932">
        <v>6000</v>
      </c>
      <c r="X1932" s="2" t="str">
        <f>=HYPERLINK("https://www.larksuite.com/approval/admin/previewAttachment?key=PMgxCkIxEATQK81kJzu7Xsbmf4IoVoJgkbMLFrYvi8iajGyoORrcTliI6JKZrJG9x6bdMD25z-e6nuEjVPdDa_Lz2O_bsc4XZ3sMOKQoALz8PSypO4Wf4xsAAP__", "2 attachment(s)")</f>
        <v>2 attachment(s)</v>
      </c>
      <c r="Y1932" t="inlineStr">
        <is>
          <t>Bank Transfer</t>
        </is>
      </c>
      <c r="Z1932" t="inlineStr">
        <is>
          <t>Rizel John Obong</t>
        </is>
      </c>
      <c r="AA1932" t="inlineStr">
        <is>
          <t>09709731174</t>
        </is>
      </c>
      <c r="AB1932" t="inlineStr">
        <is>
          <t>GCash</t>
        </is>
      </c>
      <c r="AC1932" t="inlineStr">
        <is>
          <t>Blk 1j Lot 31 Phase 3 E-1 Dagat Dagatan Caloocan City</t>
        </is>
      </c>
      <c r="AD1932" s="4">
        <v>46071</v>
      </c>
      <c r="AE1932" t="inlineStr">
        <is>
          <t>Final Payment - Mar. 6, 2026</t>
        </is>
      </c>
      <c r="AF1932" s="2"/>
      <c r="AG1932" t="inlineStr">
        <is>
          <t>NzQyNTk5MTgyNzQ4MTg3MDM0MTowN0MzMzUwMS03OEJELTRCQUUtQUQ0My0yRUM2RDE0RDI2Q0YtMTo5ZDQ4ZDJlMGFkMmYzZWJhZTI0Yjc4ZjY3MjVmNjliMDox</t>
        </is>
      </c>
      <c r="AH1932" t="inlineStr">
        <is>
          <t>Rizel John Obong</t>
        </is>
      </c>
      <c r="AI1932"/>
      <c r="AJ1932" t="inlineStr">
        <is>
          <t>LIQUIDITY PLAN (PAR # 202602120015 / 2026TEG-P0037)
REGULAR SEASON &gt; MEDIA DAY &gt;
Consumables - Media Day &gt; Log Boys
Total Budget = Php 6,000.00
Actual Cost = Php 6,000.00</t>
        </is>
      </c>
      <c r="AK1932"/>
    </row>
    <row r="1933" ht="25.5" customHeight="1">
      <c r="A1933" s="2" t="str">
        <f>=HYPERLINK("https://applink.larksuite.com/client/mini_program/open?appId=cli_9c7cc8a9a9edd105&amp;mode=appCenter&amp;path_pc=pc/pages/requested/index?instanceId=7607402516183043810&amp;source=bitable&amp;path=pages/detail/index?instanceId=7607402516183043810&amp;source=bitable", "202602160087")</f>
        <v>202602160087</v>
      </c>
      <c r="B1933" t="inlineStr">
        <is>
          <t>Approved</t>
        </is>
      </c>
      <c r="C1933" t="inlineStr">
        <is>
          <t>Procurement Order</t>
        </is>
      </c>
      <c r="D1933" s="3">
        <v>46069.754907407405</v>
      </c>
      <c r="E1933" s="3">
        <v>46071.624189814815</v>
      </c>
      <c r="F1933" t="inlineStr">
        <is>
          <t>Fatima Kathleen M. FLores</t>
        </is>
      </c>
      <c r="G1933" t="inlineStr">
        <is>
          <t>Procurement</t>
        </is>
      </c>
      <c r="H1933"/>
      <c r="I1933"/>
      <c r="J1933" t="inlineStr">
        <is>
          <t>Project</t>
        </is>
      </c>
      <c r="K1933" t="inlineStr">
        <is>
          <t>GG - Event Service</t>
        </is>
      </c>
      <c r="L1933" t="inlineStr">
        <is>
          <t>Philippine Kings League Spring Season 2026 (PKL)</t>
        </is>
      </c>
      <c r="M1933" t="inlineStr">
        <is>
          <t>2026TEG-P0037</t>
        </is>
      </c>
      <c r="N1933" t="inlineStr">
        <is>
          <t>Juvie Anne Asis Castres</t>
        </is>
      </c>
      <c r="O1933" t="inlineStr">
        <is>
          <t>202602120094-Juvie Anne Asis Castres-费用报销 - 副本 - 副本 - 副本-2026-02-12 09:33:18</t>
        </is>
      </c>
      <c r="P1933" t="inlineStr">
        <is>
          <t>YES</t>
        </is>
      </c>
      <c r="Q1933"/>
      <c r="R1933" t="inlineStr">
        <is>
          <t>NO</t>
        </is>
      </c>
      <c r="S1933" t="inlineStr">
        <is>
          <t>Outsourced HMUA</t>
        </is>
      </c>
      <c r="T1933">
        <v>1</v>
      </c>
      <c r="U1933">
        <v>79500</v>
      </c>
      <c r="V1933" t="inlineStr">
        <is>
          <t>PHP</t>
        </is>
      </c>
      <c r="W1933">
        <v>79500</v>
      </c>
      <c r="X1933" s="2" t="str">
        <f>=HYPERLINK("https://www.larksuite.com/approval/admin/previewAttachment?key=PMg7DsJADATQK82svR6by9AkipBC0iDxKXx2JAraF0lETloUvDgKbAXkGJPBNLgl0aMpFURN9nps15Pni8sn9_u7jh39vC3b-uAsjQGZuyUAXv5ucveqcPwc3wAAAP__", "2 attachment(s)")</f>
        <v>2 attachment(s)</v>
      </c>
      <c r="Y1933" t="inlineStr">
        <is>
          <t>Bank Transfer</t>
        </is>
      </c>
      <c r="Z1933" t="inlineStr">
        <is>
          <t>Stepanee Berces</t>
        </is>
      </c>
      <c r="AA1933" t="inlineStr">
        <is>
          <t>09659949793</t>
        </is>
      </c>
      <c r="AB1933" t="inlineStr">
        <is>
          <t>GCash</t>
        </is>
      </c>
      <c r="AC1933" t="inlineStr">
        <is>
          <t>Block 1 Lot 2 Gozum St., Saint James, Nagkaisang Nayon, Quezon City</t>
        </is>
      </c>
      <c r="AD1933" s="4">
        <v>46071</v>
      </c>
      <c r="AE1933" t="inlineStr">
        <is>
          <t>1st Payment - Feb. 18, 2026
2nd Payment - Mar. 6, 2026
Final Payment - Mar. 20, 2026</t>
        </is>
      </c>
      <c r="AF1933" s="2"/>
      <c r="AG1933" t="inlineStr">
        <is>
          <t>NzQyNTk5MTgyNzQ4MTg3MDM0MTo4NDg1ODdFNy05QTVELTQ1QTEtQkRCQS1DNzEyRjkwN0Q0QTYtMTplM2JkMTZlZmM0MTA0NDhlOTk1NDM3MjY1MTJhMTlkZjox</t>
        </is>
      </c>
      <c r="AH1933" t="inlineStr">
        <is>
          <t>Stepanee Berces</t>
        </is>
      </c>
      <c r="AI1933"/>
      <c r="AJ1933" t="inlineStr">
        <is>
          <t>LIQUIDITY PLAN (PAR # 202602120015 / 2026TEG-P0037)
REGULAR SEASON &gt; MEDIA DAY &gt;
Consumables - Media Day &gt; HMUA
Total Budget = Php 81,000.00
Actual Cost = Php 79,500.00
Balance = Php 1,500.00</t>
        </is>
      </c>
      <c r="AK1933"/>
    </row>
    <row r="1934" ht="25.5" customHeight="1">
      <c r="A1934" s="2" t="str">
        <f>=HYPERLINK("https://applink.larksuite.com/client/mini_program/open?appId=cli_9c7cc8a9a9edd105&amp;mode=appCenter&amp;path_pc=pc/pages/requested/index?instanceId=7607415016760807132&amp;source=bitable&amp;path=pages/detail/index?instanceId=7607415016760807132&amp;source=bitable", "202602160103")</f>
        <v>202602160103</v>
      </c>
      <c r="B1934" t="inlineStr">
        <is>
          <t>Approved</t>
        </is>
      </c>
      <c r="C1934" t="inlineStr">
        <is>
          <t>Procurement Order</t>
        </is>
      </c>
      <c r="D1934" s="3">
        <v>46069.78859953704</v>
      </c>
      <c r="E1934" s="3">
        <v>46071.62165509259</v>
      </c>
      <c r="F1934" t="inlineStr">
        <is>
          <t>Fatima Kathleen M. FLores</t>
        </is>
      </c>
      <c r="G1934" t="inlineStr">
        <is>
          <t>Procurement</t>
        </is>
      </c>
      <c r="H1934"/>
      <c r="I1934"/>
      <c r="J1934" t="inlineStr">
        <is>
          <t>Project</t>
        </is>
      </c>
      <c r="K1934" t="inlineStr">
        <is>
          <t>GG - Event Service</t>
        </is>
      </c>
      <c r="L1934" t="inlineStr">
        <is>
          <t>Philippine Kings League Spring Season 2026 (PKL)</t>
        </is>
      </c>
      <c r="M1934" t="inlineStr">
        <is>
          <t>2026TEG-P0037</t>
        </is>
      </c>
      <c r="N1934" t="inlineStr">
        <is>
          <t>Juvie Anne Asis Castres</t>
        </is>
      </c>
      <c r="O1934" t="inlineStr">
        <is>
          <t>202602130042-Juvie Anne Asis Castres-费用报销 - 副本 - 副本 - 副本-2026-02-13 04:21:51</t>
        </is>
      </c>
      <c r="P1934" t="inlineStr">
        <is>
          <t>NO</t>
        </is>
      </c>
      <c r="Q1934"/>
      <c r="R1934" t="inlineStr">
        <is>
          <t>NO</t>
        </is>
      </c>
      <c r="S1934" t="inlineStr">
        <is>
          <t>Outsourced Event Security Marshals (Feb. 19 to Mar. 21, 2026)</t>
        </is>
      </c>
      <c r="T1934">
        <v>1</v>
      </c>
      <c r="U1934">
        <v>27200</v>
      </c>
      <c r="V1934" t="inlineStr">
        <is>
          <t>PHP</t>
        </is>
      </c>
      <c r="W1934">
        <v>27200</v>
      </c>
      <c r="X1934" s="2" t="str">
        <f>=HYPERLINK("https://www.larksuite.com/approval/admin/previewAttachment?key=PMgxCgJBDAXQK_2fZPInXsbGYVFhQRAXLXJ2wcL25SRyDnoWomgFthIKDjCVmBDd2ppSQdRgr307H9w_ZK33XTd7vPq4Xrb15CiZQR7hEwBPf3dFRFUGfo5vAAAA__8", "2 attachment(s)")</f>
        <v>2 attachment(s)</v>
      </c>
      <c r="Y1934" t="inlineStr">
        <is>
          <t>Bank Transfer</t>
        </is>
      </c>
      <c r="Z1934" t="inlineStr">
        <is>
          <t>Juanito T. Acedo Jr.</t>
        </is>
      </c>
      <c r="AA1934" t="inlineStr">
        <is>
          <t>010670126934</t>
        </is>
      </c>
      <c r="AB1934" t="inlineStr">
        <is>
          <t>BDO</t>
        </is>
      </c>
      <c r="AC1934" t="inlineStr">
        <is>
          <t>127-68 Bronze St., Tugatog District II, Malabon City</t>
        </is>
      </c>
      <c r="AD1934" s="4">
        <v>46080</v>
      </c>
      <c r="AE1934" t="inlineStr">
        <is>
          <t>50% Down Payment - Feb. 27, 2026
50% Final Payment - Mar. 27, 2026</t>
        </is>
      </c>
      <c r="AF1934" s="2"/>
      <c r="AG1934" t="inlineStr">
        <is>
          <t>NzQyNTk5MTgyNzQ4MTg3MDM0MTo4NUY5M0I5Ni1EMkI1LTQwMjMtOUIzQi04MUMxODczQzFFMkMtMTphNTI1MDk0ZDQwMzY4NDQ5YmE1NDYyNGFiMzYxYTE3MDox</t>
        </is>
      </c>
      <c r="AH1934" t="inlineStr">
        <is>
          <t>ACE88 Event Security Management</t>
        </is>
      </c>
      <c r="AI1934"/>
      <c r="AJ1934" t="inlineStr">
        <is>
          <t>LIQUIDITY PLAN (PAR # 202602120015 / 2026TEG-P0037)
REGULAR SEASON &gt; LABOR COST &gt;
SAFETY &amp; SECURITY TEAM &gt; Event Marshals (RS)
Total Budget = Php 31,500.00
Actual Cost = Php 27,200.00
Balance = Php 4,300.00</t>
        </is>
      </c>
      <c r="AK1934"/>
    </row>
    <row r="1935" ht="25.5" customHeight="1">
      <c r="A1935" s="2" t="str">
        <f>=HYPERLINK("https://applink.larksuite.com/client/mini_program/open?appId=cli_9c7cc8a9a9edd105&amp;mode=appCenter&amp;path_pc=pc/pages/requested/index?instanceId=7607369296125103840&amp;source=bitable&amp;path=pages/detail/index?instanceId=7607369296125103840&amp;source=bitable", "202602160067")</f>
        <v>202602160067</v>
      </c>
      <c r="B1935" t="inlineStr">
        <is>
          <t>Approved</t>
        </is>
      </c>
      <c r="C1935" t="inlineStr">
        <is>
          <t>Procurement Order</t>
        </is>
      </c>
      <c r="D1935" s="3">
        <v>46069.66538194445</v>
      </c>
      <c r="E1935" s="3">
        <v>46080.77478009259</v>
      </c>
      <c r="F1935" t="inlineStr">
        <is>
          <t>Fatima Kathleen M. FLores</t>
        </is>
      </c>
      <c r="G1935" t="inlineStr">
        <is>
          <t>Procurement</t>
        </is>
      </c>
      <c r="H1935"/>
      <c r="I1935"/>
      <c r="J1935" t="inlineStr">
        <is>
          <t>Project</t>
        </is>
      </c>
      <c r="K1935" t="inlineStr">
        <is>
          <t>GG - Event Service</t>
        </is>
      </c>
      <c r="L1935" t="inlineStr">
        <is>
          <t>KIC 2025 - Group Stage &amp; Knockouts</t>
        </is>
      </c>
      <c r="M1935" t="inlineStr">
        <is>
          <t>2025TEG-P0286</t>
        </is>
      </c>
      <c r="N1935" t="inlineStr">
        <is>
          <t>Frances Angelita Arreglado</t>
        </is>
      </c>
      <c r="O1935" t="inlineStr">
        <is>
          <t>202601190058-Frances Angelita Arreglado-费用报销 - 副本 - 副本 - 副本-2026-01-19 06:12:20</t>
        </is>
      </c>
      <c r="P1935" t="inlineStr">
        <is>
          <t>NO</t>
        </is>
      </c>
      <c r="Q1935"/>
      <c r="R1935" t="inlineStr">
        <is>
          <t>YES</t>
        </is>
      </c>
      <c r="S1935" t="inlineStr">
        <is>
          <t>Additional On-ground Fabrication</t>
        </is>
      </c>
      <c r="T1935">
        <v>1</v>
      </c>
      <c r="U1935">
        <v>92400</v>
      </c>
      <c r="V1935" t="inlineStr">
        <is>
          <t>PHP</t>
        </is>
      </c>
      <c r="W1935">
        <v>92400</v>
      </c>
      <c r="X1935" s="2" t="str">
        <f>=HYPERLINK("https://www.larksuite.com/approval/admin/previewAttachment?key=PMg7qkIxGATgLc38z8zdzG08HBTURgykyNoFC9uvBlEj6SWEaAJ3F9pLpqIl4SOwbbNbaHZyH4_zf80l3VY-j3zfbe55vZzHi6k2Q3uEDwD8-7l3REgV-Do-AQAA__8", "2 attachment(s)")</f>
        <v>2 attachment(s)</v>
      </c>
      <c r="Y1935" t="inlineStr">
        <is>
          <t>Bank Transfer</t>
        </is>
      </c>
      <c r="Z1935" t="inlineStr">
        <is>
          <t>STAGE ONE EVENT SERVICES CORP.</t>
        </is>
      </c>
      <c r="AA1935" t="inlineStr">
        <is>
          <t>0124 0800 3549</t>
        </is>
      </c>
      <c r="AB1935" t="inlineStr">
        <is>
          <t>BDO</t>
        </is>
      </c>
      <c r="AC1935" t="inlineStr">
        <is>
          <t>Kamagong St. cor. Ipil St. Hillcrest Village, Brgy. 173 Camarin, Caloocan</t>
        </is>
      </c>
      <c r="AD1935" s="4">
        <v>46080</v>
      </c>
      <c r="AE1935" t="inlineStr">
        <is>
          <t>100% Full Payment</t>
        </is>
      </c>
      <c r="AF1935" s="2"/>
      <c r="AG1935" t="inlineStr">
        <is>
          <t>NzQyNTk5MTgyNzQ4MTg3MDM0MTpGMEQzMEY0NS0yN0ZCLTQwNTAtQjA1QS0wNUQxNzYxRDVFMDAtMTo3NmQ4NjhmYTgxMmEyZTc5NmZmM2JhMjAyNWRjZDkxYzox</t>
        </is>
      </c>
      <c r="AH1935" t="inlineStr">
        <is>
          <t>STAGE ONE EVENT SERVICES CORP.</t>
        </is>
      </c>
      <c r="AI1935"/>
      <c r="AJ1935" t="inlineStr">
        <is>
          <t>This is unbudgeted. No line item in KIC - ADDENDUM CE as well.</t>
        </is>
      </c>
      <c r="AK1935"/>
    </row>
    <row r="1936" ht="25.5" customHeight="1">
      <c r="A1936" s="2" t="str">
        <f>=HYPERLINK("https://applink.larksuite.com/client/mini_program/open?appId=cli_9c7cc8a9a9edd105&amp;mode=appCenter&amp;path_pc=pc/pages/requested/index?instanceId=7608046582474231517&amp;source=bitable&amp;path=pages/detail/index?instanceId=7608046582474231517&amp;source=bitable", "202602180022")</f>
        <v>202602180022</v>
      </c>
      <c r="B1936" t="inlineStr">
        <is>
          <t>Approved</t>
        </is>
      </c>
      <c r="C1936" t="inlineStr">
        <is>
          <t>Procurement Order</t>
        </is>
      </c>
      <c r="D1936" s="3">
        <v>46071.490532407406</v>
      </c>
      <c r="E1936" s="3">
        <v>46071.6187037037</v>
      </c>
      <c r="F1936" t="inlineStr">
        <is>
          <t>Fatima Kathleen M. FLores</t>
        </is>
      </c>
      <c r="G1936" t="inlineStr">
        <is>
          <t>Procurement</t>
        </is>
      </c>
      <c r="H1936"/>
      <c r="I1936"/>
      <c r="J1936" t="inlineStr">
        <is>
          <t>Project</t>
        </is>
      </c>
      <c r="K1936" t="inlineStr">
        <is>
          <t>GG - Event Service</t>
        </is>
      </c>
      <c r="L1936" t="inlineStr">
        <is>
          <t>Philippine Kings League Spring Season 2026 (PKL)</t>
        </is>
      </c>
      <c r="M1936" t="inlineStr">
        <is>
          <t>2026TEG-P0037</t>
        </is>
      </c>
      <c r="N1936" t="inlineStr">
        <is>
          <t>Juvie Anne Asis Castres</t>
        </is>
      </c>
      <c r="O1936" t="inlineStr">
        <is>
          <t>202602120056-Juvie Anne Asis Castres-费用报销 - 副本 - 副本 - 副本-2026-02-12 05:59:03</t>
        </is>
      </c>
      <c r="P1936" t="inlineStr">
        <is>
          <t>YES</t>
        </is>
      </c>
      <c r="Q1936"/>
      <c r="R1936" t="inlineStr">
        <is>
          <t>NO</t>
        </is>
      </c>
      <c r="S1936" t="inlineStr">
        <is>
          <t>Outsourced Photo and Video documentation Team</t>
        </is>
      </c>
      <c r="T1936">
        <v>1</v>
      </c>
      <c r="U1936">
        <v>215000</v>
      </c>
      <c r="V1936" t="inlineStr">
        <is>
          <t>PHP</t>
        </is>
      </c>
      <c r="W1936">
        <v>215000</v>
      </c>
      <c r="X1936" s="2" t="str">
        <f>=HYPERLINK("https://www.larksuite.com/approval/admin/previewAttachment?key=PMgxqgJBEATQK1X11HR1_8v8ZIdFEE2ExWTOLhiYviwia3JkQ81ocDtRUM4KWTE46R2bdsP05F6P818xvOJ5j8BR13tft-NcL852BDykUQD49_NhSd0pfB2fAAAA__8", "2 attachment(s)")</f>
        <v>2 attachment(s)</v>
      </c>
      <c r="Y1936" t="inlineStr">
        <is>
          <t>Bank Transfer</t>
        </is>
      </c>
      <c r="Z1936" t="inlineStr">
        <is>
          <t>Harold Lance Pialda</t>
        </is>
      </c>
      <c r="AA1936" t="inlineStr">
        <is>
          <t>0000050859073</t>
        </is>
      </c>
      <c r="AB1936" t="inlineStr">
        <is>
          <t>Security Bank</t>
        </is>
      </c>
      <c r="AC1936" t="inlineStr">
        <is>
          <t>Unit 6 M Gabriel Compound Fairview Quezon City</t>
        </is>
      </c>
      <c r="AD1936" s="4">
        <v>46073</v>
      </c>
      <c r="AE1936" t="inlineStr">
        <is>
          <t>1st Payment - Feb. 20, 2026
2nd Payment - Mar. 6, 2026
Final Payment - Mar. 20, 2026</t>
        </is>
      </c>
      <c r="AF1936" s="2"/>
      <c r="AG1936" t="inlineStr">
        <is>
          <t>NzQyNTk5MTgyNzQ4MTg3MDM0MTo4NzQ3QUVFMS01QUU0LTRCNDgtODI5OC1ENjhBQzM3M0Y0M0MtMTphM2EwNGIzZGE0YWZlODNmZjY5MDYxZTI4NWRiYjAwMDox</t>
        </is>
      </c>
      <c r="AH1936" t="inlineStr">
        <is>
          <t>Istorya at Larawan</t>
        </is>
      </c>
      <c r="AI1936"/>
      <c r="AJ1936" t="inlineStr">
        <is>
          <t>LIQUIDITY PLAN (PAR # 202602120015 / 2026TEG-P0037)
MEDIA DAY &gt; 2-DAY PHOTO SHOOT &gt;
Creative Services &gt; TEAMS' MEDIA DAY (Package)
Total Budget = Php 231,000.00
Actual Cost = Php 215,000.00
Balance = Php 16,000.00</t>
        </is>
      </c>
      <c r="AK1936"/>
    </row>
    <row r="1937" ht="25.5" customHeight="1">
      <c r="A1937" s="2" t="str">
        <f>=HYPERLINK("https://applink.larksuite.com/client/mini_program/open?appId=cli_9c7cc8a9a9edd105&amp;mode=appCenter&amp;path_pc=pc/pages/requested/index?instanceId=7607379565467406043&amp;source=bitable&amp;path=pages/detail/index?instanceId=7607379565467406043&amp;source=bitable", "202602160076")</f>
        <v>202602160076</v>
      </c>
      <c r="B1937" t="inlineStr">
        <is>
          <t>Approved</t>
        </is>
      </c>
      <c r="C1937" t="inlineStr">
        <is>
          <t>Procurement Order</t>
        </is>
      </c>
      <c r="D1937" s="3">
        <v>46069.69305555556</v>
      </c>
      <c r="E1937" s="3">
        <v>46087.65282407407</v>
      </c>
      <c r="F1937" t="inlineStr">
        <is>
          <t>Fatima Kathleen M. FLores</t>
        </is>
      </c>
      <c r="G1937" t="inlineStr">
        <is>
          <t>Procurement</t>
        </is>
      </c>
      <c r="H1937"/>
      <c r="I1937"/>
      <c r="J1937" t="inlineStr">
        <is>
          <t>Project</t>
        </is>
      </c>
      <c r="K1937" t="inlineStr">
        <is>
          <t>PDEI - Event Service</t>
        </is>
      </c>
      <c r="L1937" t="inlineStr">
        <is>
          <t>MPL PH S15 Media &amp; Content Day</t>
        </is>
      </c>
      <c r="M1937" t="inlineStr">
        <is>
          <t>2024TEG-P0445</t>
        </is>
      </c>
      <c r="N1937" t="inlineStr">
        <is>
          <t>Anteaus Villena</t>
        </is>
      </c>
      <c r="O1937" t="inlineStr">
        <is>
          <t>202601130058-Anteaus Villena-费用报销 - 副本 - 副本 - 副本-2026-01-13 07:37:32</t>
        </is>
      </c>
      <c r="P1937" t="inlineStr">
        <is>
          <t>NO</t>
        </is>
      </c>
      <c r="Q1937"/>
      <c r="R1937" t="inlineStr">
        <is>
          <t>YES</t>
        </is>
      </c>
      <c r="S1937" t="inlineStr">
        <is>
          <t>Outsourced Photographer (1 Day Shoot / Studio Set-up)</t>
        </is>
      </c>
      <c r="T1937">
        <v>1</v>
      </c>
      <c r="U1937">
        <v>23520</v>
      </c>
      <c r="V1937" t="inlineStr">
        <is>
          <t>PHP</t>
        </is>
      </c>
      <c r="W1937">
        <v>23520</v>
      </c>
      <c r="X1937" s="2" t="str">
        <f>=HYPERLINK("https://www.larksuite.com/approval/admin/previewAttachment?key=PMgxCkJBDATQK002k8zGy9j4WeTDVqJokbMLFrYvpyFnmGeBZaNgrYRcFRlMEQl6jzapIFNYH3td32eQ8o3z86zl_brf1vGwKI0BOekTgF3-7iJZlcTP8Q0AAP__", "2 attachment(s)")</f>
        <v>2 attachment(s)</v>
      </c>
      <c r="Y1937" t="inlineStr">
        <is>
          <t>Bank Transfer</t>
        </is>
      </c>
      <c r="Z1937" t="inlineStr">
        <is>
          <t>Ryan Matias</t>
        </is>
      </c>
      <c r="AA1937" t="inlineStr">
        <is>
          <t>1996 2285 79</t>
        </is>
      </c>
      <c r="AB1937" t="inlineStr">
        <is>
          <t>BPI</t>
        </is>
      </c>
      <c r="AC1937" t="inlineStr">
        <is>
          <t>Antipolo City</t>
        </is>
      </c>
      <c r="AD1937" s="4">
        <v>46080</v>
      </c>
      <c r="AE1937" t="inlineStr">
        <is>
          <t>100% Full Payment</t>
        </is>
      </c>
      <c r="AF1937" s="2"/>
      <c r="AG1937" t="inlineStr">
        <is>
          <t>NzQyNTk5MTgyNzQ4MTg3MDM0MTozQjkyRERDRi04NTkwLTQzREUtODFDNS02QzZBNjFCNzQ5NUQtMTpjNjZmN2U2Yzc5MGUxMjM1MTU3NmQ4YTcwYzg3NTlhNTox</t>
        </is>
      </c>
      <c r="AH1937" t="inlineStr">
        <is>
          <t>Ryan Matias</t>
        </is>
      </c>
      <c r="AI1937"/>
      <c r="AJ1937" t="inlineStr">
        <is>
          <t>LIQUIDITY PLAN (PAR # 202501300064)
Photo Detail (Ryan Matias) &gt; 
Phototeam Bundle
Photo Package (Output and Treatment) - INTERNAL
Total Remaining Budget = Php 8,240.00
Actual Cost = Php 23,520.00
Balance = (Php 15,280.00) OVER BUDGET</t>
        </is>
      </c>
      <c r="AK1937"/>
    </row>
    <row r="1938" ht="25.5" customHeight="1">
      <c r="A1938" s="2" t="str">
        <f>=HYPERLINK("https://applink.larksuite.com/client/mini_program/open?appId=cli_9c7cc8a9a9edd105&amp;mode=appCenter&amp;path_pc=pc/pages/requested/index?instanceId=7608503196310359774&amp;source=bitable&amp;path=pages/detail/index?instanceId=7608503196310359774&amp;source=bitable", "202602190078")</f>
        <v>202602190078</v>
      </c>
      <c r="B1938" t="inlineStr">
        <is>
          <t>Approved</t>
        </is>
      </c>
      <c r="C1938" t="inlineStr">
        <is>
          <t>Procurement Order</t>
        </is>
      </c>
      <c r="D1938" s="3">
        <v>46072.72101851852</v>
      </c>
      <c r="E1938" s="3">
        <v>46073.45358796296</v>
      </c>
      <c r="F1938" t="inlineStr">
        <is>
          <t>Fatima Kathleen M. FLores</t>
        </is>
      </c>
      <c r="G1938" t="inlineStr">
        <is>
          <t>Procurement</t>
        </is>
      </c>
      <c r="H1938"/>
      <c r="I1938"/>
      <c r="J1938" t="inlineStr">
        <is>
          <t>Project</t>
        </is>
      </c>
      <c r="K1938" t="inlineStr">
        <is>
          <t>PDEI - Game Marketing</t>
        </is>
      </c>
      <c r="L1938" t="inlineStr">
        <is>
          <t>SM Cyberzone Trading Card Game (TCG) Activations</t>
        </is>
      </c>
      <c r="M1938" t="inlineStr">
        <is>
          <t>2025TEG-P0278</t>
        </is>
      </c>
      <c r="N1938" t="inlineStr">
        <is>
          <t>Alessandra Mae Villanueva Boado</t>
        </is>
      </c>
      <c r="O1938" t="inlineStr">
        <is>
          <t>202602130094-Alessandra Mae Villanueva Boado-费用报销 - 副本 - 副本 - 副本-2026-02-13 10:29:12</t>
        </is>
      </c>
      <c r="P1938" t="inlineStr">
        <is>
          <t>NO</t>
        </is>
      </c>
      <c r="Q1938"/>
      <c r="R1938" t="inlineStr">
        <is>
          <t>NO</t>
        </is>
      </c>
      <c r="S1938" t="inlineStr">
        <is>
          <t>STAGE/BOOTH FABRICATION (Rental Only)</t>
        </is>
      </c>
      <c r="T1938">
        <v>1</v>
      </c>
      <c r="U1938">
        <v>400000</v>
      </c>
      <c r="V1938" t="inlineStr">
        <is>
          <t>PHP</t>
        </is>
      </c>
      <c r="W1938">
        <v>400000</v>
      </c>
      <c r="X1938" s="2" t="str">
        <f>=HYPERLINK("https://www.larksuite.com/approval/admin/previewAttachment?key=PMg7DgIxDATQK83Ejp3hMjQbRXy0NAikLXx2JIptXwwiRqeF4GITWBkYHUaFEdaV6dWKmUIyO2vu67ofOtbnPtfLntuj1fe2rflmV7aGNHcbAHg53dLdpXD8Hb8AAAD__w", "2 attachment(s)")</f>
        <v>2 attachment(s)</v>
      </c>
      <c r="Y1938" t="inlineStr">
        <is>
          <t>Bank Transfer</t>
        </is>
      </c>
      <c r="Z1938" t="inlineStr">
        <is>
          <t>MARIVIC F. REOTAN</t>
        </is>
      </c>
      <c r="AA1938" t="inlineStr">
        <is>
          <t>0429800633</t>
        </is>
      </c>
      <c r="AB1938" t="inlineStr">
        <is>
          <t>BPI</t>
        </is>
      </c>
      <c r="AC1938" t="inlineStr">
        <is>
          <t>72 TUMANA DULO, BAGONG SILANGAN, QUEZON CITY</t>
        </is>
      </c>
      <c r="AD1938" s="4">
        <v>46078</v>
      </c>
      <c r="AE1938" t="inlineStr">
        <is>
          <t>60% Down Payment upon confirmation
40% Full payment upon completion of services</t>
        </is>
      </c>
      <c r="AF1938" s="2"/>
      <c r="AG1938" t="inlineStr">
        <is>
          <t>NzQyNTk5MTgyNzQ4MTg3MDM0MTo2NzJGOTkzMi0wMTlDLTQzMTctQTRCNi0xNTU5NDJBMEY1NjItMToxYzQ5NjNlYzYyNDMwZWQwY2E5YjM0NmFjZGYyM2M4ODox</t>
        </is>
      </c>
      <c r="AH1938" t="inlineStr">
        <is>
          <t>MFR DESIGNS EXHIBITS AND BOOTH RENTALS</t>
        </is>
      </c>
      <c r="AI1938"/>
      <c r="AJ1938" t="inlineStr">
        <is>
          <t>LIQUIDITY PLAN (PAR # 202602090082 / 2025TEG-P0278)
Fabrication &gt; Stage beautification and event setup
Total Budget = Php 500,000.00
Actual Cost = Php 400,000.00
Balance = Php 100,000.00</t>
        </is>
      </c>
      <c r="AK1938"/>
    </row>
    <row r="1939" ht="25.5" customHeight="1">
      <c r="A1939" s="2" t="str">
        <f>=HYPERLINK("https://applink.larksuite.com/client/mini_program/open?appId=cli_9c7cc8a9a9edd105&amp;mode=appCenter&amp;path_pc=pc/pages/requested/index?instanceId=7608503476900941532&amp;source=bitable&amp;path=pages/detail/index?instanceId=7608503476900941532&amp;source=bitable", "202602190079")</f>
        <v>202602190079</v>
      </c>
      <c r="B1939" t="inlineStr">
        <is>
          <t>Approved</t>
        </is>
      </c>
      <c r="C1939" t="inlineStr">
        <is>
          <t>Procurement Order</t>
        </is>
      </c>
      <c r="D1939" s="3">
        <v>46072.721770833334</v>
      </c>
      <c r="E1939" s="3">
        <v>46073.63935185185</v>
      </c>
      <c r="F1939" t="inlineStr">
        <is>
          <t>Fatima Kathleen M. FLores</t>
        </is>
      </c>
      <c r="G1939" t="inlineStr">
        <is>
          <t>Procurement</t>
        </is>
      </c>
      <c r="H1939"/>
      <c r="I1939"/>
      <c r="J1939" t="inlineStr">
        <is>
          <t>Project</t>
        </is>
      </c>
      <c r="K1939" t="inlineStr">
        <is>
          <t>GG - Event Service</t>
        </is>
      </c>
      <c r="L1939" t="inlineStr">
        <is>
          <t>Philippine Kings League Spring Season 2026 (PKL)</t>
        </is>
      </c>
      <c r="M1939" t="inlineStr">
        <is>
          <t>2026TEG-P0037</t>
        </is>
      </c>
      <c r="N1939" t="inlineStr">
        <is>
          <t>Juvie Anne Asis Castres</t>
        </is>
      </c>
      <c r="O1939" t="inlineStr">
        <is>
          <t>202602150007-Juvie Anne Asis Castres-费用报销 - 副本 - 副本 - 副本-2026-02-15 10:39:16</t>
        </is>
      </c>
      <c r="P1939" t="inlineStr">
        <is>
          <t>NO</t>
        </is>
      </c>
      <c r="Q1939"/>
      <c r="R1939" t="inlineStr">
        <is>
          <t>NO</t>
        </is>
      </c>
      <c r="S1939" t="inlineStr">
        <is>
          <t>Outsourced Trophy Fabricator</t>
        </is>
      </c>
      <c r="T1939">
        <v>1</v>
      </c>
      <c r="U1939">
        <v>48500</v>
      </c>
      <c r="V1939" t="inlineStr">
        <is>
          <t>PHP</t>
        </is>
      </c>
      <c r="W1939">
        <v>48500</v>
      </c>
      <c r="X1939" s="2" t="str">
        <f>=HYPERLINK("https://www.larksuite.com/approval/admin/previewAttachment?key=PMg9CkJBDATgK81sJsnGy9j4ePjDgiAqFjm7YGH7xSRiOi0KKo4COwPTYcoooES30aOZWUims7e1H6-L6172vF0-8rf6dT7t24NeOQbSJJsAePi7paSqEH6ObwAAAP__", "3 attachment(s)")</f>
        <v>3 attachment(s)</v>
      </c>
      <c r="Y1939" t="inlineStr">
        <is>
          <t>Bank Transfer</t>
        </is>
      </c>
      <c r="Z1939" t="inlineStr">
        <is>
          <t>Joel Heinzl Ng</t>
        </is>
      </c>
      <c r="AA1939" t="inlineStr">
        <is>
          <t>0065 9022 9294</t>
        </is>
      </c>
      <c r="AB1939" t="inlineStr">
        <is>
          <t>BDO</t>
        </is>
      </c>
      <c r="AC1939" t="inlineStr">
        <is>
          <t>7 Agueda street Project 8 Quezon City</t>
        </is>
      </c>
      <c r="AD1939" s="4">
        <v>46080</v>
      </c>
      <c r="AE1939" t="inlineStr">
        <is>
          <t>1st Payment - Feb. 27, 2026
Final Payment - March 13, 2026</t>
        </is>
      </c>
      <c r="AF1939" s="2"/>
      <c r="AG1939" t="inlineStr">
        <is>
          <t>NzQyNTk5MTgyNzQ4MTg3MDM0MTozQ0MwODFGMC1CNkI2LTQ4NEItQTgwQi05RUUyOTA1NEFBREMtMTo1YTk3YzBjMTdjNjFmNTY0ZDlhMTZhNTI0NjIwYWI2Mzox</t>
        </is>
      </c>
      <c r="AH1939" t="inlineStr">
        <is>
          <t>Joel Heinzl Ng</t>
        </is>
      </c>
      <c r="AI1939"/>
      <c r="AJ1939" t="inlineStr">
        <is>
          <t>LIQUIDITY PLAN (PAR # 202602120015 / 2026TEG-P0037)
PLAYOFFS &gt; STAGING &amp; STUDIO &gt;
Awarding &gt; Trophy Design &amp; Fabrication
Total Budget = Php 50,000.00
Actual Cost = Php 48,500.00
Balance = Php 1,500.00</t>
        </is>
      </c>
      <c r="AK1939"/>
    </row>
    <row r="1940" ht="25.5" customHeight="1">
      <c r="A1940" s="2" t="str">
        <f>=HYPERLINK("https://applink.larksuite.com/client/mini_program/open?appId=cli_9c7cc8a9a9edd105&amp;mode=appCenter&amp;path_pc=pc/pages/requested/index?instanceId=7608514414580354779&amp;source=bitable&amp;path=pages/detail/index?instanceId=7608514414580354779&amp;source=bitable", "202602190086")</f>
        <v>202602190086</v>
      </c>
      <c r="B1940" t="inlineStr">
        <is>
          <t>Approved</t>
        </is>
      </c>
      <c r="C1940" t="inlineStr">
        <is>
          <t>Procurement Order</t>
        </is>
      </c>
      <c r="D1940" s="3">
        <v>46072.75125</v>
      </c>
      <c r="E1940" s="3">
        <v>46073.4546875</v>
      </c>
      <c r="F1940" t="inlineStr">
        <is>
          <t>Fatima Kathleen M. FLores</t>
        </is>
      </c>
      <c r="G1940" t="inlineStr">
        <is>
          <t>Procurement</t>
        </is>
      </c>
      <c r="H1940"/>
      <c r="I1940"/>
      <c r="J1940" t="inlineStr">
        <is>
          <t>Project</t>
        </is>
      </c>
      <c r="K1940" t="inlineStr">
        <is>
          <t>PDEI - Game Marketing</t>
        </is>
      </c>
      <c r="L1940" t="inlineStr">
        <is>
          <t>SM Cyberzone Trading Card Game (TCG) Activations</t>
        </is>
      </c>
      <c r="M1940" t="inlineStr">
        <is>
          <t>2025TEG-P0278</t>
        </is>
      </c>
      <c r="N1940" t="inlineStr">
        <is>
          <t>Maura Aurel Atilano Yap</t>
        </is>
      </c>
      <c r="O1940" t="inlineStr">
        <is>
          <t>202602130090-Alessandra Mae Villanueva Boado-费用报销 - 副本 - 副本 - 副本-2026-02-13 10:24:49</t>
        </is>
      </c>
      <c r="P1940" t="inlineStr">
        <is>
          <t>NO</t>
        </is>
      </c>
      <c r="Q1940"/>
      <c r="R1940" t="inlineStr">
        <is>
          <t>NO</t>
        </is>
      </c>
      <c r="S1940" t="inlineStr">
        <is>
          <t>Outsourced Technical Services (LED, Lights &amp; Sounds)</t>
        </is>
      </c>
      <c r="T1940">
        <v>1</v>
      </c>
      <c r="U1940">
        <v>139440</v>
      </c>
      <c r="V1940" t="inlineStr">
        <is>
          <t>PHP</t>
        </is>
      </c>
      <c r="W1940">
        <v>139440</v>
      </c>
      <c r="X1940" s="2" t="str">
        <f>=HYPERLINK("https://www.larksuite.com/approval/admin/previewAttachment?key=PMgxCgIxFATQK80k8zP_exmbXRZZFAQhaJGzCxa2byQxMthHQcVW4PJABiUqEj1k12qLdsF0cO2P4_o8txN3v1OA52fN23bsL0a5NbhLPQHw8vduSVVD-Dm-AQAA__8", "2 attachment(s)")</f>
        <v>2 attachment(s)</v>
      </c>
      <c r="Y1940" t="inlineStr">
        <is>
          <t>Bank Transfer</t>
        </is>
      </c>
      <c r="Z1940" t="inlineStr">
        <is>
          <t>SweetXavier Events Management Services</t>
        </is>
      </c>
      <c r="AA1940" t="inlineStr">
        <is>
          <t>2549 161 424</t>
        </is>
      </c>
      <c r="AB1940" t="inlineStr">
        <is>
          <t>BPI</t>
        </is>
      </c>
      <c r="AC1940" t="inlineStr">
        <is>
          <t>144 G. SORIANO ST KABYANAN 1500 CITY OF SAN JUAN</t>
        </is>
      </c>
      <c r="AD1940" s="4">
        <v>46080</v>
      </c>
      <c r="AE1940" t="inlineStr">
        <is>
          <t>50% Down payment upon confirmation
Final Payment upon completion of services</t>
        </is>
      </c>
      <c r="AF1940" s="2" t="str">
        <f>=HYPERLINK("https://www.larksuite.com/approval/admin/previewAttachment?key=TMg7CsIAEATQK81kP7PrZWwSggQFQQha7NkFK9uXRWQFLRveXBocJSroTo-ChUs9y1BqiArO9tivz2M9cNe7HND5mfO27tuLWZbwDnc2AF7-nESXpf0c3wAAAP__", "3 attachment(s)")</f>
        <v>3 attachment(s)</v>
      </c>
      <c r="AG1940" t="inlineStr">
        <is>
          <t>NzQyNTk5MTgyNzQ4MTg3MDM0MTpGRkU5QzhFNS04N0I3LTRDRjUtQjRDRi00RTQ4NzI3QTExREItMToyMTM3MWUzMGEwOGVkMWJjZGQxMDY5NjNlNDQwNDUxYzox</t>
        </is>
      </c>
      <c r="AH1940" t="inlineStr">
        <is>
          <t>SweetXavier Events Management Services</t>
        </is>
      </c>
      <c r="AI1940"/>
      <c r="AJ1940" t="inlineStr">
        <is>
          <t>LIQUIDITY PLAN (PAR # 202602090082 / 2025TEG-P0278)
Fabrication &gt; LED + lights and sounds and Communication set
Total Budget = Php 300,000.00
Actual Cost = Php 139,440.00
Balance = Php 160,560.00</t>
        </is>
      </c>
      <c r="AK1940"/>
    </row>
    <row r="1941" ht="25.5" customHeight="1">
      <c r="A1941" s="2" t="str">
        <f>=HYPERLINK("https://applink.larksuite.com/client/mini_program/open?appId=cli_9c7cc8a9a9edd105&amp;mode=appCenter&amp;path_pc=pc/pages/requested/index?instanceId=7608510039908683490&amp;source=bitable&amp;path=pages/detail/index?instanceId=7608510039908683490&amp;source=bitable", "202602190082")</f>
        <v>202602190082</v>
      </c>
      <c r="B1941" t="inlineStr">
        <is>
          <t>Approved</t>
        </is>
      </c>
      <c r="C1941" t="inlineStr">
        <is>
          <t>Procurement Order</t>
        </is>
      </c>
      <c r="D1941" s="3">
        <v>46072.73945601852</v>
      </c>
      <c r="E1941" s="3">
        <v>46073.78412037037</v>
      </c>
      <c r="F1941" t="inlineStr">
        <is>
          <t>Fatima Kathleen M. FLores</t>
        </is>
      </c>
      <c r="G1941" t="inlineStr">
        <is>
          <t>Procurement</t>
        </is>
      </c>
      <c r="H1941"/>
      <c r="I1941"/>
      <c r="J1941" t="inlineStr">
        <is>
          <t>Project</t>
        </is>
      </c>
      <c r="K1941" t="inlineStr">
        <is>
          <t>PDEI - Game Marketing</t>
        </is>
      </c>
      <c r="L1941" t="inlineStr">
        <is>
          <t>Manila Gin Festival 2026</t>
        </is>
      </c>
      <c r="M1941" t="inlineStr">
        <is>
          <t>2026TEG-P0040</t>
        </is>
      </c>
      <c r="N1941" t="inlineStr">
        <is>
          <t>Arvin Evangelista Dela Cruz</t>
        </is>
      </c>
      <c r="O1941" t="inlineStr">
        <is>
          <t>202602180108-Arvin Evangelista Dela Cruz-费用报销 - 副本 - 副本 - 副本-2026-02-18 14:41:37</t>
        </is>
      </c>
      <c r="P1941" t="inlineStr">
        <is>
          <t>NO</t>
        </is>
      </c>
      <c r="Q1941"/>
      <c r="R1941" t="inlineStr">
        <is>
          <t>NO</t>
        </is>
      </c>
      <c r="S1941" t="inlineStr">
        <is>
          <t>2.75FT X 6.5FT PULL UP BANNER WITH MECHANISM</t>
        </is>
      </c>
      <c r="T1941">
        <v>2</v>
      </c>
      <c r="U1941">
        <v>1904</v>
      </c>
      <c r="V1941" t="inlineStr">
        <is>
          <t>PHP</t>
        </is>
      </c>
      <c r="W1941">
        <v>3808</v>
      </c>
      <c r="X1941" s="2" t="str">
        <f>=HYPERLINK("https://www.larksuite.com/approval/admin/previewAttachment?key=PMgxCgJBDAXQK_1M_iT5XsZmlkWRBUHQbXJ2wcL2RRmipnkIlA3BOgM1DXAJFeUUerRlCmk5rbdjv344mPdzPc-FA49-39a-vWwqx0A66QXALn_3JCkF8XN8AwAA__8", "2 attachment(s)")</f>
        <v>2 attachment(s)</v>
      </c>
      <c r="Y1941" t="inlineStr">
        <is>
          <t>Bank Transfer</t>
        </is>
      </c>
      <c r="Z1941" t="inlineStr">
        <is>
          <t>ILIGHT PRODUCTION</t>
        </is>
      </c>
      <c r="AA1941" t="inlineStr">
        <is>
          <t>007960010274</t>
        </is>
      </c>
      <c r="AB1941" t="inlineStr">
        <is>
          <t>BDO</t>
        </is>
      </c>
      <c r="AC1941" t="inlineStr">
        <is>
          <t>3791 Mascardo St. Brgy, Sta Cruz, Makati City</t>
        </is>
      </c>
      <c r="AD1941" s="4">
        <v>46080</v>
      </c>
      <c r="AE1941" t="inlineStr">
        <is>
          <t>100% Full Payment upon complete delivery</t>
        </is>
      </c>
      <c r="AF1941" s="2"/>
      <c r="AG1941" t="inlineStr">
        <is>
          <t>NzQyNTk5MTgyNzQ4MTg3MDM0MTozNkI5QzNFQy1GQzcxLTRGMjQtOTkxRi1GNjdGQ0E1NzNFM0MtMToyMGRjYjhjODI0Yzk1MmRiMmU5MTk4MjU4MTY1NjA2NTox</t>
        </is>
      </c>
      <c r="AH1941" t="inlineStr">
        <is>
          <t>ILIGHT PRODUCTION</t>
        </is>
      </c>
      <c r="AI1941"/>
      <c r="AJ1941" t="inlineStr">
        <is>
          <t>LIQUIDITY PLAN (PAR # 202602110043 / 2026TEG-P0040)
Pull up banners
Total Budget = Php 4,000.00
Actual Cost = Php 3,808.00
Balance = Php 192.00</t>
        </is>
      </c>
      <c r="AK1941"/>
    </row>
    <row r="1942" ht="25.5" customHeight="1">
      <c r="A1942" s="2" t="str">
        <f>=HYPERLINK("https://applink.larksuite.com/client/mini_program/open?appId=cli_9c7cc8a9a9edd105&amp;mode=appCenter&amp;path_pc=pc/pages/requested/index?instanceId=7608855781378641633&amp;source=bitable&amp;path=pages/detail/index?instanceId=7608855781378641633&amp;source=bitable", "202602200055")</f>
        <v>202602200055</v>
      </c>
      <c r="B1942" t="inlineStr">
        <is>
          <t>Approved</t>
        </is>
      </c>
      <c r="C1942" t="inlineStr">
        <is>
          <t>Procurement Order</t>
        </is>
      </c>
      <c r="D1942" s="3">
        <v>46073.671168981484</v>
      </c>
      <c r="E1942" s="3">
        <v>46077.75680555555</v>
      </c>
      <c r="F1942" t="inlineStr">
        <is>
          <t>Fatima Kathleen M. FLores</t>
        </is>
      </c>
      <c r="G1942" t="inlineStr">
        <is>
          <t>Procurement</t>
        </is>
      </c>
      <c r="H1942"/>
      <c r="I1942"/>
      <c r="J1942" t="inlineStr">
        <is>
          <t>Project</t>
        </is>
      </c>
      <c r="K1942" t="inlineStr">
        <is>
          <t>GG - Event Service</t>
        </is>
      </c>
      <c r="L1942" t="inlineStr">
        <is>
          <t>Philippine Kings League Spring Season 2026 (PKL)</t>
        </is>
      </c>
      <c r="M1942" t="inlineStr">
        <is>
          <t>2026TEG-P0037</t>
        </is>
      </c>
      <c r="N1942" t="inlineStr">
        <is>
          <t>Juvie Anne Asis Castres</t>
        </is>
      </c>
      <c r="O1942" t="inlineStr">
        <is>
          <t>202602120058-Juvie Anne Asis Castres-费用报销 - 副本 - 副本 - 副本-2026-02-12 06:02:49</t>
        </is>
      </c>
      <c r="P1942" t="inlineStr">
        <is>
          <t>YES</t>
        </is>
      </c>
      <c r="Q1942"/>
      <c r="R1942" t="inlineStr">
        <is>
          <t>NO</t>
        </is>
      </c>
      <c r="S1942" t="inlineStr">
        <is>
          <t>Outsourced Assistant Producer (Media Day)</t>
        </is>
      </c>
      <c r="T1942">
        <v>1</v>
      </c>
      <c r="U1942">
        <v>8000</v>
      </c>
      <c r="V1942" t="inlineStr">
        <is>
          <t>PHP</t>
        </is>
      </c>
      <c r="W1942">
        <v>8000</v>
      </c>
      <c r="X1942" s="2" t="str">
        <f>=HYPERLINK("https://www.larksuite.com/approval/admin/previewAttachment?key=PMg9CgJRDATgK828_EziZWxcFlFeJdrl7IKF7ZdFZAUtG95cDY4SVREqmiqdaTZrKDVEBefY51Xc1JvxMGPFcz7323m8GK21IHO3AsDL303u3p2On-MbAAD__w", "2 attachment(s)")</f>
        <v>2 attachment(s)</v>
      </c>
      <c r="Y1942" t="inlineStr">
        <is>
          <t>Bank Transfer</t>
        </is>
      </c>
      <c r="Z1942" t="inlineStr">
        <is>
          <t>Sandra Ortiz</t>
        </is>
      </c>
      <c r="AA1942" t="inlineStr">
        <is>
          <t>09610537362</t>
        </is>
      </c>
      <c r="AB1942" t="inlineStr">
        <is>
          <t>GCash</t>
        </is>
      </c>
      <c r="AC1942" t="inlineStr">
        <is>
          <t>3477 Magistrado Torres St Bacood Sta. Mesa Manila</t>
        </is>
      </c>
      <c r="AD1942" s="4">
        <v>46087</v>
      </c>
      <c r="AE1942" t="inlineStr">
        <is>
          <t>100% Full payment</t>
        </is>
      </c>
      <c r="AF1942" s="2"/>
      <c r="AG1942" t="inlineStr">
        <is>
          <t>NzQyNTk5MTgyNzQ4MTg3MDM0MTpFQ0RCODAwRi1BOUMxLTQ0RUMtQTIxMy00QkI3NEVCQTI5ODUtMTpiMmJjNjBiMWVkODkxMjMxMzU5OWNlMmNhZjg5NTkxMjox</t>
        </is>
      </c>
      <c r="AH1942" t="inlineStr">
        <is>
          <t>Sandra Ortiz</t>
        </is>
      </c>
      <c r="AI1942"/>
      <c r="AJ1942" t="inlineStr">
        <is>
          <t>LIQUIDITY PLAN (PAR # 202602120015 / 2026TEG-P0037)
MEDIA DAY &gt; 2-DAY PHOTO SHOOT &gt;
Production Assistants
Total Budget = Php 16,000.00
Actual Cost = Php 8,000.00
Balance = Php 8,000.00</t>
        </is>
      </c>
      <c r="AK1942"/>
    </row>
    <row r="1943" ht="25.5" customHeight="1">
      <c r="A1943" s="2" t="str">
        <f>=HYPERLINK("https://applink.larksuite.com/client/mini_program/open?appId=cli_9c7cc8a9a9edd105&amp;mode=appCenter&amp;path_pc=pc/pages/requested/index?instanceId=7608858008016342747&amp;source=bitable&amp;path=pages/detail/index?instanceId=7608858008016342747&amp;source=bitable", "202602200060")</f>
        <v>202602200060</v>
      </c>
      <c r="B1943" t="inlineStr">
        <is>
          <t>Approved</t>
        </is>
      </c>
      <c r="C1943" t="inlineStr">
        <is>
          <t>Procurement Order</t>
        </is>
      </c>
      <c r="D1943" s="3">
        <v>46073.67716435185</v>
      </c>
      <c r="E1943" s="3">
        <v>46077.75346064815</v>
      </c>
      <c r="F1943" t="inlineStr">
        <is>
          <t>Fatima Kathleen M. FLores</t>
        </is>
      </c>
      <c r="G1943" t="inlineStr">
        <is>
          <t>Procurement</t>
        </is>
      </c>
      <c r="H1943"/>
      <c r="I1943"/>
      <c r="J1943" t="inlineStr">
        <is>
          <t>Project</t>
        </is>
      </c>
      <c r="K1943" t="inlineStr">
        <is>
          <t>GG - Event Service</t>
        </is>
      </c>
      <c r="L1943" t="inlineStr">
        <is>
          <t>Philippine Kings League Spring Season 2026 (PKL)</t>
        </is>
      </c>
      <c r="M1943" t="inlineStr">
        <is>
          <t>2026TEG-P0037</t>
        </is>
      </c>
      <c r="N1943" t="inlineStr">
        <is>
          <t>Juvie Anne Asis Castres</t>
        </is>
      </c>
      <c r="O1943" t="inlineStr">
        <is>
          <t>202602120058-Juvie Anne Asis Castres-费用报销 - 副本 - 副本 - 副本-2026-02-12 06:02:49</t>
        </is>
      </c>
      <c r="P1943" t="inlineStr">
        <is>
          <t>YES</t>
        </is>
      </c>
      <c r="Q1943"/>
      <c r="R1943" t="inlineStr">
        <is>
          <t>NO</t>
        </is>
      </c>
      <c r="S1943" t="inlineStr">
        <is>
          <t>Outsourced Assistant Producer (Media Day)</t>
        </is>
      </c>
      <c r="T1943">
        <v>1</v>
      </c>
      <c r="U1943">
        <v>8000</v>
      </c>
      <c r="V1943" t="inlineStr">
        <is>
          <t>PHP</t>
        </is>
      </c>
      <c r="W1943">
        <v>8000</v>
      </c>
      <c r="X1943" s="2" t="str">
        <f>=HYPERLINK("https://www.larksuite.com/approval/admin/previewAttachment?key=PMg7CgJBEATQK1X11PTHy5g4LAquibhg0GcXDDZ9noTn5PCCilZghyNzJpCgD1ko2poRhWBM9tq368Gd33zpYc-19OnjftvWm7PCDDGkkQB4OX2EpCoX_o5fAAAA__8", "2 attachment(s)")</f>
        <v>2 attachment(s)</v>
      </c>
      <c r="Y1943" t="inlineStr">
        <is>
          <t>Bank Transfer</t>
        </is>
      </c>
      <c r="Z1943" t="inlineStr">
        <is>
          <t>Sheilla Mae Songalia</t>
        </is>
      </c>
      <c r="AA1943" t="inlineStr">
        <is>
          <t>17520835633</t>
        </is>
      </c>
      <c r="AB1943" t="inlineStr">
        <is>
          <t>MARIBANK</t>
        </is>
      </c>
      <c r="AC1943" t="inlineStr">
        <is>
          <t>19-B Acacia St. Old Cabuyao Brgy. Sauyo, QC</t>
        </is>
      </c>
      <c r="AD1943" s="4">
        <v>46087</v>
      </c>
      <c r="AE1943" t="inlineStr">
        <is>
          <t>100% Full payment</t>
        </is>
      </c>
      <c r="AF1943" s="2"/>
      <c r="AG1943" t="inlineStr">
        <is>
          <t>NzQyNTk5MTgyNzQ4MTg3MDM0MTpBN0M4NzEwQS1GRTMwLTQ5QzQtODdENy1DMTc2QjMzMUY1RkItMTozYjllN2NmZGYwZmQ1ZjRmNTRjMWJkODk0ZjBiYTE5Yzox</t>
        </is>
      </c>
      <c r="AH1943" t="inlineStr">
        <is>
          <t>Sheilla Mae Songalia</t>
        </is>
      </c>
      <c r="AI1943"/>
      <c r="AJ1943" t="inlineStr">
        <is>
          <t>LIQUIDITY PLAN (PAR # 202602120015 / 2026TEG-P0037)
MEDIA DAY &gt; 2-DAY PHOTO SHOOT &gt;
Production Assistants
Total Budget = Php 8,000.00
Actual Cost = Php 8,000.00</t>
        </is>
      </c>
      <c r="AK1943"/>
    </row>
    <row r="1944" ht="25.5" customHeight="1">
      <c r="A1944" s="2" t="str">
        <f>=HYPERLINK("https://applink.larksuite.com/client/mini_program/open?appId=cli_9c7cc8a9a9edd105&amp;mode=appCenter&amp;path_pc=pc/pages/requested/index?instanceId=7608876479346134751&amp;source=bitable&amp;path=pages/detail/index?instanceId=7608876479346134751&amp;source=bitable", "202602200072")</f>
        <v>202602200072</v>
      </c>
      <c r="B1944" t="inlineStr">
        <is>
          <t>Approved</t>
        </is>
      </c>
      <c r="C1944" t="inlineStr">
        <is>
          <t>Procurement Order</t>
        </is>
      </c>
      <c r="D1944" s="3">
        <v>46073.72694444445</v>
      </c>
      <c r="E1944" s="3">
        <v>46077.74760416667</v>
      </c>
      <c r="F1944" t="inlineStr">
        <is>
          <t>Fatima Kathleen M. FLores</t>
        </is>
      </c>
      <c r="G1944" t="inlineStr">
        <is>
          <t>Procurement</t>
        </is>
      </c>
      <c r="H1944"/>
      <c r="I1944"/>
      <c r="J1944" t="inlineStr">
        <is>
          <t>Project</t>
        </is>
      </c>
      <c r="K1944" t="inlineStr">
        <is>
          <t>GG - Event Service</t>
        </is>
      </c>
      <c r="L1944" t="inlineStr">
        <is>
          <t>Philippine Kings League Spring Season 2026 (PKL)</t>
        </is>
      </c>
      <c r="M1944" t="inlineStr">
        <is>
          <t>2026TEG-P0037</t>
        </is>
      </c>
      <c r="N1944" t="inlineStr">
        <is>
          <t>Juvie Anne Asis Castres</t>
        </is>
      </c>
      <c r="O1944" t="inlineStr">
        <is>
          <t>202602130042-Juvie Anne Asis Castres-费用报销 - 副本 - 副本 - 副本-2026-02-13 04:21:51</t>
        </is>
      </c>
      <c r="P1944" t="inlineStr">
        <is>
          <t>YES</t>
        </is>
      </c>
      <c r="Q1944"/>
      <c r="R1944" t="inlineStr">
        <is>
          <t>NO</t>
        </is>
      </c>
      <c r="S1944" t="inlineStr">
        <is>
          <t>Outsourced Campaign/Socmed Manager (RS and PO/Grand Finals)</t>
        </is>
      </c>
      <c r="T1944">
        <v>1</v>
      </c>
      <c r="U1944">
        <v>70000</v>
      </c>
      <c r="V1944" t="inlineStr">
        <is>
          <t>PHP</t>
        </is>
      </c>
      <c r="W1944">
        <v>70000</v>
      </c>
      <c r="X1944" s="2" t="str">
        <f>=HYPERLINK("https://www.larksuite.com/approval/admin/previewAttachment?key=PMgxCkJBDATQK02S2UziZWz8LCoIgrDdnl20-OV7WYasYZENtnnDthJVSqqDaUEN275Nash-OF7zSg_XfK9nPcZYc6_7bR4fGy13KMgoAHY5P0SyO4n_4xsAAP__", "2 attachment(s)")</f>
        <v>2 attachment(s)</v>
      </c>
      <c r="Y1944" t="inlineStr">
        <is>
          <t>Bank Transfer</t>
        </is>
      </c>
      <c r="Z1944" t="inlineStr">
        <is>
          <t>Kathleen Chryss D Calajate</t>
        </is>
      </c>
      <c r="AA1944" t="inlineStr">
        <is>
          <t>1999219329</t>
        </is>
      </c>
      <c r="AB1944" t="inlineStr">
        <is>
          <t>BPI</t>
        </is>
      </c>
      <c r="AC1944" t="inlineStr">
        <is>
          <t>JA 112, KM3, Brgy. Balili, La Trinidad, Benguet</t>
        </is>
      </c>
      <c r="AD1944" s="4">
        <v>46087</v>
      </c>
      <c r="AE1944" t="inlineStr">
        <is>
          <t>1st Payment - Mar. 6, 2026
2nd Payment - Mar. 20, 2026
3rd Payment - Apr. 10, 2026
Final Payment - Apr. 24, 2026</t>
        </is>
      </c>
      <c r="AF1944" s="2"/>
      <c r="AG1944" t="inlineStr">
        <is>
          <t>NzQyNTk5MTgyNzQ4MTg3MDM0MTo5MkM1NURGNC1DRUYxLTQwMDItODM4OC1ERDg3NzlGMzAxRTItMTpiYTM1MDZiMmU5MWI4YTI1YWVkYWNiNjQyZmRkN2VmNzox</t>
        </is>
      </c>
      <c r="AH1944" t="inlineStr">
        <is>
          <t>Kathleen Chryss D Calajate</t>
        </is>
      </c>
      <c r="AI1944"/>
      <c r="AJ1944" t="inlineStr">
        <is>
          <t>LIQUIDITY PLAN (PAR # 202602120015 / 2026TEG-P0037)
REGULAR SEASON &gt; LABOR COST &gt; 
SOCMED &amp; MARKETING &gt; Campaign/Socmed Manager
Total Budget = Php 70,000.00
Actual Cost = Php 70,000.00</t>
        </is>
      </c>
      <c r="AK1944"/>
    </row>
    <row r="1945" ht="25.5" customHeight="1">
      <c r="A1945" s="2" t="str">
        <f>=HYPERLINK("https://applink.larksuite.com/client/mini_program/open?appId=cli_9c7cc8a9a9edd105&amp;mode=appCenter&amp;path_pc=pc/pages/requested/index?instanceId=7608877738614591202&amp;source=bitable&amp;path=pages/detail/index?instanceId=7608877738614591202&amp;source=bitable", "202602200074")</f>
        <v>202602200074</v>
      </c>
      <c r="B1945" t="inlineStr">
        <is>
          <t>Approved</t>
        </is>
      </c>
      <c r="C1945" t="inlineStr">
        <is>
          <t>Procurement Order</t>
        </is>
      </c>
      <c r="D1945" s="3">
        <v>46073.73033564815</v>
      </c>
      <c r="E1945" s="3">
        <v>46077.751759259256</v>
      </c>
      <c r="F1945" t="inlineStr">
        <is>
          <t>Fatima Kathleen M. FLores</t>
        </is>
      </c>
      <c r="G1945" t="inlineStr">
        <is>
          <t>Procurement</t>
        </is>
      </c>
      <c r="H1945"/>
      <c r="I1945"/>
      <c r="J1945" t="inlineStr">
        <is>
          <t>Project</t>
        </is>
      </c>
      <c r="K1945" t="inlineStr">
        <is>
          <t>GG - Event Service</t>
        </is>
      </c>
      <c r="L1945" t="inlineStr">
        <is>
          <t>Philippine Kings League Spring Season 2026 (PKL)</t>
        </is>
      </c>
      <c r="M1945" t="inlineStr">
        <is>
          <t>2026TEG-P0037</t>
        </is>
      </c>
      <c r="N1945" t="inlineStr">
        <is>
          <t>Juvie Anne Asis Castres</t>
        </is>
      </c>
      <c r="O1945" t="inlineStr">
        <is>
          <t>202602130042-Juvie Anne Asis Castres-费用报销 - 副本 - 副本 - 副本-2026-02-13 04:21:51</t>
        </is>
      </c>
      <c r="P1945" t="inlineStr">
        <is>
          <t>YES</t>
        </is>
      </c>
      <c r="Q1945"/>
      <c r="R1945" t="inlineStr">
        <is>
          <t>NO</t>
        </is>
      </c>
      <c r="S1945" t="inlineStr">
        <is>
          <t>Outsourced Game Director (RS and PO/Grand Finals)</t>
        </is>
      </c>
      <c r="T1945">
        <v>1</v>
      </c>
      <c r="U1945">
        <v>40000</v>
      </c>
      <c r="V1945" t="inlineStr">
        <is>
          <t>PHP</t>
        </is>
      </c>
      <c r="W1945">
        <v>40000</v>
      </c>
      <c r="X1945" s="2" t="str">
        <f>=HYPERLINK("https://www.larksuite.com/approval/admin/previewAttachment?key=PMgxCkIxEATQK81sNjs7XsbGz8cmIAjfKmcXLGxfNVE9OcpIMwxuFboljS7mNAOxY1MyRE3uY533T0ZyBdbL7Qv7ej7O481pRUAjczQA3v4-lJl2JX6ObwAAAP__", "2 attachment(s)")</f>
        <v>2 attachment(s)</v>
      </c>
      <c r="Y1945" t="inlineStr">
        <is>
          <t>Bank Transfer</t>
        </is>
      </c>
      <c r="Z1945" t="inlineStr">
        <is>
          <t>Avin Francis Melendres Kais</t>
        </is>
      </c>
      <c r="AA1945" t="inlineStr">
        <is>
          <t>120602031077</t>
        </is>
      </c>
      <c r="AB1945" t="inlineStr">
        <is>
          <t>ChinaBank</t>
        </is>
      </c>
      <c r="AC1945" t="inlineStr">
        <is>
          <t>1221 D Felix Huertas St. Sta.Cruz, Manila</t>
        </is>
      </c>
      <c r="AD1945" s="4">
        <v>46087</v>
      </c>
      <c r="AE1945" t="inlineStr">
        <is>
          <t>1st Payment - Mar. 6, 2026
2nd Payment - Mar. 20, 2026
Final Payment - Apr. 10, 2026</t>
        </is>
      </c>
      <c r="AF1945" s="2"/>
      <c r="AG1945" t="inlineStr">
        <is>
          <t>NzQyNTk5MTgyNzQ4MTg3MDM0MTpENTFDN0UxRC0xNTdDLTQ3MUEtQUQwQS02Mjc1MEJDRUREOTItMTo1OGI1ODk3NzA4ZTY1NzM1NjE0NGZkNzkwYjRkMGJiNTox</t>
        </is>
      </c>
      <c r="AH1945" t="inlineStr">
        <is>
          <t>Avin Francis Melendres Kais</t>
        </is>
      </c>
      <c r="AI1945"/>
      <c r="AJ1945" t="inlineStr">
        <is>
          <t>LIQUIDITY PLAN (PAR # 202602120015 / 2026TEG-P0037)
REGULAR SEASON &gt; LABOR COST &gt; 
BROADCAST &amp; PRODUCTION &gt; Game Director/Back-up OBS
Total Budget = Php 42,000.00
Actual Cost = Php 40,000.00
Balance = Php 2,000.00</t>
        </is>
      </c>
      <c r="AK1945"/>
    </row>
    <row r="1946" ht="25.5" customHeight="1">
      <c r="A1946" s="2" t="str">
        <f>=HYPERLINK("https://applink.larksuite.com/client/mini_program/open?appId=cli_9c7cc8a9a9edd105&amp;mode=appCenter&amp;path_pc=pc/pages/requested/index?instanceId=7608874145639567068&amp;source=bitable&amp;path=pages/detail/index?instanceId=7608874145639567068&amp;source=bitable", "202602200071")</f>
        <v>202602200071</v>
      </c>
      <c r="B1946" t="inlineStr">
        <is>
          <t>Recalled</t>
        </is>
      </c>
      <c r="C1946" t="inlineStr">
        <is>
          <t>Procurement Order</t>
        </is>
      </c>
      <c r="D1946" s="3">
        <v>46073.72064814815</v>
      </c>
      <c r="E1946" s="3">
        <v>46073.74084490741</v>
      </c>
      <c r="F1946" t="inlineStr">
        <is>
          <t>Fatima Kathleen M. FLores</t>
        </is>
      </c>
      <c r="G1946" t="inlineStr">
        <is>
          <t>Procurement</t>
        </is>
      </c>
      <c r="H1946"/>
      <c r="I1946"/>
      <c r="J1946" t="inlineStr">
        <is>
          <t>Project</t>
        </is>
      </c>
      <c r="K1946" t="inlineStr">
        <is>
          <t>GG - Event Service</t>
        </is>
      </c>
      <c r="L1946" t="inlineStr">
        <is>
          <t>Philippine Kings League Spring Season 2026 (PKL)</t>
        </is>
      </c>
      <c r="M1946" t="inlineStr">
        <is>
          <t>2026TEG-P0037</t>
        </is>
      </c>
      <c r="N1946" t="inlineStr">
        <is>
          <t>Juvie Anne Asis Castres</t>
        </is>
      </c>
      <c r="O1946" t="inlineStr">
        <is>
          <t>202602130042-Juvie Anne Asis Castres-费用报销 - 副本 - 副本 - 副本-2026-02-13 04:21:51</t>
        </is>
      </c>
      <c r="P1946" t="inlineStr">
        <is>
          <t>YES</t>
        </is>
      </c>
      <c r="Q1946"/>
      <c r="R1946" t="inlineStr">
        <is>
          <t>NO</t>
        </is>
      </c>
      <c r="S1946" t="inlineStr">
        <is>
          <t>Outsourced Audio Engineer (RS and PO/Grand Finals)</t>
        </is>
      </c>
      <c r="T1946">
        <v>1</v>
      </c>
      <c r="U1946">
        <v>43200</v>
      </c>
      <c r="V1946" t="inlineStr">
        <is>
          <t>PHP</t>
        </is>
      </c>
      <c r="W1946">
        <v>43200</v>
      </c>
      <c r="X1946" s="2" t="str">
        <f>=HYPERLINK("https://www.larksuite.com/approval/admin/previewAttachment?key=PMhBqgIxEATQK1Ulle6uf5m_mSEIohsxMIucXXDh9kURUYM9DJnN4M5AVYoa0T0iEbXbZqaRzMF9Pub_ta5l-i3dZz2PvW7HPF8cztaQXeoFgH8_7ynJDuHr-AQAAP__", "2 attachment(s)")</f>
        <v>2 attachment(s)</v>
      </c>
      <c r="Y1946" t="inlineStr">
        <is>
          <t>Bank Transfer</t>
        </is>
      </c>
      <c r="Z1946" t="inlineStr">
        <is>
          <t>Joshua Vignesh U Narayan</t>
        </is>
      </c>
      <c r="AA1946" t="inlineStr">
        <is>
          <t>09686047871</t>
        </is>
      </c>
      <c r="AB1946" t="inlineStr">
        <is>
          <t>GCash</t>
        </is>
      </c>
      <c r="AC1946" t="inlineStr">
        <is>
          <t>Celadon Park Condominium, Felix Huertas Rd .Santa Cruz Manila</t>
        </is>
      </c>
      <c r="AD1946" s="4">
        <v>46087</v>
      </c>
      <c r="AE1946" t="inlineStr">
        <is>
          <t>1st Payment - Mar. 6, 2026
2nd Payment - Mar. 20, 2026
Final Payment - Apr. 10, 2026</t>
        </is>
      </c>
      <c r="AF1946" s="2"/>
      <c r="AG1946" t="inlineStr">
        <is>
          <t>NzQyNTk5MTgyNzQ4MTg3MDM0MTo4MEYyNEQyMC0xOEYyLTQ0QTUtQkMwMy03RjVBMkVDMkEyNUMtMTplN2ZkYmViMzViZTVlYmQ3Y2JkZjA2OTEyYWZhYTQyYjox</t>
        </is>
      </c>
      <c r="AH1946" t="inlineStr">
        <is>
          <t>Joshua Vignesh U Narayan</t>
        </is>
      </c>
      <c r="AI1946"/>
      <c r="AJ1946" t="inlineStr">
        <is>
          <t>LIQUIDITY PLAN (PAR # 202602120015 / 2026TEG-P0037)
REGULAR SEASON &gt; LABOR COST &gt; 
BROADCAST &amp; PRODUCTION &gt; Audio Engineer/VTR
Total Budget = Php 43,200.00
Actual Cost = Php 43,200.00</t>
        </is>
      </c>
      <c r="AK1946"/>
    </row>
    <row r="1947" ht="25.5" customHeight="1">
      <c r="A1947" s="2" t="str">
        <f>=HYPERLINK("https://applink.larksuite.com/client/mini_program/open?appId=cli_9c7cc8a9a9edd105&amp;mode=appCenter&amp;path_pc=pc/pages/requested/index?instanceId=7608878853330603740&amp;source=bitable&amp;path=pages/detail/index?instanceId=7608878853330603740&amp;source=bitable", "202602200075")</f>
        <v>202602200075</v>
      </c>
      <c r="B1947" t="inlineStr">
        <is>
          <t>Approved</t>
        </is>
      </c>
      <c r="C1947" t="inlineStr">
        <is>
          <t>Procurement Order</t>
        </is>
      </c>
      <c r="D1947" s="3">
        <v>46073.73334490741</v>
      </c>
      <c r="E1947" s="3">
        <v>46077.75262731482</v>
      </c>
      <c r="F1947" t="inlineStr">
        <is>
          <t>Fatima Kathleen M. FLores</t>
        </is>
      </c>
      <c r="G1947" t="inlineStr">
        <is>
          <t>Procurement</t>
        </is>
      </c>
      <c r="H1947"/>
      <c r="I1947"/>
      <c r="J1947" t="inlineStr">
        <is>
          <t>Project</t>
        </is>
      </c>
      <c r="K1947" t="inlineStr">
        <is>
          <t>GG - Event Service</t>
        </is>
      </c>
      <c r="L1947" t="inlineStr">
        <is>
          <t>Philippine Kings League Spring Season 2026 (PKL)</t>
        </is>
      </c>
      <c r="M1947" t="inlineStr">
        <is>
          <t>2026TEG-P0037</t>
        </is>
      </c>
      <c r="N1947" t="inlineStr">
        <is>
          <t>Juvie Anne Asis Castres</t>
        </is>
      </c>
      <c r="O1947" t="inlineStr">
        <is>
          <t>202602130042-Juvie Anne Asis Castres-费用报销 - 副本 - 副本 - 副本-2026-02-13 04:21:51</t>
        </is>
      </c>
      <c r="P1947" t="inlineStr">
        <is>
          <t>YES</t>
        </is>
      </c>
      <c r="Q1947"/>
      <c r="R1947" t="inlineStr">
        <is>
          <t>NO</t>
        </is>
      </c>
      <c r="S1947" t="inlineStr">
        <is>
          <t>Outsourced Lead Stream Engineer (RS and PO/Grand Finals)</t>
        </is>
      </c>
      <c r="T1947">
        <v>1</v>
      </c>
      <c r="U1947">
        <v>43200</v>
      </c>
      <c r="V1947" t="inlineStr">
        <is>
          <t>PHP</t>
        </is>
      </c>
      <c r="W1947">
        <v>43200</v>
      </c>
      <c r="X1947" s="2" t="str">
        <f>=HYPERLINK("https://www.larksuite.com/approval/admin/previewAttachment?key=PMgxqsNADATQK412tBrpX-Y3a5aAcRUwSaGzB1KkfZGGyGmMgpeNgrUCmcqcJBGgHD3apIJM0_q49v_mxTVqve59nnj3_Vj7eNosjQHRnQnA_n5OuXtVOL6OTwAAAP__", "2 attachment(s)")</f>
        <v>2 attachment(s)</v>
      </c>
      <c r="Y1947" t="inlineStr">
        <is>
          <t>Bank Transfer</t>
        </is>
      </c>
      <c r="Z1947" t="inlineStr">
        <is>
          <t>John Mark Ramos</t>
        </is>
      </c>
      <c r="AA1947" t="inlineStr">
        <is>
          <t>0000007591426151</t>
        </is>
      </c>
      <c r="AB1947" t="inlineStr">
        <is>
          <t>RCBC</t>
        </is>
      </c>
      <c r="AC1947" t="inlineStr">
        <is>
          <t>Camella St. Patdu Compound South Green Heights, Putatan Muntinlupa City</t>
        </is>
      </c>
      <c r="AD1947" s="4">
        <v>46087</v>
      </c>
      <c r="AE1947" t="inlineStr">
        <is>
          <t>1st Payment - Mar. 6, 2026
2nd Payment - Mar. 20, 2026
Final Payment - Apr. 10, 2026</t>
        </is>
      </c>
      <c r="AF1947" s="2"/>
      <c r="AG1947" t="inlineStr">
        <is>
          <t>NzQyNTk5MTgyNzQ4MTg3MDM0MTo2NTIxMDcwRC1EOThGLTRGNDMtOTQ3MS03MzhERDdCQzk0NDMtMToxNzhjNjVhMjA2YTc2Y2YwZWRiZjE5NWExNDk2MWMwNzox</t>
        </is>
      </c>
      <c r="AH1947" t="inlineStr">
        <is>
          <t>John Mark Ramos</t>
        </is>
      </c>
      <c r="AI1947"/>
      <c r="AJ1947" t="inlineStr">
        <is>
          <t>LIQUIDITY PLAN (PAR # 202602120015 / 2026TEG-P0037)
REGULAR SEASON &gt; LABOR COST &gt; 
BROADCAST &amp; PRODUCTION &gt; Lead Stream Engineer
Total Budget = Php 43,200.00
Actual Cost = Php 43,200.00</t>
        </is>
      </c>
      <c r="AK1947"/>
    </row>
    <row r="1948" ht="25.5" customHeight="1">
      <c r="A1948" s="2" t="str">
        <f>=HYPERLINK("https://applink.larksuite.com/client/mini_program/open?appId=cli_9c7cc8a9a9edd105&amp;mode=appCenter&amp;path_pc=pc/pages/requested/index?instanceId=7608882377841970908&amp;source=bitable&amp;path=pages/detail/index?instanceId=7608882377841970908&amp;source=bitable", "202602200077")</f>
        <v>202602200077</v>
      </c>
      <c r="B1948" t="inlineStr">
        <is>
          <t>Approved</t>
        </is>
      </c>
      <c r="C1948" t="inlineStr">
        <is>
          <t>Procurement Order</t>
        </is>
      </c>
      <c r="D1948" s="3">
        <v>46073.74283564815</v>
      </c>
      <c r="E1948" s="3">
        <v>46077.76222222222</v>
      </c>
      <c r="F1948" t="inlineStr">
        <is>
          <t>Fatima Kathleen M. FLores</t>
        </is>
      </c>
      <c r="G1948" t="inlineStr">
        <is>
          <t>Procurement</t>
        </is>
      </c>
      <c r="H1948"/>
      <c r="I1948"/>
      <c r="J1948" t="inlineStr">
        <is>
          <t>Project</t>
        </is>
      </c>
      <c r="K1948" t="inlineStr">
        <is>
          <t>GG - Event Service</t>
        </is>
      </c>
      <c r="L1948" t="inlineStr">
        <is>
          <t>Philippine Kings League Spring Season 2026 (PKL)</t>
        </is>
      </c>
      <c r="M1948" t="inlineStr">
        <is>
          <t>2026TEG-P0037</t>
        </is>
      </c>
      <c r="N1948" t="inlineStr">
        <is>
          <t>Juvie Anne Asis Castres</t>
        </is>
      </c>
      <c r="O1948" t="inlineStr">
        <is>
          <t>202602130042-Juvie Anne Asis Castres-费用报销 - 副本 - 副本 - 副本-2026-02-13 04:21:51</t>
        </is>
      </c>
      <c r="P1948" t="inlineStr">
        <is>
          <t>YES</t>
        </is>
      </c>
      <c r="Q1948"/>
      <c r="R1948" t="inlineStr">
        <is>
          <t>YES</t>
        </is>
      </c>
      <c r="S1948" t="inlineStr">
        <is>
          <t>Outsourced Audio Engineer (RS and PO/Grand Finals)</t>
        </is>
      </c>
      <c r="T1948">
        <v>1</v>
      </c>
      <c r="U1948">
        <v>55200</v>
      </c>
      <c r="V1948" t="inlineStr">
        <is>
          <t>PHP</t>
        </is>
      </c>
      <c r="W1948">
        <v>55200</v>
      </c>
      <c r="X1948" s="2" t="str">
        <f>=HYPERLINK("https://www.larksuite.com/approval/admin/previewAttachment?key=PMgxCgJRDATQK83kJ5nEy9i4fARdG8EuZxcsbF8WkRVc2fCmNThKVJUtqZwtNGpsKDVEBec49zXiCNmW2_mKx3M-99s-3oyWGbTcVwHg5e9L7t6djp_jGwAA__8", "2 attachment(s)")</f>
        <v>2 attachment(s)</v>
      </c>
      <c r="Y1948" t="inlineStr">
        <is>
          <t>Bank Transfer</t>
        </is>
      </c>
      <c r="Z1948" t="inlineStr">
        <is>
          <t>Joshua Vignesh U Narayan</t>
        </is>
      </c>
      <c r="AA1948" t="inlineStr">
        <is>
          <t>09686047871</t>
        </is>
      </c>
      <c r="AB1948" t="inlineStr">
        <is>
          <t>GCash</t>
        </is>
      </c>
      <c r="AC1948" t="inlineStr">
        <is>
          <t>Celadon Park Condominium, Felix Huertas Rd .Santa Cruz Manila</t>
        </is>
      </c>
      <c r="AD1948" s="4">
        <v>46087</v>
      </c>
      <c r="AE1948" t="inlineStr">
        <is>
          <t>1st Payment - Mar. 6, 2026
2nd Payment - Mar. 20, 2026
Final Payment - Apr. 10, 2026</t>
        </is>
      </c>
      <c r="AF1948" s="2"/>
      <c r="AG1948" t="inlineStr">
        <is>
          <t>NzQyNTk5MTgyNzQ4MTg3MDM0MTo1ODIxODBENC1CRkRBLTQ4RjUtQUVBQS00MkMxNEUwOTBFRjMtMTo0NTQyOWQ0MDM4NGJlYWI0Njg3YTBjNTFjYzBlMGQwODox</t>
        </is>
      </c>
      <c r="AH1948" t="inlineStr">
        <is>
          <t>Joshua Vignesh U Narayan</t>
        </is>
      </c>
      <c r="AI1948"/>
      <c r="AJ1948" t="inlineStr">
        <is>
          <t>LIQUIDITY PLAN (PAR # 202602120015 / 2026TEG-P0037)
REGULAR SEASON &gt; LABOR COST &gt; 
BROADCAST &amp; PRODUCTION &gt; Audio Engineer/VTR
Total Budget = Php 43,200.00
Actual Cost = Php 55,200.00
Balance = (Php 12,000.00) OVER BUDGET</t>
        </is>
      </c>
      <c r="AK1948"/>
    </row>
    <row r="1949" ht="25.5" customHeight="1">
      <c r="A1949" s="2" t="str">
        <f>=HYPERLINK("https://applink.larksuite.com/client/mini_program/open?appId=cli_9c7cc8a9a9edd105&amp;mode=appCenter&amp;path_pc=pc/pages/requested/index?instanceId=7609889627662454494&amp;source=bitable&amp;path=pages/detail/index?instanceId=7609889627662454494&amp;source=bitable", "202602230017")</f>
        <v>202602230017</v>
      </c>
      <c r="B1949" t="inlineStr">
        <is>
          <t>Approved</t>
        </is>
      </c>
      <c r="C1949" t="inlineStr">
        <is>
          <t>Procurement Order</t>
        </is>
      </c>
      <c r="D1949" s="3">
        <v>46076.45717592593</v>
      </c>
      <c r="E1949" s="3">
        <v>46077.7275</v>
      </c>
      <c r="F1949" t="inlineStr">
        <is>
          <t>Fatima Kathleen M. FLores</t>
        </is>
      </c>
      <c r="G1949" t="inlineStr">
        <is>
          <t>Procurement</t>
        </is>
      </c>
      <c r="H1949"/>
      <c r="I1949"/>
      <c r="J1949" t="inlineStr">
        <is>
          <t>Project</t>
        </is>
      </c>
      <c r="K1949" t="inlineStr">
        <is>
          <t>PDEI - Game Marketing</t>
        </is>
      </c>
      <c r="L1949" t="inlineStr">
        <is>
          <t>SM Cyberzone Trading Card Game (TCG) Activations</t>
        </is>
      </c>
      <c r="M1949" t="inlineStr">
        <is>
          <t>2025TEG-P0278</t>
        </is>
      </c>
      <c r="N1949" t="inlineStr">
        <is>
          <t>Maura Aurel Atilano Yap</t>
        </is>
      </c>
      <c r="O1949" t="inlineStr">
        <is>
          <t>202602130090-Alessandra Mae Villanueva Boado-费用报销 - 副本 - 副本 - 副本-2026-02-13 10:24:49</t>
        </is>
      </c>
      <c r="P1949" t="inlineStr">
        <is>
          <t>NO</t>
        </is>
      </c>
      <c r="Q1949"/>
      <c r="R1949" t="inlineStr">
        <is>
          <t>NO</t>
        </is>
      </c>
      <c r="S1949" t="inlineStr">
        <is>
          <t>Outsourced Technical Services (LED, Lights &amp; Sounds)</t>
        </is>
      </c>
      <c r="T1949">
        <v>1</v>
      </c>
      <c r="U1949">
        <v>200000</v>
      </c>
      <c r="V1949" t="inlineStr">
        <is>
          <t>PHP</t>
        </is>
      </c>
      <c r="W1949">
        <v>200000</v>
      </c>
      <c r="X1949" s="2" t="str">
        <f>=HYPERLINK("https://www.larksuite.com/approval/admin/previewAttachment?key=PMi7DcJgDATglc7-z49jGRqiiCKpUKDy7EgUtF-2ITtspUCZCzaVULfSK9MZpDg-ViWUVdhs537_0HmEC9d5xOXzfj727WWhckctcjUAu_19FUkpiZ_jGwAA__8", "2 attachment(s)")</f>
        <v>2 attachment(s)</v>
      </c>
      <c r="Y1949" t="inlineStr">
        <is>
          <t>Bank Transfer</t>
        </is>
      </c>
      <c r="Z1949" t="inlineStr">
        <is>
          <t>Peter Angelo F. Somera</t>
        </is>
      </c>
      <c r="AA1949" t="inlineStr">
        <is>
          <t>006781125108</t>
        </is>
      </c>
      <c r="AB1949" t="inlineStr">
        <is>
          <t>BDO</t>
        </is>
      </c>
      <c r="AC1949" t="inlineStr">
        <is>
          <t>Blk 89 Lot 28 Domingo de Ramos St., Lagro, QC</t>
        </is>
      </c>
      <c r="AD1949" s="4">
        <v>46080</v>
      </c>
      <c r="AE1949" t="inlineStr">
        <is>
          <t>50% Down payment upon confirmation
Final Payment upon completion of services</t>
        </is>
      </c>
      <c r="AF1949" s="2"/>
      <c r="AG1949" t="inlineStr">
        <is>
          <t>NzQyNTk5MTgyNzQ4MTg3MDM0MTo1NTZEMjc4RS00MjhELTQ0NDctQTlDNy0zQ0E4MDdFNjM0RjEtMTplZGNhZGMyYWI4NmI3NTAwYjgyZTMwZjE0MzJlYWE5Njox</t>
        </is>
      </c>
      <c r="AH1949" t="inlineStr">
        <is>
          <t>Banda Pilipinas</t>
        </is>
      </c>
      <c r="AI1949"/>
      <c r="AJ1949" t="inlineStr">
        <is>
          <t>LIQUIDITY PLAN (PAR # 202602090082 / 2025TEG-P0278)
Fabrication &gt; LED + lights and sounds and Communication set
Total Budget = Php 300,000.00
Actual Cost = Php 200,000.00
Balance = Php 100,000.00</t>
        </is>
      </c>
      <c r="AK1949"/>
    </row>
    <row r="1950" ht="25.5" customHeight="1">
      <c r="A1950" s="2" t="str">
        <f>=HYPERLINK("https://applink.larksuite.com/client/mini_program/open?appId=cli_9c7cc8a9a9edd105&amp;mode=appCenter&amp;path_pc=pc/pages/requested/index?instanceId=7609917067449355996&amp;source=bitable&amp;path=pages/detail/index?instanceId=7609917067449355996&amp;source=bitable", "202602230044")</f>
        <v>202602230044</v>
      </c>
      <c r="B1950" t="inlineStr">
        <is>
          <t>Approved</t>
        </is>
      </c>
      <c r="C1950" t="inlineStr">
        <is>
          <t>Procurement Order</t>
        </is>
      </c>
      <c r="D1950" s="3">
        <v>46076.531122685185</v>
      </c>
      <c r="E1950" s="3">
        <v>46076.59925925926</v>
      </c>
      <c r="F1950" t="inlineStr">
        <is>
          <t>Fatima Kathleen M. FLores</t>
        </is>
      </c>
      <c r="G1950" t="inlineStr">
        <is>
          <t>Procurement</t>
        </is>
      </c>
      <c r="H1950"/>
      <c r="I1950"/>
      <c r="J1950" t="inlineStr">
        <is>
          <t>CAPEX</t>
        </is>
      </c>
      <c r="K1950"/>
      <c r="L1950"/>
      <c r="M1950"/>
      <c r="N1950"/>
      <c r="O1950" t="inlineStr">
        <is>
          <t>202602180078-Rachel Anne Aquino-费用报销 - 副本 - 副本 - 副本-2026-02-18 09:29:45</t>
        </is>
      </c>
      <c r="P1950"/>
      <c r="Q1950" t="inlineStr">
        <is>
          <t>Mineski PH</t>
        </is>
      </c>
      <c r="R1950"/>
      <c r="S1950" t="inlineStr">
        <is>
          <t>RAM-KINGSTON -8GB DDR4 PC3200MHZ (KVR32S22S8/S6/8) CL22 SODIMM MEMORY</t>
        </is>
      </c>
      <c r="T1950">
        <v>10</v>
      </c>
      <c r="U1950">
        <v>4500</v>
      </c>
      <c r="V1950" t="inlineStr">
        <is>
          <t>PHP</t>
        </is>
      </c>
      <c r="W1950">
        <v>45000</v>
      </c>
      <c r="X1950" s="2" t="str">
        <f>=HYPERLINK("https://www.larksuite.com/approval/admin/previewAttachment?key=PMi7DcJAGAPglez7Hz6zDA1RBIJUiHQ3OxIF7deT6FmMNtIcBpcaNoVWpqPK7jUWJUNUcW3Hfj150FHTj-cr988677d9e7OsMaDIjAmAl7-HMtPuxM_xDQAA__8", "2 attachment(s)")</f>
        <v>2 attachment(s)</v>
      </c>
      <c r="Y1950" t="inlineStr">
        <is>
          <t>Bank Transfer</t>
        </is>
      </c>
      <c r="Z1950" t="inlineStr">
        <is>
          <t>PC EXPRESS INC.</t>
        </is>
      </c>
      <c r="AA1950" t="inlineStr">
        <is>
          <t>0046-0801-3423</t>
        </is>
      </c>
      <c r="AB1950" t="inlineStr">
        <is>
          <t>BDO</t>
        </is>
      </c>
      <c r="AC1950" t="inlineStr">
        <is>
          <t>Unit 2A #25 Gilmore Ave Cor Aurora BLVD Brgy.Valencia QC, Quezon City</t>
        </is>
      </c>
      <c r="AD1950" s="4">
        <v>46076</v>
      </c>
      <c r="AE1950" t="inlineStr">
        <is>
          <t>100% Full Payment before pick-up</t>
        </is>
      </c>
      <c r="AF1950" s="2" t="str">
        <f>=HYPERLINK("https://www.larksuite.com/approval/admin/previewAttachment?key=TMg7CsJgEATgK81kn-NlbAw_iqYS0-3ZBSvbL5vIDloKLm4CpxISC1nusggpZxtWCcUKzn6s68mDsmg9ni9fnznvt7W_mW0JV7hTAHj5cxJqS_s5vgEAAP__", "2 attachment(s)")</f>
        <v>2 attachment(s)</v>
      </c>
      <c r="AG1950" t="inlineStr">
        <is>
          <t>NzQyNTk5MTgyNzQ4MTg3MDM0MTo2RDVBRTVBNC1ENzA0LTRDQjUtOEUzNS1GNzg5REMxNUMwMTgtMTozMWNiNGY0NWMzOWRmYTdiYmI4M2RkZmIwM2QyOWJkNjox</t>
        </is>
      </c>
      <c r="AH1950" t="inlineStr">
        <is>
          <t>PC EXPRESS INC.</t>
        </is>
      </c>
      <c r="AI1950"/>
      <c r="AJ1950"/>
      <c r="AK1950" t="inlineStr">
        <is>
          <t>Rachel Anne Aquino</t>
        </is>
      </c>
    </row>
    <row r="1951" ht="25.5" customHeight="1">
      <c r="A1951" s="2" t="str">
        <f>=HYPERLINK("https://applink.larksuite.com/client/mini_program/open?appId=cli_9c7cc8a9a9edd105&amp;mode=appCenter&amp;path_pc=pc/pages/requested/index?instanceId=7609998110638477020&amp;source=bitable&amp;path=pages/detail/index?instanceId=7609998110638477020&amp;source=bitable", "202602230108")</f>
        <v>202602230108</v>
      </c>
      <c r="B1951" t="inlineStr">
        <is>
          <t>Approved</t>
        </is>
      </c>
      <c r="C1951" t="inlineStr">
        <is>
          <t>Procurement Order</t>
        </is>
      </c>
      <c r="D1951" s="3">
        <v>46076.74951388889</v>
      </c>
      <c r="E1951" s="3">
        <v>46077.74266203704</v>
      </c>
      <c r="F1951" t="inlineStr">
        <is>
          <t>Fatima Kathleen M. FLores</t>
        </is>
      </c>
      <c r="G1951" t="inlineStr">
        <is>
          <t>Procurement</t>
        </is>
      </c>
      <c r="H1951"/>
      <c r="I1951"/>
      <c r="J1951" t="inlineStr">
        <is>
          <t>Project</t>
        </is>
      </c>
      <c r="K1951" t="inlineStr">
        <is>
          <t>PDEI - Game Marketing</t>
        </is>
      </c>
      <c r="L1951" t="inlineStr">
        <is>
          <t>SM Cyberzone Trading Card Game (TCG) Activations</t>
        </is>
      </c>
      <c r="M1951" t="inlineStr">
        <is>
          <t>2025TEG-P0278</t>
        </is>
      </c>
      <c r="N1951" t="inlineStr">
        <is>
          <t>Alessandra Mae Villanueva Boado</t>
        </is>
      </c>
      <c r="O1951" t="inlineStr">
        <is>
          <t>202602160022-Alessandra Mae Villanueva Boado-费用报销 - 副本 - 副本 - 副本-2026-02-16 04:32:17</t>
        </is>
      </c>
      <c r="P1951" t="inlineStr">
        <is>
          <t>YES</t>
        </is>
      </c>
      <c r="Q1951"/>
      <c r="R1951" t="inlineStr">
        <is>
          <t>NO</t>
        </is>
      </c>
      <c r="S1951" t="inlineStr">
        <is>
          <t>Outsourced Beyblade Community Organizer</t>
        </is>
      </c>
      <c r="T1951">
        <v>1</v>
      </c>
      <c r="U1951">
        <v>70000</v>
      </c>
      <c r="V1951" t="inlineStr">
        <is>
          <t>PHP</t>
        </is>
      </c>
      <c r="W1951">
        <v>70000</v>
      </c>
      <c r="X1951" s="2" t="str">
        <f>=HYPERLINK("https://www.larksuite.com/approval/admin/previewAttachment?key=PMhLCgJBDATQK1UlmSTlZdxM0wh-EMTBTZ9dcOH2ZRPZGz2FEE3gqoSkJpHeUQXDssUqoVgb17jPc5hfH-8x99nP43Nbx2Wf48VNZYbyCG8APP3dKyKkDPwc3wAAAP__", "2 attachment(s)")</f>
        <v>2 attachment(s)</v>
      </c>
      <c r="Y1951" t="inlineStr">
        <is>
          <t>Bank Transfer</t>
        </is>
      </c>
      <c r="Z1951" t="inlineStr">
        <is>
          <t>Arjay Santie Magcalas</t>
        </is>
      </c>
      <c r="AA1951" t="inlineStr">
        <is>
          <t>109425585622</t>
        </is>
      </c>
      <c r="AB1951" t="inlineStr">
        <is>
          <t>UNION BANK OF THE PHILIPPINES</t>
        </is>
      </c>
      <c r="AC1951" t="inlineStr">
        <is>
          <t>69 Vista Real Ave Brgy. Matandang Balara Quezon City</t>
        </is>
      </c>
      <c r="AD1951" s="4">
        <v>46080</v>
      </c>
      <c r="AE1951" t="inlineStr">
        <is>
          <t>1st Payment - Feb. 27, 2026
Final Payment - Apr. 10, 2026</t>
        </is>
      </c>
      <c r="AF1951" s="2"/>
      <c r="AG1951" t="inlineStr">
        <is>
          <t>NzQyNTk5MTgyNzQ4MTg3MDM0MTo3QTYxQkMxOC0xNDczLTQzRkEtQUEyNi05Qjc0RTExNjBERTAtMTpjMzhhZDFjNjZlNTljYjA2YjNkZjM5MzVjMTMzOTZhZTox</t>
        </is>
      </c>
      <c r="AH1951" t="inlineStr">
        <is>
          <t>Arjay Santie Magcalas</t>
        </is>
      </c>
      <c r="AI1951"/>
      <c r="AJ1951" t="inlineStr">
        <is>
          <t>LIQUIDITY PLAN (PAR # 202602090082 / 2025TEG-P0278)
SM North EDSA &gt; BeyBlade Community
SM BF Paranaque &gt; BeyBlade Community
Total Budget = Php 70,000.00
Actual Cost = Php 70,000.00</t>
        </is>
      </c>
      <c r="AK1951"/>
    </row>
    <row r="1952" ht="25.5" customHeight="1">
      <c r="A1952" s="2" t="str">
        <f>=HYPERLINK("https://applink.larksuite.com/client/mini_program/open?appId=cli_9c7cc8a9a9edd105&amp;mode=appCenter&amp;path_pc=pc/pages/requested/index?instanceId=7610267290008850142&amp;source=bitable&amp;path=pages/detail/index?instanceId=7610267290008850142&amp;source=bitable", "202602240016")</f>
        <v>202602240016</v>
      </c>
      <c r="B1952" t="inlineStr">
        <is>
          <t>Approved</t>
        </is>
      </c>
      <c r="C1952" t="inlineStr">
        <is>
          <t>Procurement Order</t>
        </is>
      </c>
      <c r="D1952" s="3">
        <v>46077.47489583334</v>
      </c>
      <c r="E1952" s="3">
        <v>46080.79107638889</v>
      </c>
      <c r="F1952" t="inlineStr">
        <is>
          <t>Fatima Kathleen M. FLores</t>
        </is>
      </c>
      <c r="G1952" t="inlineStr">
        <is>
          <t>Procurement</t>
        </is>
      </c>
      <c r="H1952"/>
      <c r="I1952"/>
      <c r="J1952" t="inlineStr">
        <is>
          <t>Project</t>
        </is>
      </c>
      <c r="K1952" t="inlineStr">
        <is>
          <t>PDEI - Event Service</t>
        </is>
      </c>
      <c r="L1952" t="inlineStr">
        <is>
          <t>Bingo Plus Panalo Caravan</t>
        </is>
      </c>
      <c r="M1952" t="inlineStr">
        <is>
          <t>2025TEG-P0216</t>
        </is>
      </c>
      <c r="N1952" t="inlineStr">
        <is>
          <t>Ronelle Kylene Chaneco Lim</t>
        </is>
      </c>
      <c r="O1952" t="inlineStr">
        <is>
          <t>202510200088-Ronelle Kylene Chaneco Lim-费用报销 - 副本 - 副本 - 副本-2025-10-20 10:26:03</t>
        </is>
      </c>
      <c r="P1952" t="inlineStr">
        <is>
          <t>NO</t>
        </is>
      </c>
      <c r="Q1952"/>
      <c r="R1952" t="inlineStr">
        <is>
          <t>YES</t>
        </is>
      </c>
      <c r="S1952" t="inlineStr">
        <is>
          <t>Rental of Monobloc Chairs (1 day / Oct. 22, 2025)</t>
        </is>
      </c>
      <c r="T1952">
        <v>100</v>
      </c>
      <c r="U1952">
        <v>15</v>
      </c>
      <c r="V1952" t="inlineStr">
        <is>
          <t>PHP</t>
        </is>
      </c>
      <c r="W1952">
        <v>1500</v>
      </c>
      <c r="X1952" s="2"/>
      <c r="Y1952" t="inlineStr">
        <is>
          <t>Bank Transfer</t>
        </is>
      </c>
      <c r="Z1952" t="inlineStr">
        <is>
          <t>SPE Events Management And Services Party Needs Rental</t>
        </is>
      </c>
      <c r="AA1952" t="inlineStr">
        <is>
          <t>141102017588</t>
        </is>
      </c>
      <c r="AB1952" t="inlineStr">
        <is>
          <t>China Bank Corporation</t>
        </is>
      </c>
      <c r="AC1952" t="inlineStr">
        <is>
          <t>10A St. Benedict, Paradise Village, Sangandaan, QC</t>
        </is>
      </c>
      <c r="AD1952" s="4">
        <v>46087</v>
      </c>
      <c r="AE1952" t="inlineStr">
        <is>
          <t>100% Full Payment</t>
        </is>
      </c>
      <c r="AF1952" s="2"/>
      <c r="AG1952" t="inlineStr">
        <is>
          <t>NzQyNTk5MTgyNzQ4MTg3MDM0MTpGRTNEQzIyNS1DNDZGLTRENEItOUI0RC1DMThEMUE2NzhBMTQtMTpjYjE3YzgyNGFhMjNkOTc0NjdjZTMxMWFhZDE0MTZlMzox</t>
        </is>
      </c>
      <c r="AH1952" t="inlineStr">
        <is>
          <t>SPE Events Management And Services Party Needs Rental</t>
        </is>
      </c>
      <c r="AI1952"/>
      <c r="AJ1952" t="inlineStr">
        <is>
          <t>This is part of the RR PROJECT EXECUTION line items. OVER BUDGET</t>
        </is>
      </c>
      <c r="AK1952"/>
    </row>
    <row r="1953" ht="25.5" customHeight="1">
      <c r="A1953" s="2" t="str">
        <f>=HYPERLINK("https://applink.larksuite.com/client/mini_program/open?appId=cli_9c7cc8a9a9edd105&amp;mode=appCenter&amp;path_pc=pc/pages/requested/index?instanceId=7610267290008850142&amp;source=bitable&amp;path=pages/detail/index?instanceId=7610267290008850142&amp;source=bitable", "202602240016")</f>
        <v>202602240016</v>
      </c>
      <c r="B1953" t="inlineStr">
        <is>
          <t>Approved</t>
        </is>
      </c>
      <c r="C1953" t="inlineStr">
        <is>
          <t>Procurement Order</t>
        </is>
      </c>
      <c r="D1953" s="3">
        <v>46077.47489583334</v>
      </c>
      <c r="E1953" s="3">
        <v>46080.79107638889</v>
      </c>
      <c r="F1953" t="inlineStr">
        <is>
          <t>Fatima Kathleen M. FLores</t>
        </is>
      </c>
      <c r="G1953" t="inlineStr">
        <is>
          <t>Procurement</t>
        </is>
      </c>
      <c r="H1953"/>
      <c r="I1953"/>
      <c r="J1953" t="inlineStr">
        <is>
          <t>Project</t>
        </is>
      </c>
      <c r="K1953" t="inlineStr">
        <is>
          <t>PDEI - Event Service</t>
        </is>
      </c>
      <c r="L1953" t="inlineStr">
        <is>
          <t>Bingo Plus Panalo Caravan</t>
        </is>
      </c>
      <c r="M1953" t="inlineStr">
        <is>
          <t>2025TEG-P0216</t>
        </is>
      </c>
      <c r="N1953" t="inlineStr">
        <is>
          <t>Ronelle Kylene Chaneco Lim</t>
        </is>
      </c>
      <c r="O1953" t="inlineStr">
        <is>
          <t>202510200088-Ronelle Kylene Chaneco Lim-费用报销 - 副本 - 副本 - 副本-2025-10-20 10:26:03</t>
        </is>
      </c>
      <c r="P1953" t="inlineStr">
        <is>
          <t>NO</t>
        </is>
      </c>
      <c r="Q1953"/>
      <c r="R1953" t="inlineStr">
        <is>
          <t>YES</t>
        </is>
      </c>
      <c r="S1953" t="inlineStr">
        <is>
          <t>Rental of 6ft rectangle Lifetime tables with cover (1 day / Oct. 22, 2025)</t>
        </is>
      </c>
      <c r="T1953">
        <v>10</v>
      </c>
      <c r="U1953">
        <v>200</v>
      </c>
      <c r="V1953" t="inlineStr">
        <is>
          <t>PHP</t>
        </is>
      </c>
      <c r="W1953">
        <v>2000</v>
      </c>
      <c r="X1953" s="2"/>
      <c r="Y1953"/>
      <c r="Z1953"/>
      <c r="AA1953"/>
      <c r="AB1953"/>
      <c r="AC1953"/>
      <c r="AD1953" s="4"/>
      <c r="AE1953"/>
      <c r="AF1953" s="2"/>
      <c r="AG1953" t="inlineStr">
        <is>
          <t>NzQyNTk5MTgyNzQ4MTg3MDM0MTpGRTNEQzIyNS1DNDZGLTRENEItOUI0RC1DMThEMUE2NzhBMTQtMjoxMzQ0YTBmMGQ2NWQwYzkyYzY1MjI5MmJiN2UzZTY3OTox</t>
        </is>
      </c>
      <c r="AH1953"/>
      <c r="AI1953"/>
      <c r="AJ1953" t="inlineStr">
        <is>
          <t>This is part of the RR PROJECT EXECUTION line items. OVER BUDGET</t>
        </is>
      </c>
      <c r="AK1953"/>
    </row>
    <row r="1954" ht="25.5" customHeight="1">
      <c r="A1954" s="2" t="str">
        <f>=HYPERLINK("https://applink.larksuite.com/client/mini_program/open?appId=cli_9c7cc8a9a9edd105&amp;mode=appCenter&amp;path_pc=pc/pages/requested/index?instanceId=7610267290008850142&amp;source=bitable&amp;path=pages/detail/index?instanceId=7610267290008850142&amp;source=bitable", "202602240016")</f>
        <v>202602240016</v>
      </c>
      <c r="B1954" t="inlineStr">
        <is>
          <t>Approved</t>
        </is>
      </c>
      <c r="C1954" t="inlineStr">
        <is>
          <t>Procurement Order</t>
        </is>
      </c>
      <c r="D1954" s="3">
        <v>46077.47489583334</v>
      </c>
      <c r="E1954" s="3">
        <v>46080.79107638889</v>
      </c>
      <c r="F1954" t="inlineStr">
        <is>
          <t>Fatima Kathleen M. FLores</t>
        </is>
      </c>
      <c r="G1954" t="inlineStr">
        <is>
          <t>Procurement</t>
        </is>
      </c>
      <c r="H1954"/>
      <c r="I1954"/>
      <c r="J1954" t="inlineStr">
        <is>
          <t>Project</t>
        </is>
      </c>
      <c r="K1954" t="inlineStr">
        <is>
          <t>PDEI - Event Service</t>
        </is>
      </c>
      <c r="L1954" t="inlineStr">
        <is>
          <t>Bingo Plus Panalo Caravan</t>
        </is>
      </c>
      <c r="M1954" t="inlineStr">
        <is>
          <t>2025TEG-P0216</t>
        </is>
      </c>
      <c r="N1954" t="inlineStr">
        <is>
          <t>Ronelle Kylene Chaneco Lim</t>
        </is>
      </c>
      <c r="O1954" t="inlineStr">
        <is>
          <t>202510200088-Ronelle Kylene Chaneco Lim-费用报销 - 副本 - 副本 - 副本-2025-10-20 10:26:03</t>
        </is>
      </c>
      <c r="P1954" t="inlineStr">
        <is>
          <t>NO</t>
        </is>
      </c>
      <c r="Q1954"/>
      <c r="R1954" t="inlineStr">
        <is>
          <t>YES</t>
        </is>
      </c>
      <c r="S1954" t="inlineStr">
        <is>
          <t>Rental of Aircooler Fans (1 day / Oct. 22, 2025)</t>
        </is>
      </c>
      <c r="T1954">
        <v>6</v>
      </c>
      <c r="U1954">
        <v>1500</v>
      </c>
      <c r="V1954" t="inlineStr">
        <is>
          <t>PHP</t>
        </is>
      </c>
      <c r="W1954">
        <v>9000</v>
      </c>
      <c r="X1954" s="2"/>
      <c r="Y1954"/>
      <c r="Z1954"/>
      <c r="AA1954"/>
      <c r="AB1954"/>
      <c r="AC1954"/>
      <c r="AD1954" s="4"/>
      <c r="AE1954"/>
      <c r="AF1954" s="2"/>
      <c r="AG1954" t="inlineStr">
        <is>
          <t>NzQyNTk5MTgyNzQ4MTg3MDM0MTpGRTNEQzIyNS1DNDZGLTRENEItOUI0RC1DMThEMUE2NzhBMTQtMzpjNGYxMzBmM2ZjMDhhYTQ0OWIwZDUyNTkyMzAxMTg4Njox</t>
        </is>
      </c>
      <c r="AH1954"/>
      <c r="AI1954"/>
      <c r="AJ1954" t="inlineStr">
        <is>
          <t>This is part of the RR PROJECT EXECUTION line items. OVER BUDGET</t>
        </is>
      </c>
      <c r="AK1954"/>
    </row>
    <row r="1955" ht="25.5" customHeight="1">
      <c r="A1955" s="2" t="str">
        <f>=HYPERLINK("https://applink.larksuite.com/client/mini_program/open?appId=cli_9c7cc8a9a9edd105&amp;mode=appCenter&amp;path_pc=pc/pages/requested/index?instanceId=7610267290008850142&amp;source=bitable&amp;path=pages/detail/index?instanceId=7610267290008850142&amp;source=bitable", "202602240016")</f>
        <v>202602240016</v>
      </c>
      <c r="B1955" t="inlineStr">
        <is>
          <t>Approved</t>
        </is>
      </c>
      <c r="C1955" t="inlineStr">
        <is>
          <t>Procurement Order</t>
        </is>
      </c>
      <c r="D1955" s="3">
        <v>46077.47489583334</v>
      </c>
      <c r="E1955" s="3">
        <v>46080.79107638889</v>
      </c>
      <c r="F1955" t="inlineStr">
        <is>
          <t>Fatima Kathleen M. FLores</t>
        </is>
      </c>
      <c r="G1955" t="inlineStr">
        <is>
          <t>Procurement</t>
        </is>
      </c>
      <c r="H1955"/>
      <c r="I1955"/>
      <c r="J1955" t="inlineStr">
        <is>
          <t>Project</t>
        </is>
      </c>
      <c r="K1955" t="inlineStr">
        <is>
          <t>PDEI - Event Service</t>
        </is>
      </c>
      <c r="L1955" t="inlineStr">
        <is>
          <t>Bingo Plus Panalo Caravan</t>
        </is>
      </c>
      <c r="M1955" t="inlineStr">
        <is>
          <t>2025TEG-P0216</t>
        </is>
      </c>
      <c r="N1955" t="inlineStr">
        <is>
          <t>Ronelle Kylene Chaneco Lim</t>
        </is>
      </c>
      <c r="O1955" t="inlineStr">
        <is>
          <t>202510200088-Ronelle Kylene Chaneco Lim-费用报销 - 副本 - 副本 - 副本-2025-10-20 10:26:03</t>
        </is>
      </c>
      <c r="P1955" t="inlineStr">
        <is>
          <t>NO</t>
        </is>
      </c>
      <c r="Q1955"/>
      <c r="R1955" t="inlineStr">
        <is>
          <t>YES</t>
        </is>
      </c>
      <c r="S1955" t="inlineStr">
        <is>
          <t>Rental of 10ft x 10ft Airconditioned Tent (1 day / Oct. 22, 2025)</t>
        </is>
      </c>
      <c r="T1955">
        <v>4</v>
      </c>
      <c r="U1955">
        <v>13000</v>
      </c>
      <c r="V1955" t="inlineStr">
        <is>
          <t>PHP</t>
        </is>
      </c>
      <c r="W1955">
        <v>52000</v>
      </c>
      <c r="X1955" s="2"/>
      <c r="Y1955"/>
      <c r="Z1955"/>
      <c r="AA1955"/>
      <c r="AB1955"/>
      <c r="AC1955"/>
      <c r="AD1955" s="4"/>
      <c r="AE1955"/>
      <c r="AF1955" s="2"/>
      <c r="AG1955" t="inlineStr">
        <is>
          <t>NzQyNTk5MTgyNzQ4MTg3MDM0MTpGRTNEQzIyNS1DNDZGLTRENEItOUI0RC1DMThEMUE2NzhBMTQtNDoyOWI4M2JkMWUwMTlhYmY3MTc0MzYyZjljYTZiODI1NDox</t>
        </is>
      </c>
      <c r="AH1955"/>
      <c r="AI1955"/>
      <c r="AJ1955" t="inlineStr">
        <is>
          <t>This is part of the RR PROJECT EXECUTION line items. OVER BUDGET</t>
        </is>
      </c>
      <c r="AK1955"/>
    </row>
    <row r="1956" ht="25.5" customHeight="1">
      <c r="A1956" s="2" t="str">
        <f>=HYPERLINK("https://applink.larksuite.com/client/mini_program/open?appId=cli_9c7cc8a9a9edd105&amp;mode=appCenter&amp;path_pc=pc/pages/requested/index?instanceId=7610267290008850142&amp;source=bitable&amp;path=pages/detail/index?instanceId=7610267290008850142&amp;source=bitable", "202602240016")</f>
        <v>202602240016</v>
      </c>
      <c r="B1956" t="inlineStr">
        <is>
          <t>Approved</t>
        </is>
      </c>
      <c r="C1956" t="inlineStr">
        <is>
          <t>Procurement Order</t>
        </is>
      </c>
      <c r="D1956" s="3">
        <v>46077.47489583334</v>
      </c>
      <c r="E1956" s="3">
        <v>46080.79107638889</v>
      </c>
      <c r="F1956" t="inlineStr">
        <is>
          <t>Fatima Kathleen M. FLores</t>
        </is>
      </c>
      <c r="G1956" t="inlineStr">
        <is>
          <t>Procurement</t>
        </is>
      </c>
      <c r="H1956"/>
      <c r="I1956"/>
      <c r="J1956" t="inlineStr">
        <is>
          <t>Project</t>
        </is>
      </c>
      <c r="K1956" t="inlineStr">
        <is>
          <t>PDEI - Event Service</t>
        </is>
      </c>
      <c r="L1956" t="inlineStr">
        <is>
          <t>Bingo Plus Panalo Caravan</t>
        </is>
      </c>
      <c r="M1956" t="inlineStr">
        <is>
          <t>2025TEG-P0216</t>
        </is>
      </c>
      <c r="N1956" t="inlineStr">
        <is>
          <t>Ronelle Kylene Chaneco Lim</t>
        </is>
      </c>
      <c r="O1956" t="inlineStr">
        <is>
          <t>202510200088-Ronelle Kylene Chaneco Lim-费用报销 - 副本 - 副本 - 副本-2025-10-20 10:26:03</t>
        </is>
      </c>
      <c r="P1956" t="inlineStr">
        <is>
          <t>NO</t>
        </is>
      </c>
      <c r="Q1956"/>
      <c r="R1956" t="inlineStr">
        <is>
          <t>YES</t>
        </is>
      </c>
      <c r="S1956" t="inlineStr">
        <is>
          <t>Rental of 10ft x 10ft Open Tent (1 day / Oct. 22, 2025)</t>
        </is>
      </c>
      <c r="T1956">
        <v>1</v>
      </c>
      <c r="U1956">
        <v>2800</v>
      </c>
      <c r="V1956" t="inlineStr">
        <is>
          <t>PHP</t>
        </is>
      </c>
      <c r="W1956">
        <v>2800</v>
      </c>
      <c r="X1956" s="2"/>
      <c r="Y1956"/>
      <c r="Z1956"/>
      <c r="AA1956"/>
      <c r="AB1956"/>
      <c r="AC1956"/>
      <c r="AD1956" s="4"/>
      <c r="AE1956"/>
      <c r="AF1956" s="2"/>
      <c r="AG1956" t="inlineStr">
        <is>
          <t>NzQyNTk5MTgyNzQ4MTg3MDM0MTpGRTNEQzIyNS1DNDZGLTRENEItOUI0RC1DMThEMUE2NzhBMTQtNTo5MGFkYWVhZjQ1YjRmZWUwNjI2NWU4Mjk2YWQ3ZDM0ZDox</t>
        </is>
      </c>
      <c r="AH1956"/>
      <c r="AI1956"/>
      <c r="AJ1956" t="inlineStr">
        <is>
          <t>This is part of the RR PROJECT EXECUTION line items. OVER BUDGET</t>
        </is>
      </c>
      <c r="AK1956"/>
    </row>
    <row r="1957" ht="25.5" customHeight="1">
      <c r="A1957" s="2" t="str">
        <f>=HYPERLINK("https://applink.larksuite.com/client/mini_program/open?appId=cli_9c7cc8a9a9edd105&amp;mode=appCenter&amp;path_pc=pc/pages/requested/index?instanceId=7610267290008850142&amp;source=bitable&amp;path=pages/detail/index?instanceId=7610267290008850142&amp;source=bitable", "202602240016")</f>
        <v>202602240016</v>
      </c>
      <c r="B1957" t="inlineStr">
        <is>
          <t>Approved</t>
        </is>
      </c>
      <c r="C1957" t="inlineStr">
        <is>
          <t>Procurement Order</t>
        </is>
      </c>
      <c r="D1957" s="3">
        <v>46077.47489583334</v>
      </c>
      <c r="E1957" s="3">
        <v>46080.79107638889</v>
      </c>
      <c r="F1957" t="inlineStr">
        <is>
          <t>Fatima Kathleen M. FLores</t>
        </is>
      </c>
      <c r="G1957" t="inlineStr">
        <is>
          <t>Procurement</t>
        </is>
      </c>
      <c r="H1957"/>
      <c r="I1957"/>
      <c r="J1957" t="inlineStr">
        <is>
          <t>Project</t>
        </is>
      </c>
      <c r="K1957" t="inlineStr">
        <is>
          <t>PDEI - Event Service</t>
        </is>
      </c>
      <c r="L1957" t="inlineStr">
        <is>
          <t>Bingo Plus Panalo Caravan</t>
        </is>
      </c>
      <c r="M1957" t="inlineStr">
        <is>
          <t>2025TEG-P0216</t>
        </is>
      </c>
      <c r="N1957" t="inlineStr">
        <is>
          <t>Ronelle Kylene Chaneco Lim</t>
        </is>
      </c>
      <c r="O1957" t="inlineStr">
        <is>
          <t>202510200088-Ronelle Kylene Chaneco Lim-费用报销 - 副本 - 副本 - 副本-2025-10-20 10:26:03</t>
        </is>
      </c>
      <c r="P1957" t="inlineStr">
        <is>
          <t>NO</t>
        </is>
      </c>
      <c r="Q1957"/>
      <c r="R1957" t="inlineStr">
        <is>
          <t>YES</t>
        </is>
      </c>
      <c r="S1957" t="inlineStr">
        <is>
          <t>Delivery Fee (Laguna)</t>
        </is>
      </c>
      <c r="T1957">
        <v>1</v>
      </c>
      <c r="U1957">
        <v>11000</v>
      </c>
      <c r="V1957" t="inlineStr">
        <is>
          <t>PHP</t>
        </is>
      </c>
      <c r="W1957">
        <v>11000</v>
      </c>
      <c r="X1957" s="2" t="str">
        <f>=HYPERLINK("https://www.larksuite.com/approval/admin/previewAttachment?key=PMg7CsIAEATQK83sf72MjSEYo5WoWOzZBYu0L4qIcmo0rCkNTgYhkdIAqhw0GRlmNpLpnOWxnk10_8pnu22vvXmf9_WyLk96pwhSzbQA8HS4ppl1h-Hv_gsAAP__", "2 attachment(s)")</f>
        <v>2 attachment(s)</v>
      </c>
      <c r="Y1957"/>
      <c r="Z1957"/>
      <c r="AA1957"/>
      <c r="AB1957"/>
      <c r="AC1957"/>
      <c r="AD1957" s="4"/>
      <c r="AE1957"/>
      <c r="AF1957" s="2"/>
      <c r="AG1957" t="inlineStr">
        <is>
          <t>NzQyNTk5MTgyNzQ4MTg3MDM0MTpGRTNEQzIyNS1DNDZGLTRENEItOUI0RC1DMThEMUE2NzhBMTQtNjpkMTIyMzU5YjMwYWJiMGM3MmNmYjQ4OTg2NjAyODQwOTox</t>
        </is>
      </c>
      <c r="AH1957"/>
      <c r="AI1957"/>
      <c r="AJ1957" t="inlineStr">
        <is>
          <t>This is part of the RR PROJECT EXECUTION line items. OVER BUDGET</t>
        </is>
      </c>
      <c r="AK1957"/>
    </row>
    <row r="1958" ht="25.5" customHeight="1">
      <c r="A1958" s="2" t="str">
        <f>=HYPERLINK("https://applink.larksuite.com/client/mini_program/open?appId=cli_9c7cc8a9a9edd105&amp;mode=appCenter&amp;path_pc=pc/pages/requested/index?instanceId=7610316701527281373&amp;source=bitable&amp;path=pages/detail/index?instanceId=7610316701527281373&amp;source=bitable", "202602240050")</f>
        <v>202602240050</v>
      </c>
      <c r="B1958" t="inlineStr">
        <is>
          <t>Approved</t>
        </is>
      </c>
      <c r="C1958" t="inlineStr">
        <is>
          <t>Procurement Order</t>
        </is>
      </c>
      <c r="D1958" s="3">
        <v>46077.60805555555</v>
      </c>
      <c r="E1958" s="3">
        <v>46080.732615740744</v>
      </c>
      <c r="F1958" t="inlineStr">
        <is>
          <t>Fatima Kathleen M. FLores</t>
        </is>
      </c>
      <c r="G1958" t="inlineStr">
        <is>
          <t>Procurement</t>
        </is>
      </c>
      <c r="H1958"/>
      <c r="I1958"/>
      <c r="J1958" t="inlineStr">
        <is>
          <t>Project</t>
        </is>
      </c>
      <c r="K1958" t="inlineStr">
        <is>
          <t>GG - Event Service</t>
        </is>
      </c>
      <c r="L1958" t="inlineStr">
        <is>
          <t>KIC 2025 - Media Day</t>
        </is>
      </c>
      <c r="M1958" t="inlineStr">
        <is>
          <t>2025TEG-P0307</t>
        </is>
      </c>
      <c r="N1958" t="inlineStr">
        <is>
          <t>Frances Angelita Arreglado</t>
        </is>
      </c>
      <c r="O1958" t="inlineStr">
        <is>
          <t>202601190138-Frances Angelita Arreglado-费用报销 - 副本 - 副本 - 副本-2026-01-19 10:58:35</t>
        </is>
      </c>
      <c r="P1958" t="inlineStr">
        <is>
          <t>NO</t>
        </is>
      </c>
      <c r="Q1958"/>
      <c r="R1958" t="inlineStr">
        <is>
          <t>NO</t>
        </is>
      </c>
      <c r="S1958" t="inlineStr">
        <is>
          <t>Asset Rental / Services</t>
        </is>
      </c>
      <c r="T1958">
        <v>1</v>
      </c>
      <c r="U1958">
        <v>927899.85</v>
      </c>
      <c r="V1958" t="inlineStr">
        <is>
          <t>PHP</t>
        </is>
      </c>
      <c r="W1958">
        <v>927899.85</v>
      </c>
      <c r="X1958" s="2" t="str">
        <f>=HYPERLINK("https://www.larksuite.com/approval/admin/previewAttachment?key=PMg9CsJAFATgK828v9nnZWyyBImmEky1ZxcsbL8aRI2kVyOa1uBSEc4SmCYbdPmyRakhKrnmud_7yGv6we152evM9Xls-3wzW2aQR_gAwNvfXRHRXYGf4xsAAP__", "3 attachment(s)")</f>
        <v>3 attachment(s)</v>
      </c>
      <c r="Y1958" t="inlineStr">
        <is>
          <t>Bank Transfer</t>
        </is>
      </c>
      <c r="Z1958" t="inlineStr">
        <is>
          <t>PILLAR DIGITAL E-COMMERCE INC.</t>
        </is>
      </c>
      <c r="AA1958" t="inlineStr">
        <is>
          <t>000004293135-3</t>
        </is>
      </c>
      <c r="AB1958" t="inlineStr">
        <is>
          <t>Security Bank</t>
        </is>
      </c>
      <c r="AC1958" t="inlineStr">
        <is>
          <t>9F Santolan Town Plaza, Col. Bonny Serrano Ave., San Juan City</t>
        </is>
      </c>
      <c r="AD1958" s="4">
        <v>46087</v>
      </c>
      <c r="AE1958" t="inlineStr">
        <is>
          <t>100% Full Payment</t>
        </is>
      </c>
      <c r="AF1958" s="2"/>
      <c r="AG1958" t="inlineStr">
        <is>
          <t>NzQyNTk5MTgyNzQ4MTg3MDM0MTpEMTQ3NkNENC1EQUIzLTQ0MTQtQUNGNC1FMzA1QkFFNDdBRTEtMTozNTJkNjQ4ZjJhNDU5NDZjOWFmMmFkMmQyOTM2YTg5Mjox</t>
        </is>
      </c>
      <c r="AH1958" t="inlineStr">
        <is>
          <t>PILLAR DIGITAL E-COMMERCE INC.</t>
        </is>
      </c>
      <c r="AI1958"/>
      <c r="AJ1958" t="inlineStr">
        <is>
          <t>INTERNAL.</t>
        </is>
      </c>
      <c r="AK1958"/>
    </row>
    <row r="1959" ht="25.5" customHeight="1">
      <c r="A1959" s="2" t="str">
        <f>=HYPERLINK("https://applink.larksuite.com/client/mini_program/open?appId=cli_9c7cc8a9a9edd105&amp;mode=appCenter&amp;path_pc=pc/pages/requested/index?instanceId=7610317557496581856&amp;source=bitable&amp;path=pages/detail/index?instanceId=7610317557496581856&amp;source=bitable", "202602240052")</f>
        <v>202602240052</v>
      </c>
      <c r="B1959" t="inlineStr">
        <is>
          <t>Approved</t>
        </is>
      </c>
      <c r="C1959" t="inlineStr">
        <is>
          <t>Procurement Order</t>
        </is>
      </c>
      <c r="D1959" s="3">
        <v>46077.61035879629</v>
      </c>
      <c r="E1959" s="3">
        <v>46080.73384259259</v>
      </c>
      <c r="F1959" t="inlineStr">
        <is>
          <t>Fatima Kathleen M. FLores</t>
        </is>
      </c>
      <c r="G1959" t="inlineStr">
        <is>
          <t>Procurement</t>
        </is>
      </c>
      <c r="H1959"/>
      <c r="I1959"/>
      <c r="J1959" t="inlineStr">
        <is>
          <t>Project</t>
        </is>
      </c>
      <c r="K1959" t="inlineStr">
        <is>
          <t>GG - Event Service</t>
        </is>
      </c>
      <c r="L1959" t="inlineStr">
        <is>
          <t>KIC 2025 - Venue (Playoffs)</t>
        </is>
      </c>
      <c r="M1959" t="inlineStr">
        <is>
          <t>2025TEG-P0291</t>
        </is>
      </c>
      <c r="N1959" t="inlineStr">
        <is>
          <t>Frances Angelita Arreglado</t>
        </is>
      </c>
      <c r="O1959" t="inlineStr">
        <is>
          <t>202601190140-Frances Angelita Arreglado-费用报销 - 副本 - 副本 - 副本-2026-01-19 11:01:34</t>
        </is>
      </c>
      <c r="P1959" t="inlineStr">
        <is>
          <t>NO</t>
        </is>
      </c>
      <c r="Q1959"/>
      <c r="R1959" t="inlineStr">
        <is>
          <t>NO</t>
        </is>
      </c>
      <c r="S1959" t="inlineStr">
        <is>
          <t>Asset Rental / Services</t>
        </is>
      </c>
      <c r="T1959">
        <v>1</v>
      </c>
      <c r="U1959">
        <v>587999.92</v>
      </c>
      <c r="V1959" t="inlineStr">
        <is>
          <t>PHP</t>
        </is>
      </c>
      <c r="W1959">
        <v>587999.92</v>
      </c>
      <c r="X1959" s="2" t="str">
        <f>=HYPERLINK("https://www.larksuite.com/approval/admin/previewAttachment?key=PMg9CkIxEATgK81kf2bXy9j4eNhEBDHY5OyChe2XRWQFLRveHA1uJWFUhLwzihW5x6bUEBXcxzyvi3M8a36OeNt6YK_77TxejNYYkLlbAeDl7yZ3707Hz_ENAAD__w", "3 attachment(s)")</f>
        <v>3 attachment(s)</v>
      </c>
      <c r="Y1959" t="inlineStr">
        <is>
          <t>Bank Transfer</t>
        </is>
      </c>
      <c r="Z1959" t="inlineStr">
        <is>
          <t>PILLAR DIGITAL E-COMMERCE INC.</t>
        </is>
      </c>
      <c r="AA1959" t="inlineStr">
        <is>
          <t>000004293135-3</t>
        </is>
      </c>
      <c r="AB1959" t="inlineStr">
        <is>
          <t>Security Bank</t>
        </is>
      </c>
      <c r="AC1959" t="inlineStr">
        <is>
          <t>9F Santolan Town Plaza, Col. Bonny Serrano Ave., San Juan City</t>
        </is>
      </c>
      <c r="AD1959" s="4">
        <v>46087</v>
      </c>
      <c r="AE1959" t="inlineStr">
        <is>
          <t>100% Full Payment</t>
        </is>
      </c>
      <c r="AF1959" s="2"/>
      <c r="AG1959" t="inlineStr">
        <is>
          <t>NzQyNTk5MTgyNzQ4MTg3MDM0MTozMzg1QjhFRS1DRUQ3LTQzNTEtODUxQS00MEQ1QTAyMjQwNkYtMToyOGZiZmQ4NTdjNjI5OGZjNTY4NWRkYjY1ZGZhZWU2Mzox</t>
        </is>
      </c>
      <c r="AH1959" t="inlineStr">
        <is>
          <t>PILLAR DIGITAL E-COMMERCE INC.</t>
        </is>
      </c>
      <c r="AI1959"/>
      <c r="AJ1959" t="inlineStr">
        <is>
          <t>INTERNAL.</t>
        </is>
      </c>
      <c r="AK1959"/>
    </row>
    <row r="1960" ht="25.5" customHeight="1">
      <c r="A1960" s="2" t="str">
        <f>=HYPERLINK("https://applink.larksuite.com/client/mini_program/open?appId=cli_9c7cc8a9a9edd105&amp;mode=appCenter&amp;path_pc=pc/pages/requested/index?instanceId=7610318048754536162&amp;source=bitable&amp;path=pages/detail/index?instanceId=7610318048754536162&amp;source=bitable", "202602240053")</f>
        <v>202602240053</v>
      </c>
      <c r="B1960" t="inlineStr">
        <is>
          <t>Approved</t>
        </is>
      </c>
      <c r="C1960" t="inlineStr">
        <is>
          <t>Procurement Order</t>
        </is>
      </c>
      <c r="D1960" s="3">
        <v>46077.61167824074</v>
      </c>
      <c r="E1960" s="3">
        <v>46080.74050925926</v>
      </c>
      <c r="F1960" t="inlineStr">
        <is>
          <t>Fatima Kathleen M. FLores</t>
        </is>
      </c>
      <c r="G1960" t="inlineStr">
        <is>
          <t>Procurement</t>
        </is>
      </c>
      <c r="H1960"/>
      <c r="I1960"/>
      <c r="J1960" t="inlineStr">
        <is>
          <t>Project</t>
        </is>
      </c>
      <c r="K1960" t="inlineStr">
        <is>
          <t>GG - Event Service</t>
        </is>
      </c>
      <c r="L1960" t="inlineStr">
        <is>
          <t>KIC 2025 - Hotel Accommodation (SEDA)</t>
        </is>
      </c>
      <c r="M1960" t="inlineStr">
        <is>
          <t>2025TEG-P0294</t>
        </is>
      </c>
      <c r="N1960" t="inlineStr">
        <is>
          <t>Frances Angelita Arreglado</t>
        </is>
      </c>
      <c r="O1960" t="inlineStr">
        <is>
          <t>202601190141-Frances Angelita Arreglado-费用报销 - 副本 - 副本 - 副本-2026-01-19 11:03:07</t>
        </is>
      </c>
      <c r="P1960" t="inlineStr">
        <is>
          <t>NO</t>
        </is>
      </c>
      <c r="Q1960"/>
      <c r="R1960" t="inlineStr">
        <is>
          <t>NO</t>
        </is>
      </c>
      <c r="S1960" t="inlineStr">
        <is>
          <t>Asset Rental / Services</t>
        </is>
      </c>
      <c r="T1960">
        <v>1</v>
      </c>
      <c r="U1960">
        <v>270714.37</v>
      </c>
      <c r="V1960" t="inlineStr">
        <is>
          <t>PHP</t>
        </is>
      </c>
      <c r="W1960">
        <v>270714.37</v>
      </c>
      <c r="X1960" s="2" t="str">
        <f>=HYPERLINK("https://www.larksuite.com/approval/admin/previewAttachment?key=PMg7qsJgEAXgLZ0z77mbuY0_waARQQhYzNoFC9sviohyajSsKQ1OBqEsWKWbazBkZJjZSKZz1rH97-f7_qhj7aLPm6w5r5dtveidIkg10wLAv59rmll3GL6OTwAAAP__", "3 attachment(s)")</f>
        <v>3 attachment(s)</v>
      </c>
      <c r="Y1960" t="inlineStr">
        <is>
          <t>Bank Transfer</t>
        </is>
      </c>
      <c r="Z1960" t="inlineStr">
        <is>
          <t>PILLAR DIGITAL E-COMMERCE INC.</t>
        </is>
      </c>
      <c r="AA1960" t="inlineStr">
        <is>
          <t>000004293135-3</t>
        </is>
      </c>
      <c r="AB1960" t="inlineStr">
        <is>
          <t>Security Bank</t>
        </is>
      </c>
      <c r="AC1960" t="inlineStr">
        <is>
          <t>9F Santolan Town Plaza, Col. Bonny Serrano Ave., San Juan City</t>
        </is>
      </c>
      <c r="AD1960" s="4">
        <v>46087</v>
      </c>
      <c r="AE1960" t="inlineStr">
        <is>
          <t>100% Full Payment</t>
        </is>
      </c>
      <c r="AF1960" s="2"/>
      <c r="AG1960" t="inlineStr">
        <is>
          <t>NzQyNTk5MTgyNzQ4MTg3MDM0MTpEQjA0REZCRC05NkRBLTQ2RDYtQjVFRC0wNDFFMzQ0MkVDQUEtMTphMDJmZTcyNzA5YjQzNzQ2ZjEzZTA3YThhZDAzMTZjZTox</t>
        </is>
      </c>
      <c r="AH1960" t="inlineStr">
        <is>
          <t>PILLAR DIGITAL E-COMMERCE INC.</t>
        </is>
      </c>
      <c r="AI1960"/>
      <c r="AJ1960" t="inlineStr">
        <is>
          <t>INTERNAL.</t>
        </is>
      </c>
      <c r="AK1960"/>
    </row>
    <row r="1961" ht="25.5" customHeight="1">
      <c r="A1961" s="2" t="str">
        <f>=HYPERLINK("https://applink.larksuite.com/client/mini_program/open?appId=cli_9c7cc8a9a9edd105&amp;mode=appCenter&amp;path_pc=pc/pages/requested/index?instanceId=7610318653746663135&amp;source=bitable&amp;path=pages/detail/index?instanceId=7610318653746663135&amp;source=bitable", "202602240054")</f>
        <v>202602240054</v>
      </c>
      <c r="B1961" t="inlineStr">
        <is>
          <t>Approved</t>
        </is>
      </c>
      <c r="C1961" t="inlineStr">
        <is>
          <t>Procurement Order</t>
        </is>
      </c>
      <c r="D1961" s="3">
        <v>46077.61331018519</v>
      </c>
      <c r="E1961" s="3">
        <v>46077.80226851852</v>
      </c>
      <c r="F1961" t="inlineStr">
        <is>
          <t>Fatima Kathleen M. FLores</t>
        </is>
      </c>
      <c r="G1961" t="inlineStr">
        <is>
          <t>Procurement</t>
        </is>
      </c>
      <c r="H1961"/>
      <c r="I1961"/>
      <c r="J1961" t="inlineStr">
        <is>
          <t>Project</t>
        </is>
      </c>
      <c r="K1961" t="inlineStr">
        <is>
          <t>GG - Event Service</t>
        </is>
      </c>
      <c r="L1961" t="inlineStr">
        <is>
          <t>KIC 2025 - Group Stage &amp; Knockouts</t>
        </is>
      </c>
      <c r="M1961" t="inlineStr">
        <is>
          <t>2025TEG-P0286</t>
        </is>
      </c>
      <c r="N1961" t="inlineStr">
        <is>
          <t>Frances Angelita Arreglado</t>
        </is>
      </c>
      <c r="O1961" t="inlineStr">
        <is>
          <t>202601190143-Frances Angelita Arreglado-费用报销 - 副本 - 副本 - 副本-2026-01-19 11:05:54</t>
        </is>
      </c>
      <c r="P1961" t="inlineStr">
        <is>
          <t>NO</t>
        </is>
      </c>
      <c r="Q1961"/>
      <c r="R1961" t="inlineStr">
        <is>
          <t>NO</t>
        </is>
      </c>
      <c r="S1961" t="inlineStr">
        <is>
          <t>Asset Rental / Services</t>
        </is>
      </c>
      <c r="T1961">
        <v>1</v>
      </c>
      <c r="U1961">
        <v>3405617.27</v>
      </c>
      <c r="V1961" t="inlineStr">
        <is>
          <t>PHP</t>
        </is>
      </c>
      <c r="W1961">
        <v>3405617.27</v>
      </c>
      <c r="X1961" s="2" t="str">
        <f>=HYPERLINK("https://www.larksuite.com/approval/admin/previewAttachment?key=PMg7CgJBEATQK1VNf2ray5jssoiDIIiySZ9dMDB9OYmcQcuCF0eBrSSMM8PkmWm06NGUCqKCvT-O6_bWxnhinevEffXnth37i1EaAzJ3mwB4-bvJ3avS8XN8AwAA__8", "3 attachment(s)")</f>
        <v>3 attachment(s)</v>
      </c>
      <c r="Y1961" t="inlineStr">
        <is>
          <t>Bank Transfer</t>
        </is>
      </c>
      <c r="Z1961" t="inlineStr">
        <is>
          <t>PILLAR DIGITAL E-COMMERCE INC.</t>
        </is>
      </c>
      <c r="AA1961" t="inlineStr">
        <is>
          <t>000004293135-3</t>
        </is>
      </c>
      <c r="AB1961" t="inlineStr">
        <is>
          <t>Security Bank</t>
        </is>
      </c>
      <c r="AC1961" t="inlineStr">
        <is>
          <t>9F Santolan Town Plaza, Col. Bonny Serrano Ave., San Juan City</t>
        </is>
      </c>
      <c r="AD1961" s="4">
        <v>46087</v>
      </c>
      <c r="AE1961" t="inlineStr">
        <is>
          <t>100% Full Payment</t>
        </is>
      </c>
      <c r="AF1961" s="2"/>
      <c r="AG1961" t="inlineStr">
        <is>
          <t>NzQyNTk5MTgyNzQ4MTg3MDM0MTo2MDgxQzlCMC1CQjAxLTRDQUUtOEJGMS1EQ0E1NjEyNEQwOUItMToxZWY2ODIzNjlkYzljOGYwOGZmM2I3MGZjZWQ3NDdhZDox</t>
        </is>
      </c>
      <c r="AH1961" t="inlineStr">
        <is>
          <t>PILLAR DIGITAL E-COMMERCE INC.</t>
        </is>
      </c>
      <c r="AI1961"/>
      <c r="AJ1961" t="inlineStr">
        <is>
          <t>INTERNAL.</t>
        </is>
      </c>
      <c r="AK1961"/>
    </row>
    <row r="1962" ht="25.5" customHeight="1">
      <c r="A1962" s="2" t="str">
        <f>=HYPERLINK("https://applink.larksuite.com/client/mini_program/open?appId=cli_9c7cc8a9a9edd105&amp;mode=appCenter&amp;path_pc=pc/pages/requested/index?instanceId=7610321010163748577&amp;source=bitable&amp;path=pages/detail/index?instanceId=7610321010163748577&amp;source=bitable", "202602240058")</f>
        <v>202602240058</v>
      </c>
      <c r="B1962" t="inlineStr">
        <is>
          <t>Approved</t>
        </is>
      </c>
      <c r="C1962" t="inlineStr">
        <is>
          <t>Procurement Order</t>
        </is>
      </c>
      <c r="D1962" s="3">
        <v>46077.61966435185</v>
      </c>
      <c r="E1962" s="3">
        <v>46077.78394675926</v>
      </c>
      <c r="F1962" t="inlineStr">
        <is>
          <t>Fatima Kathleen M. FLores</t>
        </is>
      </c>
      <c r="G1962" t="inlineStr">
        <is>
          <t>Procurement</t>
        </is>
      </c>
      <c r="H1962"/>
      <c r="I1962"/>
      <c r="J1962" t="inlineStr">
        <is>
          <t>Project</t>
        </is>
      </c>
      <c r="K1962" t="inlineStr">
        <is>
          <t>GG - Event Service</t>
        </is>
      </c>
      <c r="L1962" t="inlineStr">
        <is>
          <t>KIC 2025 - Playoffs</t>
        </is>
      </c>
      <c r="M1962" t="inlineStr">
        <is>
          <t>2025TEG-P0321</t>
        </is>
      </c>
      <c r="N1962" t="inlineStr">
        <is>
          <t>Frances Angelita Arreglado</t>
        </is>
      </c>
      <c r="O1962" t="inlineStr">
        <is>
          <t>202601190144-Frances Angelita Arreglado-费用报销 - 副本 - 副本 - 副本-2026-01-19 11:07:53</t>
        </is>
      </c>
      <c r="P1962" t="inlineStr">
        <is>
          <t>NO</t>
        </is>
      </c>
      <c r="Q1962"/>
      <c r="R1962" t="inlineStr">
        <is>
          <t>NO</t>
        </is>
      </c>
      <c r="S1962" t="inlineStr">
        <is>
          <t>Asset Rental / Services</t>
        </is>
      </c>
      <c r="T1962">
        <v>1</v>
      </c>
      <c r="U1962">
        <v>5400967.36</v>
      </c>
      <c r="V1962" t="inlineStr">
        <is>
          <t>PHP</t>
        </is>
      </c>
      <c r="W1962">
        <v>5400967.36</v>
      </c>
      <c r="X1962" s="2" t="str">
        <f>=HYPERLINK("https://www.larksuite.com/approval/admin/previewAttachment?key=PMgxCsJQEATQK83s7t_542VsEoKIqQTR4p9dsLB9PYmeg9lGmWFwqYkMgmCnag5pxaJkiBpc-3lcz49jPN705tJd63Xbjv3JYUVAWZUTAC9_T1WV3YWf4xsAAP__", "3 attachment(s)")</f>
        <v>3 attachment(s)</v>
      </c>
      <c r="Y1962" t="inlineStr">
        <is>
          <t>Bank Transfer</t>
        </is>
      </c>
      <c r="Z1962" t="inlineStr">
        <is>
          <t>PILLAR DIGITAL E-COMMERCE INC.</t>
        </is>
      </c>
      <c r="AA1962" t="inlineStr">
        <is>
          <t>000004293135-3</t>
        </is>
      </c>
      <c r="AB1962" t="inlineStr">
        <is>
          <t>Security Bank</t>
        </is>
      </c>
      <c r="AC1962" t="inlineStr">
        <is>
          <t>9F Santolan Town Plaza, Col. Bonny Serrano Ave., San Juan City</t>
        </is>
      </c>
      <c r="AD1962" s="4">
        <v>46087</v>
      </c>
      <c r="AE1962" t="inlineStr">
        <is>
          <t>100% Full Payment</t>
        </is>
      </c>
      <c r="AF1962" s="2"/>
      <c r="AG1962" t="inlineStr">
        <is>
          <t>NzQyNTk5MTgyNzQ4MTg3MDM0MTpFRTRGRDhGNS1GOTQ4LTQ4MTQtOUZDRS0wQTAwOTMwMjM1QTEtMTpmNzlkMDM0OGJkNGZkZTlhODRkNGNlNjIxODZhODYxMjox</t>
        </is>
      </c>
      <c r="AH1962" t="inlineStr">
        <is>
          <t>PILLAR DIGITAL E-COMMERCE INC.</t>
        </is>
      </c>
      <c r="AI1962"/>
      <c r="AJ1962" t="inlineStr">
        <is>
          <t>INTERNAL.</t>
        </is>
      </c>
      <c r="AK1962"/>
    </row>
    <row r="1963" ht="25.5" customHeight="1">
      <c r="A1963" s="2" t="str">
        <f>=HYPERLINK("https://applink.larksuite.com/client/mini_program/open?appId=cli_9c7cc8a9a9edd105&amp;mode=appCenter&amp;path_pc=pc/pages/requested/index?instanceId=7610326617268686557&amp;source=bitable&amp;path=pages/detail/index?instanceId=7610326617268686557&amp;source=bitable", "202602240066")</f>
        <v>202602240066</v>
      </c>
      <c r="B1963" t="inlineStr">
        <is>
          <t>Approved</t>
        </is>
      </c>
      <c r="C1963" t="inlineStr">
        <is>
          <t>Procurement Order</t>
        </is>
      </c>
      <c r="D1963" s="3">
        <v>46077.63476851852</v>
      </c>
      <c r="E1963" s="3">
        <v>46080.74321759259</v>
      </c>
      <c r="F1963" t="inlineStr">
        <is>
          <t>Fatima Kathleen M. FLores</t>
        </is>
      </c>
      <c r="G1963" t="inlineStr">
        <is>
          <t>Procurement</t>
        </is>
      </c>
      <c r="H1963"/>
      <c r="I1963"/>
      <c r="J1963" t="inlineStr">
        <is>
          <t>Project</t>
        </is>
      </c>
      <c r="K1963" t="inlineStr">
        <is>
          <t>GG - Event Service</t>
        </is>
      </c>
      <c r="L1963" t="inlineStr">
        <is>
          <t>KIC 2025 - Talents</t>
        </is>
      </c>
      <c r="M1963" t="inlineStr">
        <is>
          <t>2025TEG-P0318</t>
        </is>
      </c>
      <c r="N1963" t="inlineStr">
        <is>
          <t>Frances Angelita Arreglado</t>
        </is>
      </c>
      <c r="O1963" t="inlineStr">
        <is>
          <t>202601190147-Frances Angelita Arreglado-费用报销 - 副本 - 副本 - 副本-2026-01-19 11:24:17</t>
        </is>
      </c>
      <c r="P1963" t="inlineStr">
        <is>
          <t>NO</t>
        </is>
      </c>
      <c r="Q1963"/>
      <c r="R1963" t="inlineStr">
        <is>
          <t>NO</t>
        </is>
      </c>
      <c r="S1963" t="inlineStr">
        <is>
          <t>Asset Rental / Services</t>
        </is>
      </c>
      <c r="T1963">
        <v>1</v>
      </c>
      <c r="U1963">
        <v>1188164.06</v>
      </c>
      <c r="V1963" t="inlineStr">
        <is>
          <t>PHP</t>
        </is>
      </c>
      <c r="W1963">
        <v>1188164.06</v>
      </c>
      <c r="X1963" s="2" t="str">
        <f>=HYPERLINK("https://www.larksuite.com/approval/admin/previewAttachment?key=PMg9CsJAFATgK828v9nnZWxcgiIBQQw2e3bBIu1Xg6iR9GpE0xpcKsKtirIaNSpTyxalhqjkmvt29f37nC88Oj_QgXXcb9t8M1tmkEf4AMDL6a6I6K7A3_ELAAD__w", "3 attachment(s)")</f>
        <v>3 attachment(s)</v>
      </c>
      <c r="Y1963" t="inlineStr">
        <is>
          <t>Bank Transfer</t>
        </is>
      </c>
      <c r="Z1963" t="inlineStr">
        <is>
          <t>PILLAR DIGITAL E-COMMERCE INC.</t>
        </is>
      </c>
      <c r="AA1963" t="inlineStr">
        <is>
          <t>000004293135-3</t>
        </is>
      </c>
      <c r="AB1963" t="inlineStr">
        <is>
          <t>Security Bank</t>
        </is>
      </c>
      <c r="AC1963" t="inlineStr">
        <is>
          <t>9F Santolan Town Plaza, Col. Bonny Serrano Ave., San Juan City</t>
        </is>
      </c>
      <c r="AD1963" s="4">
        <v>46087</v>
      </c>
      <c r="AE1963" t="inlineStr">
        <is>
          <t>100% Full Payment</t>
        </is>
      </c>
      <c r="AF1963" s="2"/>
      <c r="AG1963" t="inlineStr">
        <is>
          <t>NzQyNTk5MTgyNzQ4MTg3MDM0MToyQjk1MEU4QS03NDlELTRGQjctQkM5RS0zQjQ5NDAwMDY4QkQtMTpkYTExY2Q1MmM0NTBkMjJkNDNlYWUzNzc2MzdhYThkZjox</t>
        </is>
      </c>
      <c r="AH1963" t="inlineStr">
        <is>
          <t>PILLAR DIGITAL E-COMMERCE INC.</t>
        </is>
      </c>
      <c r="AI1963"/>
      <c r="AJ1963" t="inlineStr">
        <is>
          <t>INTERNAL.</t>
        </is>
      </c>
      <c r="AK1963"/>
    </row>
    <row r="1964" ht="25.5" customHeight="1">
      <c r="A1964" s="2" t="str">
        <f>=HYPERLINK("https://applink.larksuite.com/client/mini_program/open?appId=cli_9c7cc8a9a9edd105&amp;mode=appCenter&amp;path_pc=pc/pages/requested/index?instanceId=7610325988261514972&amp;source=bitable&amp;path=pages/detail/index?instanceId=7610325988261514972&amp;source=bitable", "202602240065")</f>
        <v>202602240065</v>
      </c>
      <c r="B1964" t="inlineStr">
        <is>
          <t>Approved</t>
        </is>
      </c>
      <c r="C1964" t="inlineStr">
        <is>
          <t>Procurement Order</t>
        </is>
      </c>
      <c r="D1964" s="3">
        <v>46077.6330787037</v>
      </c>
      <c r="E1964" s="3">
        <v>46086.7143287037</v>
      </c>
      <c r="F1964" t="inlineStr">
        <is>
          <t>Fatima Kathleen M. FLores</t>
        </is>
      </c>
      <c r="G1964" t="inlineStr">
        <is>
          <t>Procurement</t>
        </is>
      </c>
      <c r="H1964"/>
      <c r="I1964"/>
      <c r="J1964" t="inlineStr">
        <is>
          <t>Project</t>
        </is>
      </c>
      <c r="K1964" t="inlineStr">
        <is>
          <t>GG - Event Service</t>
        </is>
      </c>
      <c r="L1964" t="inlineStr">
        <is>
          <t>KIC 2025 - Carnival (GS+KO)</t>
        </is>
      </c>
      <c r="M1964" t="inlineStr">
        <is>
          <t>2025TEG-P0316</t>
        </is>
      </c>
      <c r="N1964" t="inlineStr">
        <is>
          <t>Frances Angelita Arreglado</t>
        </is>
      </c>
      <c r="O1964" t="inlineStr">
        <is>
          <t>202601190146-Frances Angelita Arreglado-费用报销 - 副本 - 副本 - 副本-2026-01-19 11:22:09</t>
        </is>
      </c>
      <c r="P1964" t="inlineStr">
        <is>
          <t>NO</t>
        </is>
      </c>
      <c r="Q1964"/>
      <c r="R1964" t="inlineStr">
        <is>
          <t>NO</t>
        </is>
      </c>
      <c r="S1964" t="inlineStr">
        <is>
          <t>Asset Rental / Services</t>
        </is>
      </c>
      <c r="T1964">
        <v>1</v>
      </c>
      <c r="U1964">
        <v>470061.62</v>
      </c>
      <c r="V1964" t="inlineStr">
        <is>
          <t>PHP</t>
        </is>
      </c>
      <c r="W1964">
        <v>470061.62</v>
      </c>
      <c r="X1964" s="2" t="str">
        <f>=HYPERLINK("https://www.larksuite.com/approval/admin/previewAttachment?key=PMg7CgJBEATQK1X19GfKy5i4DIqsCIJi0GcXDDZ9OYmcwZGCiyawK4lhoTktGXSVtTWrhGIFe9vXef_KIm6f-7Pssazf18vaXgyVGWq4jwmAp8NHubuUjr_jFwAA__8", "3 attachment(s)")</f>
        <v>3 attachment(s)</v>
      </c>
      <c r="Y1964" t="inlineStr">
        <is>
          <t>Bank Transfer</t>
        </is>
      </c>
      <c r="Z1964" t="inlineStr">
        <is>
          <t>PILLAR DIGITAL E-COMMERCE INC.</t>
        </is>
      </c>
      <c r="AA1964" t="inlineStr">
        <is>
          <t>000004293135-3</t>
        </is>
      </c>
      <c r="AB1964" t="inlineStr">
        <is>
          <t>Security Bank</t>
        </is>
      </c>
      <c r="AC1964" t="inlineStr">
        <is>
          <t>9F Santolan Town Plaza, Col. Bonny Serrano Ave., San Juan City</t>
        </is>
      </c>
      <c r="AD1964" s="4">
        <v>46087</v>
      </c>
      <c r="AE1964" t="inlineStr">
        <is>
          <t>100% Full Payment</t>
        </is>
      </c>
      <c r="AF1964" s="2"/>
      <c r="AG1964" t="inlineStr">
        <is>
          <t>NzQyNTk5MTgyNzQ4MTg3MDM0MTozMzRFRTMyRC0xNDY4LTQ5Q0MtQUZCNC1DNDRCQjA4Qjg3MUUtMTpjMzUwYWJhNGMyMzZiODZiZGU5ZmYwNDRhYjFhOTg2ZTox</t>
        </is>
      </c>
      <c r="AH1964" t="inlineStr">
        <is>
          <t>PILLAR DIGITAL E-COMMERCE INC.</t>
        </is>
      </c>
      <c r="AI1964"/>
      <c r="AJ1964" t="inlineStr">
        <is>
          <t>INTERNAL.</t>
        </is>
      </c>
      <c r="AK1964"/>
    </row>
    <row r="1965" ht="25.5" customHeight="1">
      <c r="A1965" s="2" t="str">
        <f>=HYPERLINK("https://applink.larksuite.com/client/mini_program/open?appId=cli_9c7cc8a9a9edd105&amp;mode=appCenter&amp;path_pc=pc/pages/requested/index?instanceId=7610327133197471456&amp;source=bitable&amp;path=pages/detail/index?instanceId=7610327133197471456&amp;source=bitable", "202602240067")</f>
        <v>202602240067</v>
      </c>
      <c r="B1965" t="inlineStr">
        <is>
          <t>Approved</t>
        </is>
      </c>
      <c r="C1965" t="inlineStr">
        <is>
          <t>Procurement Order</t>
        </is>
      </c>
      <c r="D1965" s="3">
        <v>46077.63615740741</v>
      </c>
      <c r="E1965" s="3">
        <v>46080.723229166666</v>
      </c>
      <c r="F1965" t="inlineStr">
        <is>
          <t>Fatima Kathleen M. FLores</t>
        </is>
      </c>
      <c r="G1965" t="inlineStr">
        <is>
          <t>Procurement</t>
        </is>
      </c>
      <c r="H1965"/>
      <c r="I1965"/>
      <c r="J1965" t="inlineStr">
        <is>
          <t>Project</t>
        </is>
      </c>
      <c r="K1965" t="inlineStr">
        <is>
          <t>GG - Event Service</t>
        </is>
      </c>
      <c r="L1965" t="inlineStr">
        <is>
          <t>KIC 2025 - OOH</t>
        </is>
      </c>
      <c r="M1965" t="inlineStr">
        <is>
          <t>2025TEG-P0286</t>
        </is>
      </c>
      <c r="N1965" t="inlineStr">
        <is>
          <t>Frances Angelita Arreglado</t>
        </is>
      </c>
      <c r="O1965" t="inlineStr">
        <is>
          <t>202601190148-Frances Angelita Arreglado-费用报销 - 副本 - 副本 - 副本-2026-01-19 11:26:35</t>
        </is>
      </c>
      <c r="P1965" t="inlineStr">
        <is>
          <t>NO</t>
        </is>
      </c>
      <c r="Q1965"/>
      <c r="R1965" t="inlineStr">
        <is>
          <t>NO</t>
        </is>
      </c>
      <c r="S1965" t="inlineStr">
        <is>
          <t>Asset Rental / Services</t>
        </is>
      </c>
      <c r="T1965">
        <v>1</v>
      </c>
      <c r="U1965">
        <v>34546.63</v>
      </c>
      <c r="V1965" t="inlineStr">
        <is>
          <t>PHP</t>
        </is>
      </c>
      <c r="W1965">
        <v>34546.63</v>
      </c>
      <c r="X1965" s="2" t="str">
        <f>=HYPERLINK("https://www.larksuite.com/approval/admin/previewAttachment?key=PMhNisJQEATgK1W9_qnXc5nZJARBDYLE4KLPLrhw--UkcgYtC14cBbaSsCGaseSiR_ZoSgVRwV7v2__OPd7neTtqeVwP9OuybOuTURoDMnebAPj3c5O7V6Xj6_gEAAD__w", "3 attachment(s)")</f>
        <v>3 attachment(s)</v>
      </c>
      <c r="Y1965" t="inlineStr">
        <is>
          <t>Bank Transfer</t>
        </is>
      </c>
      <c r="Z1965" t="inlineStr">
        <is>
          <t>PILLAR DIGITAL E-COMMERCE INC.</t>
        </is>
      </c>
      <c r="AA1965" t="inlineStr">
        <is>
          <t>000004293135-3</t>
        </is>
      </c>
      <c r="AB1965" t="inlineStr">
        <is>
          <t>Security Bank</t>
        </is>
      </c>
      <c r="AC1965" t="inlineStr">
        <is>
          <t>9F Santolan Town Plaza, Col. Bonny Serrano Ave., San Juan City</t>
        </is>
      </c>
      <c r="AD1965" s="4">
        <v>46087</v>
      </c>
      <c r="AE1965" t="inlineStr">
        <is>
          <t>100% Full Payment</t>
        </is>
      </c>
      <c r="AF1965" s="2"/>
      <c r="AG1965" t="inlineStr">
        <is>
          <t>NzQyNTk5MTgyNzQ4MTg3MDM0MTpDMkJBRTNDOC03MDNBLTQ3REUtOUNGOS1EQzc0OUMxMDM5ODgtMToyODEwYmI0YzUzMjI0NTcwN2ZkMTlmMWUwY2I0NTNjOTox</t>
        </is>
      </c>
      <c r="AH1965" t="inlineStr">
        <is>
          <t>PILLAR DIGITAL E-COMMERCE INC.</t>
        </is>
      </c>
      <c r="AI1965"/>
      <c r="AJ1965" t="inlineStr">
        <is>
          <t>INTERNAL.</t>
        </is>
      </c>
      <c r="AK1965"/>
    </row>
    <row r="1966" ht="25.5" customHeight="1">
      <c r="A1966" s="2" t="str">
        <f>=HYPERLINK("https://applink.larksuite.com/client/mini_program/open?appId=cli_9c7cc8a9a9edd105&amp;mode=appCenter&amp;path_pc=pc/pages/requested/index?instanceId=7610338330101714658&amp;source=bitable&amp;path=pages/detail/index?instanceId=7610338330101714658&amp;source=bitable", "202602240075")</f>
        <v>202602240075</v>
      </c>
      <c r="B1966" t="inlineStr">
        <is>
          <t>Approved</t>
        </is>
      </c>
      <c r="C1966" t="inlineStr">
        <is>
          <t>Procurement Order</t>
        </is>
      </c>
      <c r="D1966" s="3">
        <v>46077.666342592594</v>
      </c>
      <c r="E1966" s="3">
        <v>46077.77311342592</v>
      </c>
      <c r="F1966" t="inlineStr">
        <is>
          <t>Fatima Kathleen M. FLores</t>
        </is>
      </c>
      <c r="G1966" t="inlineStr">
        <is>
          <t>Procurement</t>
        </is>
      </c>
      <c r="H1966"/>
      <c r="I1966"/>
      <c r="J1966" t="inlineStr">
        <is>
          <t>Project</t>
        </is>
      </c>
      <c r="K1966" t="inlineStr">
        <is>
          <t>PDEI - Event Service</t>
        </is>
      </c>
      <c r="L1966" t="inlineStr">
        <is>
          <t>MPL PH S17</t>
        </is>
      </c>
      <c r="M1966" t="inlineStr">
        <is>
          <t>2026TEG-P0009</t>
        </is>
      </c>
      <c r="N1966" t="inlineStr">
        <is>
          <t>Katherine Denise Lee Sy</t>
        </is>
      </c>
      <c r="O1966" t="inlineStr">
        <is>
          <t>202602190037-Katherine Denise Lee Sy-费用报销 - 副本 - 副本 - 副本-2026-02-19 06:17:33</t>
        </is>
      </c>
      <c r="P1966" t="inlineStr">
        <is>
          <t>YES</t>
        </is>
      </c>
      <c r="Q1966"/>
      <c r="R1966" t="inlineStr">
        <is>
          <t>NO</t>
        </is>
      </c>
      <c r="S1966" t="inlineStr">
        <is>
          <t>Outsourced Broadcast Manager</t>
        </is>
      </c>
      <c r="T1966">
        <v>1</v>
      </c>
      <c r="U1966">
        <v>240000</v>
      </c>
      <c r="V1966" t="inlineStr">
        <is>
          <t>PHP</t>
        </is>
      </c>
      <c r="W1966">
        <v>240000</v>
      </c>
      <c r="X1966" s="2" t="str">
        <f>=HYPERLINK("https://www.larksuite.com/approval/admin/previewAttachment?key=PMgxqgJBEATQK1VN9XR1_8v8ZJdFFEEQZA3m7IKB6csisiaVjWiOBpeTkEoCQTNy1hqLdsP05Nrvx_95ne_HqVvFZrfW67Id-5OzPQasCBUA_v1cjojuDHwdnwAAAP__", "3 attachment(s)")</f>
        <v>3 attachment(s)</v>
      </c>
      <c r="Y1966" t="inlineStr">
        <is>
          <t>Bank Transfer</t>
        </is>
      </c>
      <c r="Z1966" t="inlineStr">
        <is>
          <t>James Aldrin Concepcion</t>
        </is>
      </c>
      <c r="AA1966" t="inlineStr">
        <is>
          <t>0000077834778</t>
        </is>
      </c>
      <c r="AB1966" t="inlineStr">
        <is>
          <t>Security Bank</t>
        </is>
      </c>
      <c r="AC1966" t="inlineStr">
        <is>
          <t>1 Bayanihan st. West Triangle, Quezon City</t>
        </is>
      </c>
      <c r="AD1966" s="4">
        <v>46080</v>
      </c>
      <c r="AE1966" t="inlineStr">
        <is>
          <t>1st Payment - Feb. 27, 2026
2nd Payment - Mar. 20, 2026
3rd Payment - Apr. 17, 2026
4th Payment - May 22, 2026
Final Payment - Jun 26, 2026</t>
        </is>
      </c>
      <c r="AF1966" s="2"/>
      <c r="AG1966" t="inlineStr">
        <is>
          <t>NzQyNTk5MTgyNzQ4MTg3MDM0MTpENTM5MjhDRC1BREM4LTQ4NTQtQjVEMy1CNEU3QjNEN0Q3NzEtMTowYjE3MGIyNzk2ODcwMDhkZTJiOTQ2Y2Y4MDU3YzRhZDox</t>
        </is>
      </c>
      <c r="AH1966" t="inlineStr">
        <is>
          <t>James Aldrin Concepcion</t>
        </is>
      </c>
      <c r="AI1966"/>
      <c r="AJ1966" t="inlineStr">
        <is>
          <t>LIQUIDITY PLAN (PAR # 202602190021 / 2026TEG-P0009)
V3 S17 Main CE Tab &gt; MANPOWER &gt;
Project Planning &gt; Broadcast Manager (TBD) - Chuts
Total Budget = Php 240,000.00
Actual Cost = Php 240,000.00</t>
        </is>
      </c>
      <c r="AK1966"/>
    </row>
    <row r="1967" ht="25.5" customHeight="1">
      <c r="A1967" s="2" t="str">
        <f>=HYPERLINK("https://applink.larksuite.com/client/mini_program/open?appId=cli_9c7cc8a9a9edd105&amp;mode=appCenter&amp;path_pc=pc/pages/requested/index?instanceId=7610336964776169181&amp;source=bitable&amp;path=pages/detail/index?instanceId=7610336964776169181&amp;source=bitable", "202602240074")</f>
        <v>202602240074</v>
      </c>
      <c r="B1967" t="inlineStr">
        <is>
          <t>Approved</t>
        </is>
      </c>
      <c r="C1967" t="inlineStr">
        <is>
          <t>Procurement Order</t>
        </is>
      </c>
      <c r="D1967" s="3">
        <v>46077.66266203704</v>
      </c>
      <c r="E1967" s="3">
        <v>46077.772256944445</v>
      </c>
      <c r="F1967" t="inlineStr">
        <is>
          <t>Fatima Kathleen M. FLores</t>
        </is>
      </c>
      <c r="G1967" t="inlineStr">
        <is>
          <t>Procurement</t>
        </is>
      </c>
      <c r="H1967"/>
      <c r="I1967"/>
      <c r="J1967" t="inlineStr">
        <is>
          <t>Project</t>
        </is>
      </c>
      <c r="K1967" t="inlineStr">
        <is>
          <t>PDEI - Event Service</t>
        </is>
      </c>
      <c r="L1967" t="inlineStr">
        <is>
          <t>MPL PH S17</t>
        </is>
      </c>
      <c r="M1967" t="inlineStr">
        <is>
          <t>2026TEG-P0009</t>
        </is>
      </c>
      <c r="N1967" t="inlineStr">
        <is>
          <t>Katherine Denise Lee Sy</t>
        </is>
      </c>
      <c r="O1967" t="inlineStr">
        <is>
          <t>202602190040-Katherine Denise Lee Sy-费用报销 - 副本 - 副本 - 副本-2026-02-19 06:28:34</t>
        </is>
      </c>
      <c r="P1967" t="inlineStr">
        <is>
          <t>YES</t>
        </is>
      </c>
      <c r="Q1967"/>
      <c r="R1967" t="inlineStr">
        <is>
          <t>NO</t>
        </is>
      </c>
      <c r="S1967" t="inlineStr">
        <is>
          <t>Outsourced Show Director</t>
        </is>
      </c>
      <c r="T1967">
        <v>1</v>
      </c>
      <c r="U1967">
        <v>389000</v>
      </c>
      <c r="V1967" t="inlineStr">
        <is>
          <t>PHP</t>
        </is>
      </c>
      <c r="W1967">
        <v>389000</v>
      </c>
      <c r="X1967" s="2" t="str">
        <f>=HYPERLINK("https://www.larksuite.com/approval/admin/previewAttachment?key=PMgxrsIwEATQK8141zuef5nfOIpQAhUiEoXPjkRB-2oQNTqjjDSbwaUiIsqVUrHMwdUWJUNU59oe-_98afL-Pj3OflzHum5z357sVmtQZMYAwL-fhzLTrsTX8QkAAP__", "3 attachment(s)")</f>
        <v>3 attachment(s)</v>
      </c>
      <c r="Y1967" t="inlineStr">
        <is>
          <t>Bank Transfer</t>
        </is>
      </c>
      <c r="Z1967" t="inlineStr">
        <is>
          <t>Karl Kristian C. Durante</t>
        </is>
      </c>
      <c r="AA1967" t="inlineStr">
        <is>
          <t>0003 3054 9030</t>
        </is>
      </c>
      <c r="AB1967" t="inlineStr">
        <is>
          <t>BDO Unibank</t>
        </is>
      </c>
      <c r="AC1967" t="inlineStr">
        <is>
          <t>21/23 Emerald Street, Marikit Subdivision, Concepcion Uno Marikina City</t>
        </is>
      </c>
      <c r="AD1967" s="4">
        <v>46080</v>
      </c>
      <c r="AE1967" t="inlineStr">
        <is>
          <t>1st Payment - Feb. 27, 2026
2nd Payment - Mar. 20, 2026
3rd Payment - Apr. 17, 2026
4th Payment - May 22, 2026
Final Payment - Jun 26, 2026</t>
        </is>
      </c>
      <c r="AF1967" s="2"/>
      <c r="AG1967" t="inlineStr">
        <is>
          <t>NzQyNTk5MTgyNzQ4MTg3MDM0MTo5MkIwNDU3Qi1DMjAwLTQwODItOTM0RS00NzA0MTUyQUFBRUYtMToxZTA5YWU3YWM0ZmM4ODZkNzE3OWY0YjFiN2M5MWRhOTox</t>
        </is>
      </c>
      <c r="AH1967" t="inlineStr">
        <is>
          <t>Karl Kristian C. Durante</t>
        </is>
      </c>
      <c r="AI1967"/>
      <c r="AJ1967" t="inlineStr">
        <is>
          <t>LIQUIDITY PLAN (PAR # 202602190021 / 2026TEG-P0009)
V3 S17 Main CE Tab &gt; MANPOWER &gt;
Project Planning &gt; Show Director (Karl)
Total Budget = Php 390,000.00
Actual Cost = Php 389,000.00
Balance = Php 1,000.00</t>
        </is>
      </c>
      <c r="AK1967"/>
    </row>
    <row r="1968" ht="25.5" customHeight="1">
      <c r="A1968" s="2" t="str">
        <f>=HYPERLINK("https://applink.larksuite.com/client/mini_program/open?appId=cli_9c7cc8a9a9edd105&amp;mode=appCenter&amp;path_pc=pc/pages/requested/index?instanceId=7610665468583513819&amp;source=bitable&amp;path=pages/detail/index?instanceId=7610665468583513819&amp;source=bitable", "202602250038")</f>
        <v>202602250038</v>
      </c>
      <c r="B1968" t="inlineStr">
        <is>
          <t>Approved</t>
        </is>
      </c>
      <c r="C1968" t="inlineStr">
        <is>
          <t>Procurement Order</t>
        </is>
      </c>
      <c r="D1968" s="3">
        <v>46078.54790509259</v>
      </c>
      <c r="E1968" s="3">
        <v>46079.76694444445</v>
      </c>
      <c r="F1968" t="inlineStr">
        <is>
          <t>Fatima Kathleen M. FLores</t>
        </is>
      </c>
      <c r="G1968" t="inlineStr">
        <is>
          <t>Procurement</t>
        </is>
      </c>
      <c r="H1968"/>
      <c r="I1968"/>
      <c r="J1968" t="inlineStr">
        <is>
          <t>Project</t>
        </is>
      </c>
      <c r="K1968" t="inlineStr">
        <is>
          <t>GG - Event Service</t>
        </is>
      </c>
      <c r="L1968" t="inlineStr">
        <is>
          <t>Philippine Kings League Spring Season 2026 (PKL)</t>
        </is>
      </c>
      <c r="M1968" t="inlineStr">
        <is>
          <t>2026TEG-P0037</t>
        </is>
      </c>
      <c r="N1968" t="inlineStr">
        <is>
          <t>Reign Santos Fortea</t>
        </is>
      </c>
      <c r="O1968" t="inlineStr">
        <is>
          <t>202602150014-Reign Santos Fortea-费用报销 - 副本 - 副本 - 副本-2026-02-15 16:24:26</t>
        </is>
      </c>
      <c r="P1968" t="inlineStr">
        <is>
          <t>NO</t>
        </is>
      </c>
      <c r="Q1968"/>
      <c r="R1968" t="inlineStr">
        <is>
          <t>NO</t>
        </is>
      </c>
      <c r="S1968" t="inlineStr">
        <is>
          <t>Crew Meals - Ingress, Rehearsals &amp; Week 1 (Feb. 17 to 22, 2026)</t>
        </is>
      </c>
      <c r="T1968">
        <v>451</v>
      </c>
      <c r="U1968">
        <v>130</v>
      </c>
      <c r="V1968" t="inlineStr">
        <is>
          <t>PHP</t>
        </is>
      </c>
      <c r="W1968">
        <v>58630</v>
      </c>
      <c r="X1968" s="2" t="str">
        <f>=HYPERLINK("https://www.larksuite.com/approval/admin/previewAttachment?key=PMhLisJAGATgK1X1_6y5zGwSgkQbBIm7Prvgwu2XTWQHLQUXh8BVSWSGZ0db0JpaY7FKKFZw7fP4f8Q5dc3y7bxfeq73bTv2F0M1BsrcrQHw7-dW7i6l4-v4BAAA__8", "2 attachment(s)")</f>
        <v>2 attachment(s)</v>
      </c>
      <c r="Y1968" t="inlineStr">
        <is>
          <t>Bank Transfer</t>
        </is>
      </c>
      <c r="Z1968" t="inlineStr">
        <is>
          <t>Michelle Francine G. Manuntag</t>
        </is>
      </c>
      <c r="AA1968" t="inlineStr">
        <is>
          <t>000170292002</t>
        </is>
      </c>
      <c r="AB1968" t="inlineStr">
        <is>
          <t>BDO</t>
        </is>
      </c>
      <c r="AC1968" t="inlineStr">
        <is>
          <t>Makati City</t>
        </is>
      </c>
      <c r="AD1968" s="4">
        <v>46080</v>
      </c>
      <c r="AE1968" t="inlineStr">
        <is>
          <t>100% Full Payment</t>
        </is>
      </c>
      <c r="AF1968" s="2"/>
      <c r="AG1968" t="inlineStr">
        <is>
          <t>NzQyNTk5MTgyNzQ4MTg3MDM0MTowQTlDOURERS01MkQxLTQyRkEtODY0OS04NzlBMTZDMUIzMjctMToxYzA3ZjNlZWJiYWQ4MzQyNDYzYmY3N2JmZGI4ZWExYzox</t>
        </is>
      </c>
      <c r="AH1968" t="inlineStr">
        <is>
          <t>Michelle Francine G. Manuntag</t>
        </is>
      </c>
      <c r="AI1968"/>
      <c r="AJ1968" t="inlineStr">
        <is>
          <t>LIQUIDITY PLAN (PAR # 202602120015 / 2026TEG-P0037)
REGULAR SEASON &gt; TRAVEL AND ACCOMMODATION &gt; 
FOOD &amp; BEVERAGE &gt; 
Crew Meals (Ingress, Rehearsals &amp; Egress)
"Crew Meals (Event Days)
- Lunch &amp; Dinner only"
Total Remaining Budget = Php 298,528.00
Actual Cost = Php 61,468.00
Balance = Php 237,060.00</t>
        </is>
      </c>
      <c r="AK1968"/>
    </row>
    <row r="1969" ht="25.5" customHeight="1">
      <c r="A1969" s="2" t="str">
        <f>=HYPERLINK("https://applink.larksuite.com/client/mini_program/open?appId=cli_9c7cc8a9a9edd105&amp;mode=appCenter&amp;path_pc=pc/pages/requested/index?instanceId=7610665468583513819&amp;source=bitable&amp;path=pages/detail/index?instanceId=7610665468583513819&amp;source=bitable", "202602250038")</f>
        <v>202602250038</v>
      </c>
      <c r="B1969" t="inlineStr">
        <is>
          <t>Approved</t>
        </is>
      </c>
      <c r="C1969" t="inlineStr">
        <is>
          <t>Procurement Order</t>
        </is>
      </c>
      <c r="D1969" s="3">
        <v>46078.54790509259</v>
      </c>
      <c r="E1969" s="3">
        <v>46079.76694444445</v>
      </c>
      <c r="F1969" t="inlineStr">
        <is>
          <t>Fatima Kathleen M. FLores</t>
        </is>
      </c>
      <c r="G1969" t="inlineStr">
        <is>
          <t>Procurement</t>
        </is>
      </c>
      <c r="H1969"/>
      <c r="I1969"/>
      <c r="J1969" t="inlineStr">
        <is>
          <t>Project</t>
        </is>
      </c>
      <c r="K1969" t="inlineStr">
        <is>
          <t>GG - Event Service</t>
        </is>
      </c>
      <c r="L1969" t="inlineStr">
        <is>
          <t>Philippine Kings League Spring Season 2026 (PKL)</t>
        </is>
      </c>
      <c r="M1969" t="inlineStr">
        <is>
          <t>2026TEG-P0037</t>
        </is>
      </c>
      <c r="N1969" t="inlineStr">
        <is>
          <t>Reign Santos Fortea</t>
        </is>
      </c>
      <c r="O1969" t="inlineStr">
        <is>
          <t>202602150014-Reign Santos Fortea-费用报销 - 副本 - 副本 - 副本-2026-02-15 16:24:26</t>
        </is>
      </c>
      <c r="P1969" t="inlineStr">
        <is>
          <t>NO</t>
        </is>
      </c>
      <c r="Q1969"/>
      <c r="R1969" t="inlineStr">
        <is>
          <t>NO</t>
        </is>
      </c>
      <c r="S1969" t="inlineStr">
        <is>
          <t>Delivery Fee</t>
        </is>
      </c>
      <c r="T1969">
        <v>1</v>
      </c>
      <c r="U1969">
        <v>2838</v>
      </c>
      <c r="V1969" t="inlineStr">
        <is>
          <t>PHP</t>
        </is>
      </c>
      <c r="W1969">
        <v>2838</v>
      </c>
      <c r="X1969" s="2"/>
      <c r="Y1969"/>
      <c r="Z1969"/>
      <c r="AA1969"/>
      <c r="AB1969"/>
      <c r="AC1969"/>
      <c r="AD1969" s="4"/>
      <c r="AE1969"/>
      <c r="AF1969" s="2"/>
      <c r="AG1969" t="inlineStr">
        <is>
          <t>NzQyNTk5MTgyNzQ4MTg3MDM0MTowQTlDOURERS01MkQxLTQyRkEtODY0OS04NzlBMTZDMUIzMjctMjo5YjA3YmE5NjBhZDMwZmU5OGM2YWI5MTU1NmI1MjRiOTox</t>
        </is>
      </c>
      <c r="AH1969"/>
      <c r="AI1969"/>
      <c r="AJ1969" t="inlineStr">
        <is>
          <t>LIQUIDITY PLAN (PAR # 202602120015 / 2026TEG-P0037)
REGULAR SEASON &gt; TRAVEL AND ACCOMMODATION &gt; 
FOOD &amp; BEVERAGE &gt; 
Crew Meals (Ingress, Rehearsals &amp; Egress)
"Crew Meals (Event Days)
- Lunch &amp; Dinner only"
Total Remaining Budget = Php 298,528.00
Actual Cost = Php 61,468.00
Balance = Php 237,060.00</t>
        </is>
      </c>
      <c r="AK1969"/>
    </row>
    <row r="1970" ht="25.5" customHeight="1">
      <c r="A1970" s="2" t="str">
        <f>=HYPERLINK("https://applink.larksuite.com/client/mini_program/open?appId=cli_9c7cc8a9a9edd105&amp;mode=appCenter&amp;path_pc=pc/pages/requested/index?instanceId=7610696701803859678&amp;source=bitable&amp;path=pages/detail/index?instanceId=7610696701803859678&amp;source=bitable", "202602250062")</f>
        <v>202602250062</v>
      </c>
      <c r="B1970" t="inlineStr">
        <is>
          <t>Approved</t>
        </is>
      </c>
      <c r="C1970" t="inlineStr">
        <is>
          <t>Procurement Order</t>
        </is>
      </c>
      <c r="D1970" s="3">
        <v>46078.63207175926</v>
      </c>
      <c r="E1970" s="3">
        <v>46080.74829861111</v>
      </c>
      <c r="F1970" t="inlineStr">
        <is>
          <t>Fatima Kathleen M. FLores</t>
        </is>
      </c>
      <c r="G1970" t="inlineStr">
        <is>
          <t>Procurement</t>
        </is>
      </c>
      <c r="H1970"/>
      <c r="I1970"/>
      <c r="J1970" t="inlineStr">
        <is>
          <t>Project</t>
        </is>
      </c>
      <c r="K1970" t="inlineStr">
        <is>
          <t>PDEI - Game Marketing</t>
        </is>
      </c>
      <c r="L1970" t="inlineStr">
        <is>
          <t>SM Cyberzone Trading Card Game (TCG) Activations</t>
        </is>
      </c>
      <c r="M1970" t="inlineStr">
        <is>
          <t>2025TEG-P0278</t>
        </is>
      </c>
      <c r="N1970" t="inlineStr">
        <is>
          <t>Alessandra Mae Villanueva Boado</t>
        </is>
      </c>
      <c r="O1970" t="inlineStr">
        <is>
          <t>202602120101-Alessandra Mae Villanueva Boado-费用报销 - 副本 - 副本 - 副本-2026-02-12 10:23:32</t>
        </is>
      </c>
      <c r="P1970" t="inlineStr">
        <is>
          <t>YES</t>
        </is>
      </c>
      <c r="Q1970"/>
      <c r="R1970" t="inlineStr">
        <is>
          <t>NO</t>
        </is>
      </c>
      <c r="S1970" t="inlineStr">
        <is>
          <t>Outsourced League Ops (Tekken 8)</t>
        </is>
      </c>
      <c r="T1970">
        <v>1</v>
      </c>
      <c r="U1970">
        <v>3400</v>
      </c>
      <c r="V1970" t="inlineStr">
        <is>
          <t>PHP</t>
        </is>
      </c>
      <c r="W1970">
        <v>3400</v>
      </c>
      <c r="X1970" s="2" t="str">
        <f>=HYPERLINK("https://www.larksuite.com/approval/admin/previewAttachment?key=PMhBqgJBDATQK1Ul6ST1L_M3Do0g0xtxcNNnF1y4fdlE9qCnEKIJ3JVEKgtseA9l9bbNKqFYg_s457-f78ell60Ztpbv636bx5NDZYbyCG8A_Pu5V0RIGfg6PgEAAP__", "2 attachment(s)")</f>
        <v>2 attachment(s)</v>
      </c>
      <c r="Y1970" t="inlineStr">
        <is>
          <t>Bank Transfer</t>
        </is>
      </c>
      <c r="Z1970" t="inlineStr">
        <is>
          <t>Adrian Amorato</t>
        </is>
      </c>
      <c r="AA1970" t="inlineStr">
        <is>
          <t>013639339766</t>
        </is>
      </c>
      <c r="AB1970" t="inlineStr">
        <is>
          <t>GoTyme Bank</t>
        </is>
      </c>
      <c r="AC1970" t="inlineStr">
        <is>
          <t>1047 Bagong Silang St, Nangka, Marikina City</t>
        </is>
      </c>
      <c r="AD1970" s="4">
        <v>46101</v>
      </c>
      <c r="AE1970" t="inlineStr">
        <is>
          <t>1st Payment - Mar. 20, 2026
Final Payment - Apr. 10, 2026</t>
        </is>
      </c>
      <c r="AF1970" s="2"/>
      <c r="AG1970" t="inlineStr">
        <is>
          <t>NzQyNTk5MTgyNzQ4MTg3MDM0MTpBMDIxNDEyRC1CQTI1LTQzQ0EtQTM0NC1EODdCQTE5NUM0NzAtMTo4MGNhNzU5MzRkMWYzMDMzMWY5MzBlYWE4NTVhMjc2Mjox</t>
        </is>
      </c>
      <c r="AH1970" t="inlineStr">
        <is>
          <t>Adrian Amorato</t>
        </is>
      </c>
      <c r="AI1970"/>
      <c r="AJ1970" t="inlineStr">
        <is>
          <t>LIQUIDITY PLAN (PAR # 202602090082 / 2025TEG-P0278)
SM North EDSA &gt; League ops - Tekken
SM BF Paranaque &gt; League ops - Tekken
Total Budget = Php 6,800.00
This Request = Php 3,400.00
Balance = Php 3,400.00</t>
        </is>
      </c>
      <c r="AK1970"/>
    </row>
    <row r="1971" ht="25.5" customHeight="1">
      <c r="A1971" s="2" t="str">
        <f>=HYPERLINK("https://applink.larksuite.com/client/mini_program/open?appId=cli_9c7cc8a9a9edd105&amp;mode=appCenter&amp;path_pc=pc/pages/requested/index?instanceId=7610714179799912159&amp;source=bitable&amp;path=pages/detail/index?instanceId=7610714179799912159&amp;source=bitable", "202602250079")</f>
        <v>202602250079</v>
      </c>
      <c r="B1971" t="inlineStr">
        <is>
          <t>Approved</t>
        </is>
      </c>
      <c r="C1971" t="inlineStr">
        <is>
          <t>Procurement Order</t>
        </is>
      </c>
      <c r="D1971" s="3">
        <v>46078.67917824074</v>
      </c>
      <c r="E1971" s="3">
        <v>46080.653125</v>
      </c>
      <c r="F1971" t="inlineStr">
        <is>
          <t>Fatima Kathleen M. FLores</t>
        </is>
      </c>
      <c r="G1971" t="inlineStr">
        <is>
          <t>Procurement</t>
        </is>
      </c>
      <c r="H1971"/>
      <c r="I1971"/>
      <c r="J1971" t="inlineStr">
        <is>
          <t>Project</t>
        </is>
      </c>
      <c r="K1971" t="inlineStr">
        <is>
          <t>GG - Event Service</t>
        </is>
      </c>
      <c r="L1971" t="inlineStr">
        <is>
          <t>Philippine Kings League Spring Season 2026 (PKL)</t>
        </is>
      </c>
      <c r="M1971" t="inlineStr">
        <is>
          <t>2026TEG-P0037</t>
        </is>
      </c>
      <c r="N1971" t="inlineStr">
        <is>
          <t>Juvie Anne Asis Castres</t>
        </is>
      </c>
      <c r="O1971" t="inlineStr">
        <is>
          <t>202602130042-Juvie Anne Asis Castres-费用报销 - 副本 - 副本 - 副本-2026-02-13 04:21:51</t>
        </is>
      </c>
      <c r="P1971" t="inlineStr">
        <is>
          <t>YES</t>
        </is>
      </c>
      <c r="Q1971"/>
      <c r="R1971" t="inlineStr">
        <is>
          <t>NO</t>
        </is>
      </c>
      <c r="S1971" t="inlineStr">
        <is>
          <t>Outsourced Logistics Associates (Ingress &amp; Event Days)</t>
        </is>
      </c>
      <c r="T1971">
        <v>1</v>
      </c>
      <c r="U1971">
        <v>51000</v>
      </c>
      <c r="V1971" t="inlineStr">
        <is>
          <t>PHP</t>
        </is>
      </c>
      <c r="W1971">
        <v>51000</v>
      </c>
      <c r="X1971" s="2" t="str">
        <f>=HYPERLINK("https://www.larksuite.com/approval/admin/previewAttachment?key=PMgxCsJQEATQK83s3_3zx8vYGIIgSSOYas8uWNi-uYi5imMaaYbB1iTEpCzbDJY7mpIhqqK3Y79fGXXWFce5rVehP8_Hvr1ZVgQ0MscCwNvfhzLTnomf4xsAAP__", "2 attachment(s)")</f>
        <v>2 attachment(s)</v>
      </c>
      <c r="Y1971" t="inlineStr">
        <is>
          <t>Bank Transfer</t>
        </is>
      </c>
      <c r="Z1971" t="inlineStr">
        <is>
          <t>RIC JACA</t>
        </is>
      </c>
      <c r="AA1971" t="inlineStr">
        <is>
          <t>109332038874</t>
        </is>
      </c>
      <c r="AB1971" t="inlineStr">
        <is>
          <t>Unionbank</t>
        </is>
      </c>
      <c r="AC1971" t="inlineStr">
        <is>
          <t>321 Sitio Langhaya Brgy. Dela Paz Antipolo Rizal</t>
        </is>
      </c>
      <c r="AD1971" s="4">
        <v>46087</v>
      </c>
      <c r="AE1971" t="inlineStr">
        <is>
          <t>1st Payment - Mar. 6, 2026
2nd Payment - Mar. 20, 2026
Final Payment - Apr. 3, 2026</t>
        </is>
      </c>
      <c r="AF1971" s="2"/>
      <c r="AG1971" t="inlineStr">
        <is>
          <t>NzQyNTk5MTgyNzQ4MTg3MDM0MTpGMjI0OUZDMC05MjUwLTQ3QzQtODUxMy0xQTc0Qzg1REE2RUYtMTo4NzYxZjMyZGE0MDZmNTUyMWFkM2VmYWE0NGVmMmFhZjox</t>
        </is>
      </c>
      <c r="AH1971" t="inlineStr">
        <is>
          <t>RIC JACA</t>
        </is>
      </c>
      <c r="AI1971"/>
      <c r="AJ1971" t="inlineStr">
        <is>
          <t>LIQUIDITY PLAN (PAR # 202602120015 / 2026TEG-P0037)
REGULAR SEASON &gt; LABOR COST &gt; 
LOGISTICS &gt; 
Ingress Manpower
Event Runners/ Assistants
Total Budget = Php 51,000.00
Actual Cost = Php 51,000.00
Balance = Php 4,000.00</t>
        </is>
      </c>
      <c r="AK1971"/>
    </row>
    <row r="1972" ht="25.5" customHeight="1">
      <c r="A1972" s="2" t="str">
        <f>=HYPERLINK("https://applink.larksuite.com/client/mini_program/open?appId=cli_9c7cc8a9a9edd105&amp;mode=appCenter&amp;path_pc=pc/pages/requested/index?instanceId=7610716666342772447&amp;source=bitable&amp;path=pages/detail/index?instanceId=7610716666342772447&amp;source=bitable", "202602250080")</f>
        <v>202602250080</v>
      </c>
      <c r="B1972" t="inlineStr">
        <is>
          <t>Approved</t>
        </is>
      </c>
      <c r="C1972" t="inlineStr">
        <is>
          <t>Procurement Order</t>
        </is>
      </c>
      <c r="D1972" s="3">
        <v>46078.68587962963</v>
      </c>
      <c r="E1972" s="3">
        <v>46080.65224537037</v>
      </c>
      <c r="F1972" t="inlineStr">
        <is>
          <t>Fatima Kathleen M. FLores</t>
        </is>
      </c>
      <c r="G1972" t="inlineStr">
        <is>
          <t>Procurement</t>
        </is>
      </c>
      <c r="H1972"/>
      <c r="I1972"/>
      <c r="J1972" t="inlineStr">
        <is>
          <t>Project</t>
        </is>
      </c>
      <c r="K1972" t="inlineStr">
        <is>
          <t>GG - Event Service</t>
        </is>
      </c>
      <c r="L1972" t="inlineStr">
        <is>
          <t>Philippine Kings League Spring Season 2026 (PKL)</t>
        </is>
      </c>
      <c r="M1972" t="inlineStr">
        <is>
          <t>2026TEG-P0037</t>
        </is>
      </c>
      <c r="N1972" t="inlineStr">
        <is>
          <t>Juvie Anne Asis Castres</t>
        </is>
      </c>
      <c r="O1972" t="inlineStr">
        <is>
          <t>202602130042-Juvie Anne Asis Castres-费用报销 - 副本 - 副本 - 副本-2026-02-13 04:21:51</t>
        </is>
      </c>
      <c r="P1972" t="inlineStr">
        <is>
          <t>YES</t>
        </is>
      </c>
      <c r="Q1972"/>
      <c r="R1972" t="inlineStr">
        <is>
          <t>NO</t>
        </is>
      </c>
      <c r="S1972" t="inlineStr">
        <is>
          <t>Outsourced Video Editor</t>
        </is>
      </c>
      <c r="T1972">
        <v>1</v>
      </c>
      <c r="U1972">
        <v>30000</v>
      </c>
      <c r="V1972" t="inlineStr">
        <is>
          <t>PHP</t>
        </is>
      </c>
      <c r="W1972">
        <v>30000</v>
      </c>
      <c r="X1972" s="2" t="str">
        <f>=HYPERLINK("https://www.larksuite.com/approval/admin/previewAttachment?key=PMgxCgJBDAXQK_2fZPMnXsZmh0EUZUFYsMjZBQvbl4PIsdGzEEUrsJWEmJnpYZJFqK0pFURt1vO5rsd9px2facvX43X2edvXfHMrmUEe4QMAL393RURVBn6ObwAAAP__", "2 attachment(s)")</f>
        <v>2 attachment(s)</v>
      </c>
      <c r="Y1972" t="inlineStr">
        <is>
          <t>Bank Transfer</t>
        </is>
      </c>
      <c r="Z1972" t="inlineStr">
        <is>
          <t>Ziegfred Perez Domingo</t>
        </is>
      </c>
      <c r="AA1972" t="inlineStr">
        <is>
          <t>0111 5482 4747</t>
        </is>
      </c>
      <c r="AB1972" t="inlineStr">
        <is>
          <t>GoTyme Bank</t>
        </is>
      </c>
      <c r="AC1972" t="inlineStr">
        <is>
          <t>Block 4 Lot 12 San Lucas Street MWSS Compound Delpan Tondo, Manila</t>
        </is>
      </c>
      <c r="AD1972" s="4">
        <v>46087</v>
      </c>
      <c r="AE1972" t="inlineStr">
        <is>
          <t>1st Payment - Mar. 6, 2026
Final Payment - Apr. 10, 2026</t>
        </is>
      </c>
      <c r="AF1972" s="2"/>
      <c r="AG1972" t="inlineStr">
        <is>
          <t>NzQyNTk5MTgyNzQ4MTg3MDM0MToyODY3QURDRS0xQzc5LTRDQTUtOUIwQi04QkVBN0IzMTc3OUMtMTo4MjIwM2VlNzcxM2QyOTY4ZGQyNTU1MzRmMDBiYzM2ZTox</t>
        </is>
      </c>
      <c r="AH1972" t="inlineStr">
        <is>
          <t>Ziegfred Perez Domingo</t>
        </is>
      </c>
      <c r="AI1972"/>
      <c r="AJ1972" t="inlineStr">
        <is>
          <t>LIQUIDITY PLAN (PAR # 202602120015 / 2026TEG-P0037)
REGULAR SEASON &gt; LABOR COST &gt; 
CREATIVES &amp; CONTENT &gt; Video Editor
Total Budget = Php 30,000.00
Actual Cost = Php 30,000.00</t>
        </is>
      </c>
      <c r="AK1972"/>
    </row>
    <row r="1973" ht="25.5" customHeight="1">
      <c r="A1973" s="2" t="str">
        <f>=HYPERLINK("https://applink.larksuite.com/client/mini_program/open?appId=cli_9c7cc8a9a9edd105&amp;mode=appCenter&amp;path_pc=pc/pages/requested/index?instanceId=7610709503389994721&amp;source=bitable&amp;path=pages/detail/index?instanceId=7610709503389994721&amp;source=bitable", "202602250078")</f>
        <v>202602250078</v>
      </c>
      <c r="B1973" t="inlineStr">
        <is>
          <t>Approved</t>
        </is>
      </c>
      <c r="C1973" t="inlineStr">
        <is>
          <t>Procurement Order</t>
        </is>
      </c>
      <c r="D1973" s="3">
        <v>46078.66657407407</v>
      </c>
      <c r="E1973" s="3">
        <v>46080.624189814815</v>
      </c>
      <c r="F1973" t="inlineStr">
        <is>
          <t>Fatima Kathleen M. FLores</t>
        </is>
      </c>
      <c r="G1973" t="inlineStr">
        <is>
          <t>Procurement</t>
        </is>
      </c>
      <c r="H1973"/>
      <c r="I1973"/>
      <c r="J1973" t="inlineStr">
        <is>
          <t>Project</t>
        </is>
      </c>
      <c r="K1973" t="inlineStr">
        <is>
          <t>GG - Event Service</t>
        </is>
      </c>
      <c r="L1973" t="inlineStr">
        <is>
          <t>Philippine Kings League Spring Season 2026 (PKL)</t>
        </is>
      </c>
      <c r="M1973" t="inlineStr">
        <is>
          <t>2026TEG-P0037</t>
        </is>
      </c>
      <c r="N1973" t="inlineStr">
        <is>
          <t>Juvie Anne Asis Castres</t>
        </is>
      </c>
      <c r="O1973" t="inlineStr">
        <is>
          <t>202602130042-Juvie Anne Asis Castres-费用报销 - 副本 - 副本 - 副本-2026-02-13 04:21:51</t>
        </is>
      </c>
      <c r="P1973" t="inlineStr">
        <is>
          <t>YES</t>
        </is>
      </c>
      <c r="Q1973"/>
      <c r="R1973" t="inlineStr">
        <is>
          <t>NO</t>
        </is>
      </c>
      <c r="S1973" t="inlineStr">
        <is>
          <t>Outsourced Referee (RS to PO)</t>
        </is>
      </c>
      <c r="T1973">
        <v>1</v>
      </c>
      <c r="U1973">
        <v>33000</v>
      </c>
      <c r="V1973" t="inlineStr">
        <is>
          <t>PHP</t>
        </is>
      </c>
      <c r="W1973">
        <v>33000</v>
      </c>
      <c r="X1973" s="2" t="str">
        <f>=HYPERLINK("https://www.larksuite.com/approval/admin/previewAttachment?key=PMgxCkIxEATQK83sbrIZL2NjCIr-Sgha7NkFi9--Pog-Gr0LIZrAyk4k1OA-JEUay4qZQjIbax7r-tjf12f7c2nFYbP2_bbmm01phvQIHwB4Od0zIqQe-Dt-AQAA__8", "2 attachment(s)")</f>
        <v>2 attachment(s)</v>
      </c>
      <c r="Y1973" t="inlineStr">
        <is>
          <t>Bank Transfer</t>
        </is>
      </c>
      <c r="Z1973" t="inlineStr">
        <is>
          <t>Merlin San Juan Lintan</t>
        </is>
      </c>
      <c r="AA1973" t="inlineStr">
        <is>
          <t>017054821787</t>
        </is>
      </c>
      <c r="AB1973" t="inlineStr">
        <is>
          <t>GoTyme Bank</t>
        </is>
      </c>
      <c r="AC1973" t="inlineStr">
        <is>
          <t>280 Don Carlos Revilla St., Pasay City</t>
        </is>
      </c>
      <c r="AD1973" s="4">
        <v>46087</v>
      </c>
      <c r="AE1973" t="inlineStr">
        <is>
          <t>1st Payment - Mar. 6, 2026
2nd Payment - Mar. 20, 2026
Final Payment - Apr. 10, 2026</t>
        </is>
      </c>
      <c r="AF1973" s="2"/>
      <c r="AG1973" t="inlineStr">
        <is>
          <t>NzQyNTk5MTgyNzQ4MTg3MDM0MTpGMUMwOEUxMi04NEU2LTREQUYtODVFNS1FMjE1NTdFREI4ODYtMTpjYjk3ZjMxYTFmMTU3MTg4ZmExYjk3YzVkMThhNmU3NDox</t>
        </is>
      </c>
      <c r="AH1973" t="inlineStr">
        <is>
          <t>Merlin San Juan Lintan</t>
        </is>
      </c>
      <c r="AI1973"/>
      <c r="AJ1973" t="inlineStr">
        <is>
          <t>LIQUIDITY PLAN (PAR # 202602120015 / 2026TEG-P0037)
REGULAR SEASON &gt; LABOR COST &gt; 
LEAGUE OPERATIONS &gt; Referee 2
Total Budget = Php 33,000.00
Actual Cost = Php 33,000.00</t>
        </is>
      </c>
      <c r="AK1973"/>
    </row>
    <row r="1974" ht="25.5" customHeight="1">
      <c r="A1974" s="2" t="str">
        <f>=HYPERLINK("https://applink.larksuite.com/client/mini_program/open?appId=cli_9c7cc8a9a9edd105&amp;mode=appCenter&amp;path_pc=pc/pages/requested/index?instanceId=7610708693226622689&amp;source=bitable&amp;path=pages/detail/index?instanceId=7610708693226622689&amp;source=bitable", "202602250077")</f>
        <v>202602250077</v>
      </c>
      <c r="B1974" t="inlineStr">
        <is>
          <t>Approved</t>
        </is>
      </c>
      <c r="C1974" t="inlineStr">
        <is>
          <t>Procurement Order</t>
        </is>
      </c>
      <c r="D1974" s="3">
        <v>46078.66438657408</v>
      </c>
      <c r="E1974" s="3">
        <v>46080.635925925926</v>
      </c>
      <c r="F1974" t="inlineStr">
        <is>
          <t>Fatima Kathleen M. FLores</t>
        </is>
      </c>
      <c r="G1974" t="inlineStr">
        <is>
          <t>Procurement</t>
        </is>
      </c>
      <c r="H1974"/>
      <c r="I1974"/>
      <c r="J1974" t="inlineStr">
        <is>
          <t>Project</t>
        </is>
      </c>
      <c r="K1974" t="inlineStr">
        <is>
          <t>GG - Event Service</t>
        </is>
      </c>
      <c r="L1974" t="inlineStr">
        <is>
          <t>Philippine Kings League Spring Season 2026 (PKL)</t>
        </is>
      </c>
      <c r="M1974" t="inlineStr">
        <is>
          <t>2026TEG-P0037</t>
        </is>
      </c>
      <c r="N1974" t="inlineStr">
        <is>
          <t>Juvie Anne Asis Castres</t>
        </is>
      </c>
      <c r="O1974" t="inlineStr">
        <is>
          <t>202602130042-Juvie Anne Asis Castres-费用报销 - 副本 - 副本 - 副本-2026-02-13 04:21:51</t>
        </is>
      </c>
      <c r="P1974" t="inlineStr">
        <is>
          <t>YES</t>
        </is>
      </c>
      <c r="Q1974"/>
      <c r="R1974" t="inlineStr">
        <is>
          <t>NO</t>
        </is>
      </c>
      <c r="S1974" t="inlineStr">
        <is>
          <t>Outsourced Referee (RS to PO)</t>
        </is>
      </c>
      <c r="T1974">
        <v>1</v>
      </c>
      <c r="U1974">
        <v>33000</v>
      </c>
      <c r="V1974" t="inlineStr">
        <is>
          <t>PHP</t>
        </is>
      </c>
      <c r="W1974">
        <v>33000</v>
      </c>
      <c r="X1974" s="2" t="str">
        <f>=HYPERLINK("https://www.larksuite.com/approval/admin/previewAttachment?key=PMgxCgJBDAXQK_2fyST5XsbGZRBxQRAXLXJ2wcL2RRFRkyMEF01gZxCJCg2zCLMotTUzhWRO9rav8-tz7Le5vcV1f5j3cb2s7cmpNEMO91EAePr7SHeXwvFzfAMAAP__", "2 attachment(s)")</f>
        <v>2 attachment(s)</v>
      </c>
      <c r="Y1974" t="inlineStr">
        <is>
          <t>Bank Transfer</t>
        </is>
      </c>
      <c r="Z1974" t="inlineStr">
        <is>
          <t>IAN FRANCIS RUBRICA</t>
        </is>
      </c>
      <c r="AA1974" t="inlineStr">
        <is>
          <t>1713921047682</t>
        </is>
      </c>
      <c r="AB1974" t="inlineStr">
        <is>
          <t>Metrobank</t>
        </is>
      </c>
      <c r="AC1974" t="inlineStr">
        <is>
          <t>1304 Prudencio St, Corner Laon Laan, Sampaloc Manila</t>
        </is>
      </c>
      <c r="AD1974" s="4">
        <v>46087</v>
      </c>
      <c r="AE1974" t="inlineStr">
        <is>
          <t>1st Payment - Mar. 6, 2026
2nd Payment - Mar. 20, 2026
Final Payment - Apr. 10, 2026</t>
        </is>
      </c>
      <c r="AF1974" s="2"/>
      <c r="AG1974" t="inlineStr">
        <is>
          <t>NzQyNTk5MTgyNzQ4MTg3MDM0MTpBMThFMzBBQi1CNkExLTRERTYtOTVBMS01REI0RTJBODA2MDctMTphMTQyOTZlY2RmYjc1NGMwNGM0NjkxNmExOGY1ODg0Yjox</t>
        </is>
      </c>
      <c r="AH1974" t="inlineStr">
        <is>
          <t>IAN FRANCIS RUBRICA</t>
        </is>
      </c>
      <c r="AI1974"/>
      <c r="AJ1974" t="inlineStr">
        <is>
          <t>LIQUIDITY PLAN (PAR # 202602120015 / 2026TEG-P0037)
REGULAR SEASON &gt; LABOR COST &gt; 
LEAGUE OPERATIONS &gt; Referee 1 
Total Budget = Php 33,000.00
Actual Cost = Php 33,000.00</t>
        </is>
      </c>
      <c r="AK1974"/>
    </row>
    <row r="1975" ht="25.5" customHeight="1">
      <c r="A1975" s="2" t="str">
        <f>=HYPERLINK("https://applink.larksuite.com/client/mini_program/open?appId=cli_9c7cc8a9a9edd105&amp;mode=appCenter&amp;path_pc=pc/pages/requested/index?instanceId=7610707790117850849&amp;source=bitable&amp;path=pages/detail/index?instanceId=7610707790117850849&amp;source=bitable", "202602250076")</f>
        <v>202602250076</v>
      </c>
      <c r="B1975" t="inlineStr">
        <is>
          <t>Approved</t>
        </is>
      </c>
      <c r="C1975" t="inlineStr">
        <is>
          <t>Procurement Order</t>
        </is>
      </c>
      <c r="D1975" s="3">
        <v>46078.66195601852</v>
      </c>
      <c r="E1975" s="3">
        <v>46080.63663194444</v>
      </c>
      <c r="F1975" t="inlineStr">
        <is>
          <t>Fatima Kathleen M. FLores</t>
        </is>
      </c>
      <c r="G1975" t="inlineStr">
        <is>
          <t>Procurement</t>
        </is>
      </c>
      <c r="H1975"/>
      <c r="I1975"/>
      <c r="J1975" t="inlineStr">
        <is>
          <t>Project</t>
        </is>
      </c>
      <c r="K1975" t="inlineStr">
        <is>
          <t>GG - Event Service</t>
        </is>
      </c>
      <c r="L1975" t="inlineStr">
        <is>
          <t>Philippine Kings League Spring Season 2026 (PKL)</t>
        </is>
      </c>
      <c r="M1975" t="inlineStr">
        <is>
          <t>2026TEG-P0037</t>
        </is>
      </c>
      <c r="N1975" t="inlineStr">
        <is>
          <t>Juvie Anne Asis Castres</t>
        </is>
      </c>
      <c r="O1975" t="inlineStr">
        <is>
          <t>202602130042-Juvie Anne Asis Castres-费用报销 - 副本 - 副本 - 副本-2026-02-13 04:21:51</t>
        </is>
      </c>
      <c r="P1975" t="inlineStr">
        <is>
          <t>YES</t>
        </is>
      </c>
      <c r="Q1975"/>
      <c r="R1975" t="inlineStr">
        <is>
          <t>NO</t>
        </is>
      </c>
      <c r="S1975" t="inlineStr">
        <is>
          <t>Outsourced Head League Ops</t>
        </is>
      </c>
      <c r="T1975">
        <v>1</v>
      </c>
      <c r="U1975">
        <v>50000</v>
      </c>
      <c r="V1975" t="inlineStr">
        <is>
          <t>PHP</t>
        </is>
      </c>
      <c r="W1975">
        <v>50000</v>
      </c>
      <c r="X1975" s="2" t="str">
        <f>=HYPERLINK("https://www.larksuite.com/approval/admin/previewAttachment?key=PMgxDsIwDAXQK_2fOP42l2FpVYEQE1Igg8-OYOj6PAiPwe4JS7YES04IUoJUDIRlteIPRA3W_jyuay5uyfv7MT-GVfO2HfuLI9Ua1M16AODl9C4zy3TD3_ENAAD__w", "2 attachment(s)")</f>
        <v>2 attachment(s)</v>
      </c>
      <c r="Y1975" t="inlineStr">
        <is>
          <t>Bank Transfer</t>
        </is>
      </c>
      <c r="Z1975" t="inlineStr">
        <is>
          <t>Marlon Mattew Apilado</t>
        </is>
      </c>
      <c r="AA1975" t="inlineStr">
        <is>
          <t>012753911117</t>
        </is>
      </c>
      <c r="AB1975" t="inlineStr">
        <is>
          <t>GoTyme Bank</t>
        </is>
      </c>
      <c r="AC1975" t="inlineStr">
        <is>
          <t>27 C jose st. Malibay Pasay City</t>
        </is>
      </c>
      <c r="AD1975" s="4">
        <v>46087</v>
      </c>
      <c r="AE1975" t="inlineStr">
        <is>
          <t>1st Payment - Mar. 6, 2026
2nd Payment - Mar. 20, 2026
Final Payment - Apr. 10, 2026</t>
        </is>
      </c>
      <c r="AF1975" s="2"/>
      <c r="AG1975" t="inlineStr">
        <is>
          <t>NzQyNTk5MTgyNzQ4MTg3MDM0MToyRDUwMTk0RS00NDI2LTQ5MkMtOTU2Qy1DM0I3RkEyNzFENDItMTpkNTNiOTEzNzM4ZTFkMWFkMjc5N2NkODZiODFkNzQwZTox</t>
        </is>
      </c>
      <c r="AH1975" t="inlineStr">
        <is>
          <t>Marlon Mattew Apilado</t>
        </is>
      </c>
      <c r="AI1975"/>
      <c r="AJ1975" t="inlineStr">
        <is>
          <t>LIQUIDITY PLAN (PAR # 202602120015 / 2026TEG-P0037)
REGULAR SEASON &gt; LABOR COST &gt; 
LEAGUE OPERATIONS &gt; Head League Ops
Total Budget = Php 54,000.00
Actual Cost = Php 50,000.00
Balance = Php 4,000.00</t>
        </is>
      </c>
      <c r="AK1975"/>
    </row>
    <row r="1976" ht="25.5" customHeight="1">
      <c r="A1976" s="2" t="str">
        <f>=HYPERLINK("https://applink.larksuite.com/client/mini_program/open?appId=cli_9c7cc8a9a9edd105&amp;mode=appCenter&amp;path_pc=pc/pages/requested/index?instanceId=7610706262371618528&amp;source=bitable&amp;path=pages/detail/index?instanceId=7610706262371618528&amp;source=bitable", "202602250073")</f>
        <v>202602250073</v>
      </c>
      <c r="B1976" t="inlineStr">
        <is>
          <t>Approved</t>
        </is>
      </c>
      <c r="C1976" t="inlineStr">
        <is>
          <t>Procurement Order</t>
        </is>
      </c>
      <c r="D1976" s="3">
        <v>46078.65783564815</v>
      </c>
      <c r="E1976" s="3">
        <v>46080.63736111111</v>
      </c>
      <c r="F1976" t="inlineStr">
        <is>
          <t>Fatima Kathleen M. FLores</t>
        </is>
      </c>
      <c r="G1976" t="inlineStr">
        <is>
          <t>Procurement</t>
        </is>
      </c>
      <c r="H1976"/>
      <c r="I1976"/>
      <c r="J1976" t="inlineStr">
        <is>
          <t>Project</t>
        </is>
      </c>
      <c r="K1976" t="inlineStr">
        <is>
          <t>GG - Event Service</t>
        </is>
      </c>
      <c r="L1976" t="inlineStr">
        <is>
          <t>Philippine Kings League Spring Season 2026 (PKL)</t>
        </is>
      </c>
      <c r="M1976" t="inlineStr">
        <is>
          <t>2026TEG-P0037</t>
        </is>
      </c>
      <c r="N1976" t="inlineStr">
        <is>
          <t>Juvie Anne Asis Castres</t>
        </is>
      </c>
      <c r="O1976" t="inlineStr">
        <is>
          <t>202602130042-Juvie Anne Asis Castres-费用报销 - 副本 - 副本 - 副本-2026-02-13 04:21:51</t>
        </is>
      </c>
      <c r="P1976" t="inlineStr">
        <is>
          <t>YES</t>
        </is>
      </c>
      <c r="Q1976"/>
      <c r="R1976" t="inlineStr">
        <is>
          <t>NO</t>
        </is>
      </c>
      <c r="S1976" t="inlineStr">
        <is>
          <t>Outsourced Socmed Graphic Artist</t>
        </is>
      </c>
      <c r="T1976">
        <v>1</v>
      </c>
      <c r="U1976">
        <v>25000</v>
      </c>
      <c r="V1976" t="inlineStr">
        <is>
          <t>PHP</t>
        </is>
      </c>
      <c r="W1976">
        <v>25000</v>
      </c>
      <c r="X1976" s="2" t="str">
        <f>=HYPERLINK("https://www.larksuite.com/approval/admin/previewAttachment?key=PMixDQJBDATAlnZtn_dMMyT_OoGATxAQuXYkAtLJSeQc9CxE0QpsJSGkpbmYnMNmW1MqiBrs_bHO8Ps6dN1e2-2zdPT7sq39yVEygzzCJwCe_u6KiKoM_BzfAAAA__8", "2 attachment(s)")</f>
        <v>2 attachment(s)</v>
      </c>
      <c r="Y1976" t="inlineStr">
        <is>
          <t>Bank Transfer</t>
        </is>
      </c>
      <c r="Z1976" t="inlineStr">
        <is>
          <t>Jan Nikolai Esporlas</t>
        </is>
      </c>
      <c r="AA1976" t="inlineStr">
        <is>
          <t>2859296672</t>
        </is>
      </c>
      <c r="AB1976" t="inlineStr">
        <is>
          <t>BPI</t>
        </is>
      </c>
      <c r="AC1976" t="inlineStr">
        <is>
          <t>Blk 4 Lot 6, Cerritos Heights, Molino 4, Bacoor City, Cavite</t>
        </is>
      </c>
      <c r="AD1976" s="4">
        <v>46087</v>
      </c>
      <c r="AE1976" t="inlineStr">
        <is>
          <t>1st Payment - Mar. 6, 2026
2nd Payment - Mar. 20, 2026
Final Payment - Apr. 10, 2026</t>
        </is>
      </c>
      <c r="AF1976" s="2"/>
      <c r="AG1976" t="inlineStr">
        <is>
          <t>NzQyNTk5MTgyNzQ4MTg3MDM0MTpFN0REODY5Qy0xRDM3LTQxMkYtOTZGNi1ENkNCQTlGRjY1NTgtMTo5MGJiYmVlNjdmMjk3NjcyZmQ4YzZiNTVmMTkwY2VkMTox</t>
        </is>
      </c>
      <c r="AH1976" t="inlineStr">
        <is>
          <t>Jan Nikolai Esporlas</t>
        </is>
      </c>
      <c r="AI1976"/>
      <c r="AJ1976" t="inlineStr">
        <is>
          <t>LIQUIDITY PLAN (PAR # 202602120015 / 2026TEG-P0037)
REGULAR SEASON &gt; LABOR COST &gt; 
SOCMED &amp; MARKETING &gt; Graphic Artist
Total Budget = Php 30,000.00
Actual Cost = Php 25,000.00
Balance = Php 5,000.00</t>
        </is>
      </c>
      <c r="AK1976"/>
    </row>
    <row r="1977" ht="25.5" customHeight="1">
      <c r="A1977" s="2" t="str">
        <f>=HYPERLINK("https://applink.larksuite.com/client/mini_program/open?appId=cli_9c7cc8a9a9edd105&amp;mode=appCenter&amp;path_pc=pc/pages/requested/index?instanceId=7610704057241521890&amp;source=bitable&amp;path=pages/detail/index?instanceId=7610704057241521890&amp;source=bitable", "202602250071")</f>
        <v>202602250071</v>
      </c>
      <c r="B1977" t="inlineStr">
        <is>
          <t>Approved</t>
        </is>
      </c>
      <c r="C1977" t="inlineStr">
        <is>
          <t>Procurement Order</t>
        </is>
      </c>
      <c r="D1977" s="3">
        <v>46078.65189814815</v>
      </c>
      <c r="E1977" s="3">
        <v>46080.63872685185</v>
      </c>
      <c r="F1977" t="inlineStr">
        <is>
          <t>Fatima Kathleen M. FLores</t>
        </is>
      </c>
      <c r="G1977" t="inlineStr">
        <is>
          <t>Procurement</t>
        </is>
      </c>
      <c r="H1977"/>
      <c r="I1977"/>
      <c r="J1977" t="inlineStr">
        <is>
          <t>Project</t>
        </is>
      </c>
      <c r="K1977" t="inlineStr">
        <is>
          <t>GG - Event Service</t>
        </is>
      </c>
      <c r="L1977" t="inlineStr">
        <is>
          <t>Philippine Kings League Spring Season 2026 (PKL)</t>
        </is>
      </c>
      <c r="M1977" t="inlineStr">
        <is>
          <t>2026TEG-P0037</t>
        </is>
      </c>
      <c r="N1977" t="inlineStr">
        <is>
          <t>Juvie Anne Asis Castres</t>
        </is>
      </c>
      <c r="O1977" t="inlineStr">
        <is>
          <t>202602130042-Juvie Anne Asis Castres-费用报销 - 副本 - 副本 - 副本-2026-02-13 04:21:51</t>
        </is>
      </c>
      <c r="P1977" t="inlineStr">
        <is>
          <t>YES</t>
        </is>
      </c>
      <c r="Q1977"/>
      <c r="R1977" t="inlineStr">
        <is>
          <t>NO</t>
        </is>
      </c>
      <c r="S1977" t="inlineStr">
        <is>
          <t>Outsourced API Operator (Media Day to Regular Season)</t>
        </is>
      </c>
      <c r="T1977">
        <v>1</v>
      </c>
      <c r="U1977">
        <v>55000</v>
      </c>
      <c r="V1977" t="inlineStr">
        <is>
          <t>PHP</t>
        </is>
      </c>
      <c r="W1977">
        <v>55000</v>
      </c>
      <c r="X1977" s="2" t="str">
        <f>=HYPERLINK("https://www.larksuite.com/approval/admin/previewAttachment?key=PMgxDsIwFAPQK9n_O3E-l2FpVYEgLEjdcnYkhq6vD6KPxuwFFaPA5U4YQnOILTgKKxbtgunGtc_jTm-v91R-Tj9nznU-tmP_spUj4JRyAODt8rSkqi78Hb8AAAD__w", "2 attachment(s)")</f>
        <v>2 attachment(s)</v>
      </c>
      <c r="Y1977" t="inlineStr">
        <is>
          <t>Bank Transfer</t>
        </is>
      </c>
      <c r="Z1977" t="inlineStr">
        <is>
          <t>Jay Lawrence Rivera</t>
        </is>
      </c>
      <c r="AA1977" t="inlineStr">
        <is>
          <t>109332551963</t>
        </is>
      </c>
      <c r="AB1977" t="inlineStr">
        <is>
          <t>UNION BANK OF THE PHILIPPINES</t>
        </is>
      </c>
      <c r="AC1977" t="inlineStr">
        <is>
          <t>023 Kasunduan St. Brgy. Commonwealth Quezon City</t>
        </is>
      </c>
      <c r="AD1977" s="4">
        <v>46087</v>
      </c>
      <c r="AE1977" t="inlineStr">
        <is>
          <t>1st Payment - Mar. 6, 2026
2nd Payment - Mar. 20, 2026
Final Payment - Apr. 10, 2026</t>
        </is>
      </c>
      <c r="AF1977" s="2"/>
      <c r="AG1977" t="inlineStr">
        <is>
          <t>NzQyNTk5MTgyNzQ4MTg3MDM0MTo2RDVCRjhGRS04QkExLTQ4RjMtQTY2MS01RjM2MzQ0NkU3M0EtMTo2NTI2ZTgxNDg5ZWUzMTBkMjY4ODMzMTkwNDE5OWIxYTox</t>
        </is>
      </c>
      <c r="AH1977" t="inlineStr">
        <is>
          <t>Jay Lawrence Rivera</t>
        </is>
      </c>
      <c r="AI1977"/>
      <c r="AJ1977" t="inlineStr">
        <is>
          <t>LIQUIDITY PLAN (PAR # 202602120015 / 2026TEG-P0037)
REGULAR SEASON &gt; LABOR COST &gt; 
BROADCAST &amp; PRODUCTION &gt; 
API Build/Integration
Statsman
Total Budget = Php 100,000.00
Actual Cost = Php 85,000.00
Balance = Php 15,000.00</t>
        </is>
      </c>
      <c r="AK1977"/>
    </row>
    <row r="1978" ht="25.5" customHeight="1">
      <c r="A1978" s="2" t="str">
        <f>=HYPERLINK("https://applink.larksuite.com/client/mini_program/open?appId=cli_9c7cc8a9a9edd105&amp;mode=appCenter&amp;path_pc=pc/pages/requested/index?instanceId=7610704057241521890&amp;source=bitable&amp;path=pages/detail/index?instanceId=7610704057241521890&amp;source=bitable", "202602250071")</f>
        <v>202602250071</v>
      </c>
      <c r="B1978" t="inlineStr">
        <is>
          <t>Approved</t>
        </is>
      </c>
      <c r="C1978" t="inlineStr">
        <is>
          <t>Procurement Order</t>
        </is>
      </c>
      <c r="D1978" s="3">
        <v>46078.65189814815</v>
      </c>
      <c r="E1978" s="3">
        <v>46080.63872685185</v>
      </c>
      <c r="F1978" t="inlineStr">
        <is>
          <t>Fatima Kathleen M. FLores</t>
        </is>
      </c>
      <c r="G1978" t="inlineStr">
        <is>
          <t>Procurement</t>
        </is>
      </c>
      <c r="H1978"/>
      <c r="I1978"/>
      <c r="J1978" t="inlineStr">
        <is>
          <t>Project</t>
        </is>
      </c>
      <c r="K1978" t="inlineStr">
        <is>
          <t>GG - Event Service</t>
        </is>
      </c>
      <c r="L1978" t="inlineStr">
        <is>
          <t>Philippine Kings League Spring Season 2026 (PKL)</t>
        </is>
      </c>
      <c r="M1978" t="inlineStr">
        <is>
          <t>2026TEG-P0037</t>
        </is>
      </c>
      <c r="N1978" t="inlineStr">
        <is>
          <t>Juvie Anne Asis Castres</t>
        </is>
      </c>
      <c r="O1978" t="inlineStr">
        <is>
          <t>202602130042-Juvie Anne Asis Castres-费用报销 - 副本 - 副本 - 副本-2026-02-13 04:21:51</t>
        </is>
      </c>
      <c r="P1978" t="inlineStr">
        <is>
          <t>YES</t>
        </is>
      </c>
      <c r="Q1978"/>
      <c r="R1978" t="inlineStr">
        <is>
          <t>NO</t>
        </is>
      </c>
      <c r="S1978" t="inlineStr">
        <is>
          <t>Outsourced Statsman (Regular Season to Playoffs)</t>
        </is>
      </c>
      <c r="T1978">
        <v>1</v>
      </c>
      <c r="U1978">
        <v>30000</v>
      </c>
      <c r="V1978" t="inlineStr">
        <is>
          <t>PHP</t>
        </is>
      </c>
      <c r="W1978">
        <v>30000</v>
      </c>
      <c r="X1978" s="2" t="str">
        <f>=HYPERLINK("https://www.larksuite.com/approval/admin/previewAttachment?key=PMgxDsIwFAPQK9n_O3E-l2FpVYEgLEjdcnYkhq6vD6KPxuwFFaPA5U4YQnOILTgKKxbtgunGtc_jTm-v91R-Tj9nznU-tmP_spUj4JRyAODt8rSkqi78nb8AAAD__w", "1 attachment(s)")</f>
        <v>1 attachment(s)</v>
      </c>
      <c r="Y1978"/>
      <c r="Z1978"/>
      <c r="AA1978"/>
      <c r="AB1978"/>
      <c r="AC1978"/>
      <c r="AD1978" s="4"/>
      <c r="AE1978"/>
      <c r="AF1978" s="2"/>
      <c r="AG1978" t="inlineStr">
        <is>
          <t>NzQyNTk5MTgyNzQ4MTg3MDM0MTo2RDVCRjhGRS04QkExLTQ4RjMtQTY2MS01RjM2MzQ0NkU3M0EtMjozNDRhNjA1MmM0YjQyOTVhMmI5NzJmYTJkNjE0NGMxNzox</t>
        </is>
      </c>
      <c r="AH1978"/>
      <c r="AI1978"/>
      <c r="AJ1978" t="inlineStr">
        <is>
          <t>LIQUIDITY PLAN (PAR # 202602120015 / 2026TEG-P0037)
REGULAR SEASON &gt; LABOR COST &gt; 
BROADCAST &amp; PRODUCTION &gt; 
API Build/Integration
Statsman
Total Budget = Php 100,000.00
Actual Cost = Php 85,000.00
Balance = Php 15,000.00</t>
        </is>
      </c>
      <c r="AK1978"/>
    </row>
    <row r="1979" ht="25.5" customHeight="1">
      <c r="A1979" s="2" t="str">
        <f>=HYPERLINK("https://applink.larksuite.com/client/mini_program/open?appId=cli_9c7cc8a9a9edd105&amp;mode=appCenter&amp;path_pc=pc/pages/requested/index?instanceId=7610730618984337120&amp;source=bitable&amp;path=pages/detail/index?instanceId=7610730618984337120&amp;source=bitable", "202602250088")</f>
        <v>202602250088</v>
      </c>
      <c r="B1979" t="inlineStr">
        <is>
          <t>Approved</t>
        </is>
      </c>
      <c r="C1979" t="inlineStr">
        <is>
          <t>Procurement Order</t>
        </is>
      </c>
      <c r="D1979" s="3">
        <v>46078.72347222222</v>
      </c>
      <c r="E1979" s="3">
        <v>46080.65423611111</v>
      </c>
      <c r="F1979" t="inlineStr">
        <is>
          <t>Fatima Kathleen M. FLores</t>
        </is>
      </c>
      <c r="G1979" t="inlineStr">
        <is>
          <t>Procurement</t>
        </is>
      </c>
      <c r="H1979"/>
      <c r="I1979"/>
      <c r="J1979" t="inlineStr">
        <is>
          <t>Project</t>
        </is>
      </c>
      <c r="K1979" t="inlineStr">
        <is>
          <t>GG - Event Service</t>
        </is>
      </c>
      <c r="L1979" t="inlineStr">
        <is>
          <t>Philippine Kings League Spring Season 2026 (PKL)</t>
        </is>
      </c>
      <c r="M1979" t="inlineStr">
        <is>
          <t>2026TEG-P0037</t>
        </is>
      </c>
      <c r="N1979" t="inlineStr">
        <is>
          <t>Juvie Anne Asis Castres</t>
        </is>
      </c>
      <c r="O1979" t="inlineStr">
        <is>
          <t>202602130042-Juvie Anne Asis Castres-费用报销 - 副本 - 副本 - 副本-2026-02-13 04:21:51</t>
        </is>
      </c>
      <c r="P1979" t="inlineStr">
        <is>
          <t>YES</t>
        </is>
      </c>
      <c r="Q1979"/>
      <c r="R1979" t="inlineStr">
        <is>
          <t>NO</t>
        </is>
      </c>
      <c r="S1979" t="inlineStr">
        <is>
          <t>Outsourced Stream Moderator / Mic Check Operator</t>
        </is>
      </c>
      <c r="T1979">
        <v>1</v>
      </c>
      <c r="U1979">
        <v>34650</v>
      </c>
      <c r="V1979" t="inlineStr">
        <is>
          <t>PHP</t>
        </is>
      </c>
      <c r="W1979">
        <v>34650</v>
      </c>
      <c r="X1979" s="2" t="str">
        <f>=HYPERLINK("https://www.larksuite.com/approval/admin/previewAttachment?key=PMg9jkIxDATgK83Yjifey2zzniJ-BA1SqHx2JAraLyeRc9CzEEUrsJWEHMlZM9xFQ1tTKoga3udj_dvG_UDc3uu5eR29L8c6XxwlM8gjfALg389dEVGVga_jEwAA__8", "2 attachment(s)")</f>
        <v>2 attachment(s)</v>
      </c>
      <c r="Y1979" t="inlineStr">
        <is>
          <t>Bank Transfer</t>
        </is>
      </c>
      <c r="Z1979" t="inlineStr">
        <is>
          <t>Ej Cezar Falogme</t>
        </is>
      </c>
      <c r="AA1979" t="inlineStr">
        <is>
          <t>001526005059</t>
        </is>
      </c>
      <c r="AB1979" t="inlineStr">
        <is>
          <t>BDO Kabayan Savings</t>
        </is>
      </c>
      <c r="AC1979" t="inlineStr">
        <is>
          <t>33 J Pio Felipe St. Purok-1 New Lower Bicutan Taguig City</t>
        </is>
      </c>
      <c r="AD1979" s="4">
        <v>46087</v>
      </c>
      <c r="AE1979" t="inlineStr">
        <is>
          <t>1st Payment - Mar. 6, 2026
2nd Payment - Mar. 20, 2026
Final Payment - Apr. 10, 2026</t>
        </is>
      </c>
      <c r="AF1979" s="2"/>
      <c r="AG1979" t="inlineStr">
        <is>
          <t>NzQyNTk5MTgyNzQ4MTg3MDM0MTowRTFCMDU1Ny03QTZELTQ1QjktQUNCQS01QkFCRTZGOThCMzEtMTpmYmFmYjMzMzlkYzM1ZTI3YjZiM2MxMGExOWI5ZjFkYTox</t>
        </is>
      </c>
      <c r="AH1979" t="inlineStr">
        <is>
          <t>Ej Cezar Falogme</t>
        </is>
      </c>
      <c r="AI1979"/>
      <c r="AJ1979" t="inlineStr">
        <is>
          <t>LIQUIDITY PLAN (PAR # 202602120015 / 2026TEG-P0037)
REGULAR SEASON &gt; LABOR COST &gt; 
BROADCAST &amp; PRODUCTION &gt;
Stream Moderator / Mic Check Operator
Total Budget = Php 34,650.00
Actual Cost = Php 34,650.00</t>
        </is>
      </c>
      <c r="AK1979"/>
    </row>
    <row r="1980" ht="25.5" customHeight="1">
      <c r="A1980" s="2" t="str">
        <f>=HYPERLINK("https://applink.larksuite.com/client/mini_program/open?appId=cli_9c7cc8a9a9edd105&amp;mode=appCenter&amp;path_pc=pc/pages/requested/index?instanceId=7610728893112159963&amp;source=bitable&amp;path=pages/detail/index?instanceId=7610728893112159963&amp;source=bitable", "202602250087")</f>
        <v>202602250087</v>
      </c>
      <c r="B1980" t="inlineStr">
        <is>
          <t>Approved</t>
        </is>
      </c>
      <c r="C1980" t="inlineStr">
        <is>
          <t>Procurement Order</t>
        </is>
      </c>
      <c r="D1980" s="3">
        <v>46078.718831018516</v>
      </c>
      <c r="E1980" s="3">
        <v>46080.64365740741</v>
      </c>
      <c r="F1980" t="inlineStr">
        <is>
          <t>Fatima Kathleen M. FLores</t>
        </is>
      </c>
      <c r="G1980" t="inlineStr">
        <is>
          <t>Procurement</t>
        </is>
      </c>
      <c r="H1980"/>
      <c r="I1980"/>
      <c r="J1980" t="inlineStr">
        <is>
          <t>Project</t>
        </is>
      </c>
      <c r="K1980" t="inlineStr">
        <is>
          <t>GG - Event Service</t>
        </is>
      </c>
      <c r="L1980" t="inlineStr">
        <is>
          <t>Philippine Kings League Spring Season 2026 (PKL)</t>
        </is>
      </c>
      <c r="M1980" t="inlineStr">
        <is>
          <t>2026TEG-P0037</t>
        </is>
      </c>
      <c r="N1980" t="inlineStr">
        <is>
          <t>Juvie Anne Asis Castres</t>
        </is>
      </c>
      <c r="O1980" t="inlineStr">
        <is>
          <t>202602130042-Juvie Anne Asis Castres-费用报销 - 副本 - 副本 - 副本-2026-02-13 04:21:51</t>
        </is>
      </c>
      <c r="P1980" t="inlineStr">
        <is>
          <t>YES</t>
        </is>
      </c>
      <c r="Q1980"/>
      <c r="R1980" t="inlineStr">
        <is>
          <t>NO</t>
        </is>
      </c>
      <c r="S1980" t="inlineStr">
        <is>
          <t>Outsourced Manpower</t>
        </is>
      </c>
      <c r="T1980">
        <v>1</v>
      </c>
      <c r="U1980">
        <v>121400</v>
      </c>
      <c r="V1980" t="inlineStr">
        <is>
          <t>PHP</t>
        </is>
      </c>
      <c r="W1980">
        <v>121400</v>
      </c>
      <c r="X1980" s="2" t="str">
        <f>=HYPERLINK("https://www.larksuite.com/approval/admin/previewAttachment?key=PMgxqoJBDATgK80k2STzLvMalx-FXxth0WLPLljYftlE9qCnEKIJ3JVEWbecNA4pfdtmlVCswT3vx_9tvc-XzrXm7BqPva6XYz45VGYoj_AGwL-fe0WElIGv4xMAAP__", "2 attachment(s)")</f>
        <v>2 attachment(s)</v>
      </c>
      <c r="Y1980" t="inlineStr">
        <is>
          <t>Bank Transfer</t>
        </is>
      </c>
      <c r="Z1980" t="inlineStr">
        <is>
          <t>Khrizen A. Angeles</t>
        </is>
      </c>
      <c r="AA1980" t="inlineStr">
        <is>
          <t>109356750810</t>
        </is>
      </c>
      <c r="AB1980" t="inlineStr">
        <is>
          <t>Union Bank of the Philippines</t>
        </is>
      </c>
      <c r="AC1980" t="inlineStr">
        <is>
          <t>9G, Tower 1, Toyota Avenue, corner Marquinton Drive, Barangay Sto. Niño, Marikina</t>
        </is>
      </c>
      <c r="AD1980" s="4">
        <v>46087</v>
      </c>
      <c r="AE1980" t="inlineStr">
        <is>
          <t>1st Payment - Mar. 6, 2026
2nd Payment - Mar. 20, 2026
3rd Payment - Apr. 10, 2026
Final Paymetn - Apr. 24, 2026</t>
        </is>
      </c>
      <c r="AF1980" s="2"/>
      <c r="AG1980" t="inlineStr">
        <is>
          <t>NzQyNTk5MTgyNzQ4MTg3MDM0MTpFQUNBNDhDQy00M0ZBLTRCOTctOTZDQS02OTk3OEYxM0I3RUUtMTpjNTExMzMzNjk4MTM1MTEyNDg1YmVkZjBiOTgxYjYyMTox</t>
        </is>
      </c>
      <c r="AH1980" t="inlineStr">
        <is>
          <t>Khrizen A. Angeles</t>
        </is>
      </c>
      <c r="AI1980"/>
      <c r="AJ1980" t="inlineStr">
        <is>
          <t>LIQUIDITY PLAN (PAR # 202602120015 / 2026TEG-P0037)
MEDIA DAY &gt; Consumables - Media Day &gt;
Content Producer/Scriptwriter
REGULAR SEASON &gt; LABOR COST &gt; 
BROADCAST &amp; PRODUCTION &gt;
Content Producer / Scriptwriter
Main CG Operator/Xpression
Dynamic CG Operator
Total Budget = Php 127,840.00
Actual Cost = Php 121,400.00
Balance = Php 6,440.00</t>
        </is>
      </c>
      <c r="AK1980"/>
    </row>
    <row r="1981" ht="25.5" customHeight="1">
      <c r="A1981" s="2" t="str">
        <f>=HYPERLINK("https://applink.larksuite.com/client/mini_program/open?appId=cli_9c7cc8a9a9edd105&amp;mode=appCenter&amp;path_pc=pc/pages/requested/index?instanceId=7610725438586916578&amp;source=bitable&amp;path=pages/detail/index?instanceId=7610725438586916578&amp;source=bitable", "202602250085")</f>
        <v>202602250085</v>
      </c>
      <c r="B1981" t="inlineStr">
        <is>
          <t>Approved</t>
        </is>
      </c>
      <c r="C1981" t="inlineStr">
        <is>
          <t>Procurement Order</t>
        </is>
      </c>
      <c r="D1981" s="3">
        <v>46078.70951388889</v>
      </c>
      <c r="E1981" s="3">
        <v>46080.64686342593</v>
      </c>
      <c r="F1981" t="inlineStr">
        <is>
          <t>Fatima Kathleen M. FLores</t>
        </is>
      </c>
      <c r="G1981" t="inlineStr">
        <is>
          <t>Procurement</t>
        </is>
      </c>
      <c r="H1981"/>
      <c r="I1981"/>
      <c r="J1981" t="inlineStr">
        <is>
          <t>Project</t>
        </is>
      </c>
      <c r="K1981" t="inlineStr">
        <is>
          <t>GG - Event Service</t>
        </is>
      </c>
      <c r="L1981" t="inlineStr">
        <is>
          <t>Philippine Kings League Spring Season 2026 (PKL)</t>
        </is>
      </c>
      <c r="M1981" t="inlineStr">
        <is>
          <t>2026TEG-P0037</t>
        </is>
      </c>
      <c r="N1981" t="inlineStr">
        <is>
          <t>Juvie Anne Asis Castres</t>
        </is>
      </c>
      <c r="O1981" t="inlineStr">
        <is>
          <t>202602130042-Juvie Anne Asis Castres-费用报销 - 副本 - 副本 - 副本-2026-02-13 04:21:51</t>
        </is>
      </c>
      <c r="P1981" t="inlineStr">
        <is>
          <t>YES</t>
        </is>
      </c>
      <c r="Q1981"/>
      <c r="R1981" t="inlineStr">
        <is>
          <t>NO</t>
        </is>
      </c>
      <c r="S1981" t="inlineStr">
        <is>
          <t>Outsourced Manpower</t>
        </is>
      </c>
      <c r="T1981">
        <v>1</v>
      </c>
      <c r="U1981">
        <v>220100</v>
      </c>
      <c r="V1981" t="inlineStr">
        <is>
          <t>PHP</t>
        </is>
      </c>
      <c r="W1981">
        <v>220100</v>
      </c>
      <c r="X1981" s="2" t="str">
        <f>=HYPERLINK("https://www.larksuite.com/approval/admin/previewAttachment?key=PMg9qgJBEATgK1VN_1T3u8xLdllEHRGExWTOLhiYfllEVtCy4c3R4FISGuFWUdnMUK2xKDVEBdc-j_97XOd7t-1xm37quc7LduwvRmsMyNytAPDv5yZ3707H1_EJAAD__w", "2 attachment(s)")</f>
        <v>2 attachment(s)</v>
      </c>
      <c r="Y1981" t="inlineStr">
        <is>
          <t>Bank Transfer</t>
        </is>
      </c>
      <c r="Z1981" t="inlineStr">
        <is>
          <t>John Benigno R. Magat</t>
        </is>
      </c>
      <c r="AA1981" t="inlineStr">
        <is>
          <t>046110005388</t>
        </is>
      </c>
      <c r="AB1981" t="inlineStr">
        <is>
          <t>PSBank</t>
        </is>
      </c>
      <c r="AC1981" t="inlineStr">
        <is>
          <t>228 Grissom st. Brgy Moonwalk Paranaque Metro Manila</t>
        </is>
      </c>
      <c r="AD1981" s="4">
        <v>46087</v>
      </c>
      <c r="AE1981" t="inlineStr">
        <is>
          <t>1st Payment - Mar. 6, 2026
2nd Payment - Mar. 20, 2026
Final Payment - Apr. 10, 2026</t>
        </is>
      </c>
      <c r="AF1981" s="2"/>
      <c r="AG1981" t="inlineStr">
        <is>
          <t>NzQyNTk5MTgyNzQ4MTg3MDM0MTpENjA1ODQxNi1FN0NDLTRFMjMtQjQwOC1GRTMxOTdERjlBMUMtMTo4ZjA2Mzc5YmQ1YWViZGU1M2ZjNTQyYTgzOTJhN2FiYTox</t>
        </is>
      </c>
      <c r="AH1981" t="inlineStr">
        <is>
          <t>John Benigno R. Magat</t>
        </is>
      </c>
      <c r="AI1981"/>
      <c r="AJ1981" t="inlineStr">
        <is>
          <t>LIQUIDITY PLAN (PAR # 202602120015 / 2026TEG-P0037)
REGULAR SEASON &gt; LABOR COST &gt; 
BROADCAST &amp; PRODUCTION &gt;
Floor Manager
Teleprompter
Game Observer
Highlights / Replay
TALENT MANAGEMENT &gt; Talent Manager (on-site)
PLAYER CARE &amp; HOSPITALITY &gt; Player Liaisons
Total Budget = Php 246,400.00
Actual Cost = Php 220,100.00
Balance = Php 26,300.00</t>
        </is>
      </c>
      <c r="AK1981"/>
    </row>
    <row r="1982" ht="25.5" customHeight="1">
      <c r="A1982" s="2" t="str">
        <f>=HYPERLINK("https://applink.larksuite.com/client/mini_program/open?appId=cli_9c7cc8a9a9edd105&amp;mode=appCenter&amp;path_pc=pc/pages/requested/index?instanceId=7610737245343026913&amp;source=bitable&amp;path=pages/detail/index?instanceId=7610737245343026913&amp;source=bitable", "202602250093")</f>
        <v>202602250093</v>
      </c>
      <c r="B1982" t="inlineStr">
        <is>
          <t>Approved</t>
        </is>
      </c>
      <c r="C1982" t="inlineStr">
        <is>
          <t>Procurement Order</t>
        </is>
      </c>
      <c r="D1982" s="3">
        <v>46078.74133101852</v>
      </c>
      <c r="E1982" s="3">
        <v>46080.655798611115</v>
      </c>
      <c r="F1982" t="inlineStr">
        <is>
          <t>Fatima Kathleen M. FLores</t>
        </is>
      </c>
      <c r="G1982" t="inlineStr">
        <is>
          <t>Procurement</t>
        </is>
      </c>
      <c r="H1982"/>
      <c r="I1982"/>
      <c r="J1982" t="inlineStr">
        <is>
          <t>Project</t>
        </is>
      </c>
      <c r="K1982" t="inlineStr">
        <is>
          <t>GG - Event Service</t>
        </is>
      </c>
      <c r="L1982" t="inlineStr">
        <is>
          <t>Philippine Kings League Spring Season 2026 (PKL)</t>
        </is>
      </c>
      <c r="M1982" t="inlineStr">
        <is>
          <t>2026TEG-P0037</t>
        </is>
      </c>
      <c r="N1982" t="inlineStr">
        <is>
          <t>Juvie Anne Asis Castres</t>
        </is>
      </c>
      <c r="O1982" t="inlineStr">
        <is>
          <t>202602240071-Juvie Anne Asis Castres-费用报销 - 副本 - 副本 - 副本-2026-02-24 07:28:15</t>
        </is>
      </c>
      <c r="P1982" t="inlineStr">
        <is>
          <t>YES</t>
        </is>
      </c>
      <c r="Q1982"/>
      <c r="R1982" t="inlineStr">
        <is>
          <t>NO</t>
        </is>
      </c>
      <c r="S1982" t="inlineStr">
        <is>
          <t>Outsourced Photo &amp; Video Documentation Team</t>
        </is>
      </c>
      <c r="T1982">
        <v>1</v>
      </c>
      <c r="U1982">
        <v>60030</v>
      </c>
      <c r="V1982" t="inlineStr">
        <is>
          <t>PHP</t>
        </is>
      </c>
      <c r="W1982">
        <v>60030</v>
      </c>
      <c r="X1982" s="2" t="str">
        <f>=HYPERLINK("https://www.larksuite.com/approval/admin/previewAttachment?key=PMg7CsNADATQK81IWs0ql0ljY_KFQMCudPZACrcvJ5Fz0LMQRSuwlYRcFsPDYVn0tqZUEDW81_d2rcc4wubzuL-4f5beb8u2fjlKZpBH-ATAy-muiKjKwN_xCwAA__8", "2 attachment(s)")</f>
        <v>2 attachment(s)</v>
      </c>
      <c r="Y1982" t="inlineStr">
        <is>
          <t>Bank Transfer</t>
        </is>
      </c>
      <c r="Z1982" t="inlineStr">
        <is>
          <t>Harold Lance Pialda</t>
        </is>
      </c>
      <c r="AA1982" t="inlineStr">
        <is>
          <t>0000050859073</t>
        </is>
      </c>
      <c r="AB1982" t="inlineStr">
        <is>
          <t>Security Bank</t>
        </is>
      </c>
      <c r="AC1982" t="inlineStr">
        <is>
          <t>Unit 6 M Gabriel Compound Fairview Quezon City</t>
        </is>
      </c>
      <c r="AD1982" s="4">
        <v>46087</v>
      </c>
      <c r="AE1982" t="inlineStr">
        <is>
          <t>1st Payment - Mar. 6, 2026
2nd Payment - Mar. 20, 2026
Final Payment - Apr. 10, 2026</t>
        </is>
      </c>
      <c r="AF1982" s="2"/>
      <c r="AG1982" t="inlineStr">
        <is>
          <t>NzQyNTk5MTgyNzQ4MTg3MDM0MTpCRjE3OTBBMS0yQ0ZGLTRCREMtQjI5OS1EODQ4NzcyRkE3NzktMTo1OTExZTU0NjMwOTYyYzNiMTMyYmQzNTdjOGNjYjA3ZDox</t>
        </is>
      </c>
      <c r="AH1982" t="inlineStr">
        <is>
          <t>Harold Lance Pialda</t>
        </is>
      </c>
      <c r="AI1982"/>
      <c r="AJ1982" t="inlineStr">
        <is>
          <t>LIQUIDITY PLAN (PAR # 202602120015 / 2026TEG-P0037)
REGULAR SEASON &gt; LABOR COST &gt; 
CREATIVES &amp; CONTENT &gt;
Photo &amp; Video Documentation Team
Total Budget = Php 102,000.00
Actual Cost = Php 60,030.00
Balance = Php 41,970.00</t>
        </is>
      </c>
      <c r="AK1982"/>
    </row>
    <row r="1983" ht="25.5" customHeight="1">
      <c r="A1983" s="2" t="str">
        <f>=HYPERLINK("https://applink.larksuite.com/client/mini_program/open?appId=cli_9c7cc8a9a9edd105&amp;mode=appCenter&amp;path_pc=pc/pages/requested/index?instanceId=7610737939810651871&amp;source=bitable&amp;path=pages/detail/index?instanceId=7610737939810651871&amp;source=bitable", "202602250096")</f>
        <v>202602250096</v>
      </c>
      <c r="B1983" t="inlineStr">
        <is>
          <t>Approved</t>
        </is>
      </c>
      <c r="C1983" t="inlineStr">
        <is>
          <t>Procurement Order</t>
        </is>
      </c>
      <c r="D1983" s="3">
        <v>46078.74320601852</v>
      </c>
      <c r="E1983" s="3">
        <v>46080.65697916667</v>
      </c>
      <c r="F1983" t="inlineStr">
        <is>
          <t>Fatima Kathleen M. FLores</t>
        </is>
      </c>
      <c r="G1983" t="inlineStr">
        <is>
          <t>Procurement</t>
        </is>
      </c>
      <c r="H1983"/>
      <c r="I1983"/>
      <c r="J1983" t="inlineStr">
        <is>
          <t>Project</t>
        </is>
      </c>
      <c r="K1983" t="inlineStr">
        <is>
          <t>GG - Event Service</t>
        </is>
      </c>
      <c r="L1983" t="inlineStr">
        <is>
          <t>Philippine Kings League Spring Season 2026 (PKL)</t>
        </is>
      </c>
      <c r="M1983" t="inlineStr">
        <is>
          <t>2026TEG-P0037</t>
        </is>
      </c>
      <c r="N1983" t="inlineStr">
        <is>
          <t>Juvie Anne Asis Castres</t>
        </is>
      </c>
      <c r="O1983" t="inlineStr">
        <is>
          <t>202602240071-Juvie Anne Asis Castres-费用报销 - 副本 - 副本 - 副本-2026-02-24 07:28:15</t>
        </is>
      </c>
      <c r="P1983" t="inlineStr">
        <is>
          <t>YES</t>
        </is>
      </c>
      <c r="Q1983"/>
      <c r="R1983" t="inlineStr">
        <is>
          <t>NO</t>
        </is>
      </c>
      <c r="S1983" t="inlineStr">
        <is>
          <t>Outsourced Photo &amp; Video Documentation Team (1 day)</t>
        </is>
      </c>
      <c r="T1983">
        <v>1</v>
      </c>
      <c r="U1983">
        <v>6000</v>
      </c>
      <c r="V1983" t="inlineStr">
        <is>
          <t>PHP</t>
        </is>
      </c>
      <c r="W1983">
        <v>6000</v>
      </c>
      <c r="X1983" s="2" t="str">
        <f>=HYPERLINK("https://www.larksuite.com/approval/admin/previewAttachment?key=PMkxjkIxDATQK83Ejsfey2zzoy-QSIUEovDZERS070USkZMWBS-OAltByFRWn5xMsUdTKoia1muf_-njyX3loc3XuvXjcpzrzlkaAzJ3SwD8-7nJ3avC8XW8AwAA__8", "2 attachment(s)")</f>
        <v>2 attachment(s)</v>
      </c>
      <c r="Y1983" t="inlineStr">
        <is>
          <t>Bank Transfer</t>
        </is>
      </c>
      <c r="Z1983" t="inlineStr">
        <is>
          <t>Joseph Jerome Tupaz</t>
        </is>
      </c>
      <c r="AA1983" t="inlineStr">
        <is>
          <t>4169-0732-66</t>
        </is>
      </c>
      <c r="AB1983" t="inlineStr">
        <is>
          <t>BPI</t>
        </is>
      </c>
      <c r="AC1983" t="inlineStr">
        <is>
          <t>Upper San Juan, Darangan Binangonan Rizal</t>
        </is>
      </c>
      <c r="AD1983" s="4">
        <v>46087</v>
      </c>
      <c r="AE1983" t="inlineStr">
        <is>
          <t>100% Full Payment - Mar. 6, 2026</t>
        </is>
      </c>
      <c r="AF1983" s="2"/>
      <c r="AG1983" t="inlineStr">
        <is>
          <t>NzQyNTk5MTgyNzQ4MTg3MDM0MTpBRjhCOEVGRC1FOTAyLTRFN0MtODc5RC04QTY0NDc1ODFDMEUtMTpmM2YzYzNmNGQ4NWE3Y2RkY2EzOWY4MTY1NGEzYzNkNjox</t>
        </is>
      </c>
      <c r="AH1983" t="inlineStr">
        <is>
          <t>Joseph Jerome Tupaz</t>
        </is>
      </c>
      <c r="AI1983"/>
      <c r="AJ1983" t="inlineStr">
        <is>
          <t>LIQUIDITY PLAN (PAR # 202602120015 / 2026TEG-P0037)
REGULAR SEASON &gt; LABOR COST &gt; 
CREATIVES &amp; CONTENT &gt;
Photo &amp; Video Documentation Team
Total Remaining Budget = Php 41,970.00
Actual Cost = Php 6,000.00
Balance = Php 35,970.00</t>
        </is>
      </c>
      <c r="AK1983"/>
    </row>
    <row r="1984" ht="25.5" customHeight="1">
      <c r="A1984" s="2" t="str">
        <f>=HYPERLINK("https://applink.larksuite.com/client/mini_program/open?appId=cli_9c7cc8a9a9edd105&amp;mode=appCenter&amp;path_pc=pc/pages/requested/index?instanceId=7611084796797701858&amp;source=bitable&amp;path=pages/detail/index?instanceId=7611084796797701858&amp;source=bitable", "202602260045")</f>
        <v>202602260045</v>
      </c>
      <c r="B1984" t="inlineStr">
        <is>
          <t>Approved</t>
        </is>
      </c>
      <c r="C1984" t="inlineStr">
        <is>
          <t>Procurement Order</t>
        </is>
      </c>
      <c r="D1984" s="3">
        <v>46079.67791666667</v>
      </c>
      <c r="E1984" s="3">
        <v>46079.727314814816</v>
      </c>
      <c r="F1984" t="inlineStr">
        <is>
          <t>Fatima Kathleen M. FLores</t>
        </is>
      </c>
      <c r="G1984" t="inlineStr">
        <is>
          <t>Procurement</t>
        </is>
      </c>
      <c r="H1984"/>
      <c r="I1984"/>
      <c r="J1984" t="inlineStr">
        <is>
          <t>Project</t>
        </is>
      </c>
      <c r="K1984" t="inlineStr">
        <is>
          <t>PDEI - Game Marketing</t>
        </is>
      </c>
      <c r="L1984" t="inlineStr">
        <is>
          <t>SM Cyberzone Trading Card Game (TCG) Activations</t>
        </is>
      </c>
      <c r="M1984" t="inlineStr">
        <is>
          <t>2025TEG-P0278</t>
        </is>
      </c>
      <c r="N1984" t="inlineStr">
        <is>
          <t>Alessandra Mae Villanueva Boado</t>
        </is>
      </c>
      <c r="O1984" t="inlineStr">
        <is>
          <t>202602120098-Alessandra Mae Villanueva Boado-费用报销 - 副本 - 副本 - 副本-2026-02-12 09:56:41</t>
        </is>
      </c>
      <c r="P1984" t="inlineStr">
        <is>
          <t>NO</t>
        </is>
      </c>
      <c r="Q1984"/>
      <c r="R1984" t="inlineStr">
        <is>
          <t>NO</t>
        </is>
      </c>
      <c r="S1984" t="inlineStr">
        <is>
          <t>Lanyard 1side print / 1inch</t>
        </is>
      </c>
      <c r="T1984">
        <v>20</v>
      </c>
      <c r="U1984">
        <v>72.8</v>
      </c>
      <c r="V1984" t="inlineStr">
        <is>
          <t>PHP</t>
        </is>
      </c>
      <c r="W1984">
        <v>1456</v>
      </c>
      <c r="X1984" s="2"/>
      <c r="Y1984" t="inlineStr">
        <is>
          <t>Bank Transfer</t>
        </is>
      </c>
      <c r="Z1984" t="inlineStr">
        <is>
          <t>HIPIVE PRINTING SERVICES</t>
        </is>
      </c>
      <c r="AA1984" t="inlineStr">
        <is>
          <t>013740046230</t>
        </is>
      </c>
      <c r="AB1984" t="inlineStr">
        <is>
          <t>BDO</t>
        </is>
      </c>
      <c r="AC1984" t="inlineStr">
        <is>
          <t>U-264 Cityland Dela Rosa Condo, Brgy. Pio Del Pilar, Makati City</t>
        </is>
      </c>
      <c r="AD1984" s="4">
        <v>46080</v>
      </c>
      <c r="AE1984" t="inlineStr">
        <is>
          <t>50% Down Payment upon confirmation
50% Final Payment upon compete delivery</t>
        </is>
      </c>
      <c r="AF1984" s="2" t="str">
        <f>=HYPERLINK("https://www.larksuite.com/approval/admin/previewAttachment?key=TMgxqsNADATQK82sVhrpX-Y3Xkwg2E2IXensgVRpXyQR6bQozOIosBUkcqpCJYHp2aMpFUS59Tr2f_G4r_Uem53n0---Htu-Xoy0wCyfkwWAfz9OotLCvo5PAAAA__8", "5 attachment(s)")</f>
        <v>5 attachment(s)</v>
      </c>
      <c r="AG1984" t="inlineStr">
        <is>
          <t>NzQyNTk5MTgyNzQ4MTg3MDM0MTo2MkMzQUZEMi1CODkyLTRDQzctOEJCQy1GQzMzRTQ1OTE1RUYtMTo2ODAxN2Y1OWNkYWVhNWM4MTBiMmY4MzljMTA5NGY0Mjox</t>
        </is>
      </c>
      <c r="AH1984" t="inlineStr">
        <is>
          <t>HIPIVE PRINTING SERVICES</t>
        </is>
      </c>
      <c r="AI1984"/>
      <c r="AJ1984" t="inlineStr">
        <is>
          <t>LIQUIDITY PLAN (PAR # 202602090082 / 2025TEG-P0278)
Marketing Collaterals (All legs, 2 each leg) &gt;
Memorabilia
Total Budget = Php 20,000.00
This Request = Php 16,195.20
Balance = Php 3,804.80</t>
        </is>
      </c>
      <c r="AK1984"/>
    </row>
    <row r="1985" ht="25.5" customHeight="1">
      <c r="A1985" s="2" t="str">
        <f>=HYPERLINK("https://applink.larksuite.com/client/mini_program/open?appId=cli_9c7cc8a9a9edd105&amp;mode=appCenter&amp;path_pc=pc/pages/requested/index?instanceId=7611084796797701858&amp;source=bitable&amp;path=pages/detail/index?instanceId=7611084796797701858&amp;source=bitable", "202602260045")</f>
        <v>202602260045</v>
      </c>
      <c r="B1985" t="inlineStr">
        <is>
          <t>Approved</t>
        </is>
      </c>
      <c r="C1985" t="inlineStr">
        <is>
          <t>Procurement Order</t>
        </is>
      </c>
      <c r="D1985" s="3">
        <v>46079.67791666667</v>
      </c>
      <c r="E1985" s="3">
        <v>46079.727314814816</v>
      </c>
      <c r="F1985" t="inlineStr">
        <is>
          <t>Fatima Kathleen M. FLores</t>
        </is>
      </c>
      <c r="G1985" t="inlineStr">
        <is>
          <t>Procurement</t>
        </is>
      </c>
      <c r="H1985"/>
      <c r="I1985"/>
      <c r="J1985" t="inlineStr">
        <is>
          <t>Project</t>
        </is>
      </c>
      <c r="K1985" t="inlineStr">
        <is>
          <t>PDEI - Game Marketing</t>
        </is>
      </c>
      <c r="L1985" t="inlineStr">
        <is>
          <t>SM Cyberzone Trading Card Game (TCG) Activations</t>
        </is>
      </c>
      <c r="M1985" t="inlineStr">
        <is>
          <t>2025TEG-P0278</t>
        </is>
      </c>
      <c r="N1985" t="inlineStr">
        <is>
          <t>Alessandra Mae Villanueva Boado</t>
        </is>
      </c>
      <c r="O1985" t="inlineStr">
        <is>
          <t>202602120098-Alessandra Mae Villanueva Boado-费用报销 - 副本 - 副本 - 副本-2026-02-12 09:56:41</t>
        </is>
      </c>
      <c r="P1985" t="inlineStr">
        <is>
          <t>NO</t>
        </is>
      </c>
      <c r="Q1985"/>
      <c r="R1985" t="inlineStr">
        <is>
          <t>NO</t>
        </is>
      </c>
      <c r="S1985" t="inlineStr">
        <is>
          <t>Sticker pack - A5 size, kiss-cut, packaging</t>
        </is>
      </c>
      <c r="T1985">
        <v>20</v>
      </c>
      <c r="U1985">
        <v>87.36</v>
      </c>
      <c r="V1985" t="inlineStr">
        <is>
          <t>PHP</t>
        </is>
      </c>
      <c r="W1985">
        <v>1747.2</v>
      </c>
      <c r="X1985" s="2"/>
      <c r="Y1985"/>
      <c r="Z1985"/>
      <c r="AA1985"/>
      <c r="AB1985"/>
      <c r="AC1985"/>
      <c r="AD1985" s="4"/>
      <c r="AE1985"/>
      <c r="AF1985" s="2"/>
      <c r="AG1985" t="inlineStr">
        <is>
          <t>NzQyNTk5MTgyNzQ4MTg3MDM0MTo2MkMzQUZEMi1CODkyLTRDQzctOEJCQy1GQzMzRTQ1OTE1RUYtMjo5OTY3ZTkwNDc4ZGNlN2I3ZTEwZmFmYjU4YmM2MWMyZDox</t>
        </is>
      </c>
      <c r="AH1985"/>
      <c r="AI1985"/>
      <c r="AJ1985" t="inlineStr">
        <is>
          <t>LIQUIDITY PLAN (PAR # 202602090082 / 2025TEG-P0278)
Marketing Collaterals (All legs, 2 each leg) &gt;
Memorabilia
Total Budget = Php 20,000.00
This Request = Php 16,195.20
Balance = Php 3,804.80</t>
        </is>
      </c>
      <c r="AK1985"/>
    </row>
    <row r="1986" ht="25.5" customHeight="1">
      <c r="A1986" s="2" t="str">
        <f>=HYPERLINK("https://applink.larksuite.com/client/mini_program/open?appId=cli_9c7cc8a9a9edd105&amp;mode=appCenter&amp;path_pc=pc/pages/requested/index?instanceId=7611084796797701858&amp;source=bitable&amp;path=pages/detail/index?instanceId=7611084796797701858&amp;source=bitable", "202602260045")</f>
        <v>202602260045</v>
      </c>
      <c r="B1986" t="inlineStr">
        <is>
          <t>Approved</t>
        </is>
      </c>
      <c r="C1986" t="inlineStr">
        <is>
          <t>Procurement Order</t>
        </is>
      </c>
      <c r="D1986" s="3">
        <v>46079.67791666667</v>
      </c>
      <c r="E1986" s="3">
        <v>46079.727314814816</v>
      </c>
      <c r="F1986" t="inlineStr">
        <is>
          <t>Fatima Kathleen M. FLores</t>
        </is>
      </c>
      <c r="G1986" t="inlineStr">
        <is>
          <t>Procurement</t>
        </is>
      </c>
      <c r="H1986"/>
      <c r="I1986"/>
      <c r="J1986" t="inlineStr">
        <is>
          <t>Project</t>
        </is>
      </c>
      <c r="K1986" t="inlineStr">
        <is>
          <t>PDEI - Game Marketing</t>
        </is>
      </c>
      <c r="L1986" t="inlineStr">
        <is>
          <t>SM Cyberzone Trading Card Game (TCG) Activations</t>
        </is>
      </c>
      <c r="M1986" t="inlineStr">
        <is>
          <t>2025TEG-P0278</t>
        </is>
      </c>
      <c r="N1986" t="inlineStr">
        <is>
          <t>Alessandra Mae Villanueva Boado</t>
        </is>
      </c>
      <c r="O1986" t="inlineStr">
        <is>
          <t>202602120098-Alessandra Mae Villanueva Boado-费用报销 - 副本 - 副本 - 副本-2026-02-12 09:56:41</t>
        </is>
      </c>
      <c r="P1986" t="inlineStr">
        <is>
          <t>NO</t>
        </is>
      </c>
      <c r="Q1986"/>
      <c r="R1986" t="inlineStr">
        <is>
          <t>NO</t>
        </is>
      </c>
      <c r="S1986" t="inlineStr">
        <is>
          <t>Finger sleeve w/ plastic packaging</t>
        </is>
      </c>
      <c r="T1986">
        <v>20</v>
      </c>
      <c r="U1986">
        <v>28</v>
      </c>
      <c r="V1986" t="inlineStr">
        <is>
          <t>PHP</t>
        </is>
      </c>
      <c r="W1986">
        <v>560</v>
      </c>
      <c r="X1986" s="2"/>
      <c r="Y1986"/>
      <c r="Z1986"/>
      <c r="AA1986"/>
      <c r="AB1986"/>
      <c r="AC1986"/>
      <c r="AD1986" s="4"/>
      <c r="AE1986"/>
      <c r="AF1986" s="2"/>
      <c r="AG1986" t="inlineStr">
        <is>
          <t>NzQyNTk5MTgyNzQ4MTg3MDM0MTo2MkMzQUZEMi1CODkyLTRDQzctOEJCQy1GQzMzRTQ1OTE1RUYtMzo4ZjRiZjk1ZDlhMDg5MGE0OGUzMTNlM2U5YTdmODNhODox</t>
        </is>
      </c>
      <c r="AH1986"/>
      <c r="AI1986"/>
      <c r="AJ1986" t="inlineStr">
        <is>
          <t>LIQUIDITY PLAN (PAR # 202602090082 / 2025TEG-P0278)
Marketing Collaterals (All legs, 2 each leg) &gt;
Memorabilia
Total Budget = Php 20,000.00
This Request = Php 16,195.20
Balance = Php 3,804.80</t>
        </is>
      </c>
      <c r="AK1986"/>
    </row>
    <row r="1987" ht="25.5" customHeight="1">
      <c r="A1987" s="2" t="str">
        <f>=HYPERLINK("https://applink.larksuite.com/client/mini_program/open?appId=cli_9c7cc8a9a9edd105&amp;mode=appCenter&amp;path_pc=pc/pages/requested/index?instanceId=7611084796797701858&amp;source=bitable&amp;path=pages/detail/index?instanceId=7611084796797701858&amp;source=bitable", "202602260045")</f>
        <v>202602260045</v>
      </c>
      <c r="B1987" t="inlineStr">
        <is>
          <t>Approved</t>
        </is>
      </c>
      <c r="C1987" t="inlineStr">
        <is>
          <t>Procurement Order</t>
        </is>
      </c>
      <c r="D1987" s="3">
        <v>46079.67791666667</v>
      </c>
      <c r="E1987" s="3">
        <v>46079.727314814816</v>
      </c>
      <c r="F1987" t="inlineStr">
        <is>
          <t>Fatima Kathleen M. FLores</t>
        </is>
      </c>
      <c r="G1987" t="inlineStr">
        <is>
          <t>Procurement</t>
        </is>
      </c>
      <c r="H1987"/>
      <c r="I1987"/>
      <c r="J1987" t="inlineStr">
        <is>
          <t>Project</t>
        </is>
      </c>
      <c r="K1987" t="inlineStr">
        <is>
          <t>PDEI - Game Marketing</t>
        </is>
      </c>
      <c r="L1987" t="inlineStr">
        <is>
          <t>SM Cyberzone Trading Card Game (TCG) Activations</t>
        </is>
      </c>
      <c r="M1987" t="inlineStr">
        <is>
          <t>2025TEG-P0278</t>
        </is>
      </c>
      <c r="N1987" t="inlineStr">
        <is>
          <t>Alessandra Mae Villanueva Boado</t>
        </is>
      </c>
      <c r="O1987" t="inlineStr">
        <is>
          <t>202602120098-Alessandra Mae Villanueva Boado-费用报销 - 副本 - 副本 - 副本-2026-02-12 09:56:41</t>
        </is>
      </c>
      <c r="P1987" t="inlineStr">
        <is>
          <t>NO</t>
        </is>
      </c>
      <c r="Q1987"/>
      <c r="R1987" t="inlineStr">
        <is>
          <t>NO</t>
        </is>
      </c>
      <c r="S1987" t="inlineStr">
        <is>
          <t>Mini fan w/ UV DTF print</t>
        </is>
      </c>
      <c r="T1987">
        <v>20</v>
      </c>
      <c r="U1987">
        <v>268.8</v>
      </c>
      <c r="V1987" t="inlineStr">
        <is>
          <t>PHP</t>
        </is>
      </c>
      <c r="W1987">
        <v>5376</v>
      </c>
      <c r="X1987" s="2"/>
      <c r="Y1987"/>
      <c r="Z1987"/>
      <c r="AA1987"/>
      <c r="AB1987"/>
      <c r="AC1987"/>
      <c r="AD1987" s="4"/>
      <c r="AE1987"/>
      <c r="AF1987" s="2"/>
      <c r="AG1987" t="inlineStr">
        <is>
          <t>NzQyNTk5MTgyNzQ4MTg3MDM0MTo2MkMzQUZEMi1CODkyLTRDQzctOEJCQy1GQzMzRTQ1OTE1RUYtNDoxNzA1YjNkMzdiMzAzOTA0MDUxZTVjZjNhZTUwZGIwNTox</t>
        </is>
      </c>
      <c r="AH1987"/>
      <c r="AI1987"/>
      <c r="AJ1987" t="inlineStr">
        <is>
          <t>LIQUIDITY PLAN (PAR # 202602090082 / 2025TEG-P0278)
Marketing Collaterals (All legs, 2 each leg) &gt;
Memorabilia
Total Budget = Php 20,000.00
This Request = Php 16,195.20
Balance = Php 3,804.80</t>
        </is>
      </c>
      <c r="AK1987"/>
    </row>
    <row r="1988" ht="25.5" customHeight="1">
      <c r="A1988" s="2" t="str">
        <f>=HYPERLINK("https://applink.larksuite.com/client/mini_program/open?appId=cli_9c7cc8a9a9edd105&amp;mode=appCenter&amp;path_pc=pc/pages/requested/index?instanceId=7611084796797701858&amp;source=bitable&amp;path=pages/detail/index?instanceId=7611084796797701858&amp;source=bitable", "202602260045")</f>
        <v>202602260045</v>
      </c>
      <c r="B1988" t="inlineStr">
        <is>
          <t>Approved</t>
        </is>
      </c>
      <c r="C1988" t="inlineStr">
        <is>
          <t>Procurement Order</t>
        </is>
      </c>
      <c r="D1988" s="3">
        <v>46079.67791666667</v>
      </c>
      <c r="E1988" s="3">
        <v>46079.727314814816</v>
      </c>
      <c r="F1988" t="inlineStr">
        <is>
          <t>Fatima Kathleen M. FLores</t>
        </is>
      </c>
      <c r="G1988" t="inlineStr">
        <is>
          <t>Procurement</t>
        </is>
      </c>
      <c r="H1988"/>
      <c r="I1988"/>
      <c r="J1988" t="inlineStr">
        <is>
          <t>Project</t>
        </is>
      </c>
      <c r="K1988" t="inlineStr">
        <is>
          <t>PDEI - Game Marketing</t>
        </is>
      </c>
      <c r="L1988" t="inlineStr">
        <is>
          <t>SM Cyberzone Trading Card Game (TCG) Activations</t>
        </is>
      </c>
      <c r="M1988" t="inlineStr">
        <is>
          <t>2025TEG-P0278</t>
        </is>
      </c>
      <c r="N1988" t="inlineStr">
        <is>
          <t>Alessandra Mae Villanueva Boado</t>
        </is>
      </c>
      <c r="O1988" t="inlineStr">
        <is>
          <t>202602120098-Alessandra Mae Villanueva Boado-费用报销 - 副本 - 副本 - 副本-2026-02-12 09:56:41</t>
        </is>
      </c>
      <c r="P1988" t="inlineStr">
        <is>
          <t>NO</t>
        </is>
      </c>
      <c r="Q1988"/>
      <c r="R1988" t="inlineStr">
        <is>
          <t>NO</t>
        </is>
      </c>
      <c r="S1988" t="inlineStr">
        <is>
          <t>Portable cable kit</t>
        </is>
      </c>
      <c r="T1988">
        <v>20</v>
      </c>
      <c r="U1988">
        <v>207.2</v>
      </c>
      <c r="V1988" t="inlineStr">
        <is>
          <t>PHP</t>
        </is>
      </c>
      <c r="W1988">
        <v>4144</v>
      </c>
      <c r="X1988" s="2"/>
      <c r="Y1988"/>
      <c r="Z1988"/>
      <c r="AA1988"/>
      <c r="AB1988"/>
      <c r="AC1988"/>
      <c r="AD1988" s="4"/>
      <c r="AE1988"/>
      <c r="AF1988" s="2"/>
      <c r="AG1988" t="inlineStr">
        <is>
          <t>NzQyNTk5MTgyNzQ4MTg3MDM0MTo2MkMzQUZEMi1CODkyLTRDQzctOEJCQy1GQzMzRTQ1OTE1RUYtNTpjOThiYWI3NzBmYzZlYzM2OGY0ZGIzNzA4YWFlOGVhNDox</t>
        </is>
      </c>
      <c r="AH1988"/>
      <c r="AI1988"/>
      <c r="AJ1988" t="inlineStr">
        <is>
          <t>LIQUIDITY PLAN (PAR # 202602090082 / 2025TEG-P0278)
Marketing Collaterals (All legs, 2 each leg) &gt;
Memorabilia
Total Budget = Php 20,000.00
This Request = Php 16,195.20
Balance = Php 3,804.80</t>
        </is>
      </c>
      <c r="AK1988"/>
    </row>
    <row r="1989" ht="25.5" customHeight="1">
      <c r="A1989" s="2" t="str">
        <f>=HYPERLINK("https://applink.larksuite.com/client/mini_program/open?appId=cli_9c7cc8a9a9edd105&amp;mode=appCenter&amp;path_pc=pc/pages/requested/index?instanceId=7611084796797701858&amp;source=bitable&amp;path=pages/detail/index?instanceId=7611084796797701858&amp;source=bitable", "202602260045")</f>
        <v>202602260045</v>
      </c>
      <c r="B1989" t="inlineStr">
        <is>
          <t>Approved</t>
        </is>
      </c>
      <c r="C1989" t="inlineStr">
        <is>
          <t>Procurement Order</t>
        </is>
      </c>
      <c r="D1989" s="3">
        <v>46079.67791666667</v>
      </c>
      <c r="E1989" s="3">
        <v>46079.727314814816</v>
      </c>
      <c r="F1989" t="inlineStr">
        <is>
          <t>Fatima Kathleen M. FLores</t>
        </is>
      </c>
      <c r="G1989" t="inlineStr">
        <is>
          <t>Procurement</t>
        </is>
      </c>
      <c r="H1989"/>
      <c r="I1989"/>
      <c r="J1989" t="inlineStr">
        <is>
          <t>Project</t>
        </is>
      </c>
      <c r="K1989" t="inlineStr">
        <is>
          <t>PDEI - Game Marketing</t>
        </is>
      </c>
      <c r="L1989" t="inlineStr">
        <is>
          <t>SM Cyberzone Trading Card Game (TCG) Activations</t>
        </is>
      </c>
      <c r="M1989" t="inlineStr">
        <is>
          <t>2025TEG-P0278</t>
        </is>
      </c>
      <c r="N1989" t="inlineStr">
        <is>
          <t>Alessandra Mae Villanueva Boado</t>
        </is>
      </c>
      <c r="O1989" t="inlineStr">
        <is>
          <t>202602120098-Alessandra Mae Villanueva Boado-费用报销 - 副本 - 副本 - 副本-2026-02-12 09:56:41</t>
        </is>
      </c>
      <c r="P1989" t="inlineStr">
        <is>
          <t>NO</t>
        </is>
      </c>
      <c r="Q1989"/>
      <c r="R1989" t="inlineStr">
        <is>
          <t>NO</t>
        </is>
      </c>
      <c r="S1989" t="inlineStr">
        <is>
          <t>Tote bag 12"x14" Canvas Black, one side print</t>
        </is>
      </c>
      <c r="T1989">
        <v>20</v>
      </c>
      <c r="U1989">
        <v>100.8</v>
      </c>
      <c r="V1989" t="inlineStr">
        <is>
          <t>PHP</t>
        </is>
      </c>
      <c r="W1989">
        <v>2016</v>
      </c>
      <c r="X1989" s="2"/>
      <c r="Y1989"/>
      <c r="Z1989"/>
      <c r="AA1989"/>
      <c r="AB1989"/>
      <c r="AC1989"/>
      <c r="AD1989" s="4"/>
      <c r="AE1989"/>
      <c r="AF1989" s="2"/>
      <c r="AG1989" t="inlineStr">
        <is>
          <t>NzQyNTk5MTgyNzQ4MTg3MDM0MTo2MkMzQUZEMi1CODkyLTRDQzctOEJCQy1GQzMzRTQ1OTE1RUYtNjpiMWUwOTQzYWI4MmZmNjM0MTViZjJiYjg3YTBjYTgwMDox</t>
        </is>
      </c>
      <c r="AH1989"/>
      <c r="AI1989"/>
      <c r="AJ1989" t="inlineStr">
        <is>
          <t>LIQUIDITY PLAN (PAR # 202602090082 / 2025TEG-P0278)
Marketing Collaterals (All legs, 2 each leg) &gt;
Memorabilia
Total Budget = Php 20,000.00
This Request = Php 16,195.20
Balance = Php 3,804.80</t>
        </is>
      </c>
      <c r="AK1989"/>
    </row>
    <row r="1990" ht="25.5" customHeight="1">
      <c r="A1990" s="2" t="str">
        <f>=HYPERLINK("https://applink.larksuite.com/client/mini_program/open?appId=cli_9c7cc8a9a9edd105&amp;mode=appCenter&amp;path_pc=pc/pages/requested/index?instanceId=7611084796797701858&amp;source=bitable&amp;path=pages/detail/index?instanceId=7611084796797701858&amp;source=bitable", "202602260045")</f>
        <v>202602260045</v>
      </c>
      <c r="B1990" t="inlineStr">
        <is>
          <t>Approved</t>
        </is>
      </c>
      <c r="C1990" t="inlineStr">
        <is>
          <t>Procurement Order</t>
        </is>
      </c>
      <c r="D1990" s="3">
        <v>46079.67791666667</v>
      </c>
      <c r="E1990" s="3">
        <v>46079.727314814816</v>
      </c>
      <c r="F1990" t="inlineStr">
        <is>
          <t>Fatima Kathleen M. FLores</t>
        </is>
      </c>
      <c r="G1990" t="inlineStr">
        <is>
          <t>Procurement</t>
        </is>
      </c>
      <c r="H1990"/>
      <c r="I1990"/>
      <c r="J1990" t="inlineStr">
        <is>
          <t>Project</t>
        </is>
      </c>
      <c r="K1990" t="inlineStr">
        <is>
          <t>PDEI - Game Marketing</t>
        </is>
      </c>
      <c r="L1990" t="inlineStr">
        <is>
          <t>SM Cyberzone Trading Card Game (TCG) Activations</t>
        </is>
      </c>
      <c r="M1990" t="inlineStr">
        <is>
          <t>2025TEG-P0278</t>
        </is>
      </c>
      <c r="N1990" t="inlineStr">
        <is>
          <t>Alessandra Mae Villanueva Boado</t>
        </is>
      </c>
      <c r="O1990" t="inlineStr">
        <is>
          <t>202602120098-Alessandra Mae Villanueva Boado-费用报销 - 副本 - 副本 - 副本-2026-02-12 09:56:41</t>
        </is>
      </c>
      <c r="P1990" t="inlineStr">
        <is>
          <t>NO</t>
        </is>
      </c>
      <c r="Q1990"/>
      <c r="R1990" t="inlineStr">
        <is>
          <t>NO</t>
        </is>
      </c>
      <c r="S1990" t="inlineStr">
        <is>
          <t>Sample Fee</t>
        </is>
      </c>
      <c r="T1990">
        <v>1</v>
      </c>
      <c r="U1990">
        <v>896</v>
      </c>
      <c r="V1990" t="inlineStr">
        <is>
          <t>PHP</t>
        </is>
      </c>
      <c r="W1990">
        <v>896</v>
      </c>
      <c r="X1990" s="2" t="str">
        <f>=HYPERLINK("https://www.larksuite.com/approval/admin/previewAttachment?key=PMgxqsNADATQK82stBrpX-Y3Xkwg2E2IXensgRRpXyQROWlR8OIosBUk0lWhksCc2aMpFURN63Xs_-JxX-s9NjvP57z7emz7enGWxoDM3RIA_35ucveqcHw9PgEAAP__", "2 attachment(s)")</f>
        <v>2 attachment(s)</v>
      </c>
      <c r="Y1990"/>
      <c r="Z1990"/>
      <c r="AA1990"/>
      <c r="AB1990"/>
      <c r="AC1990"/>
      <c r="AD1990" s="4"/>
      <c r="AE1990"/>
      <c r="AF1990" s="2"/>
      <c r="AG1990" t="inlineStr">
        <is>
          <t>NzQyNTk5MTgyNzQ4MTg3MDM0MTo2MkMzQUZEMi1CODkyLTRDQzctOEJCQy1GQzMzRTQ1OTE1RUYtNzo3YTlkZGE5YmRjNmIzNGU1OTg5NDUzMjNiNWI4NGJkYjox</t>
        </is>
      </c>
      <c r="AH1990"/>
      <c r="AI1990"/>
      <c r="AJ1990" t="inlineStr">
        <is>
          <t>LIQUIDITY PLAN (PAR # 202602090082 / 2025TEG-P0278)
Marketing Collaterals (All legs, 2 each leg) &gt;
Memorabilia
Total Budget = Php 20,000.00
This Request = Php 16,195.20
Balance = Php 3,804.80</t>
        </is>
      </c>
      <c r="AK1990"/>
    </row>
    <row r="1991" ht="25.5" customHeight="1">
      <c r="A1991" s="2" t="str">
        <f>=HYPERLINK("https://applink.larksuite.com/client/mini_program/open?appId=cli_9c7cc8a9a9edd105&amp;mode=appCenter&amp;path_pc=pc/pages/requested/index?instanceId=7611106071289040610&amp;source=bitable&amp;path=pages/detail/index?instanceId=7611106071289040610&amp;source=bitable", "202602260067")</f>
        <v>202602260067</v>
      </c>
      <c r="B1991" t="inlineStr">
        <is>
          <t>Approved</t>
        </is>
      </c>
      <c r="C1991" t="inlineStr">
        <is>
          <t>Procurement Order</t>
        </is>
      </c>
      <c r="D1991" s="3">
        <v>46079.735243055555</v>
      </c>
      <c r="E1991" s="3">
        <v>46080.62190972222</v>
      </c>
      <c r="F1991" t="inlineStr">
        <is>
          <t>Fatima Kathleen M. FLores</t>
        </is>
      </c>
      <c r="G1991" t="inlineStr">
        <is>
          <t>Procurement</t>
        </is>
      </c>
      <c r="H1991"/>
      <c r="I1991"/>
      <c r="J1991" t="inlineStr">
        <is>
          <t>Project</t>
        </is>
      </c>
      <c r="K1991" t="inlineStr">
        <is>
          <t>PDEI - Game Marketing</t>
        </is>
      </c>
      <c r="L1991" t="inlineStr">
        <is>
          <t>SM Cyberzone Trading Card Game (TCG) Activations</t>
        </is>
      </c>
      <c r="M1991" t="inlineStr">
        <is>
          <t>2025TEG-P0278</t>
        </is>
      </c>
      <c r="N1991" t="inlineStr">
        <is>
          <t>Alessandra Mae Villanueva Boado</t>
        </is>
      </c>
      <c r="O1991" t="inlineStr">
        <is>
          <t>202602130119-Alessandra Mae Villanueva Boado-费用报销 - 副本 - 副本 - 副本-2026-02-13 13:58:59;202602130120-Alessandra Mae Villanueva Boado-费用报销 - 副本 - 副本 - 副本-2026-02-13 14:00:47</t>
        </is>
      </c>
      <c r="P1991" t="inlineStr">
        <is>
          <t>NO</t>
        </is>
      </c>
      <c r="Q1991"/>
      <c r="R1991" t="inlineStr">
        <is>
          <t>NO</t>
        </is>
      </c>
      <c r="S1991" t="inlineStr">
        <is>
          <t>Outsourced Photo &amp; Video Documentation Team (Mar 7-8 / Mar 28-29)</t>
        </is>
      </c>
      <c r="T1991">
        <v>1</v>
      </c>
      <c r="U1991">
        <v>70000</v>
      </c>
      <c r="V1991" t="inlineStr">
        <is>
          <t>PHP</t>
        </is>
      </c>
      <c r="W1991">
        <v>70000</v>
      </c>
      <c r="X1991" s="2" t="str">
        <f>=HYPERLINK("https://www.larksuite.com/approval/admin/previewAttachment?key=PMgxCsMwDAXQK_0vyZJ_L9MlxhSCsxRKF5-90CHry05kb_QUQjSBu5IkEkXrQiCJbZtVQrGa77Hm09f39Et2zdWOc-zP65jjzaYyQ3mEdwB83O4VEVIG_o5fAAAA__8", "3 attachment(s)")</f>
        <v>3 attachment(s)</v>
      </c>
      <c r="Y1991" t="inlineStr">
        <is>
          <t>Bank Transfer</t>
        </is>
      </c>
      <c r="Z1991" t="inlineStr">
        <is>
          <t>Leo Angelo Zeta Capeding</t>
        </is>
      </c>
      <c r="AA1991" t="inlineStr">
        <is>
          <t>0000023005038</t>
        </is>
      </c>
      <c r="AB1991" t="inlineStr">
        <is>
          <t>Security Bank</t>
        </is>
      </c>
      <c r="AC1991" t="inlineStr">
        <is>
          <t>1055, 49 Gen Lim, Brgy. Santa Cruz Quezon City,</t>
        </is>
      </c>
      <c r="AD1991" s="4">
        <v>46087</v>
      </c>
      <c r="AE1991" t="inlineStr">
        <is>
          <t>50% Down Payment upon confirmation
50% Final Payment upon completion of services</t>
        </is>
      </c>
      <c r="AF1991" s="2"/>
      <c r="AG1991" t="inlineStr">
        <is>
          <t>NzQyNTk5MTgyNzQ4MTg3MDM0MTo4MjUyMTA4My1GNjVBLTREQTYtQjgxNS1ENDQzN0NERDhDMjYtMToyODBmNGYxZTg4NDZiYmIyYTA2OGQ2N2EwM2JjMGM3Nzox</t>
        </is>
      </c>
      <c r="AH1991" t="inlineStr">
        <is>
          <t>Tiradores Media Productions</t>
        </is>
      </c>
      <c r="AI1991"/>
      <c r="AJ1991" t="inlineStr">
        <is>
          <t>LIQUIDITY PLAN (PAR # 202602090082 / 2025TEG-P0278)
SM North EDSA &gt; 
Photo Coverage
Video Shooter
Video Editor
Event Coverage (1x Event Highlight Reel 30s)
SM BF Paranaque &gt; 
Photo Coverage
Total Budget = Php 85,000.00
Actual Cost = Php 70,000.00
Balance = Php 15,000.00</t>
        </is>
      </c>
      <c r="AK1991"/>
    </row>
    <row r="1992" ht="25.5" customHeight="1">
      <c r="A1992" s="2" t="str">
        <f>=HYPERLINK("https://applink.larksuite.com/client/mini_program/open?appId=cli_9c7cc8a9a9edd105&amp;mode=appCenter&amp;path_pc=pc/pages/requested/index?instanceId=7611421422883213024&amp;source=bitable&amp;path=pages/detail/index?instanceId=7611421422883213024&amp;source=bitable", "202602270015")</f>
        <v>202602270015</v>
      </c>
      <c r="B1992" t="inlineStr">
        <is>
          <t>Approved</t>
        </is>
      </c>
      <c r="C1992" t="inlineStr">
        <is>
          <t>Procurement Order</t>
        </is>
      </c>
      <c r="D1992" s="3">
        <v>46080.58505787037</v>
      </c>
      <c r="E1992" s="3">
        <v>46080.65773148148</v>
      </c>
      <c r="F1992" t="inlineStr">
        <is>
          <t>Fatima Kathleen M. FLores</t>
        </is>
      </c>
      <c r="G1992" t="inlineStr">
        <is>
          <t>Procurement</t>
        </is>
      </c>
      <c r="H1992"/>
      <c r="I1992"/>
      <c r="J1992" t="inlineStr">
        <is>
          <t>Project</t>
        </is>
      </c>
      <c r="K1992" t="inlineStr">
        <is>
          <t>GG - Event Service</t>
        </is>
      </c>
      <c r="L1992" t="inlineStr">
        <is>
          <t>Philippine Kings League Spring Season 2026 (PKL)</t>
        </is>
      </c>
      <c r="M1992" t="inlineStr">
        <is>
          <t>2026TEG-P0037</t>
        </is>
      </c>
      <c r="N1992" t="inlineStr">
        <is>
          <t>Juvie Anne Asis Castres</t>
        </is>
      </c>
      <c r="O1992" t="inlineStr">
        <is>
          <t>202602130042-Juvie Anne Asis Castres-费用报销 - 副本 - 副本 - 副本-2026-02-13 04:21:51</t>
        </is>
      </c>
      <c r="P1992" t="inlineStr">
        <is>
          <t>YES</t>
        </is>
      </c>
      <c r="Q1992"/>
      <c r="R1992" t="inlineStr">
        <is>
          <t>NO</t>
        </is>
      </c>
      <c r="S1992" t="inlineStr">
        <is>
          <t>Outsourced Player Liaison Manpower</t>
        </is>
      </c>
      <c r="T1992">
        <v>1</v>
      </c>
      <c r="U1992">
        <v>25000</v>
      </c>
      <c r="V1992" t="inlineStr">
        <is>
          <t>PHP</t>
        </is>
      </c>
      <c r="W1992">
        <v>25000</v>
      </c>
      <c r="X1992" s="2" t="str">
        <f>=HYPERLINK("https://www.larksuite.com/approval/admin/previewAttachment?key=PMhBqgIxEATQK1VVV9Lpf5m_MQQXCgMyg5ucXXDh9vVB9NEYveCiCtzZSYuWxggxIG9tZhaS2WLP5_qfkeeh94rHiXYd-7rf1nyxVUrIsGMA4N_PI21XdePr-AQAAP__", "2 attachment(s)")</f>
        <v>2 attachment(s)</v>
      </c>
      <c r="Y1992" t="inlineStr">
        <is>
          <t>Bank Transfer</t>
        </is>
      </c>
      <c r="Z1992" t="inlineStr">
        <is>
          <t>Jimmy Montero Zapata Jr.</t>
        </is>
      </c>
      <c r="AA1992" t="inlineStr">
        <is>
          <t>8419297101</t>
        </is>
      </c>
      <c r="AB1992" t="inlineStr">
        <is>
          <t>BPI</t>
        </is>
      </c>
      <c r="AC1992" t="inlineStr">
        <is>
          <t>278E Sta,Teresita St, Sampaloc Manila</t>
        </is>
      </c>
      <c r="AD1992" s="4">
        <v>46087</v>
      </c>
      <c r="AE1992" t="inlineStr">
        <is>
          <t>1st Payment - Mar. 6, 2026
2nd Payment - Mar. 20, 2026
Final Payment - Apr. 10, 2026</t>
        </is>
      </c>
      <c r="AF1992" s="2"/>
      <c r="AG1992" t="inlineStr">
        <is>
          <t>NzQyNTk5MTgyNzQ4MTg3MDM0MTo5ODU5RDRCRS0xMjQxLTRBQkYtQkNGNC02OTEyMzA0MTgxM0UtMTpkYTgzYjU3MjcwODQxMGU1ODE1MzkyMTlhNWE3MDlkMjox</t>
        </is>
      </c>
      <c r="AH1992" t="inlineStr">
        <is>
          <t>Jimmy Montero Zapata Jr.</t>
        </is>
      </c>
      <c r="AI1992"/>
      <c r="AJ1992" t="inlineStr">
        <is>
          <t>LIQUIDITY PLAN (PAR # 202602120015 / 2026TEG-P0037)
REGULAR SEASON &gt; LABOR COST &gt; 
BROADCAST &amp; PRODUCTION &gt;
PLAYER CARE &amp; HOSPITALITY &gt; Player Liaisons
Total Remaining Budget = Php 26,300.00
Actual Cost = Php 25,000.00
Balance = Php 1,300.00</t>
        </is>
      </c>
      <c r="AK1992"/>
    </row>
    <row r="1993" ht="25.5" customHeight="1">
      <c r="A1993" s="2" t="str">
        <f>=HYPERLINK("https://applink.larksuite.com/client/mini_program/open?appId=cli_9c7cc8a9a9edd105&amp;mode=appCenter&amp;path_pc=pc/pages/requested/index?instanceId=7610310979080638174&amp;source=bitable&amp;path=pages/detail/index?instanceId=7610310979080638174&amp;source=bitable", "202602240044")</f>
        <v>202602240044</v>
      </c>
      <c r="B1993" t="inlineStr">
        <is>
          <t>Approved</t>
        </is>
      </c>
      <c r="C1993" t="inlineStr">
        <is>
          <t>Procurement Order</t>
        </is>
      </c>
      <c r="D1993" s="3">
        <v>46077.592627314814</v>
      </c>
      <c r="E1993" s="3">
        <v>46086.71717592593</v>
      </c>
      <c r="F1993" t="inlineStr">
        <is>
          <t>Fatima Kathleen M. FLores</t>
        </is>
      </c>
      <c r="G1993" t="inlineStr">
        <is>
          <t>Procurement</t>
        </is>
      </c>
      <c r="H1993"/>
      <c r="I1993"/>
      <c r="J1993" t="inlineStr">
        <is>
          <t>Project</t>
        </is>
      </c>
      <c r="K1993" t="inlineStr">
        <is>
          <t>GG - Event Service</t>
        </is>
      </c>
      <c r="L1993" t="inlineStr">
        <is>
          <t>HOK Philippine Kings League - Fall Season</t>
        </is>
      </c>
      <c r="M1993" t="inlineStr">
        <is>
          <t>2025TEG-P0219</t>
        </is>
      </c>
      <c r="N1993" t="inlineStr">
        <is>
          <t>Frances Angelita Arreglado</t>
        </is>
      </c>
      <c r="O1993" t="inlineStr">
        <is>
          <t>202601160041-Frances Angelita Arreglado-费用报销 - 副本 - 副本 - 副本-2026-01-16 09:37:57</t>
        </is>
      </c>
      <c r="P1993" t="inlineStr">
        <is>
          <t>NO</t>
        </is>
      </c>
      <c r="Q1993"/>
      <c r="R1993" t="inlineStr">
        <is>
          <t>YES</t>
        </is>
      </c>
      <c r="S1993" t="inlineStr">
        <is>
          <t>Outsourced Setmen and Crew Service</t>
        </is>
      </c>
      <c r="T1993">
        <v>1</v>
      </c>
      <c r="U1993">
        <v>60000</v>
      </c>
      <c r="V1993" t="inlineStr">
        <is>
          <t>PHP</t>
        </is>
      </c>
      <c r="W1993">
        <v>60000</v>
      </c>
      <c r="X1993" s="2" t="str">
        <f>=HYPERLINK("https://www.larksuite.com/approval/admin/previewAttachment?key=PMhLCgJBDATQK1Ul6VTiZdxMM4g_BGF2fXbBxWxfFpE16NmIpjW4lIQTrUYhvahYtig1RA1f87VfP_eNE4-nFWTvYx23bZ9fjpYZ5BFeAHg53RUR3Rn4O34BAAD__w", "2 attachment(s)")</f>
        <v>2 attachment(s)</v>
      </c>
      <c r="Y1993" t="inlineStr">
        <is>
          <t>Bank Transfer</t>
        </is>
      </c>
      <c r="Z1993" t="inlineStr">
        <is>
          <t>STAGE ONE EVENT SERVICES CORP.</t>
        </is>
      </c>
      <c r="AA1993" t="inlineStr">
        <is>
          <t>0124 0800 3549</t>
        </is>
      </c>
      <c r="AB1993" t="inlineStr">
        <is>
          <t>BDO</t>
        </is>
      </c>
      <c r="AC1993" t="inlineStr">
        <is>
          <t>Kamagong St. cor. Ipil St. Hillcrest Village, Brgy. 173 Camarin, Caloocan</t>
        </is>
      </c>
      <c r="AD1993" s="4">
        <v>46087</v>
      </c>
      <c r="AE1993" t="inlineStr">
        <is>
          <t>100% Full Payment</t>
        </is>
      </c>
      <c r="AF1993" s="2"/>
      <c r="AG1993" t="inlineStr">
        <is>
          <t>NzQyNTk5MTgyNzQ4MTg3MDM0MToyMTJCMDUyQS02QzU4LTQ3RDktQjEzOS03NEExOUE2MTY2OUEtMTplZjUwNjkzYTRkODEwZTg5NjNmOWVhZmIyMjljMmEwZTox</t>
        </is>
      </c>
      <c r="AH1993" t="inlineStr">
        <is>
          <t>STAGE ONE EVENT SERVICES CORP.</t>
        </is>
      </c>
      <c r="AI1993"/>
      <c r="AJ1993" t="inlineStr">
        <is>
          <t>LIQUIDITY PLAN (PAR # 202508190134 / 2025TEG-P0219)
INTERNAL 0820 COST ESTIMATE &gt; PLAYOFFS &gt;
Venue &amp; Stage &gt; OFF-STAGE FABRICATION
Total Remaining Budget = (Php 680,600.00) NEGATIVE BUDGET
Actual Cost = Php 85,000.00
Balance = (Php 765,600.00) OVER BUDGET</t>
        </is>
      </c>
      <c r="AK1993"/>
    </row>
    <row r="1994" ht="25.5" customHeight="1">
      <c r="A1994" s="2" t="str">
        <f>=HYPERLINK("https://applink.larksuite.com/client/mini_program/open?appId=cli_9c7cc8a9a9edd105&amp;mode=appCenter&amp;path_pc=pc/pages/requested/index?instanceId=7610310979080638174&amp;source=bitable&amp;path=pages/detail/index?instanceId=7610310979080638174&amp;source=bitable", "202602240044")</f>
        <v>202602240044</v>
      </c>
      <c r="B1994" t="inlineStr">
        <is>
          <t>Approved</t>
        </is>
      </c>
      <c r="C1994" t="inlineStr">
        <is>
          <t>Procurement Order</t>
        </is>
      </c>
      <c r="D1994" s="3">
        <v>46077.592627314814</v>
      </c>
      <c r="E1994" s="3">
        <v>46086.71717592593</v>
      </c>
      <c r="F1994" t="inlineStr">
        <is>
          <t>Fatima Kathleen M. FLores</t>
        </is>
      </c>
      <c r="G1994" t="inlineStr">
        <is>
          <t>Procurement</t>
        </is>
      </c>
      <c r="H1994"/>
      <c r="I1994"/>
      <c r="J1994" t="inlineStr">
        <is>
          <t>Project</t>
        </is>
      </c>
      <c r="K1994" t="inlineStr">
        <is>
          <t>GG - Event Service</t>
        </is>
      </c>
      <c r="L1994" t="inlineStr">
        <is>
          <t>HOK Philippine Kings League - Fall Season</t>
        </is>
      </c>
      <c r="M1994" t="inlineStr">
        <is>
          <t>2025TEG-P0219</t>
        </is>
      </c>
      <c r="N1994" t="inlineStr">
        <is>
          <t>Frances Angelita Arreglado</t>
        </is>
      </c>
      <c r="O1994" t="inlineStr">
        <is>
          <t>202601160041-Frances Angelita Arreglado-费用报销 - 副本 - 副本 - 副本-2026-01-16 09:37:57</t>
        </is>
      </c>
      <c r="P1994" t="inlineStr">
        <is>
          <t>NO</t>
        </is>
      </c>
      <c r="Q1994"/>
      <c r="R1994" t="inlineStr">
        <is>
          <t>YES</t>
        </is>
      </c>
      <c r="S1994" t="inlineStr">
        <is>
          <t>Stage Fabrication</t>
        </is>
      </c>
      <c r="T1994">
        <v>1</v>
      </c>
      <c r="U1994">
        <v>25000</v>
      </c>
      <c r="V1994" t="inlineStr">
        <is>
          <t>PHP</t>
        </is>
      </c>
      <c r="W1994">
        <v>25000</v>
      </c>
      <c r="X1994" s="2" t="str">
        <f>=HYPERLINK("https://www.larksuite.com/approval/admin/previewAttachment?key=PMhLCgJBDATQK1Ul6VTiZdxMM4g_BGF2fXbBxWxfFpE16NmIpjW4lIQTrUYhvahYtig1RA1f87VfP_eNE4-nFWTvYx23bZ9fjpYZ5BFeAHg53RUR3Rn4O38BAAD__w", "1 attachment(s)")</f>
        <v>1 attachment(s)</v>
      </c>
      <c r="Y1994"/>
      <c r="Z1994"/>
      <c r="AA1994"/>
      <c r="AB1994"/>
      <c r="AC1994"/>
      <c r="AD1994" s="4"/>
      <c r="AE1994"/>
      <c r="AF1994" s="2"/>
      <c r="AG1994" t="inlineStr">
        <is>
          <t>NzQyNTk5MTgyNzQ4MTg3MDM0MToyMTJCMDUyQS02QzU4LTQ3RDktQjEzOS03NEExOUE2MTY2OUEtMjpjNGU5ZTc4MDI2NTJlYTAxZjMyYWViODY4OTA1MTA4Zjox</t>
        </is>
      </c>
      <c r="AH1994"/>
      <c r="AI1994"/>
      <c r="AJ1994" t="inlineStr">
        <is>
          <t>LIQUIDITY PLAN (PAR # 202508190134 / 2025TEG-P0219)
INTERNAL 0820 COST ESTIMATE &gt; PLAYOFFS &gt;
Venue &amp; Stage &gt; OFF-STAGE FABRICATION
Total Remaining Budget = (Php 680,600.00) NEGATIVE BUDGET
Actual Cost = Php 85,000.00
Balance = (Php 765,600.00) OVER BUDGET</t>
        </is>
      </c>
      <c r="AK1994"/>
    </row>
    <row r="1995" ht="25.5" customHeight="1">
      <c r="A1995" s="2" t="str">
        <f>=HYPERLINK("https://applink.larksuite.com/client/mini_program/open?appId=cli_9c7cc8a9a9edd105&amp;mode=appCenter&amp;path_pc=pc/pages/requested/index?instanceId=7611484070421253858&amp;source=bitable&amp;path=pages/detail/index?instanceId=7611484070421253858&amp;source=bitable", "202602270041")</f>
        <v>202602270041</v>
      </c>
      <c r="B1995" t="inlineStr">
        <is>
          <t>Approved</t>
        </is>
      </c>
      <c r="C1995" t="inlineStr">
        <is>
          <t>Procurement Order</t>
        </is>
      </c>
      <c r="D1995" s="3">
        <v>46080.75387731481</v>
      </c>
      <c r="E1995" s="3">
        <v>46080.80278935185</v>
      </c>
      <c r="F1995" t="inlineStr">
        <is>
          <t>Fatima Kathleen M. FLores</t>
        </is>
      </c>
      <c r="G1995" t="inlineStr">
        <is>
          <t>Procurement</t>
        </is>
      </c>
      <c r="H1995"/>
      <c r="I1995"/>
      <c r="J1995" t="inlineStr">
        <is>
          <t>Project</t>
        </is>
      </c>
      <c r="K1995" t="inlineStr">
        <is>
          <t>PDEI - Game Marketing</t>
        </is>
      </c>
      <c r="L1995" t="inlineStr">
        <is>
          <t>Beyblade IP Tournament</t>
        </is>
      </c>
      <c r="M1995" t="inlineStr">
        <is>
          <t>2026TEG-P0038</t>
        </is>
      </c>
      <c r="N1995" t="inlineStr">
        <is>
          <t>Maura Aurel Atilano Yap</t>
        </is>
      </c>
      <c r="O1995" t="inlineStr">
        <is>
          <t>202602180059-Maura Aurel Atilano Yap-费用报销 - 副本 - 副本 - 副本-2026-02-18 07:22:34</t>
        </is>
      </c>
      <c r="P1995" t="inlineStr">
        <is>
          <t>YES</t>
        </is>
      </c>
      <c r="Q1995"/>
      <c r="R1995" t="inlineStr">
        <is>
          <t>NO</t>
        </is>
      </c>
      <c r="S1995" t="inlineStr">
        <is>
          <t>Outsourced Game Organizer</t>
        </is>
      </c>
      <c r="T1995">
        <v>1</v>
      </c>
      <c r="U1995">
        <v>10000</v>
      </c>
      <c r="V1995" t="inlineStr">
        <is>
          <t>PHP</t>
        </is>
      </c>
      <c r="W1995">
        <v>10000</v>
      </c>
      <c r="X1995" s="2" t="str">
        <f>=HYPERLINK("https://www.larksuite.com/approval/admin/previewAttachment?key=PMhBqgJBDATQK1Ul1Z3kX-ZvehgcdEAQFBc5u-DC7ZtJzBz0WVDRCuyYpFIIyGjDc2RbM6IQjOG9nfv_-a77dcWx-Mqbjn5e1r49OCrMEC55AuDfzz0kVU3h6_gEAAD__w", "2 attachment(s)")</f>
        <v>2 attachment(s)</v>
      </c>
      <c r="Y1995" t="inlineStr">
        <is>
          <t>Bank Transfer</t>
        </is>
      </c>
      <c r="Z1995" t="inlineStr">
        <is>
          <t>Arjay Santie Magcalas</t>
        </is>
      </c>
      <c r="AA1995" t="inlineStr">
        <is>
          <t>109425585622</t>
        </is>
      </c>
      <c r="AB1995" t="inlineStr">
        <is>
          <t>UnionBank</t>
        </is>
      </c>
      <c r="AC1995" t="inlineStr">
        <is>
          <t>Vista Real Ave Brgy. Matandang Balara Quezon City</t>
        </is>
      </c>
      <c r="AD1995" s="4">
        <v>46087</v>
      </c>
      <c r="AE1995" t="inlineStr">
        <is>
          <t>100% Full Payment - March 6, 2026</t>
        </is>
      </c>
      <c r="AF1995" s="2"/>
      <c r="AG1995" t="inlineStr">
        <is>
          <t>NzQyNTk5MTgyNzQ4MTg3MDM0MTozQUI5QzlFMi1FMzg4LTQ5NEMtOUIxMy01MjYzOUQzODdBODMtMTplZGVmYWU0YTI2ZjkwMjMwMWFlMjBlY2QzODg3MDY3Nzox</t>
        </is>
      </c>
      <c r="AH1995" t="inlineStr">
        <is>
          <t>Arjay Santie Magcalas</t>
        </is>
      </c>
      <c r="AI1995"/>
      <c r="AJ1995" t="inlineStr">
        <is>
          <t>LIQUIDITY PLAN (PAR # 202602160060 / 2026TEG-P0038)
MANPOWER &gt; Project Planning &gt;
Management Fee
LOPS + Stadium
Total Budget = Php 10,000.00
Actual Cost = Php 10,000.00</t>
        </is>
      </c>
      <c r="AK1995"/>
    </row>
    <row r="1996" ht="25.5" customHeight="1">
      <c r="A1996" s="2" t="str">
        <f>=HYPERLINK("https://applink.larksuite.com/client/mini_program/open?appId=cli_9c7cc8a9a9edd105&amp;mode=appCenter&amp;path_pc=pc/pages/requested/index?instanceId=7611486513961520861&amp;source=bitable&amp;path=pages/detail/index?instanceId=7611486513961520861&amp;source=bitable", "202602270046")</f>
        <v>202602270046</v>
      </c>
      <c r="B1996" t="inlineStr">
        <is>
          <t>Approved</t>
        </is>
      </c>
      <c r="C1996" t="inlineStr">
        <is>
          <t>Procurement Order</t>
        </is>
      </c>
      <c r="D1996" s="3">
        <v>46080.760462962964</v>
      </c>
      <c r="E1996" s="3">
        <v>46080.80359953704</v>
      </c>
      <c r="F1996" t="inlineStr">
        <is>
          <t>Fatima Kathleen M. FLores</t>
        </is>
      </c>
      <c r="G1996" t="inlineStr">
        <is>
          <t>Procurement</t>
        </is>
      </c>
      <c r="H1996"/>
      <c r="I1996"/>
      <c r="J1996" t="inlineStr">
        <is>
          <t>Project</t>
        </is>
      </c>
      <c r="K1996" t="inlineStr">
        <is>
          <t>PDEI - Slash</t>
        </is>
      </c>
      <c r="L1996" t="inlineStr">
        <is>
          <t>Manila Gin Festival 2026</t>
        </is>
      </c>
      <c r="M1996" t="inlineStr">
        <is>
          <t>2026TEG-P0040</t>
        </is>
      </c>
      <c r="N1996" t="inlineStr">
        <is>
          <t>Arvin Evangelista Dela Cruz</t>
        </is>
      </c>
      <c r="O1996" t="inlineStr">
        <is>
          <t>202602180109-Arvin Evangelista Dela Cruz-费用报销 - 副本 - 副本 - 副本-2026-02-18 14:42:23</t>
        </is>
      </c>
      <c r="P1996" t="inlineStr">
        <is>
          <t>YES</t>
        </is>
      </c>
      <c r="Q1996"/>
      <c r="R1996" t="inlineStr">
        <is>
          <t>NO</t>
        </is>
      </c>
      <c r="S1996" t="inlineStr">
        <is>
          <t>Outsourced Tech Support</t>
        </is>
      </c>
      <c r="T1996">
        <v>1</v>
      </c>
      <c r="U1996">
        <v>12000</v>
      </c>
      <c r="V1996" t="inlineStr">
        <is>
          <t>PHP</t>
        </is>
      </c>
      <c r="W1996">
        <v>12000</v>
      </c>
      <c r="X1996" s="2" t="str">
        <f>=HYPERLINK("https://www.larksuite.com/approval/admin/previewAttachment?key=PMgrDgJBEATQK1VN_7kMZicdxIIh4PrsJIi1z5PwNIoXtLgKnHBS041STltI56xhRCEYJrOffTfb_Tn4srPZp8z3cfR-0yrWQoiqJADeLpdQ1SpX_B2_AAAA__8", "2 attachment(s)")</f>
        <v>2 attachment(s)</v>
      </c>
      <c r="Y1996" t="inlineStr">
        <is>
          <t>Bank Transfer</t>
        </is>
      </c>
      <c r="Z1996" t="inlineStr">
        <is>
          <t>Jhun Aldrin Manes</t>
        </is>
      </c>
      <c r="AA1996" t="inlineStr">
        <is>
          <t>09668330217</t>
        </is>
      </c>
      <c r="AB1996" t="inlineStr">
        <is>
          <t>GCash</t>
        </is>
      </c>
      <c r="AC1996" t="inlineStr">
        <is>
          <t>2042 Candido St. Brgy. Mapulang Lupa. Valenzuela City</t>
        </is>
      </c>
      <c r="AD1996" s="4">
        <v>46087</v>
      </c>
      <c r="AE1996" t="inlineStr">
        <is>
          <t>100% Full Payment - March 6, 2026</t>
        </is>
      </c>
      <c r="AF1996" s="2"/>
      <c r="AG1996" t="inlineStr">
        <is>
          <t>NzQyNTk5MTgyNzQ4MTg3MDM0MTo4MzExOUVCMS0zMzZFLTQwRjMtQUVBNS1BNDRGN0Q2MjFCQzktMTo2ZmUzZWQ2NjQ3NzQ3MjY4YjMxZTBmOGM3NWU3MDhjMzox</t>
        </is>
      </c>
      <c r="AH1996" t="inlineStr">
        <is>
          <t>Jhun Aldrin Manes</t>
        </is>
      </c>
      <c r="AI1996"/>
      <c r="AJ1996" t="inlineStr">
        <is>
          <t>LIQUIDITY PLAN (PAR # 202602110043 / 2026TEG-P0040)
Slash booth at manila gin manning and assistants
Slash On-Ground Support
Total Remaining Budget = Php 12,000.00
Actual Cost = Php 12,000.00</t>
        </is>
      </c>
      <c r="AK1996"/>
    </row>
    <row r="1997" ht="25.5" customHeight="1">
      <c r="A1997" s="2" t="str">
        <f>=HYPERLINK("https://applink.larksuite.com/client/mini_program/open?appId=cli_9c7cc8a9a9edd105&amp;mode=appCenter&amp;path_pc=pc/pages/requested/index?instanceId=7611485720200449758&amp;source=bitable&amp;path=pages/detail/index?instanceId=7611485720200449758&amp;source=bitable", "202602270045")</f>
        <v>202602270045</v>
      </c>
      <c r="B1997" t="inlineStr">
        <is>
          <t>Approved</t>
        </is>
      </c>
      <c r="C1997" t="inlineStr">
        <is>
          <t>Procurement Order</t>
        </is>
      </c>
      <c r="D1997" s="3">
        <v>46080.75832175926</v>
      </c>
      <c r="E1997" s="3">
        <v>46080.803923611114</v>
      </c>
      <c r="F1997" t="inlineStr">
        <is>
          <t>Fatima Kathleen M. FLores</t>
        </is>
      </c>
      <c r="G1997" t="inlineStr">
        <is>
          <t>Procurement</t>
        </is>
      </c>
      <c r="H1997"/>
      <c r="I1997"/>
      <c r="J1997" t="inlineStr">
        <is>
          <t>Project</t>
        </is>
      </c>
      <c r="K1997" t="inlineStr">
        <is>
          <t>PDEI - Slash</t>
        </is>
      </c>
      <c r="L1997" t="inlineStr">
        <is>
          <t>Manila Gin Festival 2026</t>
        </is>
      </c>
      <c r="M1997" t="inlineStr">
        <is>
          <t>2026TEG-P0040</t>
        </is>
      </c>
      <c r="N1997" t="inlineStr">
        <is>
          <t>Arvin Evangelista Dela Cruz</t>
        </is>
      </c>
      <c r="O1997" t="inlineStr">
        <is>
          <t>202602180109-Arvin Evangelista Dela Cruz-费用报销 - 副本 - 副本 - 副本-2026-02-18 14:42:23</t>
        </is>
      </c>
      <c r="P1997" t="inlineStr">
        <is>
          <t>YES</t>
        </is>
      </c>
      <c r="Q1997"/>
      <c r="R1997" t="inlineStr">
        <is>
          <t>NO</t>
        </is>
      </c>
      <c r="S1997" t="inlineStr">
        <is>
          <t>Outsourced Booth Manpower &amp; Assistants</t>
        </is>
      </c>
      <c r="T1997">
        <v>1</v>
      </c>
      <c r="U1997">
        <v>10200</v>
      </c>
      <c r="V1997" t="inlineStr">
        <is>
          <t>PHP</t>
        </is>
      </c>
      <c r="W1997">
        <v>10200</v>
      </c>
      <c r="X1997" s="2" t="str">
        <f>=HYPERLINK("https://www.larksuite.com/approval/admin/previewAttachment?key=PMgxCgJBDAXQK_0kP_MTL2PjMrjC2ogLFnN2wcL2jTKMSovRYJs3bGmYsVIOB8hW1vJlUkOmjLUd87qfH_Bx7M98x6xtnffb3F6WLXcoyCgAdvl7iGT3IH6ObwAAAP__", "2 attachment(s)")</f>
        <v>2 attachment(s)</v>
      </c>
      <c r="Y1997" t="inlineStr">
        <is>
          <t>Bank Transfer</t>
        </is>
      </c>
      <c r="Z1997" t="inlineStr">
        <is>
          <t>John Enric Puno</t>
        </is>
      </c>
      <c r="AA1997" t="inlineStr">
        <is>
          <t>000690087837</t>
        </is>
      </c>
      <c r="AB1997" t="inlineStr">
        <is>
          <t>BDO</t>
        </is>
      </c>
      <c r="AC1997" t="inlineStr">
        <is>
          <t>1728 G. Perfecto st. Tondo manila</t>
        </is>
      </c>
      <c r="AD1997" s="4">
        <v>46087</v>
      </c>
      <c r="AE1997" t="inlineStr">
        <is>
          <t>100% Full Payment - March 6, 2026</t>
        </is>
      </c>
      <c r="AF1997" s="2"/>
      <c r="AG1997" t="inlineStr">
        <is>
          <t>NzQyNTk5MTgyNzQ4MTg3MDM0MTpCOTFGNzQyMS0xQjhELTREQzMtQjFCNi1GOTBENTA5MThDQjktMTpmZmRlMDQ1YmY5MzQ1NmZkOTE0YzA1MjY3MWU0YmRkOTox</t>
        </is>
      </c>
      <c r="AH1997" t="inlineStr">
        <is>
          <t>John Enric Puno</t>
        </is>
      </c>
      <c r="AI1997"/>
      <c r="AJ1997" t="inlineStr">
        <is>
          <t>LIQUIDITY PLAN (PAR # 202602110043 / 2026TEG-P0040)
Slash booth at manila gin manning and assistants
Total Budget = Php 12,000.00
Actual Cost = Php 10,200.00
Balance = Php 1,800.00</t>
        </is>
      </c>
      <c r="AK1997"/>
    </row>
    <row r="1998" ht="25.5" customHeight="1">
      <c r="A1998" s="2" t="str">
        <f>=HYPERLINK("https://applink.larksuite.com/client/mini_program/open?appId=cli_9c7cc8a9a9edd105&amp;mode=appCenter&amp;path_pc=pc/pages/requested/index?instanceId=7611488659996430049&amp;source=bitable&amp;path=pages/detail/index?instanceId=7611488659996430049&amp;source=bitable", "202602270049")</f>
        <v>202602270049</v>
      </c>
      <c r="B1998" t="inlineStr">
        <is>
          <t>Approved</t>
        </is>
      </c>
      <c r="C1998" t="inlineStr">
        <is>
          <t>Procurement Order</t>
        </is>
      </c>
      <c r="D1998" s="3">
        <v>46080.76625</v>
      </c>
      <c r="E1998" s="3">
        <v>46080.804710648146</v>
      </c>
      <c r="F1998" t="inlineStr">
        <is>
          <t>Fatima Kathleen M. FLores</t>
        </is>
      </c>
      <c r="G1998" t="inlineStr">
        <is>
          <t>Procurement</t>
        </is>
      </c>
      <c r="H1998"/>
      <c r="I1998"/>
      <c r="J1998" t="inlineStr">
        <is>
          <t>Project</t>
        </is>
      </c>
      <c r="K1998" t="inlineStr">
        <is>
          <t>GG - Event Service</t>
        </is>
      </c>
      <c r="L1998" t="inlineStr">
        <is>
          <t>Philippine Kings League Spring Season 2026 (PKL)</t>
        </is>
      </c>
      <c r="M1998" t="inlineStr">
        <is>
          <t>2026TEG-P0037</t>
        </is>
      </c>
      <c r="N1998" t="inlineStr">
        <is>
          <t>Juvie Anne Asis Castres</t>
        </is>
      </c>
      <c r="O1998" t="inlineStr">
        <is>
          <t>202602190013-Juvie Anne Asis Castres-费用报销 - 副本 - 副本 - 副本-2026-02-19 03:11:42</t>
        </is>
      </c>
      <c r="P1998" t="inlineStr">
        <is>
          <t>YES</t>
        </is>
      </c>
      <c r="Q1998"/>
      <c r="R1998" t="inlineStr">
        <is>
          <t>NO</t>
        </is>
      </c>
      <c r="S1998" t="inlineStr">
        <is>
          <t>Outsourced Show Producer</t>
        </is>
      </c>
      <c r="T1998">
        <v>1</v>
      </c>
      <c r="U1998">
        <v>20000</v>
      </c>
      <c r="V1998" t="inlineStr">
        <is>
          <t>PHP</t>
        </is>
      </c>
      <c r="W1998">
        <v>20000</v>
      </c>
      <c r="X1998" s="2" t="str">
        <f>=HYPERLINK("https://www.larksuite.com/approval/admin/previewAttachment?key=PMwxqkIxEAXQLd07M5nJ_Zv5jY8givBAEqusXbSwPcXJTmRv9BRCNIG7kozes0nKcCC0bbNKKFbzfTzGvy2M29Q8l73u59zrehnHk01lhvII7wD493OviPiE-DreAQAA__8", "2 attachment(s)")</f>
        <v>2 attachment(s)</v>
      </c>
      <c r="Y1998" t="inlineStr">
        <is>
          <t>Bank Transfer</t>
        </is>
      </c>
      <c r="Z1998" t="inlineStr">
        <is>
          <t>Jessamine Elise C. Sagcal</t>
        </is>
      </c>
      <c r="AA1998" t="inlineStr">
        <is>
          <t>2679-1185-63</t>
        </is>
      </c>
      <c r="AB1998" t="inlineStr">
        <is>
          <t>BPI</t>
        </is>
      </c>
      <c r="AC1998" t="inlineStr">
        <is>
          <t>30 TLR Town Homes, Fast Track St., Moonwalk, Paranaque</t>
        </is>
      </c>
      <c r="AD1998" s="4">
        <v>46087</v>
      </c>
      <c r="AE1998" t="inlineStr">
        <is>
          <t>1st Payment - Mar. 6, 2026
Final Payment - Apr. 10, 2026</t>
        </is>
      </c>
      <c r="AF1998" s="2"/>
      <c r="AG1998" t="inlineStr">
        <is>
          <t>NzQyNTk5MTgyNzQ4MTg3MDM0MTo1MjhBNURFQi05OTQ1LTQyMEMtOTQzMy00OEVDOUQwM0ZDNEItMToyMThjMzBlNWE5YWVlYjY3OGIxM2IxNzU3NDJhOTE0Yjox</t>
        </is>
      </c>
      <c r="AH1998" t="inlineStr">
        <is>
          <t>Jessamine Elise C. Sagcal</t>
        </is>
      </c>
      <c r="AI1998"/>
      <c r="AJ1998" t="inlineStr">
        <is>
          <t>LIQUIDITY PLAN (PAR # 202602120015 / 2026TEG-P0037)
REGULAR SEASON &gt; LABOR COST &gt; 
BROADCAST &amp; PRODUCTION &gt; Producer (Consultant)
Total Budget = Php 20,000.00
Actual Cost = Php 20,000.00</t>
        </is>
      </c>
      <c r="AK1998"/>
    </row>
    <row r="1999" ht="25.5" customHeight="1">
      <c r="A1999" s="2" t="str">
        <f>=HYPERLINK("https://applink.larksuite.com/client/mini_program/open?appId=cli_9c7cc8a9a9edd105&amp;mode=appCenter&amp;path_pc=pc/pages/requested/index?instanceId=7611491714049527517&amp;source=bitable&amp;path=pages/detail/index?instanceId=7611491714049527517&amp;source=bitable", "202602270052")</f>
        <v>202602270052</v>
      </c>
      <c r="B1999" t="inlineStr">
        <is>
          <t>Approved</t>
        </is>
      </c>
      <c r="C1999" t="inlineStr">
        <is>
          <t>Procurement Order</t>
        </is>
      </c>
      <c r="D1999" s="3">
        <v>46080.77447916667</v>
      </c>
      <c r="E1999" s="3">
        <v>46084.61685185185</v>
      </c>
      <c r="F1999" t="inlineStr">
        <is>
          <t>Fatima Kathleen M. FLores</t>
        </is>
      </c>
      <c r="G1999" t="inlineStr">
        <is>
          <t>Procurement</t>
        </is>
      </c>
      <c r="H1999"/>
      <c r="I1999"/>
      <c r="J1999" t="inlineStr">
        <is>
          <t>Project</t>
        </is>
      </c>
      <c r="K1999" t="inlineStr">
        <is>
          <t>GG - Event Service</t>
        </is>
      </c>
      <c r="L1999" t="inlineStr">
        <is>
          <t>Philippine Kings League Spring Season 2026 (PKL)</t>
        </is>
      </c>
      <c r="M1999" t="inlineStr">
        <is>
          <t>2026TEG-P0037</t>
        </is>
      </c>
      <c r="N1999" t="inlineStr">
        <is>
          <t>Juvie Anne Asis Castres</t>
        </is>
      </c>
      <c r="O1999" t="inlineStr">
        <is>
          <t>202602200009-Juvie Anne Asis Castres-费用报销 - 副本 - 副本 - 副本-2026-02-20 02:44:38</t>
        </is>
      </c>
      <c r="P1999" t="inlineStr">
        <is>
          <t>YES</t>
        </is>
      </c>
      <c r="Q1999"/>
      <c r="R1999" t="inlineStr">
        <is>
          <t>YES</t>
        </is>
      </c>
      <c r="S1999" t="inlineStr">
        <is>
          <t>Outsourced Stage Hands (Regular Season)</t>
        </is>
      </c>
      <c r="T1999">
        <v>1</v>
      </c>
      <c r="U1999">
        <v>18000</v>
      </c>
      <c r="V1999" t="inlineStr">
        <is>
          <t>PHP</t>
        </is>
      </c>
      <c r="W1999">
        <v>18000</v>
      </c>
      <c r="X1999" s="2" t="str">
        <f>=HYPERLINK("https://www.larksuite.com/approval/admin/previewAttachment?key=PMgxqgJBEATQK1V1V09t_8v8xGGQBU2EBYM5u2Bg-sZBjKOYo6FmNLg9SDVNQV3honds2g3TlXs-1n-ftZ6VZ2rG-8K-7rc1X6x2BJxSHgD49_O0pO4hfB2fAAAA__8", "2 attachment(s)")</f>
        <v>2 attachment(s)</v>
      </c>
      <c r="Y1999" t="inlineStr">
        <is>
          <t>Bank Transfer</t>
        </is>
      </c>
      <c r="Z1999" t="inlineStr">
        <is>
          <t>John Benigno R. Magat</t>
        </is>
      </c>
      <c r="AA1999" t="inlineStr">
        <is>
          <t>046110005388</t>
        </is>
      </c>
      <c r="AB1999" t="inlineStr">
        <is>
          <t>PSBank</t>
        </is>
      </c>
      <c r="AC1999" t="inlineStr">
        <is>
          <t>228 Grissom st. Brgy Moonwalk Paranaque Metro Manila</t>
        </is>
      </c>
      <c r="AD1999" s="4">
        <v>46087</v>
      </c>
      <c r="AE1999" t="inlineStr">
        <is>
          <t>1st Payment - Mar. 6, 2026
2nd Payment - Mar. 20, 2006
Final Payment - Apr. 10, 2026</t>
        </is>
      </c>
      <c r="AF1999" s="2"/>
      <c r="AG1999" t="inlineStr">
        <is>
          <t>NzQyNTk5MTgyNzQ4MTg3MDM0MTo5Nzg2OTUwMi03OUVCLTRGRjEtOUJDMy1EQ0ZEQThCRUUyRjgtMTo0ZDcwMmQ4MjJhZGU4ODU3NDNiZmMxMzQwZjYwOGUwOTox</t>
        </is>
      </c>
      <c r="AH1999" t="inlineStr">
        <is>
          <t>John Benigno R. Magat</t>
        </is>
      </c>
      <c r="AI1999"/>
      <c r="AJ1999" t="inlineStr">
        <is>
          <t>No line item in internal CE (under Regular Season). Unbudgeted.</t>
        </is>
      </c>
      <c r="AK1999"/>
    </row>
    <row r="2000" ht="25.5" customHeight="1">
      <c r="A2000" s="2" t="str">
        <f>=HYPERLINK("https://applink.larksuite.com/client/mini_program/open?appId=cli_9c7cc8a9a9edd105&amp;mode=appCenter&amp;path_pc=pc/pages/requested/index?instanceId=7611489532793376476&amp;source=bitable&amp;path=pages/detail/index?instanceId=7611489532793376476&amp;source=bitable", "202602270051")</f>
        <v>202602270051</v>
      </c>
      <c r="B2000" t="inlineStr">
        <is>
          <t>Approved</t>
        </is>
      </c>
      <c r="C2000" t="inlineStr">
        <is>
          <t>Procurement Order</t>
        </is>
      </c>
      <c r="D2000" s="3">
        <v>46080.768599537034</v>
      </c>
      <c r="E2000" s="3">
        <v>46084.6215625</v>
      </c>
      <c r="F2000" t="inlineStr">
        <is>
          <t>Fatima Kathleen M. FLores</t>
        </is>
      </c>
      <c r="G2000" t="inlineStr">
        <is>
          <t>Procurement</t>
        </is>
      </c>
      <c r="H2000"/>
      <c r="I2000"/>
      <c r="J2000" t="inlineStr">
        <is>
          <t>Project</t>
        </is>
      </c>
      <c r="K2000" t="inlineStr">
        <is>
          <t>GG - Event Service</t>
        </is>
      </c>
      <c r="L2000" t="inlineStr">
        <is>
          <t>Philippine Kings League Spring Season 2026 (PKL)</t>
        </is>
      </c>
      <c r="M2000" t="inlineStr">
        <is>
          <t>2026TEG-P0037</t>
        </is>
      </c>
      <c r="N2000" t="inlineStr">
        <is>
          <t>Juvie Anne Asis Castres</t>
        </is>
      </c>
      <c r="O2000" t="inlineStr">
        <is>
          <t>202602190076-Juvie Anne Asis Castres-费用报销 - 副本 - 副本 - 副本-2026-02-19 08:51:26</t>
        </is>
      </c>
      <c r="P2000" t="inlineStr">
        <is>
          <t>YES</t>
        </is>
      </c>
      <c r="Q2000"/>
      <c r="R2000" t="inlineStr">
        <is>
          <t>YES</t>
        </is>
      </c>
      <c r="S2000" t="inlineStr">
        <is>
          <t>Outsourced Logistics Associates (Rehearsals)</t>
        </is>
      </c>
      <c r="T2000">
        <v>1</v>
      </c>
      <c r="U2000">
        <v>6000</v>
      </c>
      <c r="V2000" t="inlineStr">
        <is>
          <t>PHP</t>
        </is>
      </c>
      <c r="W2000">
        <v>6000</v>
      </c>
      <c r="X2000" s="2" t="str">
        <f>=HYPERLINK("https://www.larksuite.com/approval/admin/previewAttachment?key=PMgxrgIxDATQK3nsicf-l_lNVhESbIXE0uTsSBS0LwuWNRDZxoa3YSsBVo9wdYSSyu0bUpugEfs41z891rx01qzr_n7s122u44nRcjcFGWVm-Pt5iGR30r5unwAAAP__", "2 attachment(s)")</f>
        <v>2 attachment(s)</v>
      </c>
      <c r="Y2000" t="inlineStr">
        <is>
          <t>Bank Transfer</t>
        </is>
      </c>
      <c r="Z2000" t="inlineStr">
        <is>
          <t>RIC JACA</t>
        </is>
      </c>
      <c r="AA2000" t="inlineStr">
        <is>
          <t>109332038874</t>
        </is>
      </c>
      <c r="AB2000" t="inlineStr">
        <is>
          <t>Unionbank</t>
        </is>
      </c>
      <c r="AC2000" t="inlineStr">
        <is>
          <t>321 Sitio Langhaya Brgy. Dela Paz Antipolo Rizal</t>
        </is>
      </c>
      <c r="AD2000" s="4">
        <v>46087</v>
      </c>
      <c r="AE2000" t="inlineStr">
        <is>
          <t>100% Full Payment - Mar. 6, 2026</t>
        </is>
      </c>
      <c r="AF2000" s="2"/>
      <c r="AG2000" t="inlineStr">
        <is>
          <t>NzQyNTk5MTgyNzQ4MTg3MDM0MTpDMTI0QTI3Ni00RUIwLTQzNjctQkMyNS1FNDg1QThGN0ZGOTAtMTpkNWM0ZThlMDFjMmRmMjY5ODZhNWQ4MmI4NTQ3NDAxYTox</t>
        </is>
      </c>
      <c r="AH2000" t="inlineStr">
        <is>
          <t>RIC JACA</t>
        </is>
      </c>
      <c r="AI2000"/>
      <c r="AJ2000" t="inlineStr">
        <is>
          <t>No line item in internal CE. Unbudgeted.</t>
        </is>
      </c>
      <c r="AK2000"/>
    </row>
    <row r="2001" ht="25.5" customHeight="1">
      <c r="A2001" s="2" t="str">
        <f>=HYPERLINK("https://applink.larksuite.com/client/mini_program/open?appId=cli_9c7cc8a9a9edd105&amp;mode=appCenter&amp;path_pc=pc/pages/requested/index?instanceId=7612501336105455326&amp;source=bitable&amp;path=pages/detail/index?instanceId=7612501336105455326&amp;source=bitable", "202603020035")</f>
        <v>202603020035</v>
      </c>
      <c r="B2001" t="inlineStr">
        <is>
          <t>Approved</t>
        </is>
      </c>
      <c r="C2001" t="inlineStr">
        <is>
          <t>Procurement Order</t>
        </is>
      </c>
      <c r="D2001" s="3">
        <v>46083.495208333334</v>
      </c>
      <c r="E2001" s="3">
        <v>46084.634560185186</v>
      </c>
      <c r="F2001" t="inlineStr">
        <is>
          <t>Fatima Kathleen M. FLores</t>
        </is>
      </c>
      <c r="G2001" t="inlineStr">
        <is>
          <t>Procurement</t>
        </is>
      </c>
      <c r="H2001"/>
      <c r="I2001"/>
      <c r="J2001" t="inlineStr">
        <is>
          <t>Project</t>
        </is>
      </c>
      <c r="K2001" t="inlineStr">
        <is>
          <t>PDEI - Game Marketing</t>
        </is>
      </c>
      <c r="L2001" t="inlineStr">
        <is>
          <t>SM Cyberzone Trading Card Game (TCG) Activations</t>
        </is>
      </c>
      <c r="M2001" t="inlineStr">
        <is>
          <t>2025TEG-P0278</t>
        </is>
      </c>
      <c r="N2001" t="inlineStr">
        <is>
          <t>Alessandra Mae Villanueva Boado</t>
        </is>
      </c>
      <c r="O2001" t="inlineStr">
        <is>
          <t>202602130084-Alessandra Mae Villanueva Boado-费用报销 - 副本 - 副本 - 副本-2026-02-13 10:13:32</t>
        </is>
      </c>
      <c r="P2001" t="inlineStr">
        <is>
          <t>YES</t>
        </is>
      </c>
      <c r="Q2001"/>
      <c r="R2001" t="inlineStr">
        <is>
          <t>NO</t>
        </is>
      </c>
      <c r="S2001" t="inlineStr">
        <is>
          <t>Outsourced Usher (2 days)</t>
        </is>
      </c>
      <c r="T2001">
        <v>1</v>
      </c>
      <c r="U2001">
        <v>3000</v>
      </c>
      <c r="V2001" t="inlineStr">
        <is>
          <t>PHP</t>
        </is>
      </c>
      <c r="W2001">
        <v>3000</v>
      </c>
      <c r="X2001" s="2" t="str">
        <f>=HYPERLINK("https://www.larksuite.com/approval/admin/previewAttachment?key=PMgxioJRDATgK80kk-RlL7ONjx9FBUHQKmcXLGy_XESuoGdDTWtwKmkBuicRinDLsWFVo1jhs-_H_9UEbcftcfH1jnmdT8d-MrrMUC75AsC_n3tJ6k7h6_gEAAD__w", "2 attachment(s)")</f>
        <v>2 attachment(s)</v>
      </c>
      <c r="Y2001" t="inlineStr">
        <is>
          <t>Bank Transfer</t>
        </is>
      </c>
      <c r="Z2001" t="inlineStr">
        <is>
          <t>Criszel Joy P Saludo</t>
        </is>
      </c>
      <c r="AA2001" t="inlineStr">
        <is>
          <t>09120359221</t>
        </is>
      </c>
      <c r="AB2001" t="inlineStr">
        <is>
          <t>Maya Wallet</t>
        </is>
      </c>
      <c r="AC2001" t="inlineStr">
        <is>
          <t>0297 Sitio Pusawan Brgy Ususan, Taguig City</t>
        </is>
      </c>
      <c r="AD2001" s="4">
        <v>46132</v>
      </c>
      <c r="AE2001" t="inlineStr">
        <is>
          <t>100% Full Payment - Apr. 20, 2026</t>
        </is>
      </c>
      <c r="AF2001" s="2"/>
      <c r="AG2001" t="inlineStr">
        <is>
          <t>NzQyNTk5MTgyNzQ4MTg3MDM0MTo4RjQ5RjM1MC0zOEU0LTRCQUUtQTk1NC0xRjQ3OTRDMUU4MjktMTphMjQ2NTdmYjRlNWFkZjZiMWE4YmE2N2RkOTcyMjgzYjox</t>
        </is>
      </c>
      <c r="AH2001" t="inlineStr">
        <is>
          <t>Criszel Joy P Saludo</t>
        </is>
      </c>
      <c r="AI2001"/>
      <c r="AJ2001" t="inlineStr">
        <is>
          <t>LIQUIDITY PLAN (PAR # 202602090082 / 2025TEG-P0278)
SM North EDSA &gt; Ushers
SM BF Paranaque &gt; Ushers
Total Remaining Budget = Php 7,200.00
Actual Cost = Php 3,000.00
Balance = Php 4,200.00</t>
        </is>
      </c>
      <c r="AK2001"/>
    </row>
    <row r="2002" ht="25.5" customHeight="1">
      <c r="A2002" s="2" t="str">
        <f>=HYPERLINK("https://applink.larksuite.com/client/mini_program/open?appId=cli_9c7cc8a9a9edd105&amp;mode=appCenter&amp;path_pc=pc/pages/requested/index?instanceId=7612506545850437339&amp;source=bitable&amp;path=pages/detail/index?instanceId=7612506545850437339&amp;source=bitable", "202603020045")</f>
        <v>202603020045</v>
      </c>
      <c r="B2002" t="inlineStr">
        <is>
          <t>Approved</t>
        </is>
      </c>
      <c r="C2002" t="inlineStr">
        <is>
          <t>Procurement Order</t>
        </is>
      </c>
      <c r="D2002" s="3">
        <v>46083.509247685186</v>
      </c>
      <c r="E2002" s="3">
        <v>46084.63332175926</v>
      </c>
      <c r="F2002" t="inlineStr">
        <is>
          <t>Fatima Kathleen M. FLores</t>
        </is>
      </c>
      <c r="G2002" t="inlineStr">
        <is>
          <t>Procurement</t>
        </is>
      </c>
      <c r="H2002"/>
      <c r="I2002"/>
      <c r="J2002" t="inlineStr">
        <is>
          <t>Project</t>
        </is>
      </c>
      <c r="K2002" t="inlineStr">
        <is>
          <t>PDEI - Game Marketing</t>
        </is>
      </c>
      <c r="L2002" t="inlineStr">
        <is>
          <t>SM Cyberzone Trading Card Game (TCG) Activations</t>
        </is>
      </c>
      <c r="M2002" t="inlineStr">
        <is>
          <t>2025TEG-P0278</t>
        </is>
      </c>
      <c r="N2002" t="inlineStr">
        <is>
          <t>Alessandra Mae Villanueva Boado</t>
        </is>
      </c>
      <c r="O2002" t="inlineStr">
        <is>
          <t>202602250026-Alessandra Mae Villanueva Boado-费用报销 - 副本 - 副本 - 副本-2026-02-25 04:34:58</t>
        </is>
      </c>
      <c r="P2002" t="inlineStr">
        <is>
          <t>NO</t>
        </is>
      </c>
      <c r="Q2002"/>
      <c r="R2002" t="inlineStr">
        <is>
          <t>NO</t>
        </is>
      </c>
      <c r="S2002" t="inlineStr">
        <is>
          <t>DIECUT STICKERS - Cyberzone (Size: 34.5cm x 4.2cm)</t>
        </is>
      </c>
      <c r="T2002">
        <v>12</v>
      </c>
      <c r="U2002">
        <v>62.72</v>
      </c>
      <c r="V2002" t="inlineStr">
        <is>
          <t>PHP</t>
        </is>
      </c>
      <c r="W2002">
        <v>752.64</v>
      </c>
      <c r="X2002" s="2"/>
      <c r="Y2002" t="inlineStr">
        <is>
          <t>Bank Transfer</t>
        </is>
      </c>
      <c r="Z2002" t="inlineStr">
        <is>
          <t>WJM DREAM GRAPIX MARKETING SERVICES</t>
        </is>
      </c>
      <c r="AA2002" t="inlineStr">
        <is>
          <t>006510023538</t>
        </is>
      </c>
      <c r="AB2002" t="inlineStr">
        <is>
          <t>BDO</t>
        </is>
      </c>
      <c r="AC2002" t="inlineStr">
        <is>
          <t>Unit A&amp;B 142 E. Manalo Avenue Concepcion Uno, Marikina City</t>
        </is>
      </c>
      <c r="AD2002" s="4">
        <v>46085</v>
      </c>
      <c r="AE2002" t="inlineStr">
        <is>
          <t>100% Full Payment before delivery</t>
        </is>
      </c>
      <c r="AF2002" s="2"/>
      <c r="AG2002" t="inlineStr">
        <is>
          <t>NzQyNTk5MTgyNzQ4MTg3MDM0MToxNDg4NkVGOS1FQzM1LTQzRUQtQUQ4NC1GMDY1RDJDRTA4OUItMTpmMTcwYTY5YWVlNDkyNDY5OTM2NWNiZjkyOTYxZDExYTox</t>
        </is>
      </c>
      <c r="AH2002" t="inlineStr">
        <is>
          <t>WJM DREAM GRAPIX MARKETING SERVICES</t>
        </is>
      </c>
      <c r="AI2002"/>
      <c r="AJ2002" t="inlineStr">
        <is>
          <t>LIQUIDITY PLAN (PAR # 202602090082 / 2025TEG-P0278)
SM North EDSA &gt; Beyblade Stadium
SM BF Paranaque &gt; Beyblade Stadium
Total Budget = Php 8,000.00
Actual Cost = Php 3,171.84
Balance = Php 4,828.16</t>
        </is>
      </c>
      <c r="AK2002"/>
    </row>
    <row r="2003" ht="25.5" customHeight="1">
      <c r="A2003" s="2" t="str">
        <f>=HYPERLINK("https://applink.larksuite.com/client/mini_program/open?appId=cli_9c7cc8a9a9edd105&amp;mode=appCenter&amp;path_pc=pc/pages/requested/index?instanceId=7612506545850437339&amp;source=bitable&amp;path=pages/detail/index?instanceId=7612506545850437339&amp;source=bitable", "202603020045")</f>
        <v>202603020045</v>
      </c>
      <c r="B2003" t="inlineStr">
        <is>
          <t>Approved</t>
        </is>
      </c>
      <c r="C2003" t="inlineStr">
        <is>
          <t>Procurement Order</t>
        </is>
      </c>
      <c r="D2003" s="3">
        <v>46083.509247685186</v>
      </c>
      <c r="E2003" s="3">
        <v>46084.63332175926</v>
      </c>
      <c r="F2003" t="inlineStr">
        <is>
          <t>Fatima Kathleen M. FLores</t>
        </is>
      </c>
      <c r="G2003" t="inlineStr">
        <is>
          <t>Procurement</t>
        </is>
      </c>
      <c r="H2003"/>
      <c r="I2003"/>
      <c r="J2003" t="inlineStr">
        <is>
          <t>Project</t>
        </is>
      </c>
      <c r="K2003" t="inlineStr">
        <is>
          <t>PDEI - Game Marketing</t>
        </is>
      </c>
      <c r="L2003" t="inlineStr">
        <is>
          <t>SM Cyberzone Trading Card Game (TCG) Activations</t>
        </is>
      </c>
      <c r="M2003" t="inlineStr">
        <is>
          <t>2025TEG-P0278</t>
        </is>
      </c>
      <c r="N2003" t="inlineStr">
        <is>
          <t>Alessandra Mae Villanueva Boado</t>
        </is>
      </c>
      <c r="O2003" t="inlineStr">
        <is>
          <t>202602250026-Alessandra Mae Villanueva Boado-费用报销 - 副本 - 副本 - 副本-2026-02-25 04:34:58</t>
        </is>
      </c>
      <c r="P2003" t="inlineStr">
        <is>
          <t>NO</t>
        </is>
      </c>
      <c r="Q2003"/>
      <c r="R2003" t="inlineStr">
        <is>
          <t>NO</t>
        </is>
      </c>
      <c r="S2003" t="inlineStr">
        <is>
          <t>DIECUT STICKERS - Tabletop Throwdown (Size: 37.5cm x 13.97cm)</t>
        </is>
      </c>
      <c r="T2003">
        <v>12</v>
      </c>
      <c r="U2003">
        <v>201.6</v>
      </c>
      <c r="V2003" t="inlineStr">
        <is>
          <t>PHP</t>
        </is>
      </c>
      <c r="W2003">
        <v>2419.2</v>
      </c>
      <c r="X2003" s="2"/>
      <c r="Y2003"/>
      <c r="Z2003"/>
      <c r="AA2003"/>
      <c r="AB2003"/>
      <c r="AC2003"/>
      <c r="AD2003" s="4"/>
      <c r="AE2003"/>
      <c r="AF2003" s="2"/>
      <c r="AG2003" t="inlineStr">
        <is>
          <t>NzQyNTk5MTgyNzQ4MTg3MDM0MToxNDg4NkVGOS1FQzM1LTQzRUQtQUQ4NC1GMDY1RDJDRTA4OUItMjo3Zjk0YWU1Njc0ZDQwYzFjODRjNGVmOTNiOTBhZWJiNTox</t>
        </is>
      </c>
      <c r="AH2003"/>
      <c r="AI2003"/>
      <c r="AJ2003" t="inlineStr">
        <is>
          <t>LIQUIDITY PLAN (PAR # 202602090082 / 2025TEG-P0278)
SM North EDSA &gt; Beyblade Stadium
SM BF Paranaque &gt; Beyblade Stadium
Total Budget = Php 8,000.00
Actual Cost = Php 3,171.84
Balance = Php 4,828.16</t>
        </is>
      </c>
      <c r="AK2003"/>
    </row>
    <row r="2004" ht="25.5" customHeight="1">
      <c r="A2004" s="2" t="str">
        <f>=HYPERLINK("https://applink.larksuite.com/client/mini_program/open?appId=cli_9c7cc8a9a9edd105&amp;mode=appCenter&amp;path_pc=pc/pages/requested/index?instanceId=7612499682379435744&amp;source=bitable&amp;path=pages/detail/index?instanceId=7612499682379435744&amp;source=bitable", "202603020032")</f>
        <v>202603020032</v>
      </c>
      <c r="B2004" t="inlineStr">
        <is>
          <t>Approved</t>
        </is>
      </c>
      <c r="C2004" t="inlineStr">
        <is>
          <t>Procurement Order</t>
        </is>
      </c>
      <c r="D2004" s="3">
        <v>46083.490752314814</v>
      </c>
      <c r="E2004" s="3">
        <v>46084.62664351852</v>
      </c>
      <c r="F2004" t="inlineStr">
        <is>
          <t>Fatima Kathleen M. FLores</t>
        </is>
      </c>
      <c r="G2004" t="inlineStr">
        <is>
          <t>Procurement</t>
        </is>
      </c>
      <c r="H2004"/>
      <c r="I2004"/>
      <c r="J2004" t="inlineStr">
        <is>
          <t>Project</t>
        </is>
      </c>
      <c r="K2004" t="inlineStr">
        <is>
          <t>PDEI - Game Marketing</t>
        </is>
      </c>
      <c r="L2004" t="inlineStr">
        <is>
          <t>SM Cyberzone Trading Card Game (TCG) Activations</t>
        </is>
      </c>
      <c r="M2004" t="inlineStr">
        <is>
          <t>2025TEG-P0278</t>
        </is>
      </c>
      <c r="N2004" t="inlineStr">
        <is>
          <t>Alessandra Mae Villanueva Boado</t>
        </is>
      </c>
      <c r="O2004" t="inlineStr">
        <is>
          <t>202602130084-Alessandra Mae Villanueva Boado-费用报销 - 副本 - 副本 - 副本-2026-02-13 10:13:32</t>
        </is>
      </c>
      <c r="P2004" t="inlineStr">
        <is>
          <t>YES</t>
        </is>
      </c>
      <c r="Q2004"/>
      <c r="R2004" t="inlineStr">
        <is>
          <t>NO</t>
        </is>
      </c>
      <c r="S2004" t="inlineStr">
        <is>
          <t>Outsourced Usher (2 days)</t>
        </is>
      </c>
      <c r="T2004">
        <v>1</v>
      </c>
      <c r="U2004">
        <v>3000</v>
      </c>
      <c r="V2004" t="inlineStr">
        <is>
          <t>PHP</t>
        </is>
      </c>
      <c r="W2004">
        <v>3000</v>
      </c>
      <c r="X2004" s="2" t="str">
        <f>=HYPERLINK("https://www.larksuite.com/approval/admin/previewAttachment?key=PMwxqsMwEATQK83sjjTaf5nf2JiAUZqAOp09JEXaV7w-iD4asxdUjAK3O0NVfUS6lM3Sjk27YLrlPuf1vzjXvOc6RtyI516P4zpfbOUIOKUcAPj387T0WYWv4x0AAP__", "2 attachment(s)")</f>
        <v>2 attachment(s)</v>
      </c>
      <c r="Y2004" t="inlineStr">
        <is>
          <t>Bank Transfer</t>
        </is>
      </c>
      <c r="Z2004" t="inlineStr">
        <is>
          <t>Lorenzo S. Joaquin</t>
        </is>
      </c>
      <c r="AA2004" t="inlineStr">
        <is>
          <t>09670566726</t>
        </is>
      </c>
      <c r="AB2004" t="inlineStr">
        <is>
          <t>GCash</t>
        </is>
      </c>
      <c r="AC2004" t="inlineStr">
        <is>
          <t>31a Allajur St Zone 3 Nia Npc Fairview Q.C</t>
        </is>
      </c>
      <c r="AD2004" s="4">
        <v>46101</v>
      </c>
      <c r="AE2004" t="inlineStr">
        <is>
          <t>100% Full Payment - Mar. 20, 2026</t>
        </is>
      </c>
      <c r="AF2004" s="2"/>
      <c r="AG2004" t="inlineStr">
        <is>
          <t>NzQyNTk5MTgyNzQ4MTg3MDM0MTozMDlFRUM4RS1ENkQ0LTRBQTYtQjdFRi05NEMyOUU1ODM0NEUtMTpjMmJkMmU5OTQyNmU3MDZlOTkxY2IzMTBhNWQ1NjZmOTox</t>
        </is>
      </c>
      <c r="AH2004" t="inlineStr">
        <is>
          <t>Lorenzo S. Joaquin</t>
        </is>
      </c>
      <c r="AI2004"/>
      <c r="AJ2004" t="inlineStr">
        <is>
          <t>LIQUIDITY PLAN (PAR # 202602090082 / 2025TEG-P0278)
SM North EDSA &gt; Ushers
SM BF Paranaque &gt; Ushers
Total Remaining Budget = Php 13,200.00
Actual Cost = Php 3,000.00
Balance = Php 10,200.00</t>
        </is>
      </c>
      <c r="AK2004"/>
    </row>
    <row r="2005" ht="25.5" customHeight="1">
      <c r="A2005" s="2" t="str">
        <f>=HYPERLINK("https://applink.larksuite.com/client/mini_program/open?appId=cli_9c7cc8a9a9edd105&amp;mode=appCenter&amp;path_pc=pc/pages/requested/index?instanceId=7612498958794936029&amp;source=bitable&amp;path=pages/detail/index?instanceId=7612498958794936029&amp;source=bitable", "202603020030")</f>
        <v>202603020030</v>
      </c>
      <c r="B2005" t="inlineStr">
        <is>
          <t>Approved</t>
        </is>
      </c>
      <c r="C2005" t="inlineStr">
        <is>
          <t>Procurement Order</t>
        </is>
      </c>
      <c r="D2005" s="3">
        <v>46083.4887962963</v>
      </c>
      <c r="E2005" s="3">
        <v>46084.62740740741</v>
      </c>
      <c r="F2005" t="inlineStr">
        <is>
          <t>Fatima Kathleen M. FLores</t>
        </is>
      </c>
      <c r="G2005" t="inlineStr">
        <is>
          <t>Procurement</t>
        </is>
      </c>
      <c r="H2005"/>
      <c r="I2005"/>
      <c r="J2005" t="inlineStr">
        <is>
          <t>Project</t>
        </is>
      </c>
      <c r="K2005" t="inlineStr">
        <is>
          <t>PDEI - Game Marketing</t>
        </is>
      </c>
      <c r="L2005" t="inlineStr">
        <is>
          <t>SM Cyberzone Trading Card Game (TCG) Activations</t>
        </is>
      </c>
      <c r="M2005" t="inlineStr">
        <is>
          <t>2025TEG-P0278</t>
        </is>
      </c>
      <c r="N2005" t="inlineStr">
        <is>
          <t>Alessandra Mae Villanueva Boado</t>
        </is>
      </c>
      <c r="O2005" t="inlineStr">
        <is>
          <t>202602130084-Alessandra Mae Villanueva Boado-费用报销 - 副本 - 副本 - 副本-2026-02-13 10:13:32</t>
        </is>
      </c>
      <c r="P2005" t="inlineStr">
        <is>
          <t>YES</t>
        </is>
      </c>
      <c r="Q2005"/>
      <c r="R2005" t="inlineStr">
        <is>
          <t>NO</t>
        </is>
      </c>
      <c r="S2005" t="inlineStr">
        <is>
          <t>Outsourced Usher (4 days)</t>
        </is>
      </c>
      <c r="T2005">
        <v>1</v>
      </c>
      <c r="U2005">
        <v>6000</v>
      </c>
      <c r="V2005" t="inlineStr">
        <is>
          <t>PHP</t>
        </is>
      </c>
      <c r="W2005">
        <v>6000</v>
      </c>
      <c r="X2005" s="2" t="str">
        <f>=HYPERLINK("https://www.larksuite.com/approval/admin/previewAttachment?key=PMgxDsIwDAXQK33bP3Y-l2GhiqA0E1IlhpwdiaHry27I3ixSoMwFW5XmVFfrJSoSruXLqoSyarG2Oe5H28d-zK-_Jk-81_l8jO1jTeWOCjI6ALtdHkVSSuLv-AUAAP__", "2 attachment(s)")</f>
        <v>2 attachment(s)</v>
      </c>
      <c r="Y2005" t="inlineStr">
        <is>
          <t>Bank Transfer</t>
        </is>
      </c>
      <c r="Z2005" t="inlineStr">
        <is>
          <t>Kimberly Rose Culala</t>
        </is>
      </c>
      <c r="AA2005" t="inlineStr">
        <is>
          <t>1010-1024-0818</t>
        </is>
      </c>
      <c r="AB2005" t="inlineStr">
        <is>
          <t>PNB</t>
        </is>
      </c>
      <c r="AC2005" t="inlineStr">
        <is>
          <t>12 Little Tagaytay Marulas Valenzuela City</t>
        </is>
      </c>
      <c r="AD2005" s="4">
        <v>46101</v>
      </c>
      <c r="AE2005" t="inlineStr">
        <is>
          <t>1st Payment - Mar. 20, 2026
Final Payment - Apr. 10, 2026</t>
        </is>
      </c>
      <c r="AF2005" s="2"/>
      <c r="AG2005" t="inlineStr">
        <is>
          <t>NzQyNTk5MTgyNzQ4MTg3MDM0MToyRDJCQTc2RC0wRjAwLTQ3NUQtQTVBOC0wNkJCRUIyOUFFQjEtMTo0NjMzODgyYzZjODliYjk2Nzk4OTg5ZDhhZjhiYTQxZTox</t>
        </is>
      </c>
      <c r="AH2005" t="inlineStr">
        <is>
          <t>Kimberly Rose Culala</t>
        </is>
      </c>
      <c r="AI2005"/>
      <c r="AJ2005" t="inlineStr">
        <is>
          <t>LIQUIDITY PLAN (PAR # 202602090082 / 2025TEG-P0278)
SM North EDSA &gt; Ushers
SM BF Paranaque &gt; Ushers
Total Remaining Budget = Php 19,200.00
Actual Cost = Php 6,000.00
Balance = Php 13,200.00</t>
        </is>
      </c>
      <c r="AK2005"/>
    </row>
    <row r="2006" ht="25.5" customHeight="1">
      <c r="A2006" s="2" t="str">
        <f>=HYPERLINK("https://applink.larksuite.com/client/mini_program/open?appId=cli_9c7cc8a9a9edd105&amp;mode=appCenter&amp;path_pc=pc/pages/requested/index?instanceId=7612498062929333982&amp;source=bitable&amp;path=pages/detail/index?instanceId=7612498062929333982&amp;source=bitable", "202603020028")</f>
        <v>202603020028</v>
      </c>
      <c r="B2006" t="inlineStr">
        <is>
          <t>Approved</t>
        </is>
      </c>
      <c r="C2006" t="inlineStr">
        <is>
          <t>Procurement Order</t>
        </is>
      </c>
      <c r="D2006" s="3">
        <v>46083.48637731482</v>
      </c>
      <c r="E2006" s="3">
        <v>46084.62788194444</v>
      </c>
      <c r="F2006" t="inlineStr">
        <is>
          <t>Fatima Kathleen M. FLores</t>
        </is>
      </c>
      <c r="G2006" t="inlineStr">
        <is>
          <t>Procurement</t>
        </is>
      </c>
      <c r="H2006"/>
      <c r="I2006"/>
      <c r="J2006" t="inlineStr">
        <is>
          <t>Project</t>
        </is>
      </c>
      <c r="K2006" t="inlineStr">
        <is>
          <t>PDEI - Game Marketing</t>
        </is>
      </c>
      <c r="L2006" t="inlineStr">
        <is>
          <t>SM Cyberzone Trading Card Game (TCG) Activations</t>
        </is>
      </c>
      <c r="M2006" t="inlineStr">
        <is>
          <t>2025TEG-P0278</t>
        </is>
      </c>
      <c r="N2006" t="inlineStr">
        <is>
          <t>Alessandra Mae Villanueva Boado</t>
        </is>
      </c>
      <c r="O2006" t="inlineStr">
        <is>
          <t>202602130084-Alessandra Mae Villanueva Boado-费用报销 - 副本 - 副本 - 副本-2026-02-13 10:13:32</t>
        </is>
      </c>
      <c r="P2006" t="inlineStr">
        <is>
          <t>YES</t>
        </is>
      </c>
      <c r="Q2006"/>
      <c r="R2006" t="inlineStr">
        <is>
          <t>NO</t>
        </is>
      </c>
      <c r="S2006" t="inlineStr">
        <is>
          <t>Outsourced Usher (2 days)</t>
        </is>
      </c>
      <c r="T2006">
        <v>1</v>
      </c>
      <c r="U2006">
        <v>3000</v>
      </c>
      <c r="V2006" t="inlineStr">
        <is>
          <t>PHP</t>
        </is>
      </c>
      <c r="W2006">
        <v>3000</v>
      </c>
      <c r="X2006" s="2" t="str">
        <f>=HYPERLINK("https://www.larksuite.com/approval/admin/previewAttachment?key=PMi7DQIxEATQlmY_3vHQDIlPJ5IjQZhoa0ciIH01DTWHRQkpc8GaZZ6aKJcrIjS9vY0UaBzRx3Xe15vgtfn0_eHK3o91Hi8bojsYmTEB2O3vwcyUKvFzfAMAAP__", "2 attachment(s)")</f>
        <v>2 attachment(s)</v>
      </c>
      <c r="Y2006" t="inlineStr">
        <is>
          <t>Bank Transfer</t>
        </is>
      </c>
      <c r="Z2006" t="inlineStr">
        <is>
          <t>Charles Steeve Martin</t>
        </is>
      </c>
      <c r="AA2006" t="inlineStr">
        <is>
          <t>09272333381</t>
        </is>
      </c>
      <c r="AB2006" t="inlineStr">
        <is>
          <t>MAYA Wallet</t>
        </is>
      </c>
      <c r="AC2006" t="inlineStr">
        <is>
          <t>Building 34, MRB, Phase 3, Pilot Drive, Barangay Commonwealth, Quezon City</t>
        </is>
      </c>
      <c r="AD2006" s="4">
        <v>46101</v>
      </c>
      <c r="AE2006" t="inlineStr">
        <is>
          <t>100% Full Payment - Mar. 20, 2026</t>
        </is>
      </c>
      <c r="AF2006" s="2"/>
      <c r="AG2006" t="inlineStr">
        <is>
          <t>NzQyNTk5MTgyNzQ4MTg3MDM0MTpDNzgwMUQ0Qi1BODdDLTQwQ0MtQjA3Mi1ENDhDNDQxRUJBMUUtMTplYmM2NzM4ODQ2NDY3MWU5ZDdjMWUzMjgwNWI1MTMxMjox</t>
        </is>
      </c>
      <c r="AH2006" t="inlineStr">
        <is>
          <t>Charles Steeve Martin</t>
        </is>
      </c>
      <c r="AI2006"/>
      <c r="AJ2006" t="inlineStr">
        <is>
          <t>LIQUIDITY PLAN (PAR # 202602090082 / 2025TEG-P0278)
SM North EDSA &gt; Ushers
SM BF Paranaque &gt; Ushers
Total Remaining Budget = Php 22,200.00
Actual Cost = Php 3,000.00
Balance = Php 19,200.00</t>
        </is>
      </c>
      <c r="AK2006"/>
    </row>
    <row r="2007" ht="25.5" customHeight="1">
      <c r="A2007" s="2" t="str">
        <f>=HYPERLINK("https://applink.larksuite.com/client/mini_program/open?appId=cli_9c7cc8a9a9edd105&amp;mode=appCenter&amp;path_pc=pc/pages/requested/index?instanceId=7612496651378347744&amp;source=bitable&amp;path=pages/detail/index?instanceId=7612496651378347744&amp;source=bitable", "202603020026")</f>
        <v>202603020026</v>
      </c>
      <c r="B2007" t="inlineStr">
        <is>
          <t>Approved</t>
        </is>
      </c>
      <c r="C2007" t="inlineStr">
        <is>
          <t>Procurement Order</t>
        </is>
      </c>
      <c r="D2007" s="3">
        <v>46083.48258101852</v>
      </c>
      <c r="E2007" s="3">
        <v>46084.62850694444</v>
      </c>
      <c r="F2007" t="inlineStr">
        <is>
          <t>Fatima Kathleen M. FLores</t>
        </is>
      </c>
      <c r="G2007" t="inlineStr">
        <is>
          <t>Procurement</t>
        </is>
      </c>
      <c r="H2007"/>
      <c r="I2007"/>
      <c r="J2007" t="inlineStr">
        <is>
          <t>Project</t>
        </is>
      </c>
      <c r="K2007" t="inlineStr">
        <is>
          <t>PDEI - Game Marketing</t>
        </is>
      </c>
      <c r="L2007" t="inlineStr">
        <is>
          <t>SM Cyberzone Trading Card Game (TCG) Activations</t>
        </is>
      </c>
      <c r="M2007" t="inlineStr">
        <is>
          <t>2025TEG-P0278</t>
        </is>
      </c>
      <c r="N2007" t="inlineStr">
        <is>
          <t>Alessandra Mae Villanueva Boado</t>
        </is>
      </c>
      <c r="O2007" t="inlineStr">
        <is>
          <t>202602130084-Alessandra Mae Villanueva Boado-费用报销 - 副本 - 副本 - 副本-2026-02-13 10:13:32</t>
        </is>
      </c>
      <c r="P2007" t="inlineStr">
        <is>
          <t>YES</t>
        </is>
      </c>
      <c r="Q2007"/>
      <c r="R2007" t="inlineStr">
        <is>
          <t>NO</t>
        </is>
      </c>
      <c r="S2007" t="inlineStr">
        <is>
          <t>Outsourced Usher (4 days)</t>
        </is>
      </c>
      <c r="T2007">
        <v>1</v>
      </c>
      <c r="U2007">
        <v>6000</v>
      </c>
      <c r="V2007" t="inlineStr">
        <is>
          <t>PHP</t>
        </is>
      </c>
      <c r="W2007">
        <v>6000</v>
      </c>
      <c r="X2007" s="2" t="str">
        <f>=HYPERLINK("https://www.larksuite.com/approval/admin/previewAttachment?key=PMg9qgJBEATgK_VPTdfUu8xLXAY3WBBklQ367IKB6VfTrebwLBnkIfNmeUBVw5MzQQId7aSMzpG9Hev_uPTQee659vcV0a_7bW1PH2KEMYGcZuZ_P08CkAr2dfsEAAD__w", "2 attachment(s)")</f>
        <v>2 attachment(s)</v>
      </c>
      <c r="Y2007" t="inlineStr">
        <is>
          <t>Bank Transfer</t>
        </is>
      </c>
      <c r="Z2007" t="inlineStr">
        <is>
          <t>Kenzo Duane Bagaman</t>
        </is>
      </c>
      <c r="AA2007" t="inlineStr">
        <is>
          <t>11230437030</t>
        </is>
      </c>
      <c r="AB2007" t="inlineStr">
        <is>
          <t>MariBank</t>
        </is>
      </c>
      <c r="AC2007" t="inlineStr">
        <is>
          <t>Brgy San Antonio, Pasig City</t>
        </is>
      </c>
      <c r="AD2007" s="4">
        <v>46101</v>
      </c>
      <c r="AE2007" t="inlineStr">
        <is>
          <t>1st Payment - Mar. 20, 2026
Final Payment - Apr. 10, 2026</t>
        </is>
      </c>
      <c r="AF2007" s="2"/>
      <c r="AG2007" t="inlineStr">
        <is>
          <t>NzQyNTk5MTgyNzQ4MTg3MDM0MTo3NTgxNDdEOS0xQzU5LTQ0NEMtODdGMi1CMDBFNkJBMDA3MkMtMTo3NGJiYWMzMjM3YTE3NDIwZjQ4NGRlNGMxNzIyNTA1ZDox</t>
        </is>
      </c>
      <c r="AH2007" t="inlineStr">
        <is>
          <t>Kenzo Duane Bagaman</t>
        </is>
      </c>
      <c r="AI2007"/>
      <c r="AJ2007" t="inlineStr">
        <is>
          <t>LIQUIDITY PLAN (PAR # 202602090082 / 2025TEG-P0278)
SM North EDSA &gt; Ushers
SM BF Paranaque &gt; Ushers
Total Budget = Php 28,800.00
Actual Cost = Php 6,000.00
Balance = Php 22,200.00</t>
        </is>
      </c>
      <c r="AK2007"/>
    </row>
    <row r="2008" ht="25.5" customHeight="1">
      <c r="A2008" s="2" t="str">
        <f>=HYPERLINK("https://applink.larksuite.com/client/mini_program/open?appId=cli_9c7cc8a9a9edd105&amp;mode=appCenter&amp;path_pc=pc/pages/requested/index?instanceId=7612500714832531169&amp;source=bitable&amp;path=pages/detail/index?instanceId=7612500714832531169&amp;source=bitable", "202603020033")</f>
        <v>202603020033</v>
      </c>
      <c r="B2008" t="inlineStr">
        <is>
          <t>Approved</t>
        </is>
      </c>
      <c r="C2008" t="inlineStr">
        <is>
          <t>Procurement Order</t>
        </is>
      </c>
      <c r="D2008" s="3">
        <v>46083.49353009259</v>
      </c>
      <c r="E2008" s="3">
        <v>46084.62907407407</v>
      </c>
      <c r="F2008" t="inlineStr">
        <is>
          <t>Fatima Kathleen M. FLores</t>
        </is>
      </c>
      <c r="G2008" t="inlineStr">
        <is>
          <t>Procurement</t>
        </is>
      </c>
      <c r="H2008"/>
      <c r="I2008"/>
      <c r="J2008" t="inlineStr">
        <is>
          <t>Project</t>
        </is>
      </c>
      <c r="K2008" t="inlineStr">
        <is>
          <t>PDEI - Game Marketing</t>
        </is>
      </c>
      <c r="L2008" t="inlineStr">
        <is>
          <t>SM Cyberzone Trading Card Game (TCG) Activations</t>
        </is>
      </c>
      <c r="M2008" t="inlineStr">
        <is>
          <t>2025TEG-P0278</t>
        </is>
      </c>
      <c r="N2008" t="inlineStr">
        <is>
          <t>Alessandra Mae Villanueva Boado</t>
        </is>
      </c>
      <c r="O2008" t="inlineStr">
        <is>
          <t>202602130084-Alessandra Mae Villanueva Boado-费用报销 - 副本 - 副本 - 副本-2026-02-13 10:13:32</t>
        </is>
      </c>
      <c r="P2008" t="inlineStr">
        <is>
          <t>YES</t>
        </is>
      </c>
      <c r="Q2008"/>
      <c r="R2008" t="inlineStr">
        <is>
          <t>NO</t>
        </is>
      </c>
      <c r="S2008" t="inlineStr">
        <is>
          <t>Outsourced Usher (2 days)</t>
        </is>
      </c>
      <c r="T2008">
        <v>1</v>
      </c>
      <c r="U2008">
        <v>3000</v>
      </c>
      <c r="V2008" t="inlineStr">
        <is>
          <t>PHP</t>
        </is>
      </c>
      <c r="W2008">
        <v>3000</v>
      </c>
      <c r="X2008" s="2" t="str">
        <f>=HYPERLINK("https://www.larksuite.com/approval/admin/previewAttachment?key=PMgxjkIxDATQK83Yjifey2yTKAIkKvTpfHYkCtqXk8g56FmIohXYStoAxJhuw8mstqZUEDW89_P8U-usx75fmPsy7_dtnf3iKJlBHuETAP9-7oqIqgx8HZ8AAAD__w", "2 attachment(s)")</f>
        <v>2 attachment(s)</v>
      </c>
      <c r="Y2008" t="inlineStr">
        <is>
          <t>Bank Transfer</t>
        </is>
      </c>
      <c r="Z2008" t="inlineStr">
        <is>
          <t>JOHN JOSEPH SANCHEZ</t>
        </is>
      </c>
      <c r="AA2008" t="inlineStr">
        <is>
          <t>2487023763</t>
        </is>
      </c>
      <c r="AB2008" t="inlineStr">
        <is>
          <t>LANDBANK</t>
        </is>
      </c>
      <c r="AC2008" t="inlineStr">
        <is>
          <t>Certeza St. Beata Pandacan, Manila</t>
        </is>
      </c>
      <c r="AD2008" s="4">
        <v>46101</v>
      </c>
      <c r="AE2008" t="inlineStr">
        <is>
          <t>100% Full Payment - Apr. 20, 2026</t>
        </is>
      </c>
      <c r="AF2008" s="2"/>
      <c r="AG2008" t="inlineStr">
        <is>
          <t>NzQyNTk5MTgyNzQ4MTg3MDM0MToxMkE1MEY0RS0wNkQyLTQ4MEQtOEYwOC01NDBBRDVEMzc2NUUtMTplM2ZhZTYyNjZkZTlhMmEzNWI2MTVmZTVkNTc3ZGI5Njox</t>
        </is>
      </c>
      <c r="AH2008" t="inlineStr">
        <is>
          <t>JOHN JOSEPH SANCHEZ</t>
        </is>
      </c>
      <c r="AI2008"/>
      <c r="AJ2008" t="inlineStr">
        <is>
          <t>LIQUIDITY PLAN (PAR # 202602090082 / 2025TEG-P0278)
SM North EDSA &gt; Ushers
SM BF Paranaque &gt; Ushers
Total Remaining Budget = Php 10,200.00
Actual Cost = Php 3,000.00
Balance = Php 7,200.00</t>
        </is>
      </c>
      <c r="AK2008"/>
    </row>
    <row r="2009" ht="25.5" customHeight="1">
      <c r="A2009" s="2" t="str">
        <f>=HYPERLINK("https://applink.larksuite.com/client/mini_program/open?appId=cli_9c7cc8a9a9edd105&amp;mode=appCenter&amp;path_pc=pc/pages/requested/index?instanceId=7612541207679356642&amp;source=bitable&amp;path=pages/detail/index?instanceId=7612541207679356642&amp;source=bitable", "202603020077")</f>
        <v>202603020077</v>
      </c>
      <c r="B2009" t="inlineStr">
        <is>
          <t>Approved</t>
        </is>
      </c>
      <c r="C2009" t="inlineStr">
        <is>
          <t>Procurement Order</t>
        </is>
      </c>
      <c r="D2009" s="3">
        <v>46083.60265046296</v>
      </c>
      <c r="E2009" s="3">
        <v>46084.63649305556</v>
      </c>
      <c r="F2009" t="inlineStr">
        <is>
          <t>Fatima Kathleen M. FLores</t>
        </is>
      </c>
      <c r="G2009" t="inlineStr">
        <is>
          <t>Procurement</t>
        </is>
      </c>
      <c r="H2009"/>
      <c r="I2009"/>
      <c r="J2009" t="inlineStr">
        <is>
          <t>Project</t>
        </is>
      </c>
      <c r="K2009" t="inlineStr">
        <is>
          <t>PDEI - Game Marketing</t>
        </is>
      </c>
      <c r="L2009" t="inlineStr">
        <is>
          <t>SM Cyberzone Trading Card Game (TCG) Activations</t>
        </is>
      </c>
      <c r="M2009" t="inlineStr">
        <is>
          <t>2025TEG-P0278</t>
        </is>
      </c>
      <c r="N2009" t="inlineStr">
        <is>
          <t>Alessandra Mae Villanueva Boado</t>
        </is>
      </c>
      <c r="O2009" t="inlineStr">
        <is>
          <t>202602130096-Alessandra Mae Villanueva Boado-费用报销 - 副本 - 副本 - 副本-2026-02-13 10:35:39</t>
        </is>
      </c>
      <c r="P2009" t="inlineStr">
        <is>
          <t>YES</t>
        </is>
      </c>
      <c r="Q2009"/>
      <c r="R2009" t="inlineStr">
        <is>
          <t>NO</t>
        </is>
      </c>
      <c r="S2009" t="inlineStr">
        <is>
          <t>Outsourced League Operations (1 day)</t>
        </is>
      </c>
      <c r="T2009">
        <v>1</v>
      </c>
      <c r="U2009">
        <v>1700</v>
      </c>
      <c r="V2009" t="inlineStr">
        <is>
          <t>PHP</t>
        </is>
      </c>
      <c r="W2009">
        <v>1700</v>
      </c>
      <c r="X2009" s="2" t="str">
        <f>=HYPERLINK("https://www.larksuite.com/approval/admin/previewAttachment?key=PMgxCkJBDATQK02SSWbjZWxcFlF-JajNnl2w-O2rYaiRFtVgmzdsq8yT5lCpI6vo27dJDZky9jzWNY7v-uRTTmc_5n7fb2u-LFvuUJAxANjl9BDJ7iL-jl8AAAD__w", "2 attachment(s)")</f>
        <v>2 attachment(s)</v>
      </c>
      <c r="Y2009" t="inlineStr">
        <is>
          <t>Bank Transfer</t>
        </is>
      </c>
      <c r="Z2009" t="inlineStr">
        <is>
          <t>JOHN JOSEPH SANCHEZ</t>
        </is>
      </c>
      <c r="AA2009" t="inlineStr">
        <is>
          <t>2487023763</t>
        </is>
      </c>
      <c r="AB2009" t="inlineStr">
        <is>
          <t>Landbank</t>
        </is>
      </c>
      <c r="AC2009" t="inlineStr">
        <is>
          <t>Certeza St. Beata Pandacan, Manila</t>
        </is>
      </c>
      <c r="AD2009" s="4">
        <v>46101</v>
      </c>
      <c r="AE2009" t="inlineStr">
        <is>
          <t>100% Full Payment - Mar. 20, 2026</t>
        </is>
      </c>
      <c r="AF2009" s="2"/>
      <c r="AG2009" t="inlineStr">
        <is>
          <t>NzQyNTk5MTgyNzQ4MTg3MDM0MTowQzVGMzk3QS05QzZGLTRGODgtQjVFRi0xOTBCQ0UxNkFGMDctMTowNjcwM2VkZGVmMmIwZDhmMmE0ZTQ1OGY1NWMwNWI5ZTox</t>
        </is>
      </c>
      <c r="AH2009" t="inlineStr">
        <is>
          <t>JOHN JOSEPH SANCHEZ</t>
        </is>
      </c>
      <c r="AI2009"/>
      <c r="AJ2009" t="inlineStr">
        <is>
          <t>LIQUIDITY PLAN (PAR # 202602090082 / 2025TEG-P0278)
SM North EDSA &gt; League ops - MLBB
SM BF Paranaque &gt; League ops - MLBB
Total Remaining Budget = Php 11,900.00
Actual Cost = Php 1,700.00
Balance = Php 10,200.00</t>
        </is>
      </c>
      <c r="AK2009"/>
    </row>
    <row r="2010" ht="25.5" customHeight="1">
      <c r="A2010" s="2" t="str">
        <f>=HYPERLINK("https://applink.larksuite.com/client/mini_program/open?appId=cli_9c7cc8a9a9edd105&amp;mode=appCenter&amp;path_pc=pc/pages/requested/index?instanceId=7612542196973194973&amp;source=bitable&amp;path=pages/detail/index?instanceId=7612542196973194973&amp;source=bitable", "202603020078")</f>
        <v>202603020078</v>
      </c>
      <c r="B2010" t="inlineStr">
        <is>
          <t>Approved</t>
        </is>
      </c>
      <c r="C2010" t="inlineStr">
        <is>
          <t>Procurement Order</t>
        </is>
      </c>
      <c r="D2010" s="3">
        <v>46083.6053125</v>
      </c>
      <c r="E2010" s="3">
        <v>46084.637719907405</v>
      </c>
      <c r="F2010" t="inlineStr">
        <is>
          <t>Fatima Kathleen M. FLores</t>
        </is>
      </c>
      <c r="G2010" t="inlineStr">
        <is>
          <t>Procurement</t>
        </is>
      </c>
      <c r="H2010"/>
      <c r="I2010"/>
      <c r="J2010" t="inlineStr">
        <is>
          <t>Project</t>
        </is>
      </c>
      <c r="K2010" t="inlineStr">
        <is>
          <t>PDEI - Game Marketing</t>
        </is>
      </c>
      <c r="L2010" t="inlineStr">
        <is>
          <t>SM Cyberzone Trading Card Game (TCG) Activations</t>
        </is>
      </c>
      <c r="M2010" t="inlineStr">
        <is>
          <t>2025TEG-P0278</t>
        </is>
      </c>
      <c r="N2010" t="inlineStr">
        <is>
          <t>Alessandra Mae Villanueva Boado</t>
        </is>
      </c>
      <c r="O2010" t="inlineStr">
        <is>
          <t>202602130096-Alessandra Mae Villanueva Boado-费用报销 - 副本 - 副本 - 副本-2026-02-13 10:35:39</t>
        </is>
      </c>
      <c r="P2010" t="inlineStr">
        <is>
          <t>YES</t>
        </is>
      </c>
      <c r="Q2010"/>
      <c r="R2010" t="inlineStr">
        <is>
          <t>NO</t>
        </is>
      </c>
      <c r="S2010" t="inlineStr">
        <is>
          <t>Outsourced League Operations (1 day)</t>
        </is>
      </c>
      <c r="T2010">
        <v>1</v>
      </c>
      <c r="U2010">
        <v>1700</v>
      </c>
      <c r="V2010" t="inlineStr">
        <is>
          <t>PHP</t>
        </is>
      </c>
      <c r="W2010">
        <v>1700</v>
      </c>
      <c r="X2010" s="2" t="str">
        <f>=HYPERLINK("https://www.larksuite.com/approval/admin/previewAttachment?key=PMg7joIxDATgK3lsx5PZy2xDFCHxaBA_ovDZkShov5qwmgNRshRchmbBRzpUYkApRnuDlBEc0eu2_9NjH-_1iuflLlz7OJ_2emCI7sbIjGlm-Pt5MDOlSvu6fQIAAP__", "2 attachment(s)")</f>
        <v>2 attachment(s)</v>
      </c>
      <c r="Y2010" t="inlineStr">
        <is>
          <t>Bank Transfer</t>
        </is>
      </c>
      <c r="Z2010" t="inlineStr">
        <is>
          <t>Glean F. Roque</t>
        </is>
      </c>
      <c r="AA2010" t="inlineStr">
        <is>
          <t>0707201681</t>
        </is>
      </c>
      <c r="AB2010" t="inlineStr">
        <is>
          <t>Landbank</t>
        </is>
      </c>
      <c r="AC2010" t="inlineStr">
        <is>
          <t>30 Interior 5 Salvador Street, Krus na Ligas, Quezon City</t>
        </is>
      </c>
      <c r="AD2010" s="4">
        <v>46122</v>
      </c>
      <c r="AE2010" t="inlineStr">
        <is>
          <t>100% Full Payment - Apr. 10, 2026</t>
        </is>
      </c>
      <c r="AF2010" s="2"/>
      <c r="AG2010" t="inlineStr">
        <is>
          <t>NzQyNTk5MTgyNzQ4MTg3MDM0MTpDMTBERTJBOS05QjExLTQxQkMtOTdFNy1CNkIzREIxMUU3MEEtMTpkZjQ3ZjA2ZTFmOWE5OTJlZGNhMmQ1NGM5NmEzMmMzNDox</t>
        </is>
      </c>
      <c r="AH2010" t="inlineStr">
        <is>
          <t>Glean F. Roque</t>
        </is>
      </c>
      <c r="AI2010"/>
      <c r="AJ2010" t="inlineStr">
        <is>
          <t>LIQUIDITY PLAN (PAR # 202602090082 / 2025TEG-P0278)
SM North EDSA &gt; League ops - MLBB
SM BF Paranaque &gt; League ops - MLBB
Total Remaining Budget = Php 10,200.00
Actual Cost = Php 1,700.00
Balance = Php 8,500.00</t>
        </is>
      </c>
      <c r="AK2010"/>
    </row>
    <row r="2011" ht="25.5" customHeight="1">
      <c r="A2011" s="2" t="str">
        <f>=HYPERLINK("https://applink.larksuite.com/client/mini_program/open?appId=cli_9c7cc8a9a9edd105&amp;mode=appCenter&amp;path_pc=pc/pages/requested/index?instanceId=7612556052587908828&amp;source=bitable&amp;path=pages/detail/index?instanceId=7612556052587908828&amp;source=bitable", "202603020106")</f>
        <v>202603020106</v>
      </c>
      <c r="B2011" t="inlineStr">
        <is>
          <t>Approved</t>
        </is>
      </c>
      <c r="C2011" t="inlineStr">
        <is>
          <t>Procurement Order</t>
        </is>
      </c>
      <c r="D2011" s="3">
        <v>46083.64265046296</v>
      </c>
      <c r="E2011" s="3">
        <v>46084.64131944445</v>
      </c>
      <c r="F2011" t="inlineStr">
        <is>
          <t>Fatima Kathleen M. FLores</t>
        </is>
      </c>
      <c r="G2011" t="inlineStr">
        <is>
          <t>Procurement</t>
        </is>
      </c>
      <c r="H2011"/>
      <c r="I2011"/>
      <c r="J2011" t="inlineStr">
        <is>
          <t>Project</t>
        </is>
      </c>
      <c r="K2011" t="inlineStr">
        <is>
          <t>PDEI - Game Marketing</t>
        </is>
      </c>
      <c r="L2011" t="inlineStr">
        <is>
          <t>SM Cyberzone Trading Card Game (TCG) Activations</t>
        </is>
      </c>
      <c r="M2011" t="inlineStr">
        <is>
          <t>2025TEG-P0278</t>
        </is>
      </c>
      <c r="N2011" t="inlineStr">
        <is>
          <t>Alessandra Mae Villanueva Boado</t>
        </is>
      </c>
      <c r="O2011" t="inlineStr">
        <is>
          <t>202602230023-Maura Aurel Atilano Yap-费用报销 - 副本 - 副本 - 副本-2026-02-23 03:28:00</t>
        </is>
      </c>
      <c r="P2011" t="inlineStr">
        <is>
          <t>YES</t>
        </is>
      </c>
      <c r="Q2011"/>
      <c r="R2011" t="inlineStr">
        <is>
          <t>NO</t>
        </is>
      </c>
      <c r="S2011" t="inlineStr">
        <is>
          <t>Outsourced IT Associate</t>
        </is>
      </c>
      <c r="T2011">
        <v>1</v>
      </c>
      <c r="U2011">
        <v>6680</v>
      </c>
      <c r="V2011" t="inlineStr">
        <is>
          <t>PHP</t>
        </is>
      </c>
      <c r="W2011">
        <v>6680</v>
      </c>
      <c r="X2011" s="2" t="str">
        <f>=HYPERLINK("https://www.larksuite.com/approval/admin/previewAttachment?key=PMi7DcJgDATglc7Ps1mGJtEvCkKDQFB4diSKtF-WICvEsuEt2pBhikYkQqPYqNIaHSEbFIbNfqzr9iLs_v2oHutROu_btvanRFMVNHcrAHI53eju3en4O34BAAD__w", "2 attachment(s)")</f>
        <v>2 attachment(s)</v>
      </c>
      <c r="Y2011" t="inlineStr">
        <is>
          <t>Bank Transfer</t>
        </is>
      </c>
      <c r="Z2011" t="inlineStr">
        <is>
          <t>Jay Laurence Francisco</t>
        </is>
      </c>
      <c r="AA2011" t="inlineStr">
        <is>
          <t>09275444740</t>
        </is>
      </c>
      <c r="AB2011" t="inlineStr">
        <is>
          <t>GCash</t>
        </is>
      </c>
      <c r="AC2011" t="inlineStr">
        <is>
          <t>45 Zamora Compound Banaba San Mateo Rizal</t>
        </is>
      </c>
      <c r="AD2011" s="4">
        <v>46101</v>
      </c>
      <c r="AE2011" t="inlineStr">
        <is>
          <t>1st Payment - Mar. 20, 2026
Final Payment - Apr. 10, 2026</t>
        </is>
      </c>
      <c r="AF2011" s="2"/>
      <c r="AG2011" t="inlineStr">
        <is>
          <t>NzQyNTk5MTgyNzQ4MTg3MDM0MTpFMUE2MDU4Ni0wNkU1LTRGRjktOTRGQi1CQkE4OTU5QUM5MUEtMTo5ZWYzYmI1NTI0ODMzNTYzY2EzYzljNjkxZDZlODRlNDox</t>
        </is>
      </c>
      <c r="AH2011" t="inlineStr">
        <is>
          <t>Jay Laurence Francisco</t>
        </is>
      </c>
      <c r="AI2011"/>
      <c r="AJ2011" t="inlineStr">
        <is>
          <t>LIQUIDITY PLAN (PAR # 202602090082 / 2025TEG-P0278)
SM North EDSA &gt; IT Manpower
SM BF Paranaque &gt; IT Manpower
Total Budget = Php 8,000.00
Actual Cost = Php 6,680.00
Balance = Php 1,320.00</t>
        </is>
      </c>
      <c r="AK2011"/>
    </row>
    <row r="2012" ht="25.5" customHeight="1">
      <c r="A2012" s="2" t="str">
        <f>=HYPERLINK("https://applink.larksuite.com/client/mini_program/open?appId=cli_9c7cc8a9a9edd105&amp;mode=appCenter&amp;path_pc=pc/pages/requested/index?instanceId=7612543140267888353&amp;source=bitable&amp;path=pages/detail/index?instanceId=7612543140267888353&amp;source=bitable", "202603020079")</f>
        <v>202603020079</v>
      </c>
      <c r="B2012" t="inlineStr">
        <is>
          <t>Approved</t>
        </is>
      </c>
      <c r="C2012" t="inlineStr">
        <is>
          <t>Procurement Order</t>
        </is>
      </c>
      <c r="D2012" s="3">
        <v>46083.6078587963</v>
      </c>
      <c r="E2012" s="3">
        <v>46084.6381712963</v>
      </c>
      <c r="F2012" t="inlineStr">
        <is>
          <t>Fatima Kathleen M. FLores</t>
        </is>
      </c>
      <c r="G2012" t="inlineStr">
        <is>
          <t>Procurement</t>
        </is>
      </c>
      <c r="H2012"/>
      <c r="I2012"/>
      <c r="J2012" t="inlineStr">
        <is>
          <t>Project</t>
        </is>
      </c>
      <c r="K2012" t="inlineStr">
        <is>
          <t>PDEI - Game Marketing</t>
        </is>
      </c>
      <c r="L2012" t="inlineStr">
        <is>
          <t>SM Cyberzone Trading Card Game (TCG) Activations</t>
        </is>
      </c>
      <c r="M2012" t="inlineStr">
        <is>
          <t>2025TEG-P0278</t>
        </is>
      </c>
      <c r="N2012" t="inlineStr">
        <is>
          <t>Alessandra Mae Villanueva Boado</t>
        </is>
      </c>
      <c r="O2012" t="inlineStr">
        <is>
          <t>202602130096-Alessandra Mae Villanueva Boado-费用报销 - 副本 - 副本 - 副本-2026-02-13 10:35:39</t>
        </is>
      </c>
      <c r="P2012" t="inlineStr">
        <is>
          <t>YES</t>
        </is>
      </c>
      <c r="Q2012"/>
      <c r="R2012" t="inlineStr">
        <is>
          <t>NO</t>
        </is>
      </c>
      <c r="S2012" t="inlineStr">
        <is>
          <t>Outsourced League Operations (1 day)</t>
        </is>
      </c>
      <c r="T2012">
        <v>1</v>
      </c>
      <c r="U2012">
        <v>1700</v>
      </c>
      <c r="V2012" t="inlineStr">
        <is>
          <t>PHP</t>
        </is>
      </c>
      <c r="W2012">
        <v>1700</v>
      </c>
      <c r="X2012" s="2" t="str">
        <f>=HYPERLINK("https://www.larksuite.com/approval/admin/previewAttachment?key=PMhBCsJADAXQK_2fZPITL-PGUkSoFITpas4uuHD7soisQc9GNK3BpaSNcAYsVVU-fNmi1BA1fG3Hfp885nWW5kvv6zzWfD727cPRMoM8wgsAb393RUR3Bn6ObwAAAP__", "2 attachment(s)")</f>
        <v>2 attachment(s)</v>
      </c>
      <c r="Y2012" t="inlineStr">
        <is>
          <t>Bank Transfer</t>
        </is>
      </c>
      <c r="Z2012" t="inlineStr">
        <is>
          <t>Brian Joshua R Ciriaco</t>
        </is>
      </c>
      <c r="AA2012" t="inlineStr">
        <is>
          <t>0061 2040 7730</t>
        </is>
      </c>
      <c r="AB2012" t="inlineStr">
        <is>
          <t>BDO</t>
        </is>
      </c>
      <c r="AC2012" t="inlineStr">
        <is>
          <t>22 South Salvador, Krus na Ligas, Diliman, Quezon City</t>
        </is>
      </c>
      <c r="AD2012" s="4">
        <v>46122</v>
      </c>
      <c r="AE2012" t="inlineStr">
        <is>
          <t>100% Full Payment - Apr. 10, 2026</t>
        </is>
      </c>
      <c r="AF2012" s="2"/>
      <c r="AG2012" t="inlineStr">
        <is>
          <t>NzQyNTk5MTgyNzQ4MTg3MDM0MTo2MThFRDQ1Ri0wRjIwLTQ1MEYtOTVFNy1ENkNENEI2MTVBOTgtMTplYjU0Y2ExZWEwYmNmMTJkNGM2OGNkOTVlZjJhNGNlZTox</t>
        </is>
      </c>
      <c r="AH2012" t="inlineStr">
        <is>
          <t>Brian Joshua R Ciriaco</t>
        </is>
      </c>
      <c r="AI2012"/>
      <c r="AJ2012" t="inlineStr">
        <is>
          <t>LIQUIDITY PLAN (PAR # 202602090082 / 2025TEG-P0278)
SM North EDSA &gt; League ops - MLBB
SM BF Paranaque &gt; League ops - MLBB
Total Remaining Budget = Php 8,500.00
Actual Cost = Php 1,700.00
Balance = Php 6,800.00</t>
        </is>
      </c>
      <c r="AK2012"/>
    </row>
    <row r="2013" ht="25.5" customHeight="1">
      <c r="A2013" s="2" t="str">
        <f>=HYPERLINK("https://applink.larksuite.com/client/mini_program/open?appId=cli_9c7cc8a9a9edd105&amp;mode=appCenter&amp;path_pc=pc/pages/requested/index?instanceId=7612552602870959840&amp;source=bitable&amp;path=pages/detail/index?instanceId=7612552602870959840&amp;source=bitable", "202603020101")</f>
        <v>202603020101</v>
      </c>
      <c r="B2013" t="inlineStr">
        <is>
          <t>Approved</t>
        </is>
      </c>
      <c r="C2013" t="inlineStr">
        <is>
          <t>Procurement Order</t>
        </is>
      </c>
      <c r="D2013" s="3">
        <v>46083.633356481485</v>
      </c>
      <c r="E2013" s="3">
        <v>46084.640011574076</v>
      </c>
      <c r="F2013" t="inlineStr">
        <is>
          <t>Fatima Kathleen M. FLores</t>
        </is>
      </c>
      <c r="G2013" t="inlineStr">
        <is>
          <t>Procurement</t>
        </is>
      </c>
      <c r="H2013"/>
      <c r="I2013"/>
      <c r="J2013" t="inlineStr">
        <is>
          <t>Project</t>
        </is>
      </c>
      <c r="K2013" t="inlineStr">
        <is>
          <t>PDEI - Game Marketing</t>
        </is>
      </c>
      <c r="L2013" t="inlineStr">
        <is>
          <t>SM Cyberzone Trading Card Game (TCG) Activations</t>
        </is>
      </c>
      <c r="M2013" t="inlineStr">
        <is>
          <t>2025TEG-P0278</t>
        </is>
      </c>
      <c r="N2013" t="inlineStr">
        <is>
          <t>Alessandra Mae Villanueva Boado</t>
        </is>
      </c>
      <c r="O2013" t="inlineStr">
        <is>
          <t>202602130114-Alessandra Mae Villanueva Boado-费用报销 - 副本 - 副本 - 副本-2026-02-13 13:45:47</t>
        </is>
      </c>
      <c r="P2013" t="inlineStr">
        <is>
          <t>YES</t>
        </is>
      </c>
      <c r="Q2013"/>
      <c r="R2013" t="inlineStr">
        <is>
          <t>NO</t>
        </is>
      </c>
      <c r="S2013" t="inlineStr">
        <is>
          <t>Outsourced Logistics Associates (Ingress - Event Days - Egress)</t>
        </is>
      </c>
      <c r="T2013">
        <v>1</v>
      </c>
      <c r="U2013">
        <v>30000</v>
      </c>
      <c r="V2013" t="inlineStr">
        <is>
          <t>PHP</t>
        </is>
      </c>
      <c r="W2013">
        <v>30000</v>
      </c>
      <c r="X2013" s="2" t="str">
        <f>=HYPERLINK("https://www.larksuite.com/approval/admin/previewAttachment?key=PMg7CsJgEATgK82-d7yMjSEoxkr4xWLPLlik_bIF2SGWhFOUkKkUjdCEdoHBdoyOVBElFTbba78-1hdxxBPrg3Vg1v22b28JlirK3K0ByOV0K3cn0_F3_AIAAP__", "2 attachment(s)")</f>
        <v>2 attachment(s)</v>
      </c>
      <c r="Y2013" t="inlineStr">
        <is>
          <t>Bank Transfer</t>
        </is>
      </c>
      <c r="Z2013" t="inlineStr">
        <is>
          <t>Rizel John Obong</t>
        </is>
      </c>
      <c r="AA2013" t="inlineStr">
        <is>
          <t>09709731174</t>
        </is>
      </c>
      <c r="AB2013" t="inlineStr">
        <is>
          <t>GCash</t>
        </is>
      </c>
      <c r="AC2013" t="inlineStr">
        <is>
          <t>Blk 1j Lot 31 Phase 3 E-1 Dagat Dagatan Caloocan City</t>
        </is>
      </c>
      <c r="AD2013" s="4">
        <v>46122</v>
      </c>
      <c r="AE2013" t="inlineStr">
        <is>
          <t>1st Payment - Mar. 20, 2026
Final Payment - Apr. 10, 2026</t>
        </is>
      </c>
      <c r="AF2013" s="2"/>
      <c r="AG2013" t="inlineStr">
        <is>
          <t>NzQyNTk5MTgyNzQ4MTg3MDM0MTpEMEVBOTY2My03QjU5LTRERjgtODIzNi01NEI2NzQyNDU4RTYtMTo4MGM0MmM1MDc3NjU0YjJiNDdkYTZjNDI2YjRlNGI1Yjox</t>
        </is>
      </c>
      <c r="AH2013" t="inlineStr">
        <is>
          <t>Rizel John Obong</t>
        </is>
      </c>
      <c r="AI2013"/>
      <c r="AJ2013" t="inlineStr">
        <is>
          <t>LIQUIDITY PLAN (PAR # 202602090082 / 2025TEG-P0278)
SM North EDSA &gt; 
Logistics Manpower for equipment setup
Logistics Delivery for Broadcast equipment
SM BF Paranaque &gt;
Logistics Manpower for equipment setup
Logistics Delivery for Broadcast equipment
Total Budget = Php 39,200.00
Actual Cost = Php 30,000.00
Balance = Php 9,200.00</t>
        </is>
      </c>
      <c r="AK2013"/>
    </row>
    <row r="2014" ht="25.5" customHeight="1">
      <c r="A2014" s="2" t="str">
        <f>=HYPERLINK("https://applink.larksuite.com/client/mini_program/open?appId=cli_9c7cc8a9a9edd105&amp;mode=appCenter&amp;path_pc=pc/pages/requested/index?instanceId=7612549086050291423&amp;source=bitable&amp;path=pages/detail/index?instanceId=7612549086050291423&amp;source=bitable", "202603020093")</f>
        <v>202603020093</v>
      </c>
      <c r="B2014" t="inlineStr">
        <is>
          <t>Approved</t>
        </is>
      </c>
      <c r="C2014" t="inlineStr">
        <is>
          <t>Procurement Order</t>
        </is>
      </c>
      <c r="D2014" s="3">
        <v>46083.623877314814</v>
      </c>
      <c r="E2014" s="3">
        <v>46091.696539351855</v>
      </c>
      <c r="F2014" t="inlineStr">
        <is>
          <t>Fatima Kathleen M. FLores</t>
        </is>
      </c>
      <c r="G2014" t="inlineStr">
        <is>
          <t>Procurement</t>
        </is>
      </c>
      <c r="H2014"/>
      <c r="I2014"/>
      <c r="J2014" t="inlineStr">
        <is>
          <t>Project</t>
        </is>
      </c>
      <c r="K2014" t="inlineStr">
        <is>
          <t>PDEI - Game Marketing</t>
        </is>
      </c>
      <c r="L2014" t="inlineStr">
        <is>
          <t>SM Cyberzone Trading Card Game (TCG) Activations</t>
        </is>
      </c>
      <c r="M2014" t="inlineStr">
        <is>
          <t>2025TEG-P0278</t>
        </is>
      </c>
      <c r="N2014" t="inlineStr">
        <is>
          <t>Alessandra Mae Villanueva Boado</t>
        </is>
      </c>
      <c r="O2014" t="inlineStr">
        <is>
          <t>202602130111-Alessandra Mae Villanueva Boado-费用报销 - 副本 - 副本 - 副本-2026-02-13 13:29:06;202602130112-Alessandra Mae Villanueva Boado-费用报销 - 副本 - 副本 - 副本-2026-02-13 13:32:10;202602130113-Alessandra Mae Villanueva Boado-费用报销 - 副本 - 副本 - 副本-2026-02-13 13:39:59</t>
        </is>
      </c>
      <c r="P2014" t="inlineStr">
        <is>
          <t>YES</t>
        </is>
      </c>
      <c r="Q2014"/>
      <c r="R2014" t="inlineStr">
        <is>
          <t>YES</t>
        </is>
      </c>
      <c r="S2014" t="inlineStr">
        <is>
          <t>Outsourced Broadcast Manpower</t>
        </is>
      </c>
      <c r="T2014">
        <v>1</v>
      </c>
      <c r="U2014">
        <v>20000</v>
      </c>
      <c r="V2014" t="inlineStr">
        <is>
          <t>PHP</t>
        </is>
      </c>
      <c r="W2014">
        <v>20000</v>
      </c>
      <c r="X2014" s="2" t="str">
        <f>=HYPERLINK("https://www.larksuite.com/approval/admin/previewAttachment?key=PMg9CgIxEAXgK703vxkvY2MIgsZGWNxizi5Y2H4xiBhOjYIVpcDOoLgVRsAhRRNtaWYWkunac6-r-1zbH5_jfI1zP_u439Z80ytFkGqmAwAvf9c0s6ow_BzfAAAA__8", "4 attachment(s)")</f>
        <v>4 attachment(s)</v>
      </c>
      <c r="Y2014" t="inlineStr">
        <is>
          <t>Bank Transfer</t>
        </is>
      </c>
      <c r="Z2014" t="inlineStr">
        <is>
          <t>John Benigno R. Magat</t>
        </is>
      </c>
      <c r="AA2014" t="inlineStr">
        <is>
          <t>046110005388</t>
        </is>
      </c>
      <c r="AB2014" t="inlineStr">
        <is>
          <t>PSBank</t>
        </is>
      </c>
      <c r="AC2014" t="inlineStr">
        <is>
          <t>228 Grissom st. Brgy Moonwalk Paranaque</t>
        </is>
      </c>
      <c r="AD2014" s="4">
        <v>46101</v>
      </c>
      <c r="AE2014" t="inlineStr">
        <is>
          <t>1st Payment - Mar. 20, 2026
Final Payment - Apr. 10, 2026</t>
        </is>
      </c>
      <c r="AF2014" s="2"/>
      <c r="AG2014" t="inlineStr">
        <is>
          <t>NzQyNTk5MTgyNzQ4MTg3MDM0MTowNzJBNEQyNS03MUU0LTQ3MTMtODY0NS0yNzlCNzgxRDY2REItMTowMTJlN2QyYzMxN2E1ODZmZDgxMTQ0MGU3NmZiNjc1Yjox</t>
        </is>
      </c>
      <c r="AH2014" t="inlineStr">
        <is>
          <t>John Benigno R. Magat</t>
        </is>
      </c>
      <c r="AI2014"/>
      <c r="AJ2014" t="inlineStr">
        <is>
          <t>LIQUIDITY PLAN (PAR # 202602090082 / 2025TEG-P0278)
SM North EDSA &gt; 
Broadcast Manpower
Game Observer
Floor Director (INTERNAL)
SM BF Paranaque &gt;
Broadcast Manpower
Game Observer
Floor Director (INTERNAL)
Total Budget = Php 26,400.00
Actual Cost = Php 20,000.00
Balance = Php 6,400.00
*TAGGED AS OVER BUDGET. FLOOR DIRECTOR LINE ITEM IS SUPPOSEDLY FROM INTERNAL.</t>
        </is>
      </c>
      <c r="AK2014"/>
    </row>
    <row r="2015" ht="25.5" customHeight="1">
      <c r="A2015" s="2" t="str">
        <f>=HYPERLINK("https://applink.larksuite.com/client/mini_program/open?appId=cli_9c7cc8a9a9edd105&amp;mode=appCenter&amp;path_pc=pc/pages/requested/index?instanceId=7612554135459598048&amp;source=bitable&amp;path=pages/detail/index?instanceId=7612554135459598048&amp;source=bitable", "202603020103")</f>
        <v>202603020103</v>
      </c>
      <c r="B2015" t="inlineStr">
        <is>
          <t>Approved</t>
        </is>
      </c>
      <c r="C2015" t="inlineStr">
        <is>
          <t>Procurement Order</t>
        </is>
      </c>
      <c r="D2015" s="3">
        <v>46083.63748842593</v>
      </c>
      <c r="E2015" s="3">
        <v>46092.61211805556</v>
      </c>
      <c r="F2015" t="inlineStr">
        <is>
          <t>Fatima Kathleen M. FLores</t>
        </is>
      </c>
      <c r="G2015" t="inlineStr">
        <is>
          <t>Procurement</t>
        </is>
      </c>
      <c r="H2015"/>
      <c r="I2015"/>
      <c r="J2015" t="inlineStr">
        <is>
          <t>Project</t>
        </is>
      </c>
      <c r="K2015" t="inlineStr">
        <is>
          <t>PDEI - Game Marketing</t>
        </is>
      </c>
      <c r="L2015" t="inlineStr">
        <is>
          <t>SM Cyberzone Trading Card Game (TCG) Activations</t>
        </is>
      </c>
      <c r="M2015" t="inlineStr">
        <is>
          <t>2025TEG-P0278</t>
        </is>
      </c>
      <c r="N2015" t="inlineStr">
        <is>
          <t>Alessandra Mae Villanueva Boado</t>
        </is>
      </c>
      <c r="O2015" t="inlineStr">
        <is>
          <t>202602180077-Alessandra Mae Villanueva Boado-费用报销 - 副本 - 副本 - 副本-2026-02-18 09:20:40</t>
        </is>
      </c>
      <c r="P2015" t="inlineStr">
        <is>
          <t>YES</t>
        </is>
      </c>
      <c r="Q2015"/>
      <c r="R2015" t="inlineStr">
        <is>
          <t>YES</t>
        </is>
      </c>
      <c r="S2015" t="inlineStr">
        <is>
          <t>Outsourced Road Manager (4 days)</t>
        </is>
      </c>
      <c r="T2015">
        <v>1</v>
      </c>
      <c r="U2015">
        <v>6400</v>
      </c>
      <c r="V2015" t="inlineStr">
        <is>
          <t>PHP</t>
        </is>
      </c>
      <c r="W2015">
        <v>6400</v>
      </c>
      <c r="X2015" s="2" t="str">
        <f>=HYPERLINK("https://www.larksuite.com/approval/admin/previewAttachment?key=PMg9CkIxEATgK83sTzbjZWzeI4gQEQSx2bMLFrbfmMSYSR9CiCawa9Ayg56RSk3EbGtWCcVK73Ovq-65uOqzdz3tePT7dqzzxVSZoTzCJwBe_u4VEdII_BzfAAAA__8", "2 attachment(s)")</f>
        <v>2 attachment(s)</v>
      </c>
      <c r="Y2015" t="inlineStr">
        <is>
          <t>Bank Transfer</t>
        </is>
      </c>
      <c r="Z2015" t="inlineStr">
        <is>
          <t>Erika Bautista</t>
        </is>
      </c>
      <c r="AA2015" t="inlineStr">
        <is>
          <t>1094 8561 6093</t>
        </is>
      </c>
      <c r="AB2015" t="inlineStr">
        <is>
          <t>Unionbank</t>
        </is>
      </c>
      <c r="AC2015" t="inlineStr">
        <is>
          <t>1 13th Ave., Cubao., Quezon City</t>
        </is>
      </c>
      <c r="AD2015" s="4">
        <v>46122</v>
      </c>
      <c r="AE2015" t="inlineStr">
        <is>
          <t>1st Payment - Mar. 20, 2026
Final Payment - Apr. 10, 2026</t>
        </is>
      </c>
      <c r="AF2015" s="2"/>
      <c r="AG2015" t="inlineStr">
        <is>
          <t>NzQyNTk5MTgyNzQ4MTg3MDM0MTo2MjE0RkQ3RC0xOERGLTQ1NzYtODU3OC1FMDEyNEU1MUFFOTMtMTowYzQxYTkyYzAxNmI0NmRlN2ZjODhjZjg3N2RkYjdmYTox</t>
        </is>
      </c>
      <c r="AH2015" t="inlineStr">
        <is>
          <t>Erika Bautista</t>
        </is>
      </c>
      <c r="AI2015"/>
      <c r="AJ2015" t="inlineStr">
        <is>
          <t>No line item in internal CE. UNBUDGETED.</t>
        </is>
      </c>
      <c r="AK2015"/>
    </row>
    <row r="2016" ht="25.5" customHeight="1">
      <c r="A2016" s="2" t="str">
        <f>=HYPERLINK("https://applink.larksuite.com/client/mini_program/open?appId=cli_9c7cc8a9a9edd105&amp;mode=appCenter&amp;path_pc=pc/pages/requested/index?instanceId=7612940668985446111&amp;source=bitable&amp;path=pages/detail/index?instanceId=7612940668985446111&amp;source=bitable", "202603030095")</f>
        <v>202603030095</v>
      </c>
      <c r="B2016" t="inlineStr">
        <is>
          <t>Approved</t>
        </is>
      </c>
      <c r="C2016" t="inlineStr">
        <is>
          <t>Procurement Order</t>
        </is>
      </c>
      <c r="D2016" s="3">
        <v>46084.67912037037</v>
      </c>
      <c r="E2016" s="3">
        <v>46084.761342592596</v>
      </c>
      <c r="F2016" t="inlineStr">
        <is>
          <t>Fatima Kathleen M. FLores</t>
        </is>
      </c>
      <c r="G2016" t="inlineStr">
        <is>
          <t>Procurement</t>
        </is>
      </c>
      <c r="H2016"/>
      <c r="I2016"/>
      <c r="J2016" t="inlineStr">
        <is>
          <t>Project</t>
        </is>
      </c>
      <c r="K2016" t="inlineStr">
        <is>
          <t>PDEI - Game Marketing</t>
        </is>
      </c>
      <c r="L2016" t="inlineStr">
        <is>
          <t>SM Cyberzone Trading Card Game (TCG) Activations</t>
        </is>
      </c>
      <c r="M2016" t="inlineStr">
        <is>
          <t>2025TEG-P0278</t>
        </is>
      </c>
      <c r="N2016" t="inlineStr">
        <is>
          <t>Alessandra Mae Villanueva Boado</t>
        </is>
      </c>
      <c r="O2016" t="inlineStr">
        <is>
          <t>202602130117-Alessandra Mae Villanueva Boado-费用报销 - 副本 - 副本 - 副本-2026-02-13 13:52:55</t>
        </is>
      </c>
      <c r="P2016" t="inlineStr">
        <is>
          <t>NO</t>
        </is>
      </c>
      <c r="Q2016"/>
      <c r="R2016" t="inlineStr">
        <is>
          <t>NO</t>
        </is>
      </c>
      <c r="S2016" t="inlineStr">
        <is>
          <t>UX-00 Purple Coated WyvernHover 2-80GN</t>
        </is>
      </c>
      <c r="T2016">
        <v>2</v>
      </c>
      <c r="U2016">
        <v>10000</v>
      </c>
      <c r="V2016" t="inlineStr">
        <is>
          <t>PHP</t>
        </is>
      </c>
      <c r="W2016">
        <v>20000</v>
      </c>
      <c r="X2016" s="2"/>
      <c r="Y2016" t="inlineStr">
        <is>
          <t>Bank Transfer</t>
        </is>
      </c>
      <c r="Z2016" t="inlineStr">
        <is>
          <t>Watashino Ventures Corporation</t>
        </is>
      </c>
      <c r="AA2016" t="inlineStr">
        <is>
          <t>8933 1706 09</t>
        </is>
      </c>
      <c r="AB2016" t="inlineStr">
        <is>
          <t>BPI</t>
        </is>
      </c>
      <c r="AC2016" t="inlineStr">
        <is>
          <t>Lot 8 Blk 17 Phase 2 Southplains Executive Village, San Jose, Cavite</t>
        </is>
      </c>
      <c r="AD2016" s="4">
        <v>46087</v>
      </c>
      <c r="AE2016" t="inlineStr">
        <is>
          <t>100% Full Payment before delivery / pick-up</t>
        </is>
      </c>
      <c r="AF2016" s="2" t="str">
        <f>=HYPERLINK("https://www.larksuite.com/approval/admin/previewAttachment?key=TMgxCkJBDATQK81skkniZWx2WeSDlfC7PbtgZftUhCpoanhzNHhSHO2QqivcRfKMw8xGMsPOeu9nxNo25n3FTLvs3K-514cqE7zDnQ2Ajz8n0WWyn-MbAAD__w", "2 attachment(s)")</f>
        <v>2 attachment(s)</v>
      </c>
      <c r="AG2016" t="inlineStr">
        <is>
          <t>NzQyNTk5MTgyNzQ4MTg3MDM0MTo2NjA1Q0NDNi1ERTY3LTRGRjEtQjE4Ny0xREY1OTA4RDI5QjQtMTo5MjA2OTY1OGM2NTVlODg2YTE2ZjY2NDI2MThhNjUwMjox</t>
        </is>
      </c>
      <c r="AH2016" t="inlineStr">
        <is>
          <t>Watashino Ventures Corporation</t>
        </is>
      </c>
      <c r="AI2016"/>
      <c r="AJ2016" t="inlineStr">
        <is>
          <t>LIQUIDITY PLAN (PAR # 202602090082 / 2025TEG-P0278)
SM North EDSA &gt; Beyblade Prize Pool
SM BF Paranaque &gt; Beyblade Prize Pool
Total Budget = Php 40,000.00
Actual Cost = Php 39,600.00
Balance = Php 400.00</t>
        </is>
      </c>
      <c r="AK2016"/>
    </row>
    <row r="2017" ht="25.5" customHeight="1">
      <c r="A2017" s="2" t="str">
        <f>=HYPERLINK("https://applink.larksuite.com/client/mini_program/open?appId=cli_9c7cc8a9a9edd105&amp;mode=appCenter&amp;path_pc=pc/pages/requested/index?instanceId=7612940668985446111&amp;source=bitable&amp;path=pages/detail/index?instanceId=7612940668985446111&amp;source=bitable", "202603030095")</f>
        <v>202603030095</v>
      </c>
      <c r="B2017" t="inlineStr">
        <is>
          <t>Approved</t>
        </is>
      </c>
      <c r="C2017" t="inlineStr">
        <is>
          <t>Procurement Order</t>
        </is>
      </c>
      <c r="D2017" s="3">
        <v>46084.67912037037</v>
      </c>
      <c r="E2017" s="3">
        <v>46084.761342592596</v>
      </c>
      <c r="F2017" t="inlineStr">
        <is>
          <t>Fatima Kathleen M. FLores</t>
        </is>
      </c>
      <c r="G2017" t="inlineStr">
        <is>
          <t>Procurement</t>
        </is>
      </c>
      <c r="H2017"/>
      <c r="I2017"/>
      <c r="J2017" t="inlineStr">
        <is>
          <t>Project</t>
        </is>
      </c>
      <c r="K2017" t="inlineStr">
        <is>
          <t>PDEI - Game Marketing</t>
        </is>
      </c>
      <c r="L2017" t="inlineStr">
        <is>
          <t>SM Cyberzone Trading Card Game (TCG) Activations</t>
        </is>
      </c>
      <c r="M2017" t="inlineStr">
        <is>
          <t>2025TEG-P0278</t>
        </is>
      </c>
      <c r="N2017" t="inlineStr">
        <is>
          <t>Alessandra Mae Villanueva Boado</t>
        </is>
      </c>
      <c r="O2017" t="inlineStr">
        <is>
          <t>202602130117-Alessandra Mae Villanueva Boado-费用报销 - 副本 - 副本 - 副本-2026-02-13 13:52:55</t>
        </is>
      </c>
      <c r="P2017" t="inlineStr">
        <is>
          <t>NO</t>
        </is>
      </c>
      <c r="Q2017"/>
      <c r="R2017" t="inlineStr">
        <is>
          <t>NO</t>
        </is>
      </c>
      <c r="S2017" t="inlineStr">
        <is>
          <t>BX-46 Infinity Set</t>
        </is>
      </c>
      <c r="T2017">
        <v>2</v>
      </c>
      <c r="U2017">
        <v>4800</v>
      </c>
      <c r="V2017" t="inlineStr">
        <is>
          <t>PHP</t>
        </is>
      </c>
      <c r="W2017">
        <v>9600</v>
      </c>
      <c r="X2017" s="2"/>
      <c r="Y2017"/>
      <c r="Z2017"/>
      <c r="AA2017"/>
      <c r="AB2017"/>
      <c r="AC2017"/>
      <c r="AD2017" s="4"/>
      <c r="AE2017"/>
      <c r="AF2017" s="2"/>
      <c r="AG2017" t="inlineStr">
        <is>
          <t>NzQyNTk5MTgyNzQ4MTg3MDM0MTo2NjA1Q0NDNi1ERTY3LTRGRjEtQjE4Ny0xREY1OTA4RDI5QjQtMjoyNmEyOGQyNzI5Yzg0NzkwYTQ5ZDBmZTc5NGNjMGFkYjox</t>
        </is>
      </c>
      <c r="AH2017"/>
      <c r="AI2017"/>
      <c r="AJ2017" t="inlineStr">
        <is>
          <t>LIQUIDITY PLAN (PAR # 202602090082 / 2025TEG-P0278)
SM North EDSA &gt; Beyblade Prize Pool
SM BF Paranaque &gt; Beyblade Prize Pool
Total Budget = Php 40,000.00
Actual Cost = Php 39,600.00
Balance = Php 400.00</t>
        </is>
      </c>
      <c r="AK2017"/>
    </row>
    <row r="2018" ht="25.5" customHeight="1">
      <c r="A2018" s="2" t="str">
        <f>=HYPERLINK("https://applink.larksuite.com/client/mini_program/open?appId=cli_9c7cc8a9a9edd105&amp;mode=appCenter&amp;path_pc=pc/pages/requested/index?instanceId=7612940668985446111&amp;source=bitable&amp;path=pages/detail/index?instanceId=7612940668985446111&amp;source=bitable", "202603030095")</f>
        <v>202603030095</v>
      </c>
      <c r="B2018" t="inlineStr">
        <is>
          <t>Approved</t>
        </is>
      </c>
      <c r="C2018" t="inlineStr">
        <is>
          <t>Procurement Order</t>
        </is>
      </c>
      <c r="D2018" s="3">
        <v>46084.67912037037</v>
      </c>
      <c r="E2018" s="3">
        <v>46084.761342592596</v>
      </c>
      <c r="F2018" t="inlineStr">
        <is>
          <t>Fatima Kathleen M. FLores</t>
        </is>
      </c>
      <c r="G2018" t="inlineStr">
        <is>
          <t>Procurement</t>
        </is>
      </c>
      <c r="H2018"/>
      <c r="I2018"/>
      <c r="J2018" t="inlineStr">
        <is>
          <t>Project</t>
        </is>
      </c>
      <c r="K2018" t="inlineStr">
        <is>
          <t>PDEI - Game Marketing</t>
        </is>
      </c>
      <c r="L2018" t="inlineStr">
        <is>
          <t>SM Cyberzone Trading Card Game (TCG) Activations</t>
        </is>
      </c>
      <c r="M2018" t="inlineStr">
        <is>
          <t>2025TEG-P0278</t>
        </is>
      </c>
      <c r="N2018" t="inlineStr">
        <is>
          <t>Alessandra Mae Villanueva Boado</t>
        </is>
      </c>
      <c r="O2018" t="inlineStr">
        <is>
          <t>202602130117-Alessandra Mae Villanueva Boado-费用报销 - 副本 - 副本 - 副本-2026-02-13 13:52:55</t>
        </is>
      </c>
      <c r="P2018" t="inlineStr">
        <is>
          <t>NO</t>
        </is>
      </c>
      <c r="Q2018"/>
      <c r="R2018" t="inlineStr">
        <is>
          <t>NO</t>
        </is>
      </c>
      <c r="S2018" t="inlineStr">
        <is>
          <t>UX-00 Orange Samurai Saber</t>
        </is>
      </c>
      <c r="T2018">
        <v>2</v>
      </c>
      <c r="U2018">
        <v>3000</v>
      </c>
      <c r="V2018" t="inlineStr">
        <is>
          <t>PHP</t>
        </is>
      </c>
      <c r="W2018">
        <v>6000</v>
      </c>
      <c r="X2018" s="2"/>
      <c r="Y2018"/>
      <c r="Z2018"/>
      <c r="AA2018"/>
      <c r="AB2018"/>
      <c r="AC2018"/>
      <c r="AD2018" s="4"/>
      <c r="AE2018"/>
      <c r="AF2018" s="2"/>
      <c r="AG2018" t="inlineStr">
        <is>
          <t>NzQyNTk5MTgyNzQ4MTg3MDM0MTo2NjA1Q0NDNi1ERTY3LTRGRjEtQjE4Ny0xREY1OTA4RDI5QjQtMzpiYmQ2YTE3ODRjZmQ0N2VjMjM4NmRlMjM3ZmJmYmIxMzox</t>
        </is>
      </c>
      <c r="AH2018"/>
      <c r="AI2018"/>
      <c r="AJ2018" t="inlineStr">
        <is>
          <t>LIQUIDITY PLAN (PAR # 202602090082 / 2025TEG-P0278)
SM North EDSA &gt; Beyblade Prize Pool
SM BF Paranaque &gt; Beyblade Prize Pool
Total Budget = Php 40,000.00
Actual Cost = Php 39,600.00
Balance = Php 400.00</t>
        </is>
      </c>
      <c r="AK2018"/>
    </row>
    <row r="2019" ht="25.5" customHeight="1">
      <c r="A2019" s="2" t="str">
        <f>=HYPERLINK("https://applink.larksuite.com/client/mini_program/open?appId=cli_9c7cc8a9a9edd105&amp;mode=appCenter&amp;path_pc=pc/pages/requested/index?instanceId=7612940668985446111&amp;source=bitable&amp;path=pages/detail/index?instanceId=7612940668985446111&amp;source=bitable", "202603030095")</f>
        <v>202603030095</v>
      </c>
      <c r="B2019" t="inlineStr">
        <is>
          <t>Approved</t>
        </is>
      </c>
      <c r="C2019" t="inlineStr">
        <is>
          <t>Procurement Order</t>
        </is>
      </c>
      <c r="D2019" s="3">
        <v>46084.67912037037</v>
      </c>
      <c r="E2019" s="3">
        <v>46084.761342592596</v>
      </c>
      <c r="F2019" t="inlineStr">
        <is>
          <t>Fatima Kathleen M. FLores</t>
        </is>
      </c>
      <c r="G2019" t="inlineStr">
        <is>
          <t>Procurement</t>
        </is>
      </c>
      <c r="H2019"/>
      <c r="I2019"/>
      <c r="J2019" t="inlineStr">
        <is>
          <t>Project</t>
        </is>
      </c>
      <c r="K2019" t="inlineStr">
        <is>
          <t>PDEI - Game Marketing</t>
        </is>
      </c>
      <c r="L2019" t="inlineStr">
        <is>
          <t>SM Cyberzone Trading Card Game (TCG) Activations</t>
        </is>
      </c>
      <c r="M2019" t="inlineStr">
        <is>
          <t>2025TEG-P0278</t>
        </is>
      </c>
      <c r="N2019" t="inlineStr">
        <is>
          <t>Alessandra Mae Villanueva Boado</t>
        </is>
      </c>
      <c r="O2019" t="inlineStr">
        <is>
          <t>202602130117-Alessandra Mae Villanueva Boado-费用报销 - 副本 - 副本 - 副本-2026-02-13 13:52:55</t>
        </is>
      </c>
      <c r="P2019" t="inlineStr">
        <is>
          <t>NO</t>
        </is>
      </c>
      <c r="Q2019"/>
      <c r="R2019" t="inlineStr">
        <is>
          <t>NO</t>
        </is>
      </c>
      <c r="S2019" t="inlineStr">
        <is>
          <t>UX-00 Korean DranDeck Set</t>
        </is>
      </c>
      <c r="T2019">
        <v>2</v>
      </c>
      <c r="U2019">
        <v>2000</v>
      </c>
      <c r="V2019" t="inlineStr">
        <is>
          <t>PHP</t>
        </is>
      </c>
      <c r="W2019">
        <v>4000</v>
      </c>
      <c r="X2019" s="2" t="str">
        <f>=HYPERLINK("https://www.larksuite.com/approval/admin/previewAttachment?key=PMgxCkJBDATQK80kk2TjZWx2WeSDlfC7PbtgYftyEDmCng01rcFTSWshc_QIKUkeO6xqFCv8rPd-RqztNu8rZvnl537NvT6MLjOUSz4A8PF3L0ndKfzcvwEAAP__", "2 attachment(s)")</f>
        <v>2 attachment(s)</v>
      </c>
      <c r="Y2019"/>
      <c r="Z2019"/>
      <c r="AA2019"/>
      <c r="AB2019"/>
      <c r="AC2019"/>
      <c r="AD2019" s="4"/>
      <c r="AE2019"/>
      <c r="AF2019" s="2"/>
      <c r="AG2019" t="inlineStr">
        <is>
          <t>NzQyNTk5MTgyNzQ4MTg3MDM0MTo2NjA1Q0NDNi1ERTY3LTRGRjEtQjE4Ny0xREY1OTA4RDI5QjQtNDpiZjJkMDk0MzJmZDhkYTYwZGNhNzMwYzkxYjQ0ZWI0Njox</t>
        </is>
      </c>
      <c r="AH2019"/>
      <c r="AI2019"/>
      <c r="AJ2019" t="inlineStr">
        <is>
          <t>LIQUIDITY PLAN (PAR # 202602090082 / 2025TEG-P0278)
SM North EDSA &gt; Beyblade Prize Pool
SM BF Paranaque &gt; Beyblade Prize Pool
Total Budget = Php 40,000.00
Actual Cost = Php 39,600.00
Balance = Php 400.00</t>
        </is>
      </c>
      <c r="AK2019"/>
    </row>
    <row r="2020" ht="25.5" customHeight="1">
      <c r="A2020" s="2" t="str">
        <f>=HYPERLINK("https://applink.larksuite.com/client/mini_program/open?appId=cli_9c7cc8a9a9edd105&amp;mode=appCenter&amp;path_pc=pc/pages/requested/index?instanceId=7612927157043498721&amp;source=bitable&amp;path=pages/detail/index?instanceId=7612927157043498721&amp;source=bitable", "202603030079")</f>
        <v>202603030079</v>
      </c>
      <c r="B2020" t="inlineStr">
        <is>
          <t>Approved</t>
        </is>
      </c>
      <c r="C2020" t="inlineStr">
        <is>
          <t>Procurement Order</t>
        </is>
      </c>
      <c r="D2020" s="3">
        <v>46084.64270833333</v>
      </c>
      <c r="E2020" s="3">
        <v>46086.60569444444</v>
      </c>
      <c r="F2020" t="inlineStr">
        <is>
          <t>Fatima Kathleen M. FLores</t>
        </is>
      </c>
      <c r="G2020" t="inlineStr">
        <is>
          <t>Procurement</t>
        </is>
      </c>
      <c r="H2020"/>
      <c r="I2020"/>
      <c r="J2020" t="inlineStr">
        <is>
          <t>Project</t>
        </is>
      </c>
      <c r="K2020" t="inlineStr">
        <is>
          <t>GG - Event Service</t>
        </is>
      </c>
      <c r="L2020" t="inlineStr">
        <is>
          <t>Philippine Kings League Spring Season 2026 (PKL)</t>
        </is>
      </c>
      <c r="M2020" t="inlineStr">
        <is>
          <t>2026TEG-P0037</t>
        </is>
      </c>
      <c r="N2020" t="inlineStr">
        <is>
          <t>Juvie Anne Asis Castres</t>
        </is>
      </c>
      <c r="O2020" t="inlineStr">
        <is>
          <t>202602150007-Juvie Anne Asis Castres-费用报销 - 副本 - 副本 - 副本-2026-02-15 10:39:16</t>
        </is>
      </c>
      <c r="P2020" t="inlineStr">
        <is>
          <t>NO</t>
        </is>
      </c>
      <c r="Q2020"/>
      <c r="R2020" t="inlineStr">
        <is>
          <t>YES</t>
        </is>
      </c>
      <c r="S2020" t="inlineStr">
        <is>
          <t>3" Customized Mold</t>
        </is>
      </c>
      <c r="T2020">
        <v>3</v>
      </c>
      <c r="U2020">
        <v>5000</v>
      </c>
      <c r="V2020" t="inlineStr">
        <is>
          <t>PHP</t>
        </is>
      </c>
      <c r="W2020">
        <v>15000</v>
      </c>
      <c r="X2020" s="2"/>
      <c r="Y2020" t="inlineStr">
        <is>
          <t>Bank Transfer</t>
        </is>
      </c>
      <c r="Z2020" t="inlineStr">
        <is>
          <t>Dessiree P. Deceana</t>
        </is>
      </c>
      <c r="AA2020" t="inlineStr">
        <is>
          <t>1589509125</t>
        </is>
      </c>
      <c r="AB2020" t="inlineStr">
        <is>
          <t>BPI</t>
        </is>
      </c>
      <c r="AC2020" t="inlineStr">
        <is>
          <t>1761 CM Recto Sta. Cruz, Manila</t>
        </is>
      </c>
      <c r="AD2020" s="4">
        <v>46087</v>
      </c>
      <c r="AE2020" t="inlineStr">
        <is>
          <t>50% Down payment upon confirmation
50% Final Payment before delivery</t>
        </is>
      </c>
      <c r="AF2020" s="2" t="str">
        <f>=HYPERLINK("https://www.larksuite.com/approval/admin/previewAttachment?key=TMg9CgJBDAXgK72XZPLjZWx2GRxQEMQBi5xdsLL9PAnPQfWCFaXADqeUBEfA1CpD2NKMKARjaJ-PeV37Ax7vhWfOfUfv2zHPFz3VYTXMWAB4-XMSler6c3wDAAD__w", "1 attachment(s)")</f>
        <v>1 attachment(s)</v>
      </c>
      <c r="AG2020" t="inlineStr">
        <is>
          <t>NzQyNTk5MTgyNzQ4MTg3MDM0MTo5QUM2QzY5Qy1GQkU4LTQ3OTgtOTc4RC05M0Q5QkY2QTU1NDItMTpmMTAzZDgxMzI0ZWY0MDU1NTc3ZTcwY2VjYzhkMTg4Njox</t>
        </is>
      </c>
      <c r="AH2020" t="inlineStr">
        <is>
          <t>BYB Trophies Shop</t>
        </is>
      </c>
      <c r="AI2020"/>
      <c r="AJ2020" t="inlineStr">
        <is>
          <t>LIQUIDITY PLAN (PAR # 202602120015 / 2026TEG-P0037)
PLAYOFFS &gt; STAGING &amp; STUDIO &gt;
Awarding &gt; Medal Creation
Total Budget = Php 15,000.00
Actual Cost = Php 21,300.00
Balance = (Php 6,300.00) OVER BUDGET - TO BE CHARGED TO AN ADDENDUM</t>
        </is>
      </c>
      <c r="AK2020"/>
    </row>
    <row r="2021" ht="25.5" customHeight="1">
      <c r="A2021" s="2" t="str">
        <f>=HYPERLINK("https://applink.larksuite.com/client/mini_program/open?appId=cli_9c7cc8a9a9edd105&amp;mode=appCenter&amp;path_pc=pc/pages/requested/index?instanceId=7612927157043498721&amp;source=bitable&amp;path=pages/detail/index?instanceId=7612927157043498721&amp;source=bitable", "202603030079")</f>
        <v>202603030079</v>
      </c>
      <c r="B2021" t="inlineStr">
        <is>
          <t>Approved</t>
        </is>
      </c>
      <c r="C2021" t="inlineStr">
        <is>
          <t>Procurement Order</t>
        </is>
      </c>
      <c r="D2021" s="3">
        <v>46084.64270833333</v>
      </c>
      <c r="E2021" s="3">
        <v>46086.60569444444</v>
      </c>
      <c r="F2021" t="inlineStr">
        <is>
          <t>Fatima Kathleen M. FLores</t>
        </is>
      </c>
      <c r="G2021" t="inlineStr">
        <is>
          <t>Procurement</t>
        </is>
      </c>
      <c r="H2021"/>
      <c r="I2021"/>
      <c r="J2021" t="inlineStr">
        <is>
          <t>Project</t>
        </is>
      </c>
      <c r="K2021" t="inlineStr">
        <is>
          <t>GG - Event Service</t>
        </is>
      </c>
      <c r="L2021" t="inlineStr">
        <is>
          <t>Philippine Kings League Spring Season 2026 (PKL)</t>
        </is>
      </c>
      <c r="M2021" t="inlineStr">
        <is>
          <t>2026TEG-P0037</t>
        </is>
      </c>
      <c r="N2021" t="inlineStr">
        <is>
          <t>Juvie Anne Asis Castres</t>
        </is>
      </c>
      <c r="O2021" t="inlineStr">
        <is>
          <t>202602150007-Juvie Anne Asis Castres-费用报销 - 副本 - 副本 - 副本-2026-02-15 10:39:16</t>
        </is>
      </c>
      <c r="P2021" t="inlineStr">
        <is>
          <t>NO</t>
        </is>
      </c>
      <c r="Q2021"/>
      <c r="R2021" t="inlineStr">
        <is>
          <t>YES</t>
        </is>
      </c>
      <c r="S2021" t="inlineStr">
        <is>
          <t>3" Medals with Lanyard</t>
        </is>
      </c>
      <c r="T2021">
        <v>9</v>
      </c>
      <c r="U2021">
        <v>700</v>
      </c>
      <c r="V2021" t="inlineStr">
        <is>
          <t>PHP</t>
        </is>
      </c>
      <c r="W2021">
        <v>6300</v>
      </c>
      <c r="X2021" s="2" t="str">
        <f>=HYPERLINK("https://www.larksuite.com/approval/admin/previewAttachment?key=PMgxCgJBDAXQK_2fZOYnXsZml8UFBUEcsMjZBQvbN5OYOeizEEUrsDVpZeIQwqNSxramVBA1vPfHcT3XB9zeJ555rDt63bZjf3GUzCCP8ATAy99dEVE1Az_nNwAA__8", "2 attachment(s)")</f>
        <v>2 attachment(s)</v>
      </c>
      <c r="Y2021"/>
      <c r="Z2021"/>
      <c r="AA2021"/>
      <c r="AB2021"/>
      <c r="AC2021"/>
      <c r="AD2021" s="4"/>
      <c r="AE2021"/>
      <c r="AF2021" s="2"/>
      <c r="AG2021" t="inlineStr">
        <is>
          <t>NzQyNTk5MTgyNzQ4MTg3MDM0MTo5QUM2QzY5Qy1GQkU4LTQ3OTgtOTc4RC05M0Q5QkY2QTU1NDItMjplY2ExMjc3YjdiOWFkNWMwZTIwNzg1NmRkZDQ3OTVmNjox</t>
        </is>
      </c>
      <c r="AH2021"/>
      <c r="AI2021"/>
      <c r="AJ2021" t="inlineStr">
        <is>
          <t>LIQUIDITY PLAN (PAR # 202602120015 / 2026TEG-P0037)
PLAYOFFS &gt; STAGING &amp; STUDIO &gt;
Awarding &gt; Medal Creation
Total Budget = Php 15,000.00
Actual Cost = Php 21,300.00
Balance = (Php 6,300.00) OVER BUDGET - TO BE CHARGED TO AN ADDENDUM</t>
        </is>
      </c>
      <c r="AK2021"/>
    </row>
    <row r="2022" ht="25.5" customHeight="1">
      <c r="A2022" s="2" t="str">
        <f>=HYPERLINK("https://applink.larksuite.com/client/mini_program/open?appId=cli_9c7cc8a9a9edd105&amp;mode=appCenter&amp;path_pc=pc/pages/requested/index?instanceId=7613316693489651424&amp;source=bitable&amp;path=pages/detail/index?instanceId=7613316693489651424&amp;source=bitable", "202603040081")</f>
        <v>202603040081</v>
      </c>
      <c r="B2022" t="inlineStr">
        <is>
          <t>Approved</t>
        </is>
      </c>
      <c r="C2022" t="inlineStr">
        <is>
          <t>Procurement Order</t>
        </is>
      </c>
      <c r="D2022" s="3">
        <v>46085.69243055556</v>
      </c>
      <c r="E2022" s="3">
        <v>46086.47640046296</v>
      </c>
      <c r="F2022" t="inlineStr">
        <is>
          <t>Fatima Kathleen M. FLores</t>
        </is>
      </c>
      <c r="G2022" t="inlineStr">
        <is>
          <t>Procurement</t>
        </is>
      </c>
      <c r="H2022"/>
      <c r="I2022"/>
      <c r="J2022" t="inlineStr">
        <is>
          <t>Project</t>
        </is>
      </c>
      <c r="K2022" t="inlineStr">
        <is>
          <t>PDEI - Game Marketing</t>
        </is>
      </c>
      <c r="L2022" t="inlineStr">
        <is>
          <t>SM Cyberzone Trading Card Game (TCG) Activations</t>
        </is>
      </c>
      <c r="M2022" t="inlineStr">
        <is>
          <t>2025TEG-P0278</t>
        </is>
      </c>
      <c r="N2022" t="inlineStr">
        <is>
          <t>Alessandra Mae Villanueva Boado</t>
        </is>
      </c>
      <c r="O2022" t="inlineStr">
        <is>
          <t>202602260015-Alessandra Mae Villanueva Boado-费用报销 - 副本 - 副本 - 副本-2026-02-26 03:22:01</t>
        </is>
      </c>
      <c r="P2022" t="inlineStr">
        <is>
          <t>NO</t>
        </is>
      </c>
      <c r="Q2022"/>
      <c r="R2022" t="inlineStr">
        <is>
          <t>NO</t>
        </is>
      </c>
      <c r="S2022" t="inlineStr">
        <is>
          <t>BX-10 Beyblade Stadium</t>
        </is>
      </c>
      <c r="T2022">
        <v>3</v>
      </c>
      <c r="U2022">
        <v>1999</v>
      </c>
      <c r="V2022" t="inlineStr">
        <is>
          <t>PHP</t>
        </is>
      </c>
      <c r="W2022">
        <v>5997</v>
      </c>
      <c r="X2022" s="2" t="str">
        <f>=HYPERLINK("https://www.larksuite.com/approval/admin/previewAttachment?key=PMixDUIxDATQle7iix2zDM2PIprQIAUaz45EQft8ED46zRNKtgQrnGZ0T9NI71RTtWJEIhjdau51P9yfOHpjbc3rWedxrfliz2gNYZINALz93UJSpgs_xzcAAP__", "2 attachment(s)")</f>
        <v>2 attachment(s)</v>
      </c>
      <c r="Y2022" t="inlineStr">
        <is>
          <t>Bank Transfer</t>
        </is>
      </c>
      <c r="Z2022" t="inlineStr">
        <is>
          <t>Christopher Edward V. Lopez</t>
        </is>
      </c>
      <c r="AA2022" t="inlineStr">
        <is>
          <t>103602044444</t>
        </is>
      </c>
      <c r="AB2022" t="inlineStr">
        <is>
          <t>Chinabank</t>
        </is>
      </c>
      <c r="AC2022" t="inlineStr">
        <is>
          <t>Riarom Bldg., T Mendoza St., Saog, Marilao Bulacan</t>
        </is>
      </c>
      <c r="AD2022" s="4">
        <v>46087</v>
      </c>
      <c r="AE2022" t="inlineStr">
        <is>
          <t>100% Full Payment before delivery / pick-up</t>
        </is>
      </c>
      <c r="AF2022" s="2" t="str">
        <f>=HYPERLINK("https://www.larksuite.com/approval/admin/previewAttachment?key=TMixDUIxDATQle5i5xyzDM2PIprQIAUaz45ERfs0CI1OU8KTLcEK0YxSmo9UpzevVoxIBKNbzb3uh_sTx99Y2-f1rPO41nxRwwTP7s4EwNufk8hhsp_jGwAA__8", "1 attachment(s)")</f>
        <v>1 attachment(s)</v>
      </c>
      <c r="AG2022" t="inlineStr">
        <is>
          <t>NzQyNTk5MTgyNzQ4MTg3MDM0MTozMEU4QUZENS04MDE2LTRGMUYtQUE0QS02RTNBOEE4NTQ2NkQtMTo5OGQ3Y2VhOGMwOWExYTdmNmRlYjRkYzg0OGE0NjViMzox</t>
        </is>
      </c>
      <c r="AH2022" t="inlineStr">
        <is>
          <t>Hidden Hobbies Toys Retailing</t>
        </is>
      </c>
      <c r="AI2022"/>
      <c r="AJ2022" t="inlineStr">
        <is>
          <t>LIQUIDITY PLAN (PAR # 202602090082 / 2025TEG-P0278)
SM North EDSA &gt; TCG Arena
SM BF Paranaque &gt; TCG Arena
Total Budget = Php 14,400.00
Actual Cost = Php 5,997.00
Balance = Php 8,403.00</t>
        </is>
      </c>
      <c r="AK2022"/>
    </row>
    <row r="2023" ht="25.5" customHeight="1">
      <c r="A2023" s="2" t="str">
        <f>=HYPERLINK("https://applink.larksuite.com/client/mini_program/open?appId=cli_9c7cc8a9a9edd105&amp;mode=appCenter&amp;path_pc=pc/pages/requested/index?instanceId=7614030679516466909&amp;source=bitable&amp;path=pages/detail/index?instanceId=7614030679516466909&amp;source=bitable", "202603060045")</f>
        <v>202603060045</v>
      </c>
      <c r="B2023" t="inlineStr">
        <is>
          <t>Approved</t>
        </is>
      </c>
      <c r="C2023" t="inlineStr">
        <is>
          <t>Procurement Order</t>
        </is>
      </c>
      <c r="D2023" s="3">
        <v>46087.616481481484</v>
      </c>
      <c r="E2023" s="3">
        <v>46087.64368055556</v>
      </c>
      <c r="F2023" t="inlineStr">
        <is>
          <t>Fatima Kathleen M. FLores</t>
        </is>
      </c>
      <c r="G2023" t="inlineStr">
        <is>
          <t>Procurement</t>
        </is>
      </c>
      <c r="H2023"/>
      <c r="I2023"/>
      <c r="J2023" t="inlineStr">
        <is>
          <t>Project</t>
        </is>
      </c>
      <c r="K2023" t="inlineStr">
        <is>
          <t>PDEI - Game Marketing</t>
        </is>
      </c>
      <c r="L2023" t="inlineStr">
        <is>
          <t>SM Cyberzone Trading Card Game (TCG) Activations</t>
        </is>
      </c>
      <c r="M2023" t="inlineStr">
        <is>
          <t>2025TEG-P0278</t>
        </is>
      </c>
      <c r="N2023" t="inlineStr">
        <is>
          <t>Alessandra Mae Villanueva Boado</t>
        </is>
      </c>
      <c r="O2023" t="inlineStr">
        <is>
          <t>202602260015-Alessandra Mae Villanueva Boado-费用报销 - 副本 - 副本 - 副本-2026-02-26 03:22:01</t>
        </is>
      </c>
      <c r="P2023" t="inlineStr">
        <is>
          <t>YES</t>
        </is>
      </c>
      <c r="Q2023"/>
      <c r="R2023" t="inlineStr">
        <is>
          <t>NO</t>
        </is>
      </c>
      <c r="S2023" t="inlineStr">
        <is>
          <t>Outsourced Beyblade Standee Provider</t>
        </is>
      </c>
      <c r="T2023">
        <v>1</v>
      </c>
      <c r="U2023">
        <v>3350</v>
      </c>
      <c r="V2023" t="inlineStr">
        <is>
          <t>PHP</t>
        </is>
      </c>
      <c r="W2023">
        <v>3350</v>
      </c>
      <c r="X2023" s="2" t="str">
        <f>=HYPERLINK("https://www.larksuite.com/approval/admin/previewAttachment?key=PMhBikIxEATQK1WnK12pucxsDEE--hEEXeXsggu3r0agRo8sg45mxFYFkSi5R7HK8G47JEOhnnve1_-tHz74znOd1GPu1_Wy5jO61RqUZA4A8ffzFEm7iK_jEwAA__8", "2 attachment(s)")</f>
        <v>2 attachment(s)</v>
      </c>
      <c r="Y2023" t="inlineStr">
        <is>
          <t>Bank Transfer</t>
        </is>
      </c>
      <c r="Z2023" t="inlineStr">
        <is>
          <t>Arjay Santie Magcalas</t>
        </is>
      </c>
      <c r="AA2023" t="inlineStr">
        <is>
          <t>109425585622</t>
        </is>
      </c>
      <c r="AB2023" t="inlineStr">
        <is>
          <t>Unionbank</t>
        </is>
      </c>
      <c r="AC2023" t="inlineStr">
        <is>
          <t>69 Vista Real Ave Brgy. Matandang Balara Quezon City</t>
        </is>
      </c>
      <c r="AD2023" s="4">
        <v>46101</v>
      </c>
      <c r="AE2023" t="inlineStr">
        <is>
          <t>100% Full Payment - March 20, 2026</t>
        </is>
      </c>
      <c r="AF2023" s="2"/>
      <c r="AG2023" t="inlineStr">
        <is>
          <t>NzQyNTk5MTgyNzQ4MTg3MDM0MTpCRUFGMTA1Qi00NUZCLTQ5RUMtODk5Ri1FMDdBOEY3QTAyM0EtMTphODMzOWVlMTdkMDgxMDFiYmM0YzE1MWNjYjEzYjJiNjox</t>
        </is>
      </c>
      <c r="AH2023" t="inlineStr">
        <is>
          <t>Arjay Santie Magcalas</t>
        </is>
      </c>
      <c r="AI2023"/>
      <c r="AJ2023" t="inlineStr">
        <is>
          <t>LIQUIDITY PLAN (PAR # 202602090082 / 2025TEG-P0278)
SM North EDSA &gt; TCG Arena
SM BF Paranaque &gt; TCG Arena
Total Remaining Budget = Php 8,403.00
Actual Cost = Php 3,350.00
Balance = Php 5,053.00</t>
        </is>
      </c>
      <c r="AK2023"/>
    </row>
    <row r="2024" ht="25.5" customHeight="1">
      <c r="A2024" s="2" t="str">
        <f>=HYPERLINK("https://applink.larksuite.com/client/mini_program/open?appId=cli_9c7cc8a9a9edd105&amp;mode=appCenter&amp;path_pc=pc/pages/requested/index?instanceId=7614033521962733275&amp;source=bitable&amp;path=pages/detail/index?instanceId=7614033521962733275&amp;source=bitable", "202603060047")</f>
        <v>202603060047</v>
      </c>
      <c r="B2024" t="inlineStr">
        <is>
          <t>Approved</t>
        </is>
      </c>
      <c r="C2024" t="inlineStr">
        <is>
          <t>Procurement Order</t>
        </is>
      </c>
      <c r="D2024" s="3">
        <v>46087.624131944445</v>
      </c>
      <c r="E2024" s="3">
        <v>46087.641284722224</v>
      </c>
      <c r="F2024" t="inlineStr">
        <is>
          <t>Fatima Kathleen M. FLores</t>
        </is>
      </c>
      <c r="G2024" t="inlineStr">
        <is>
          <t>Procurement</t>
        </is>
      </c>
      <c r="H2024"/>
      <c r="I2024"/>
      <c r="J2024" t="inlineStr">
        <is>
          <t>Project</t>
        </is>
      </c>
      <c r="K2024" t="inlineStr">
        <is>
          <t>PDEI - Event Service</t>
        </is>
      </c>
      <c r="L2024" t="inlineStr">
        <is>
          <t>MPL PH S17</t>
        </is>
      </c>
      <c r="M2024" t="inlineStr">
        <is>
          <t>2026TEG-P0009</t>
        </is>
      </c>
      <c r="N2024" t="inlineStr">
        <is>
          <t>Katherine Denise Lee Sy</t>
        </is>
      </c>
      <c r="O2024" t="inlineStr">
        <is>
          <t>202602190035-Katherine Denise Lee Sy-费用报销 - 副本 - 副本 - 副本-2026-02-19 06:12:07</t>
        </is>
      </c>
      <c r="P2024" t="inlineStr">
        <is>
          <t>YES</t>
        </is>
      </c>
      <c r="Q2024"/>
      <c r="R2024" t="inlineStr">
        <is>
          <t>NO</t>
        </is>
      </c>
      <c r="S2024" t="inlineStr">
        <is>
          <t>Outsourced Project Manager</t>
        </is>
      </c>
      <c r="T2024">
        <v>1</v>
      </c>
      <c r="U2024">
        <v>105000</v>
      </c>
      <c r="V2024" t="inlineStr">
        <is>
          <t>PHP</t>
        </is>
      </c>
      <c r="W2024">
        <v>105000</v>
      </c>
      <c r="X2024" s="2" t="str">
        <f>=HYPERLINK("https://www.larksuite.com/approval/admin/previewAttachment?key=PMg7CsJgEATgK83s7CPrZWz8CRYGBEHT7NkFC9svNyK3oLLhTWtwKumQwthpJVnF2LCqUazQrGO_6jh5avkjnozPmvf9tq8Xo8sMJXdtAHj5u8rdu9Pxc3wDAAD__w", "2 attachment(s)")</f>
        <v>2 attachment(s)</v>
      </c>
      <c r="Y2024" t="inlineStr">
        <is>
          <t>Bank Transfer</t>
        </is>
      </c>
      <c r="Z2024" t="inlineStr">
        <is>
          <t>Juan Angelo B. Masongsong</t>
        </is>
      </c>
      <c r="AA2024" t="inlineStr">
        <is>
          <t>0068 4024 9688</t>
        </is>
      </c>
      <c r="AB2024" t="inlineStr">
        <is>
          <t>BDO</t>
        </is>
      </c>
      <c r="AC2024" t="inlineStr">
        <is>
          <t>Munsayac Street, Barangay Calantipay, Baliwag Bulacan</t>
        </is>
      </c>
      <c r="AD2024" s="4">
        <v>46101</v>
      </c>
      <c r="AE2024" t="inlineStr">
        <is>
          <t>1st Payment - Mar. 20, 2026
2nd Payment - Apr. 17, 2026
3rd Payment - May 22, 2026
Final Payment - Jun 26, 2026</t>
        </is>
      </c>
      <c r="AF2024" s="2"/>
      <c r="AG2024" t="inlineStr">
        <is>
          <t>NzQyNTk5MTgyNzQ4MTg3MDM0MTpDQzYyNjRGNi1FREJCLTRCQzktOEM5MC01OTE1MDFDQTYyMkMtMTozYzJjNWMzOWVlODhlYjMyMzVlNDhjOTkwN2UxM2UzZDox</t>
        </is>
      </c>
      <c r="AH2024" t="inlineStr">
        <is>
          <t>Juan Angelo B. Masongsong</t>
        </is>
      </c>
      <c r="AI2024"/>
      <c r="AJ2024" t="inlineStr">
        <is>
          <t>LIQUIDITY PLAN (PAR # 202602190021 / 2026TEG-P0009)
v7 RAM S17 Main CE  Security TAB &gt; 
MANPOWER &gt; Project Planning &gt;
Project Manager (Masong)
Total Budget = Php 105,000.00
Actual Cost = Php 105,000.00</t>
        </is>
      </c>
      <c r="AK2024"/>
    </row>
    <row r="2025" ht="25.5" customHeight="1">
      <c r="A2025" s="2" t="str">
        <f>=HYPERLINK("https://applink.larksuite.com/client/mini_program/open?appId=cli_9c7cc8a9a9edd105&amp;mode=appCenter&amp;path_pc=pc/pages/requested/index?instanceId=7614037095127994082&amp;source=bitable&amp;path=pages/detail/index?instanceId=7614037095127994082&amp;source=bitable", "202603060050")</f>
        <v>202603060050</v>
      </c>
      <c r="B2025" t="inlineStr">
        <is>
          <t>Approved</t>
        </is>
      </c>
      <c r="C2025" t="inlineStr">
        <is>
          <t>Procurement Order</t>
        </is>
      </c>
      <c r="D2025" s="3">
        <v>46087.63376157408</v>
      </c>
      <c r="E2025" s="3">
        <v>46087.65440972222</v>
      </c>
      <c r="F2025" t="inlineStr">
        <is>
          <t>Fatima Kathleen M. FLores</t>
        </is>
      </c>
      <c r="G2025" t="inlineStr">
        <is>
          <t>Procurement</t>
        </is>
      </c>
      <c r="H2025"/>
      <c r="I2025"/>
      <c r="J2025" t="inlineStr">
        <is>
          <t>Project</t>
        </is>
      </c>
      <c r="K2025" t="inlineStr">
        <is>
          <t>PDEI - Event Service</t>
        </is>
      </c>
      <c r="L2025" t="inlineStr">
        <is>
          <t>MPL PH S17</t>
        </is>
      </c>
      <c r="M2025" t="inlineStr">
        <is>
          <t>2026TEG-P0009</t>
        </is>
      </c>
      <c r="N2025" t="inlineStr">
        <is>
          <t>Katherine Denise Lee Sy</t>
        </is>
      </c>
      <c r="O2025" t="inlineStr">
        <is>
          <t>202602190039-Katherine Denise Lee Sy-费用报销 - 副本 - 副本 - 副本-2026-02-19 06:22:52</t>
        </is>
      </c>
      <c r="P2025" t="inlineStr">
        <is>
          <t>YES</t>
        </is>
      </c>
      <c r="Q2025"/>
      <c r="R2025" t="inlineStr">
        <is>
          <t>NO</t>
        </is>
      </c>
      <c r="S2025" t="inlineStr">
        <is>
          <t>Outsourced Show Producer</t>
        </is>
      </c>
      <c r="T2025">
        <v>1</v>
      </c>
      <c r="U2025">
        <v>240000</v>
      </c>
      <c r="V2025" t="inlineStr">
        <is>
          <t>PHP</t>
        </is>
      </c>
      <c r="W2025">
        <v>240000</v>
      </c>
      <c r="X2025" s="2" t="str">
        <f>=HYPERLINK("https://www.larksuite.com/approval/admin/previewAttachment?key=PMgxCgIxFATQK838_5PJeBmbDYsKqYTFJmcXLGxfH0QfjdmNMsPgVmchBTeG7MKIHZuSIarlnuu8X1yfNZ_E68hxcF-P45xvNisCyqocAHj7e6qq7F74Ob4BAAD__w", "2 attachment(s)")</f>
        <v>2 attachment(s)</v>
      </c>
      <c r="Y2025" t="inlineStr">
        <is>
          <t>Bank Transfer</t>
        </is>
      </c>
      <c r="Z2025" t="inlineStr">
        <is>
          <t>Maouie Jeem Reyes</t>
        </is>
      </c>
      <c r="AA2025" t="inlineStr">
        <is>
          <t>4139323535</t>
        </is>
      </c>
      <c r="AB2025" t="inlineStr">
        <is>
          <t>BPI</t>
        </is>
      </c>
      <c r="AC2025" t="inlineStr">
        <is>
          <t>#3 A. Plata St., Caniogan, Pasig City</t>
        </is>
      </c>
      <c r="AD2025" s="4">
        <v>46094</v>
      </c>
      <c r="AE2025" t="inlineStr">
        <is>
          <t>1st Payment - Mar. 13, 2026
2nd Payment - Mar. 27, 2026
3rd Payment - Apr. 10, 2026
4th Payment - Apr. 24, 2026
5th Payment - May 15, 2026
6th Payment - May 29, 2026
7th Payment - Jun. 12, 2026
Final Payment - Jun 26, 2026</t>
        </is>
      </c>
      <c r="AF2025" s="2"/>
      <c r="AG2025" t="inlineStr">
        <is>
          <t>NzQyNTk5MTgyNzQ4MTg3MDM0MTpEQzFENzVCRi1BNkE3LTRFMkMtQURGOC02NjFFNTAxRjlFQkYtMTo3NTBiNDZlY2IwNjIwMjFlYzQwYjE3MzNlMjQ0Y2MxNjox</t>
        </is>
      </c>
      <c r="AH2025" t="inlineStr">
        <is>
          <t>Maouie Jeem Reyes</t>
        </is>
      </c>
      <c r="AI2025"/>
      <c r="AJ2025" t="inlineStr">
        <is>
          <t>LIQUIDITY PLAN (PAR # 202602190021 / 2026TEG-P0009)
v7 RAM S17 Main CE  Security TAB &gt; 
MANPOWER &gt; Broadcast &amp; Production &gt;
Show Producer (TBD)
Total Budget = Php 240,000.00
Actual Cost = Php 240,000.00</t>
        </is>
      </c>
      <c r="AK2025"/>
    </row>
    <row r="2026" ht="25.5" customHeight="1">
      <c r="A2026" s="2" t="str">
        <f>=HYPERLINK("https://applink.larksuite.com/client/mini_program/open?appId=cli_9c7cc8a9a9edd105&amp;mode=appCenter&amp;path_pc=pc/pages/requested/index?instanceId=7614078797658214107&amp;source=bitable&amp;path=pages/detail/index?instanceId=7614078797658214107&amp;source=bitable", "202603060090")</f>
        <v>202603060090</v>
      </c>
      <c r="B2026" t="inlineStr">
        <is>
          <t>Approved</t>
        </is>
      </c>
      <c r="C2026" t="inlineStr">
        <is>
          <t>Procurement Order</t>
        </is>
      </c>
      <c r="D2026" s="3">
        <v>46087.746145833335</v>
      </c>
      <c r="E2026" s="3">
        <v>46090.681655092594</v>
      </c>
      <c r="F2026" t="inlineStr">
        <is>
          <t>Fatima Kathleen M. FLores</t>
        </is>
      </c>
      <c r="G2026" t="inlineStr">
        <is>
          <t>Procurement</t>
        </is>
      </c>
      <c r="H2026"/>
      <c r="I2026"/>
      <c r="J2026" t="inlineStr">
        <is>
          <t>Project</t>
        </is>
      </c>
      <c r="K2026" t="inlineStr">
        <is>
          <t>PDEI - Game Marketing</t>
        </is>
      </c>
      <c r="L2026" t="inlineStr">
        <is>
          <t>SM Cyberzone Trading Card Game (TCG) Activations</t>
        </is>
      </c>
      <c r="M2026" t="inlineStr">
        <is>
          <t>2025TEG-P0278</t>
        </is>
      </c>
      <c r="N2026" t="inlineStr">
        <is>
          <t>Alessandra Mae Villanueva Boado</t>
        </is>
      </c>
      <c r="O2026" t="inlineStr">
        <is>
          <t>202602120096-Alessandra Mae Villanueva Boado-费用报销 - 副本 - 副本 - 副本-2026-02-12 09:46:23</t>
        </is>
      </c>
      <c r="P2026" t="inlineStr">
        <is>
          <t>YES</t>
        </is>
      </c>
      <c r="Q2026"/>
      <c r="R2026" t="inlineStr">
        <is>
          <t>NO</t>
        </is>
      </c>
      <c r="S2026" t="inlineStr">
        <is>
          <t>Outsourced Talent / Caster - Tekken (Kafr)</t>
        </is>
      </c>
      <c r="T2026">
        <v>1</v>
      </c>
      <c r="U2026">
        <v>10000</v>
      </c>
      <c r="V2026" t="inlineStr">
        <is>
          <t>PHP</t>
        </is>
      </c>
      <c r="W2026">
        <v>10000</v>
      </c>
      <c r="X2026" s="2" t="str">
        <f>=HYPERLINK("https://www.larksuite.com/approval/admin/previewAttachment?key=PMgxCkJBDATQK80k2UziZWxcFovvbwTFYs8uWNi-LCJr0LMRTWtwKxlQqZWjjEFo26bUEDV8z8e6VtjxORZ4zrefY7_utzWfHC0zyCO8APDyd1dEdGfg5_gGAAD__w", "2 attachment(s)")</f>
        <v>2 attachment(s)</v>
      </c>
      <c r="Y2026" t="inlineStr">
        <is>
          <t>Bank Transfer</t>
        </is>
      </c>
      <c r="Z2026" t="inlineStr">
        <is>
          <t>Kenneth Mogueis</t>
        </is>
      </c>
      <c r="AA2026" t="inlineStr">
        <is>
          <t>109660575670</t>
        </is>
      </c>
      <c r="AB2026" t="inlineStr">
        <is>
          <t>Unionbank</t>
        </is>
      </c>
      <c r="AC2026" t="inlineStr">
        <is>
          <t>Unit 14B6 Victoria Station 1, 793 EDSA, Diliman, Quezon City</t>
        </is>
      </c>
      <c r="AD2026" s="4">
        <v>46122</v>
      </c>
      <c r="AE2026" t="inlineStr">
        <is>
          <t>100% Full Payment - Apr. 10, 2026</t>
        </is>
      </c>
      <c r="AF2026" s="2"/>
      <c r="AG2026" t="inlineStr">
        <is>
          <t>NzQyNTk5MTgyNzQ4MTg3MDM0MTo2NTBENUJFRS05RTM4LTRFRDAtOTg2OC01RTIxMjZDMkU4QTYtMTo0N2ZmYTg3MzVjZjk5ODU3MzFiNjI0ZTM2YWFhOWIxYjox</t>
        </is>
      </c>
      <c r="AH2026" t="inlineStr">
        <is>
          <t>Kenneth Mogueis</t>
        </is>
      </c>
      <c r="AI2026"/>
      <c r="AJ2026" t="inlineStr">
        <is>
          <t>LIQUIDITY PLAN (PAR # 202602090082 / 2025TEG-P0278)
SM North EDSA &gt; FGC talent
SM BF Paranaque &gt; FGC talent
Total Budget = Php 30,000.00
Actual Cost = Php 10,000.00
Balance = Php 20,000.00</t>
        </is>
      </c>
      <c r="AK2026"/>
    </row>
    <row r="2027" ht="25.5" customHeight="1">
      <c r="A2027" s="2" t="str">
        <f>=HYPERLINK("https://applink.larksuite.com/client/mini_program/open?appId=cli_9c7cc8a9a9edd105&amp;mode=appCenter&amp;path_pc=pc/pages/requested/index?instanceId=7614082102698446561&amp;source=bitable&amp;path=pages/detail/index?instanceId=7614082102698446561&amp;source=bitable", "202603060095")</f>
        <v>202603060095</v>
      </c>
      <c r="B2027" t="inlineStr">
        <is>
          <t>Approved</t>
        </is>
      </c>
      <c r="C2027" t="inlineStr">
        <is>
          <t>Procurement Order</t>
        </is>
      </c>
      <c r="D2027" s="3">
        <v>46087.755057870374</v>
      </c>
      <c r="E2027" s="3">
        <v>46090.682754629626</v>
      </c>
      <c r="F2027" t="inlineStr">
        <is>
          <t>Fatima Kathleen M. FLores</t>
        </is>
      </c>
      <c r="G2027" t="inlineStr">
        <is>
          <t>Procurement</t>
        </is>
      </c>
      <c r="H2027"/>
      <c r="I2027"/>
      <c r="J2027" t="inlineStr">
        <is>
          <t>Project</t>
        </is>
      </c>
      <c r="K2027" t="inlineStr">
        <is>
          <t>PDEI - Game Marketing</t>
        </is>
      </c>
      <c r="L2027" t="inlineStr">
        <is>
          <t>SM Cyberzone Trading Card Game (TCG) Activations</t>
        </is>
      </c>
      <c r="M2027" t="inlineStr">
        <is>
          <t>2025TEG-P0278</t>
        </is>
      </c>
      <c r="N2027" t="inlineStr">
        <is>
          <t>Alessandra Mae Villanueva Boado</t>
        </is>
      </c>
      <c r="O2027" t="inlineStr">
        <is>
          <t>202602200037-Alessandra Mae Villanueva Boado-费用报销 - 副本 - 副本 - 副本-2026-02-20 06:19:43</t>
        </is>
      </c>
      <c r="P2027" t="inlineStr">
        <is>
          <t>YES</t>
        </is>
      </c>
      <c r="Q2027"/>
      <c r="R2027" t="inlineStr">
        <is>
          <t>NO</t>
        </is>
      </c>
      <c r="S2027" t="inlineStr">
        <is>
          <t>Outsourced Talent / Caster (Santie)</t>
        </is>
      </c>
      <c r="T2027">
        <v>1</v>
      </c>
      <c r="U2027">
        <v>44000</v>
      </c>
      <c r="V2027" t="inlineStr">
        <is>
          <t>PHP</t>
        </is>
      </c>
      <c r="W2027">
        <v>44000</v>
      </c>
      <c r="X2027" s="2" t="str">
        <f>=HYPERLINK("https://www.larksuite.com/approval/admin/previewAttachment?key=PMgxjkIxDATQK83YEzvey2xDFFF8vpCQAhQ5OxIF7YtORG_0KKhoBe4MCt0Ii-pStOC2zcxCMpvvcZv_8MNe57HWHM_3ed_repnjwVZphnTJOwD-_dxTUlUIX8cnAAD__w", "2 attachment(s)")</f>
        <v>2 attachment(s)</v>
      </c>
      <c r="Y2027" t="inlineStr">
        <is>
          <t>Bank Transfer</t>
        </is>
      </c>
      <c r="Z2027" t="inlineStr">
        <is>
          <t>Arjay Santie Magcalas</t>
        </is>
      </c>
      <c r="AA2027" t="inlineStr">
        <is>
          <t>109425585622</t>
        </is>
      </c>
      <c r="AB2027" t="inlineStr">
        <is>
          <t>Unionbank</t>
        </is>
      </c>
      <c r="AC2027" t="inlineStr">
        <is>
          <t>69 Vista Real Ave Brgy. Matandang Balara Quezon</t>
        </is>
      </c>
      <c r="AD2027" s="4">
        <v>46108</v>
      </c>
      <c r="AE2027" t="inlineStr">
        <is>
          <t>1st Payment - Mar. 27, 2026
Final Payment - Apr. 10, 2026</t>
        </is>
      </c>
      <c r="AF2027" s="2"/>
      <c r="AG2027" t="inlineStr">
        <is>
          <t>NzQyNTk5MTgyNzQ4MTg3MDM0MTpFOUZERUEyOC01MkM4LTQ1NzMtQUUwRC0wMkY1MjVGNDk2NDctMTozZDY5OTQzMDkwODdmMjYxOGVjNDYyMGUzZDlhNDkxOTox</t>
        </is>
      </c>
      <c r="AH2027" t="inlineStr">
        <is>
          <t>Arjay Santie Magcalas</t>
        </is>
      </c>
      <c r="AI2027"/>
      <c r="AJ2027" t="inlineStr">
        <is>
          <t>LIQUIDITY PLAN (PAR # 202602090082 / 2025TEG-P0278)
SM North EDSA &gt; Santie Beyblade and ML
SM BF Paranaque &gt; Santie Beyblade and ML
Total Budget = Php 66,666.68
Actual Cost = Php 44,000.00
Balance = Php 22,666.68</t>
        </is>
      </c>
      <c r="AK2027"/>
    </row>
    <row r="2028" ht="25.5" customHeight="1">
      <c r="A2028" s="2" t="str">
        <f>=HYPERLINK("https://applink.larksuite.com/client/mini_program/open?appId=cli_9c7cc8a9a9edd105&amp;mode=appCenter&amp;path_pc=pc/pages/requested/index?instanceId=7614079675400277724&amp;source=bitable&amp;path=pages/detail/index?instanceId=7614079675400277724&amp;source=bitable", "202603060091")</f>
        <v>202603060091</v>
      </c>
      <c r="B2028" t="inlineStr">
        <is>
          <t>Approved</t>
        </is>
      </c>
      <c r="C2028" t="inlineStr">
        <is>
          <t>Procurement Order</t>
        </is>
      </c>
      <c r="D2028" s="3">
        <v>46087.748506944445</v>
      </c>
      <c r="E2028" s="3">
        <v>46090.68346064815</v>
      </c>
      <c r="F2028" t="inlineStr">
        <is>
          <t>Fatima Kathleen M. FLores</t>
        </is>
      </c>
      <c r="G2028" t="inlineStr">
        <is>
          <t>Procurement</t>
        </is>
      </c>
      <c r="H2028"/>
      <c r="I2028"/>
      <c r="J2028" t="inlineStr">
        <is>
          <t>Project</t>
        </is>
      </c>
      <c r="K2028" t="inlineStr">
        <is>
          <t>PDEI - Game Marketing</t>
        </is>
      </c>
      <c r="L2028" t="inlineStr">
        <is>
          <t>SM Cyberzone Trading Card Game (TCG) Activations</t>
        </is>
      </c>
      <c r="M2028" t="inlineStr">
        <is>
          <t>2025TEG-P0278</t>
        </is>
      </c>
      <c r="N2028" t="inlineStr">
        <is>
          <t>Alessandra Mae Villanueva Boado</t>
        </is>
      </c>
      <c r="O2028" t="inlineStr">
        <is>
          <t>202602120096-Alessandra Mae Villanueva Boado-费用报销 - 副本 - 副本 - 副本-2026-02-12 09:46:23</t>
        </is>
      </c>
      <c r="P2028" t="inlineStr">
        <is>
          <t>YES</t>
        </is>
      </c>
      <c r="Q2028"/>
      <c r="R2028" t="inlineStr">
        <is>
          <t>NO</t>
        </is>
      </c>
      <c r="S2028" t="inlineStr">
        <is>
          <t>Outsourced Talent / Caster (Salvatore)</t>
        </is>
      </c>
      <c r="T2028">
        <v>1</v>
      </c>
      <c r="U2028">
        <v>10000</v>
      </c>
      <c r="V2028" t="inlineStr">
        <is>
          <t>PHP</t>
        </is>
      </c>
      <c r="W2028">
        <v>10000</v>
      </c>
      <c r="X2028" s="2" t="str">
        <f>=HYPERLINK("https://www.larksuite.com/approval/admin/previewAttachment?key=PMgxCgJBDAXQK_1kfvInXsbGZXAFQZBdsMjZBQvbl9OQM2xkgWVesFYaoUoFAZfkbG-TCjLF6O25rvv5OeJYc8PrsQf6vN_W9rYouUODHBOAXf4-RLIqiZ_jGwAA__8", "2 attachment(s)")</f>
        <v>2 attachment(s)</v>
      </c>
      <c r="Y2028" t="inlineStr">
        <is>
          <t>Bank Transfer</t>
        </is>
      </c>
      <c r="Z2028" t="inlineStr">
        <is>
          <t>Rhoemmielle Andray Rivera</t>
        </is>
      </c>
      <c r="AA2028" t="inlineStr">
        <is>
          <t>18449934901</t>
        </is>
      </c>
      <c r="AB2028" t="inlineStr">
        <is>
          <t>MariBank</t>
        </is>
      </c>
      <c r="AC2028" t="inlineStr">
        <is>
          <t>2438 Iridium St. Sta. Ana, Manila</t>
        </is>
      </c>
      <c r="AD2028" s="4">
        <v>46122</v>
      </c>
      <c r="AE2028" t="inlineStr">
        <is>
          <t>100% Full Payment - Apr. 10, 2026</t>
        </is>
      </c>
      <c r="AF2028" s="2"/>
      <c r="AG2028" t="inlineStr">
        <is>
          <t>NzQyNTk5MTgyNzQ4MTg3MDM0MTo1ODdDMjc3Ny00MEIzLTQ1MDAtOUNBNi05RTFCMkFCQjY1RjQtMTphNWZiOTQ3OWM1NmJjZDI0MGIwNGQyNTA1ZmJhNjRkYjox</t>
        </is>
      </c>
      <c r="AH2028" t="inlineStr">
        <is>
          <t>Rhoemmielle Andray Rivera</t>
        </is>
      </c>
      <c r="AI2028"/>
      <c r="AJ2028" t="inlineStr">
        <is>
          <t>LIQUIDITY PLAN (PAR # 202602090082 / 2025TEG-P0278)
SM North EDSA &gt; FGC talent
SM BF Paranaque &gt; FGC talent
Total Remaining Budget = Php 20,000.00
Actual Cost = Php 10,000.00
Balance = Php 10,000.00</t>
        </is>
      </c>
      <c r="AK2028"/>
    </row>
    <row r="2029" ht="25.5" customHeight="1">
      <c r="A2029" s="2" t="str">
        <f>=HYPERLINK("https://applink.larksuite.com/client/mini_program/open?appId=cli_9c7cc8a9a9edd105&amp;mode=appCenter&amp;path_pc=pc/pages/requested/index?instanceId=7614085512499875550&amp;source=bitable&amp;path=pages/detail/index?instanceId=7614085512499875550&amp;source=bitable", "202603060098")</f>
        <v>202603060098</v>
      </c>
      <c r="B2029" t="inlineStr">
        <is>
          <t>Recalled</t>
        </is>
      </c>
      <c r="C2029" t="inlineStr">
        <is>
          <t>Procurement Order</t>
        </is>
      </c>
      <c r="D2029" s="3">
        <v>46087.764236111114</v>
      </c>
      <c r="E2029" s="3">
        <v>46093.55949074074</v>
      </c>
      <c r="F2029" t="inlineStr">
        <is>
          <t>Fatima Kathleen M. FLores</t>
        </is>
      </c>
      <c r="G2029" t="inlineStr">
        <is>
          <t>Procurement</t>
        </is>
      </c>
      <c r="H2029"/>
      <c r="I2029"/>
      <c r="J2029" t="inlineStr">
        <is>
          <t>Project</t>
        </is>
      </c>
      <c r="K2029" t="inlineStr">
        <is>
          <t>PDEI - Game Marketing</t>
        </is>
      </c>
      <c r="L2029" t="inlineStr">
        <is>
          <t>SM Cyberzone Trading Card Game (TCG) Activations</t>
        </is>
      </c>
      <c r="M2029" t="inlineStr">
        <is>
          <t>2025TEG-P0278</t>
        </is>
      </c>
      <c r="N2029" t="inlineStr">
        <is>
          <t>Alessandra Mae Villanueva Boado</t>
        </is>
      </c>
      <c r="O2029" t="inlineStr">
        <is>
          <t>202602240003-Alessandra Mae Villanueva Boado-费用报销 - 副本 - 副本 - 副本-2026-02-24 02:24:10</t>
        </is>
      </c>
      <c r="P2029" t="inlineStr">
        <is>
          <t>YES</t>
        </is>
      </c>
      <c r="Q2029"/>
      <c r="R2029" t="inlineStr">
        <is>
          <t>NO</t>
        </is>
      </c>
      <c r="S2029" t="inlineStr">
        <is>
          <t>Outsourced Host (Phaister)</t>
        </is>
      </c>
      <c r="T2029">
        <v>1</v>
      </c>
      <c r="U2029">
        <v>22300</v>
      </c>
      <c r="V2029" t="inlineStr">
        <is>
          <t>PHP</t>
        </is>
      </c>
      <c r="W2029">
        <v>22300</v>
      </c>
      <c r="X2029" s="2" t="str">
        <f>=HYPERLINK("https://www.larksuite.com/approval/admin/previewAttachment?key=PMgxCgJBDAXQK_0kP_MTL2PjsIiyIggLFnN2wWLbN8owKi1Gg23esKVhRGWas7uUmVi-TGrIlLHmvl1n6Jj-Zu31eL6-67jftvmxbLlDQUYBsMvpIZLdg_g7fgEAAP__", "2 attachment(s)")</f>
        <v>2 attachment(s)</v>
      </c>
      <c r="Y2029" t="inlineStr">
        <is>
          <t>Bank Transfer</t>
        </is>
      </c>
      <c r="Z2029" t="inlineStr">
        <is>
          <t>Nona Sibayan</t>
        </is>
      </c>
      <c r="AA2029" t="inlineStr">
        <is>
          <t>109485313471</t>
        </is>
      </c>
      <c r="AB2029" t="inlineStr">
        <is>
          <t>Unionbank</t>
        </is>
      </c>
      <c r="AC2029" t="inlineStr">
        <is>
          <t>Lt. 18 Gen lim st. Soldiers Hills 2, LPC</t>
        </is>
      </c>
      <c r="AD2029" s="4">
        <v>46108</v>
      </c>
      <c r="AE2029" t="inlineStr">
        <is>
          <t>1st Payment - Mar. 27, 2026
Final Payment - Apr. 10, 2026</t>
        </is>
      </c>
      <c r="AF2029" s="2"/>
      <c r="AG2029" t="inlineStr">
        <is>
          <t>NzQyNTk5MTgyNzQ4MTg3MDM0MTozM0E2RjJENi01NkRDLTQ1QTgtQkEzRC00M0RDRDJGNjUwNUItMTo2YTI4MGVjNzFlYmI2MjJmOGJjODM5MzY5NDY2YWRmYzox</t>
        </is>
      </c>
      <c r="AH2029" t="inlineStr">
        <is>
          <t>Nona Sibayan</t>
        </is>
      </c>
      <c r="AI2029"/>
      <c r="AJ2029" t="inlineStr">
        <is>
          <t>LIQUIDITY PLAN (PAR # 202602090082 / 2025TEG-P0278)
SM North EDSA &gt; Main Host - Phaister
SM BF Paranaque &gt; Main Host - Phaister
Total Budget = Php 68,000.00
Actual Cost = Php 22,300.00
Balance = Php 45,700.00</t>
        </is>
      </c>
      <c r="AK2029"/>
    </row>
    <row r="2030" ht="25.5" customHeight="1">
      <c r="A2030" s="2" t="str">
        <f>=HYPERLINK("https://applink.larksuite.com/client/mini_program/open?appId=cli_9c7cc8a9a9edd105&amp;mode=appCenter&amp;path_pc=pc/pages/requested/index?instanceId=7615086013630729954&amp;source=bitable&amp;path=pages/detail/index?instanceId=7615086013630729954&amp;source=bitable", "202603090019")</f>
        <v>202603090019</v>
      </c>
      <c r="B2030" t="inlineStr">
        <is>
          <t>Approved</t>
        </is>
      </c>
      <c r="C2030" t="inlineStr">
        <is>
          <t>Procurement Order</t>
        </is>
      </c>
      <c r="D2030" s="3">
        <v>46090.460393518515</v>
      </c>
      <c r="E2030" s="3">
        <v>46090.68717592592</v>
      </c>
      <c r="F2030" t="inlineStr">
        <is>
          <t>Fatima Kathleen M. FLores</t>
        </is>
      </c>
      <c r="G2030" t="inlineStr">
        <is>
          <t>Procurement</t>
        </is>
      </c>
      <c r="H2030"/>
      <c r="I2030"/>
      <c r="J2030" t="inlineStr">
        <is>
          <t>Project</t>
        </is>
      </c>
      <c r="K2030" t="inlineStr">
        <is>
          <t>PDEI - Game Marketing</t>
        </is>
      </c>
      <c r="L2030" t="inlineStr">
        <is>
          <t>SM Cyberzone Trading Card Game (TCG) Activations</t>
        </is>
      </c>
      <c r="M2030" t="inlineStr">
        <is>
          <t>2025TEG-P0278</t>
        </is>
      </c>
      <c r="N2030" t="inlineStr">
        <is>
          <t>Alessandra Mae Villanueva Boado</t>
        </is>
      </c>
      <c r="O2030" t="inlineStr">
        <is>
          <t>202602240005-Alessandra Mae Villanueva Boado-费用报销 - 副本 - 副本 - 副本-2026-02-24 02:28:17</t>
        </is>
      </c>
      <c r="P2030" t="inlineStr">
        <is>
          <t>YES</t>
        </is>
      </c>
      <c r="Q2030"/>
      <c r="R2030" t="inlineStr">
        <is>
          <t>NO</t>
        </is>
      </c>
      <c r="S2030" t="inlineStr">
        <is>
          <t>Outsourced Caster (Rockhart)</t>
        </is>
      </c>
      <c r="T2030">
        <v>1</v>
      </c>
      <c r="U2030">
        <v>12000</v>
      </c>
      <c r="V2030" t="inlineStr">
        <is>
          <t>PHP</t>
        </is>
      </c>
      <c r="W2030">
        <v>12000</v>
      </c>
      <c r="X2030" s="2" t="str">
        <f>=HYPERLINK("https://www.larksuite.com/approval/admin/previewAttachment?key=PMg7ygIwEATgK81kH5P9L_M3hiBCKsFHsWcXLGy_nETOoGXBi6PAVjIwE7Q0aFSF92hKBVFhvc7-F8_7ybOn3bhe0Y_rZa87ozQGZO42AfDv5yZ3r0rH1_EJAAD__w", "2 attachment(s)")</f>
        <v>2 attachment(s)</v>
      </c>
      <c r="Y2030" t="inlineStr">
        <is>
          <t>Bank Transfer</t>
        </is>
      </c>
      <c r="Z2030" t="inlineStr">
        <is>
          <t>John Agustin Karl C. To</t>
        </is>
      </c>
      <c r="AA2030" t="inlineStr">
        <is>
          <t>1094 8559 0499</t>
        </is>
      </c>
      <c r="AB2030" t="inlineStr">
        <is>
          <t>Unionbank</t>
        </is>
      </c>
      <c r="AC2030" t="inlineStr">
        <is>
          <t>257 - 259 Galvez Building Unit 317 A. Arnaiz St. Pasay City</t>
        </is>
      </c>
      <c r="AD2030" s="4">
        <v>46122</v>
      </c>
      <c r="AE2030" t="inlineStr">
        <is>
          <t>100% Full Payment - Apr. 10, 2026</t>
        </is>
      </c>
      <c r="AF2030" s="2"/>
      <c r="AG2030" t="inlineStr">
        <is>
          <t>NzQyNTk5MTgyNzQ4MTg3MDM0MToxRjYzMDY5QS05NEI4LTQ4RjEtOUI5Qy0wNTgzRTVDMDRBNTMtMToxNTEzMTgxYjE4YTYyNTI0NzI1N2QzNDdkMWY4ODNkYjox</t>
        </is>
      </c>
      <c r="AH2030" t="inlineStr">
        <is>
          <t>John Agustin Karl C. To</t>
        </is>
      </c>
      <c r="AI2030"/>
      <c r="AJ2030" t="inlineStr">
        <is>
          <t>LIQUIDITY PLAN (PAR # 202602090082 / 2025TEG-P0278)
SM BF Paranaque &gt; Manjean - ML
Total Budget = Php 16,666.67
Actual Cost = Php 12,000.00
Balance = Php 4,666.67</t>
        </is>
      </c>
      <c r="AK2030"/>
    </row>
    <row r="2031" ht="25.5" customHeight="1">
      <c r="A2031" s="2" t="str">
        <f>=HYPERLINK("https://applink.larksuite.com/client/mini_program/open?appId=cli_9c7cc8a9a9edd105&amp;mode=appCenter&amp;path_pc=pc/pages/requested/index?instanceId=7615174766147702496&amp;source=bitable&amp;path=pages/detail/index?instanceId=7615174766147702496&amp;source=bitable", "202603090082")</f>
        <v>202603090082</v>
      </c>
      <c r="B2031" t="inlineStr">
        <is>
          <t>Approved</t>
        </is>
      </c>
      <c r="C2031" t="inlineStr">
        <is>
          <t>Procurement Order</t>
        </is>
      </c>
      <c r="D2031" s="3">
        <v>46090.69956018519</v>
      </c>
      <c r="E2031" s="3">
        <v>46091.43431712963</v>
      </c>
      <c r="F2031" t="inlineStr">
        <is>
          <t>Fatima Kathleen M. FLores</t>
        </is>
      </c>
      <c r="G2031" t="inlineStr">
        <is>
          <t>Procurement</t>
        </is>
      </c>
      <c r="H2031"/>
      <c r="I2031"/>
      <c r="J2031" t="inlineStr">
        <is>
          <t>Project</t>
        </is>
      </c>
      <c r="K2031" t="inlineStr">
        <is>
          <t>PDEI - Game Marketing</t>
        </is>
      </c>
      <c r="L2031" t="inlineStr">
        <is>
          <t>SM Cyberzone TCG - Addendum</t>
        </is>
      </c>
      <c r="M2031" t="inlineStr">
        <is>
          <t>2026TEG-P0053</t>
        </is>
      </c>
      <c r="N2031" t="inlineStr">
        <is>
          <t>Alessandra Mae Villanueva Boado</t>
        </is>
      </c>
      <c r="O2031" t="inlineStr">
        <is>
          <t>202603020009-Alessandra Mae Villanueva Boado-费用报销 - 副本 - 副本 - 副本-2026-03-02 02:11:00</t>
        </is>
      </c>
      <c r="P2031" t="inlineStr">
        <is>
          <t>YES</t>
        </is>
      </c>
      <c r="Q2031"/>
      <c r="R2031" t="inlineStr">
        <is>
          <t>NO</t>
        </is>
      </c>
      <c r="S2031" t="inlineStr">
        <is>
          <t>Outsourced Manpower (Installation of Tekken 8 DLC)</t>
        </is>
      </c>
      <c r="T2031">
        <v>1</v>
      </c>
      <c r="U2031">
        <v>1700</v>
      </c>
      <c r="V2031" t="inlineStr">
        <is>
          <t>PHP</t>
        </is>
      </c>
      <c r="W2031">
        <v>1700</v>
      </c>
      <c r="X2031" s="2" t="str">
        <f>=HYPERLINK("https://www.larksuite.com/approval/admin/previewAttachment?key=PMgxCsJQEATQK83s7t_542VsDMFCgyAELP7ZBQvb15PoOZhtlBkGl5qDKnWzJES5VyxKhqiRa3vu14PH-YqPmenHPtd5v-3bm8OKgLIqJwBe_p6qKrsLP8c3AAD__w", "2 attachment(s)")</f>
        <v>2 attachment(s)</v>
      </c>
      <c r="Y2031" t="inlineStr">
        <is>
          <t>Bank Transfer</t>
        </is>
      </c>
      <c r="Z2031" t="inlineStr">
        <is>
          <t>Adrian Amorato</t>
        </is>
      </c>
      <c r="AA2031" t="inlineStr">
        <is>
          <t>013639339766</t>
        </is>
      </c>
      <c r="AB2031" t="inlineStr">
        <is>
          <t>GoTyme Bank</t>
        </is>
      </c>
      <c r="AC2031" t="inlineStr">
        <is>
          <t>1047 Bagong Silang St, Nangka, Marikina City</t>
        </is>
      </c>
      <c r="AD2031" s="4">
        <v>46101</v>
      </c>
      <c r="AE2031" t="inlineStr">
        <is>
          <t>100% Full Payment - Mar. 20, 2026</t>
        </is>
      </c>
      <c r="AF2031" s="2"/>
      <c r="AG2031" t="inlineStr">
        <is>
          <t>NzQyNTk5MTgyNzQ4MTg3MDM0MTpEMjQ1NDlDOC0wMzMzLTQyMUYtQTZGMi1GQ0U3NTFEOTc3Q0MtMTo3Y2UyZTcyNTY0YTc2MmVhMjc0YmM0YmYyZGFhNDFmMTox</t>
        </is>
      </c>
      <c r="AH2031" t="inlineStr">
        <is>
          <t>Adrian Amorato</t>
        </is>
      </c>
      <c r="AI2031"/>
      <c r="AJ2031" t="inlineStr">
        <is>
          <t>LIQUIDITY PLAN (PAR # 202602270013 / 2026TEG-P0053)
Manpower installation fee
Total Budget = Php 1,700.00
Actual Cost = Php 1,700.00</t>
        </is>
      </c>
      <c r="AK2031"/>
    </row>
    <row r="2032" ht="25.5" customHeight="1">
      <c r="A2032" s="2" t="str">
        <f>=HYPERLINK("https://applink.larksuite.com/client/mini_program/open?appId=cli_9c7cc8a9a9edd105&amp;mode=appCenter&amp;path_pc=pc/pages/requested/index?instanceId=7615179310407667422&amp;source=bitable&amp;path=pages/detail/index?instanceId=7615179310407667422&amp;source=bitable", "202603090089")</f>
        <v>202603090089</v>
      </c>
      <c r="B2032" t="inlineStr">
        <is>
          <t>Approved</t>
        </is>
      </c>
      <c r="C2032" t="inlineStr">
        <is>
          <t>Procurement Order</t>
        </is>
      </c>
      <c r="D2032" s="3">
        <v>46090.711805555555</v>
      </c>
      <c r="E2032" s="3">
        <v>46091.43618055555</v>
      </c>
      <c r="F2032" t="inlineStr">
        <is>
          <t>Fatima Kathleen M. FLores</t>
        </is>
      </c>
      <c r="G2032" t="inlineStr">
        <is>
          <t>Procurement</t>
        </is>
      </c>
      <c r="H2032"/>
      <c r="I2032"/>
      <c r="J2032" t="inlineStr">
        <is>
          <t>Project</t>
        </is>
      </c>
      <c r="K2032" t="inlineStr">
        <is>
          <t>PDEI - Game Marketing</t>
        </is>
      </c>
      <c r="L2032" t="inlineStr">
        <is>
          <t>SM Cyberzone Trading Card Game (TCG) Activations</t>
        </is>
      </c>
      <c r="M2032" t="inlineStr">
        <is>
          <t>2025TEG-P0278</t>
        </is>
      </c>
      <c r="N2032" t="inlineStr">
        <is>
          <t>Alessandra Mae Villanueva Boado</t>
        </is>
      </c>
      <c r="O2032" t="inlineStr">
        <is>
          <t>202603020161-Alessandra Mae Villanueva Boado-费用报销 - 副本 - 副本 - 副本-2026-03-02 12:03:23</t>
        </is>
      </c>
      <c r="P2032" t="inlineStr">
        <is>
          <t>YES</t>
        </is>
      </c>
      <c r="Q2032"/>
      <c r="R2032" t="inlineStr">
        <is>
          <t>NO</t>
        </is>
      </c>
      <c r="S2032" t="inlineStr">
        <is>
          <t>Outsourced Referee</t>
        </is>
      </c>
      <c r="T2032">
        <v>1</v>
      </c>
      <c r="U2032">
        <v>1300</v>
      </c>
      <c r="V2032" t="inlineStr">
        <is>
          <t>PHP</t>
        </is>
      </c>
      <c r="W2032">
        <v>1300</v>
      </c>
      <c r="X2032" s="2" t="str">
        <f>=HYPERLINK("https://www.larksuite.com/approval/admin/previewAttachment?key=PMgxjkIxDATQK83Yjifey2yTKALEp0F80eTsSBS0LzuRvdGzEEUrcCvZqHIioEyF2bZNqSCq-Z7H-vfjfa4Y48X743qb-7yMNZ9sJTPII7wD4N_PXRFRlYGv4xMAAP__", "2 attachment(s)")</f>
        <v>2 attachment(s)</v>
      </c>
      <c r="Y2032" t="inlineStr">
        <is>
          <t>Bank Transfer</t>
        </is>
      </c>
      <c r="Z2032" t="inlineStr">
        <is>
          <t>Arjay Santie Magcalas</t>
        </is>
      </c>
      <c r="AA2032" t="inlineStr">
        <is>
          <t>109425585622</t>
        </is>
      </c>
      <c r="AB2032" t="inlineStr">
        <is>
          <t>Unionbank</t>
        </is>
      </c>
      <c r="AC2032" t="inlineStr">
        <is>
          <t>69 Vista Real Ave Brgy. Matandang Balara Quezon City</t>
        </is>
      </c>
      <c r="AD2032" s="4">
        <v>46101</v>
      </c>
      <c r="AE2032" t="inlineStr">
        <is>
          <t>100% Full Payment - Mar. 20, 2026</t>
        </is>
      </c>
      <c r="AF2032" s="2"/>
      <c r="AG2032" t="inlineStr">
        <is>
          <t>NzQyNTk5MTgyNzQ4MTg3MDM0MTpFREEwRENGRC01QTc2LTRDMTgtODlDMS04OTdFODdCMkIxQTgtMToxZWUwOWI2YzMwMjJiNGUxOGE3OWQwZDg4MzQ5YTA5OTox</t>
        </is>
      </c>
      <c r="AH2032" t="inlineStr">
        <is>
          <t>Arjay Santie Magcalas</t>
        </is>
      </c>
      <c r="AI2032"/>
      <c r="AJ2032" t="inlineStr">
        <is>
          <t>LIQUIDITY PLAN (PAR # 202602090082 / 2025TEG-P0278)
SM North EDSA &gt; 
League ops - Beyblade
League ops - TCG Arena
Total Budget = Php 13,600.00
Actual Cost = Php 1,300.00
Balance = Php 12,300.00</t>
        </is>
      </c>
      <c r="AK2032"/>
    </row>
    <row r="2033" ht="25.5" customHeight="1">
      <c r="A2033" s="2" t="str">
        <f>=HYPERLINK("https://applink.larksuite.com/client/mini_program/open?appId=cli_9c7cc8a9a9edd105&amp;mode=appCenter&amp;path_pc=pc/pages/requested/index?instanceId=7615181571825422046&amp;source=bitable&amp;path=pages/detail/index?instanceId=7615181571825422046&amp;source=bitable", "202603090093")</f>
        <v>202603090093</v>
      </c>
      <c r="B2033" t="inlineStr">
        <is>
          <t>Approved</t>
        </is>
      </c>
      <c r="C2033" t="inlineStr">
        <is>
          <t>Procurement Order</t>
        </is>
      </c>
      <c r="D2033" s="3">
        <v>46090.71790509259</v>
      </c>
      <c r="E2033" s="3">
        <v>46091.44136574074</v>
      </c>
      <c r="F2033" t="inlineStr">
        <is>
          <t>Fatima Kathleen M. FLores</t>
        </is>
      </c>
      <c r="G2033" t="inlineStr">
        <is>
          <t>Procurement</t>
        </is>
      </c>
      <c r="H2033"/>
      <c r="I2033"/>
      <c r="J2033" t="inlineStr">
        <is>
          <t>Project</t>
        </is>
      </c>
      <c r="K2033" t="inlineStr">
        <is>
          <t>PDEI - Game Marketing</t>
        </is>
      </c>
      <c r="L2033" t="inlineStr">
        <is>
          <t>SM Cyberzone Trading Card Game (TCG) Activations</t>
        </is>
      </c>
      <c r="M2033" t="inlineStr">
        <is>
          <t>2025TEG-P0278</t>
        </is>
      </c>
      <c r="N2033" t="inlineStr">
        <is>
          <t>Alessandra Mae Villanueva Boado</t>
        </is>
      </c>
      <c r="O2033" t="inlineStr">
        <is>
          <t>202603020161-Alessandra Mae Villanueva Boado-费用报销 - 副本 - 副本 - 副本-2026-03-02 12:03:23</t>
        </is>
      </c>
      <c r="P2033" t="inlineStr">
        <is>
          <t>YES</t>
        </is>
      </c>
      <c r="Q2033"/>
      <c r="R2033" t="inlineStr">
        <is>
          <t>NO</t>
        </is>
      </c>
      <c r="S2033" t="inlineStr">
        <is>
          <t>Outsourced Referee</t>
        </is>
      </c>
      <c r="T2033">
        <v>1</v>
      </c>
      <c r="U2033">
        <v>1300</v>
      </c>
      <c r="V2033" t="inlineStr">
        <is>
          <t>PHP</t>
        </is>
      </c>
      <c r="W2033">
        <v>1300</v>
      </c>
      <c r="X2033" s="2" t="str">
        <f>=HYPERLINK("https://www.larksuite.com/approval/admin/previewAttachment?key=PMg7CgJBEATQK1V1V_-8jMkugwhGotmcXTDY9GUT2UHPgYY24K5ksBnFtpAZlNs2qwbFCt_na93nGVpAHxjXB_v7ONb5ZkyZoVzyBsDb5V6SZlL4O34BAAD__w", "2 attachment(s)")</f>
        <v>2 attachment(s)</v>
      </c>
      <c r="Y2033" t="inlineStr">
        <is>
          <t>Bank Transfer</t>
        </is>
      </c>
      <c r="Z2033" t="inlineStr">
        <is>
          <t>Alfred Enomar</t>
        </is>
      </c>
      <c r="AA2033" t="inlineStr">
        <is>
          <t>09060869428</t>
        </is>
      </c>
      <c r="AB2033" t="inlineStr">
        <is>
          <t>GCash</t>
        </is>
      </c>
      <c r="AC2033" t="inlineStr">
        <is>
          <t>Blk 1 Lot 5 Junji St., Rolling Hills, Novaliches, Quezon City</t>
        </is>
      </c>
      <c r="AD2033" s="4">
        <v>46101</v>
      </c>
      <c r="AE2033" t="inlineStr">
        <is>
          <t>100% Full Payment - Mar. 20, 2026</t>
        </is>
      </c>
      <c r="AF2033" s="2"/>
      <c r="AG2033" t="inlineStr">
        <is>
          <t>NzQyNTk5MTgyNzQ4MTg3MDM0MTo4QTE2RkM4Qi01QjFFLTQzM0ItOTY2MC1FNjFCMTlFRDYzREQtMTo3YzYxM2NhZjg5MGM5NzRkZGVmYjM3MDk3ZWYzYzg1Yjox</t>
        </is>
      </c>
      <c r="AH2033" t="inlineStr">
        <is>
          <t>Alfred Enomar</t>
        </is>
      </c>
      <c r="AI2033"/>
      <c r="AJ2033" t="inlineStr">
        <is>
          <t>LIQUIDITY PLAN (PAR # 202602090082 / 2025TEG-P0278)
SM North EDSA &gt; 
League ops - Beyblade
League ops - TCG Arena
Total Remaining Budget = Php 12,300.00
Actual Cost = Php 1,300.00
Balance = Php 11,000.00</t>
        </is>
      </c>
      <c r="AK2033"/>
    </row>
    <row r="2034" ht="25.5" customHeight="1">
      <c r="A2034" s="2" t="str">
        <f>=HYPERLINK("https://applink.larksuite.com/client/mini_program/open?appId=cli_9c7cc8a9a9edd105&amp;mode=appCenter&amp;path_pc=pc/pages/requested/index?instanceId=7615182182763581152&amp;source=bitable&amp;path=pages/detail/index?instanceId=7615182182763581152&amp;source=bitable", "202603090095")</f>
        <v>202603090095</v>
      </c>
      <c r="B2034" t="inlineStr">
        <is>
          <t>Approved</t>
        </is>
      </c>
      <c r="C2034" t="inlineStr">
        <is>
          <t>Procurement Order</t>
        </is>
      </c>
      <c r="D2034" s="3">
        <v>46090.71954861111</v>
      </c>
      <c r="E2034" s="3">
        <v>46091.4408912037</v>
      </c>
      <c r="F2034" t="inlineStr">
        <is>
          <t>Fatima Kathleen M. FLores</t>
        </is>
      </c>
      <c r="G2034" t="inlineStr">
        <is>
          <t>Procurement</t>
        </is>
      </c>
      <c r="H2034"/>
      <c r="I2034"/>
      <c r="J2034" t="inlineStr">
        <is>
          <t>Project</t>
        </is>
      </c>
      <c r="K2034" t="inlineStr">
        <is>
          <t>PDEI - Game Marketing</t>
        </is>
      </c>
      <c r="L2034" t="inlineStr">
        <is>
          <t>SM Cyberzone Trading Card Game (TCG) Activations</t>
        </is>
      </c>
      <c r="M2034" t="inlineStr">
        <is>
          <t>2025TEG-P0278</t>
        </is>
      </c>
      <c r="N2034" t="inlineStr">
        <is>
          <t>Alessandra Mae Villanueva Boado</t>
        </is>
      </c>
      <c r="O2034" t="inlineStr">
        <is>
          <t>202603020161-Alessandra Mae Villanueva Boado-费用报销 - 副本 - 副本 - 副本-2026-03-02 12:03:23</t>
        </is>
      </c>
      <c r="P2034" t="inlineStr">
        <is>
          <t>YES</t>
        </is>
      </c>
      <c r="Q2034"/>
      <c r="R2034" t="inlineStr">
        <is>
          <t>NO</t>
        </is>
      </c>
      <c r="S2034" t="inlineStr">
        <is>
          <t>Outsourced Referee</t>
        </is>
      </c>
      <c r="T2034">
        <v>1</v>
      </c>
      <c r="U2034">
        <v>1300</v>
      </c>
      <c r="V2034" t="inlineStr">
        <is>
          <t>PHP</t>
        </is>
      </c>
      <c r="W2034">
        <v>1300</v>
      </c>
      <c r="X2034" s="2" t="str">
        <f>=HYPERLINK("https://www.larksuite.com/approval/admin/previewAttachment?key=PMg5CsJQFAXQLd375udmbAzBjwOCkGjx1y5YpD1RRJRTo2FNaXBm0FnCkgz1Il2mTGY2kuk6l8d6Htv3g7Hvdx83f77mdr2sy5veKYJUMy0APB2uaWbdYfg7fgEAAP__", "2 attachment(s)")</f>
        <v>2 attachment(s)</v>
      </c>
      <c r="Y2034" t="inlineStr">
        <is>
          <t>Bank Transfer</t>
        </is>
      </c>
      <c r="Z2034" t="inlineStr">
        <is>
          <t>ALVIN ROY SARMIENTO</t>
        </is>
      </c>
      <c r="AA2034" t="inlineStr">
        <is>
          <t>14649933628</t>
        </is>
      </c>
      <c r="AB2034" t="inlineStr">
        <is>
          <t>Maribank</t>
        </is>
      </c>
      <c r="AC2034" t="inlineStr">
        <is>
          <t>46 waling waling ST. Payatas A Quezon City</t>
        </is>
      </c>
      <c r="AD2034" s="4">
        <v>46101</v>
      </c>
      <c r="AE2034" t="inlineStr">
        <is>
          <t>100% Full Payment - Mar. 20, 2026</t>
        </is>
      </c>
      <c r="AF2034" s="2"/>
      <c r="AG2034" t="inlineStr">
        <is>
          <t>NzQyNTk5MTgyNzQ4MTg3MDM0MToyREFGQjY3OS05MzVFLTQ2MjAtQTEzRS03RjMyREQzQ0FGMzQtMTplMWQzMmYyMDI3YTE4NjYwMzU1ZmYwZTlmMjk1MmU5MTox</t>
        </is>
      </c>
      <c r="AH2034" t="inlineStr">
        <is>
          <t>ALVIN ROY SARMIENTO</t>
        </is>
      </c>
      <c r="AI2034"/>
      <c r="AJ2034" t="inlineStr">
        <is>
          <t>LIQUIDITY PLAN (PAR # 202602090082 / 2025TEG-P0278)
SM North EDSA &gt; 
League ops - Beyblade
League ops - TCG Arena
Total Remaining Budget = Php 11,000.00
Actual Cost = Php 2,600.00
Balance = Php 8,400.00</t>
        </is>
      </c>
      <c r="AK2034"/>
    </row>
    <row r="2035" ht="25.5" customHeight="1">
      <c r="A2035" s="2" t="str">
        <f>=HYPERLINK("https://applink.larksuite.com/client/mini_program/open?appId=cli_9c7cc8a9a9edd105&amp;mode=appCenter&amp;path_pc=pc/pages/requested/index?instanceId=7615183134216163040&amp;source=bitable&amp;path=pages/detail/index?instanceId=7615183134216163040&amp;source=bitable", "202603090096")</f>
        <v>202603090096</v>
      </c>
      <c r="B2035" t="inlineStr">
        <is>
          <t>Approved</t>
        </is>
      </c>
      <c r="C2035" t="inlineStr">
        <is>
          <t>Procurement Order</t>
        </is>
      </c>
      <c r="D2035" s="3">
        <v>46090.72210648148</v>
      </c>
      <c r="E2035" s="3">
        <v>46091.43984953704</v>
      </c>
      <c r="F2035" t="inlineStr">
        <is>
          <t>Fatima Kathleen M. FLores</t>
        </is>
      </c>
      <c r="G2035" t="inlineStr">
        <is>
          <t>Procurement</t>
        </is>
      </c>
      <c r="H2035"/>
      <c r="I2035"/>
      <c r="J2035" t="inlineStr">
        <is>
          <t>Project</t>
        </is>
      </c>
      <c r="K2035" t="inlineStr">
        <is>
          <t>PDEI - Game Marketing</t>
        </is>
      </c>
      <c r="L2035" t="inlineStr">
        <is>
          <t>SM Cyberzone Trading Card Game (TCG) Activations</t>
        </is>
      </c>
      <c r="M2035" t="inlineStr">
        <is>
          <t>2025TEG-P0278</t>
        </is>
      </c>
      <c r="N2035" t="inlineStr">
        <is>
          <t>Alessandra Mae Villanueva Boado</t>
        </is>
      </c>
      <c r="O2035" t="inlineStr">
        <is>
          <t>202603020161-Alessandra Mae Villanueva Boado-费用报销 - 副本 - 副本 - 副本-2026-03-02 12:03:23</t>
        </is>
      </c>
      <c r="P2035" t="inlineStr">
        <is>
          <t>YES</t>
        </is>
      </c>
      <c r="Q2035"/>
      <c r="R2035" t="inlineStr">
        <is>
          <t>NO</t>
        </is>
      </c>
      <c r="S2035" t="inlineStr">
        <is>
          <t>Outsourced Referee</t>
        </is>
      </c>
      <c r="T2035">
        <v>1</v>
      </c>
      <c r="U2035">
        <v>1300</v>
      </c>
      <c r="V2035" t="inlineStr">
        <is>
          <t>PHP</t>
        </is>
      </c>
      <c r="W2035">
        <v>1300</v>
      </c>
      <c r="X2035" s="2" t="str">
        <f>=HYPERLINK("https://www.larksuite.com/approval/admin/previewAttachment?key=PMgxDsIwDAXQK_0fO_4xl2GhilBRJ9QgBp8diaHri0HE6LRIeLIlWAp2DqN5YzAMjmpFKSGqW23HvC8e59rXZ9f3NedZ6_mY25s91Rpk7jYA8Ha5yd0zw_F3_AIAAP__", "2 attachment(s)")</f>
        <v>2 attachment(s)</v>
      </c>
      <c r="Y2035" t="inlineStr">
        <is>
          <t>Bank Transfer</t>
        </is>
      </c>
      <c r="Z2035" t="inlineStr">
        <is>
          <t>James Carlo B. Colico</t>
        </is>
      </c>
      <c r="AA2035" t="inlineStr">
        <is>
          <t>09465460950</t>
        </is>
      </c>
      <c r="AB2035" t="inlineStr">
        <is>
          <t>Gcash</t>
        </is>
      </c>
      <c r="AC2035" t="inlineStr">
        <is>
          <t>117 katuparan St. Brgy. Commonwealth Quezon City</t>
        </is>
      </c>
      <c r="AD2035" s="4">
        <v>46101</v>
      </c>
      <c r="AE2035" t="inlineStr">
        <is>
          <t>100% Full Payment - Mar. 20, 2026</t>
        </is>
      </c>
      <c r="AF2035" s="2"/>
      <c r="AG2035" t="inlineStr">
        <is>
          <t>NzQyNTk5MTgyNzQ4MTg3MDM0MTo0N0QwRjkxNC02RkNGLTRBOTEtOTFFRi0zMUM2OTE4ODQ1ODQtMToxNDZhNGZkOTU3NjA1ODRhY2IyNzZmZDA4ODg0MWMyMjox</t>
        </is>
      </c>
      <c r="AH2035" t="inlineStr">
        <is>
          <t>James Carlo B. Colico</t>
        </is>
      </c>
      <c r="AI2035"/>
      <c r="AJ2035" t="inlineStr">
        <is>
          <t>LIQUIDITY PLAN (PAR # 202602090082 / 2025TEG-P0278)
SM North EDSA &gt; 
League ops - Beyblade
League ops - TCG Arena
Total Remaining Budget = Php 8,400.00
Actual Cost = Php 1,300.00
Balance = Php 7,100.00</t>
        </is>
      </c>
      <c r="AK2035"/>
    </row>
    <row r="2036" ht="25.5" customHeight="1">
      <c r="A2036" s="2" t="str">
        <f>=HYPERLINK("https://applink.larksuite.com/client/mini_program/open?appId=cli_9c7cc8a9a9edd105&amp;mode=appCenter&amp;path_pc=pc/pages/requested/index?instanceId=7615183811244003036&amp;source=bitable&amp;path=pages/detail/index?instanceId=7615183811244003036&amp;source=bitable", "202603090097")</f>
        <v>202603090097</v>
      </c>
      <c r="B2036" t="inlineStr">
        <is>
          <t>Approved</t>
        </is>
      </c>
      <c r="C2036" t="inlineStr">
        <is>
          <t>Procurement Order</t>
        </is>
      </c>
      <c r="D2036" s="3">
        <v>46090.72393518518</v>
      </c>
      <c r="E2036" s="3">
        <v>46091.43949074074</v>
      </c>
      <c r="F2036" t="inlineStr">
        <is>
          <t>Fatima Kathleen M. FLores</t>
        </is>
      </c>
      <c r="G2036" t="inlineStr">
        <is>
          <t>Procurement</t>
        </is>
      </c>
      <c r="H2036"/>
      <c r="I2036"/>
      <c r="J2036" t="inlineStr">
        <is>
          <t>Project</t>
        </is>
      </c>
      <c r="K2036" t="inlineStr">
        <is>
          <t>PDEI - Game Marketing</t>
        </is>
      </c>
      <c r="L2036" t="inlineStr">
        <is>
          <t>SM Cyberzone Trading Card Game (TCG) Activations</t>
        </is>
      </c>
      <c r="M2036" t="inlineStr">
        <is>
          <t>2025TEG-P0278</t>
        </is>
      </c>
      <c r="N2036" t="inlineStr">
        <is>
          <t>Alessandra Mae Villanueva Boado</t>
        </is>
      </c>
      <c r="O2036" t="inlineStr">
        <is>
          <t>202603020161-Alessandra Mae Villanueva Boado-费用报销 - 副本 - 副本 - 副本-2026-03-02 12:03:23</t>
        </is>
      </c>
      <c r="P2036" t="inlineStr">
        <is>
          <t>YES</t>
        </is>
      </c>
      <c r="Q2036"/>
      <c r="R2036" t="inlineStr">
        <is>
          <t>NO</t>
        </is>
      </c>
      <c r="S2036" t="inlineStr">
        <is>
          <t>Outsourced Referee</t>
        </is>
      </c>
      <c r="T2036">
        <v>1</v>
      </c>
      <c r="U2036">
        <v>1300</v>
      </c>
      <c r="V2036" t="inlineStr">
        <is>
          <t>PHP</t>
        </is>
      </c>
      <c r="W2036">
        <v>1300</v>
      </c>
      <c r="X2036" s="2" t="str">
        <f>=HYPERLINK("https://www.larksuite.com/approval/admin/previewAttachment?key=PMg9DsIwDAXgK71nO_7hMixEERmYkKp28NmRGLp-noTnoHrBilJgh3MwNUkxAxTqLc2IQjCG9vys5z6uE_vap0Jkrj7erzW_HBUiCDXTBMDH7RpmVuWGv-MXAAD__w", "2 attachment(s)")</f>
        <v>2 attachment(s)</v>
      </c>
      <c r="Y2036" t="inlineStr">
        <is>
          <t>Bank Transfer</t>
        </is>
      </c>
      <c r="Z2036" t="inlineStr">
        <is>
          <t>Jefferson Onting</t>
        </is>
      </c>
      <c r="AA2036" t="inlineStr">
        <is>
          <t>0104 2009 4512</t>
        </is>
      </c>
      <c r="AB2036" t="inlineStr">
        <is>
          <t>BDO</t>
        </is>
      </c>
      <c r="AC2036" t="inlineStr">
        <is>
          <t>Block 5 Lot 11, Elgine Street Extension, Interville 3 Subdivision, Barangay San Agustin, Novaliches, Quezon City</t>
        </is>
      </c>
      <c r="AD2036" s="4">
        <v>46101</v>
      </c>
      <c r="AE2036" t="inlineStr">
        <is>
          <t>100% Full Payment - Mar. 20, 2026</t>
        </is>
      </c>
      <c r="AF2036" s="2"/>
      <c r="AG2036" t="inlineStr">
        <is>
          <t>NzQyNTk5MTgyNzQ4MTg3MDM0MToyNTkzQ0QxQS1GQkVBLTQyODctQUY4RS03NzI0ODJFRTM5MkUtMTo0Y2VhNjdmOWEyYTdiNTBmMTM1MDkxMDlkZjYxNjczYTox</t>
        </is>
      </c>
      <c r="AH2036" t="inlineStr">
        <is>
          <t>Jefferson Onting</t>
        </is>
      </c>
      <c r="AI2036"/>
      <c r="AJ2036" t="inlineStr">
        <is>
          <t>LIQUIDITY PLAN (PAR # 202602090082 / 2025TEG-P0278)
SM North EDSA &gt; 
League ops - Beyblade
League ops - TCG Arena
Total Remaining Budget = Php 7,100.00
Actual Cost = Php 1,300.00
Balance = Php 5,800.00</t>
        </is>
      </c>
      <c r="AK2036"/>
    </row>
    <row r="2037" ht="25.5" customHeight="1">
      <c r="A2037" s="2" t="str">
        <f>=HYPERLINK("https://applink.larksuite.com/client/mini_program/open?appId=cli_9c7cc8a9a9edd105&amp;mode=appCenter&amp;path_pc=pc/pages/requested/index?instanceId=7615184447507304160&amp;source=bitable&amp;path=pages/detail/index?instanceId=7615184447507304160&amp;source=bitable", "202603090098")</f>
        <v>202603090098</v>
      </c>
      <c r="B2037" t="inlineStr">
        <is>
          <t>Approved</t>
        </is>
      </c>
      <c r="C2037" t="inlineStr">
        <is>
          <t>Procurement Order</t>
        </is>
      </c>
      <c r="D2037" s="3">
        <v>46090.725648148145</v>
      </c>
      <c r="E2037" s="3">
        <v>46091.43739583333</v>
      </c>
      <c r="F2037" t="inlineStr">
        <is>
          <t>Fatima Kathleen M. FLores</t>
        </is>
      </c>
      <c r="G2037" t="inlineStr">
        <is>
          <t>Procurement</t>
        </is>
      </c>
      <c r="H2037"/>
      <c r="I2037"/>
      <c r="J2037" t="inlineStr">
        <is>
          <t>Project</t>
        </is>
      </c>
      <c r="K2037" t="inlineStr">
        <is>
          <t>PDEI - Game Marketing</t>
        </is>
      </c>
      <c r="L2037" t="inlineStr">
        <is>
          <t>SM Cyberzone Trading Card Game (TCG) Activations</t>
        </is>
      </c>
      <c r="M2037" t="inlineStr">
        <is>
          <t>2025TEG-P0278</t>
        </is>
      </c>
      <c r="N2037" t="inlineStr">
        <is>
          <t>Alessandra Mae Villanueva Boado</t>
        </is>
      </c>
      <c r="O2037" t="inlineStr">
        <is>
          <t>202603020161-Alessandra Mae Villanueva Boado-费用报销 - 副本 - 副本 - 副本-2026-03-02 12:03:23</t>
        </is>
      </c>
      <c r="P2037" t="inlineStr">
        <is>
          <t>YES</t>
        </is>
      </c>
      <c r="Q2037"/>
      <c r="R2037" t="inlineStr">
        <is>
          <t>NO</t>
        </is>
      </c>
      <c r="S2037" t="inlineStr">
        <is>
          <t>Outsourced Referee</t>
        </is>
      </c>
      <c r="T2037">
        <v>1</v>
      </c>
      <c r="U2037">
        <v>1300</v>
      </c>
      <c r="V2037" t="inlineStr">
        <is>
          <t>PHP</t>
        </is>
      </c>
      <c r="W2037">
        <v>1300</v>
      </c>
      <c r="X2037" s="2" t="str">
        <f>=HYPERLINK("https://www.larksuite.com/approval/admin/previewAttachment?key=PMhBCgIxDAXQK_0kv_mNl3HTYRBhoCAWNz274MLty27I3iyywDIv2FZas05SDQrQEtu3SQWZWuzjOu_zOXxea_D98am112Ocx8tayR0KMjoAu_09RLIqiZ_jGwAA__8", "2 attachment(s)")</f>
        <v>2 attachment(s)</v>
      </c>
      <c r="Y2037" t="inlineStr">
        <is>
          <t>Bank Transfer</t>
        </is>
      </c>
      <c r="Z2037" t="inlineStr">
        <is>
          <t>Juan Paolo Yumo</t>
        </is>
      </c>
      <c r="AA2037" t="inlineStr">
        <is>
          <t>007790123111</t>
        </is>
      </c>
      <c r="AB2037" t="inlineStr">
        <is>
          <t>BDO</t>
        </is>
      </c>
      <c r="AC2037" t="inlineStr">
        <is>
          <t>Unit C #24 Palma Bldng. Diamond St cor Ruby Goldhill Homes, Bagbag, Sauyo, Quezon City</t>
        </is>
      </c>
      <c r="AD2037" s="4">
        <v>46101</v>
      </c>
      <c r="AE2037" t="inlineStr">
        <is>
          <t>100% Full Payment - Mar. 20, 2026</t>
        </is>
      </c>
      <c r="AF2037" s="2"/>
      <c r="AG2037" t="inlineStr">
        <is>
          <t>NzQyNTk5MTgyNzQ4MTg3MDM0MTpBRDQzRDlBMy0yNTY2LTRDRjctQkY3RS04MzE5NENEMkM2NTItMTozNzE3NzVkMTViZWNlYzEyOTMxYzNlODcyZDNiYjE4NDox</t>
        </is>
      </c>
      <c r="AH2037" t="inlineStr">
        <is>
          <t>Juan Paolo Yumo</t>
        </is>
      </c>
      <c r="AI2037"/>
      <c r="AJ2037" t="inlineStr">
        <is>
          <t>LIQUIDITY PLAN (PAR # 202602090082 / 2025TEG-P0278)
SM North EDSA &gt; 
League ops - Beyblade
League ops - TCG Arena
Total Remaining Budget = Php 5,800.00
Actual Cost = Php 1,300.00
Balance = Php 4,500.00</t>
        </is>
      </c>
      <c r="AK2037"/>
    </row>
    <row r="2038" ht="25.5" customHeight="1">
      <c r="A2038" s="2" t="str">
        <f>=HYPERLINK("https://applink.larksuite.com/client/mini_program/open?appId=cli_9c7cc8a9a9edd105&amp;mode=appCenter&amp;path_pc=pc/pages/requested/index?instanceId=7615185049847107293&amp;source=bitable&amp;path=pages/detail/index?instanceId=7615185049847107293&amp;source=bitable", "202603090099")</f>
        <v>202603090099</v>
      </c>
      <c r="B2038" t="inlineStr">
        <is>
          <t>Approved</t>
        </is>
      </c>
      <c r="C2038" t="inlineStr">
        <is>
          <t>Procurement Order</t>
        </is>
      </c>
      <c r="D2038" s="3">
        <v>46090.727268518516</v>
      </c>
      <c r="E2038" s="3">
        <v>46091.436956018515</v>
      </c>
      <c r="F2038" t="inlineStr">
        <is>
          <t>Fatima Kathleen M. FLores</t>
        </is>
      </c>
      <c r="G2038" t="inlineStr">
        <is>
          <t>Procurement</t>
        </is>
      </c>
      <c r="H2038"/>
      <c r="I2038"/>
      <c r="J2038" t="inlineStr">
        <is>
          <t>Project</t>
        </is>
      </c>
      <c r="K2038" t="inlineStr">
        <is>
          <t>PDEI - Game Marketing</t>
        </is>
      </c>
      <c r="L2038" t="inlineStr">
        <is>
          <t>SM Cyberzone Trading Card Game (TCG) Activations</t>
        </is>
      </c>
      <c r="M2038" t="inlineStr">
        <is>
          <t>2025TEG-P0278</t>
        </is>
      </c>
      <c r="N2038" t="inlineStr">
        <is>
          <t>Alessandra Mae Villanueva Boado</t>
        </is>
      </c>
      <c r="O2038" t="inlineStr">
        <is>
          <t>202603020161-Alessandra Mae Villanueva Boado-费用报销 - 副本 - 副本 - 副本-2026-03-02 12:03:23</t>
        </is>
      </c>
      <c r="P2038" t="inlineStr">
        <is>
          <t>YES</t>
        </is>
      </c>
      <c r="Q2038"/>
      <c r="R2038" t="inlineStr">
        <is>
          <t>NO</t>
        </is>
      </c>
      <c r="S2038" t="inlineStr">
        <is>
          <t>Outsourced Referee</t>
        </is>
      </c>
      <c r="T2038">
        <v>1</v>
      </c>
      <c r="U2038">
        <v>1300</v>
      </c>
      <c r="V2038" t="inlineStr">
        <is>
          <t>PHP</t>
        </is>
      </c>
      <c r="W2038">
        <v>1300</v>
      </c>
      <c r="X2038" s="2" t="str">
        <f>=HYPERLINK("https://www.larksuite.com/approval/admin/previewAttachment?key=PMgxDsIwDAXQK_0fO_k2l2FpVSFQJ9Q2DD47EgPrG0GM6LSR8GRLsDTYGR2e4SLU0qoVpYSobrXu2_25c-J6HfO8Dn2WOh_Ltr7ZU61B5m4BgLe_m9w9czh-jm8AAAD__w", "2 attachment(s)")</f>
        <v>2 attachment(s)</v>
      </c>
      <c r="Y2038" t="inlineStr">
        <is>
          <t>Bank Transfer</t>
        </is>
      </c>
      <c r="Z2038" t="inlineStr">
        <is>
          <t>Mark Anthony A. Dado</t>
        </is>
      </c>
      <c r="AA2038" t="inlineStr">
        <is>
          <t>013180010325</t>
        </is>
      </c>
      <c r="AB2038" t="inlineStr">
        <is>
          <t>BDO</t>
        </is>
      </c>
      <c r="AC2038" t="inlineStr">
        <is>
          <t>Hacienda Balai Building 9 Unit 94L Zabarte, Quezon City</t>
        </is>
      </c>
      <c r="AD2038" s="4">
        <v>46101</v>
      </c>
      <c r="AE2038" t="inlineStr">
        <is>
          <t>100% Full Payment - Mar. 20, 2026</t>
        </is>
      </c>
      <c r="AF2038" s="2"/>
      <c r="AG2038" t="inlineStr">
        <is>
          <t>NzQyNTk5MTgyNzQ4MTg3MDM0MTo5RUQxODVCRC1BNURFLTQyMjEtQjQ2MC1GRjQ4QkEwRDgxMzAtMTphOGQ1M2YzZDdmYTNmODliZDdjZWNiMDcxZmU1MDE0MTox</t>
        </is>
      </c>
      <c r="AH2038" t="inlineStr">
        <is>
          <t>Mark Anthony A. Dado</t>
        </is>
      </c>
      <c r="AI2038"/>
      <c r="AJ2038" t="inlineStr">
        <is>
          <t>LIQUIDITY PLAN (PAR # 202602090082 / 2025TEG-P0278)
SM North EDSA &gt; 
League ops - Beyblade
League ops - TCG Arena
Total Remaining Budget = Php 4,500.00
Actual Cost = Php 1,300.00
Balance = Php 3,200.00</t>
        </is>
      </c>
      <c r="AK2038"/>
    </row>
    <row r="2039" ht="25.5" customHeight="1">
      <c r="A2039" s="2" t="str">
        <f>=HYPERLINK("https://applink.larksuite.com/client/mini_program/open?appId=cli_9c7cc8a9a9edd105&amp;mode=appCenter&amp;path_pc=pc/pages/requested/index?instanceId=7614027812713828063&amp;source=bitable&amp;path=pages/detail/index?instanceId=7614027812713828063&amp;source=bitable", "202603060043")</f>
        <v>202603060043</v>
      </c>
      <c r="B2039" t="inlineStr">
        <is>
          <t>Approved</t>
        </is>
      </c>
      <c r="C2039" t="inlineStr">
        <is>
          <t>Procurement Order</t>
        </is>
      </c>
      <c r="D2039" s="3">
        <v>46087.60875</v>
      </c>
      <c r="E2039" s="3">
        <v>46125.58663194445</v>
      </c>
      <c r="F2039" t="inlineStr">
        <is>
          <t>Fatima Kathleen M. FLores</t>
        </is>
      </c>
      <c r="G2039" t="inlineStr">
        <is>
          <t>Procurement</t>
        </is>
      </c>
      <c r="H2039"/>
      <c r="I2039"/>
      <c r="J2039" t="inlineStr">
        <is>
          <t>Project</t>
        </is>
      </c>
      <c r="K2039" t="inlineStr">
        <is>
          <t>GG - Event Service</t>
        </is>
      </c>
      <c r="L2039" t="inlineStr">
        <is>
          <t>KIC Addendum</t>
        </is>
      </c>
      <c r="M2039" t="inlineStr">
        <is>
          <t>2026TEG-P0003</t>
        </is>
      </c>
      <c r="N2039" t="inlineStr">
        <is>
          <t>Frances Angelita Arreglado</t>
        </is>
      </c>
      <c r="O2039" t="inlineStr">
        <is>
          <t>202602270038-Frances Angelita Arreglado-费用报销 - 副本 - 副本 - 副本-2026-02-27 09:28:06</t>
        </is>
      </c>
      <c r="P2039" t="inlineStr">
        <is>
          <t>NO</t>
        </is>
      </c>
      <c r="Q2039"/>
      <c r="R2039" t="inlineStr">
        <is>
          <t>YES</t>
        </is>
      </c>
      <c r="S2039" t="inlineStr">
        <is>
          <t>Rental of Chairs w/ Covers (80 pcs) and Tables (10 pcs) - Nov. 11 to 12, 2025</t>
        </is>
      </c>
      <c r="T2039">
        <v>1</v>
      </c>
      <c r="U2039">
        <v>6400</v>
      </c>
      <c r="V2039" t="inlineStr">
        <is>
          <t>PHP</t>
        </is>
      </c>
      <c r="W2039">
        <v>6400</v>
      </c>
      <c r="X2039" s="2" t="str">
        <f>=HYPERLINK("https://www.larksuite.com/approval/admin/previewAttachment?key=PMixDUIxDATQle5sx2ezDM2PIprQIEGV2ZEoaF8WkTXo2YimNXiUDJiKJnpZIf3YodQQNfzMve7ifu6Ny-ewz6zzflxrvjhaZpBHeAHg7e-uiOjOwM_xDQAA__8", "1 attachment(s)")</f>
        <v>1 attachment(s)</v>
      </c>
      <c r="Y2039" t="inlineStr">
        <is>
          <t>Bank Transfer</t>
        </is>
      </c>
      <c r="Z2039" t="inlineStr">
        <is>
          <t>SPE Events Management And Services Party Needs Rental</t>
        </is>
      </c>
      <c r="AA2039" t="inlineStr">
        <is>
          <t>141102017588</t>
        </is>
      </c>
      <c r="AB2039" t="inlineStr">
        <is>
          <t>Chinabank</t>
        </is>
      </c>
      <c r="AC2039" t="inlineStr">
        <is>
          <t>10A St. Benedict, Paradise Village, Sangandaan, Quezon City</t>
        </is>
      </c>
      <c r="AD2039" s="4">
        <v>46094</v>
      </c>
      <c r="AE2039" t="inlineStr">
        <is>
          <t>100% Full Payment</t>
        </is>
      </c>
      <c r="AF2039" s="2"/>
      <c r="AG2039" t="inlineStr">
        <is>
          <t>NzQyNTk5MTgyNzQ4MTg3MDM0MTozRUEyQTY2RS01NEUwLTRBRDYtOTlFNC1CNjUwNkYzMDhCQzktMTo5ZWEzYTdmMGFlMGVlNmNhNThjMTY3N2U5NjhkNWZmNDox</t>
        </is>
      </c>
      <c r="AH2039" t="inlineStr">
        <is>
          <t>SPE Events Management And Services Party Needs Rental</t>
        </is>
      </c>
      <c r="AI2039"/>
      <c r="AJ2039" t="inlineStr">
        <is>
          <t>FOR PARTICULAR 3 ONLY:
LIQUIDITY PLAN (PAR # 202601050114 / 2026TEG-P0003)
PLAYOFFS &gt; PURCHASE &amp; RENTAL &gt;
Stand Fans for VIP/Holding Area
Total Budget = Php 1,900.00
Actual Cost = Php 25,400.00
Balance = (Php 23,500.00) OVER BUDGET
NOTE: FOR THE OTHER OTHER ITEMS, NO LINE ITEM/S IN INTERNAL CE.</t>
        </is>
      </c>
      <c r="AK2039"/>
    </row>
    <row r="2040" ht="25.5" customHeight="1">
      <c r="A2040" s="2" t="str">
        <f>=HYPERLINK("https://applink.larksuite.com/client/mini_program/open?appId=cli_9c7cc8a9a9edd105&amp;mode=appCenter&amp;path_pc=pc/pages/requested/index?instanceId=7614027812713828063&amp;source=bitable&amp;path=pages/detail/index?instanceId=7614027812713828063&amp;source=bitable", "202603060043")</f>
        <v>202603060043</v>
      </c>
      <c r="B2040" t="inlineStr">
        <is>
          <t>Approved</t>
        </is>
      </c>
      <c r="C2040" t="inlineStr">
        <is>
          <t>Procurement Order</t>
        </is>
      </c>
      <c r="D2040" s="3">
        <v>46087.60875</v>
      </c>
      <c r="E2040" s="3">
        <v>46125.58663194445</v>
      </c>
      <c r="F2040" t="inlineStr">
        <is>
          <t>Fatima Kathleen M. FLores</t>
        </is>
      </c>
      <c r="G2040" t="inlineStr">
        <is>
          <t>Procurement</t>
        </is>
      </c>
      <c r="H2040"/>
      <c r="I2040"/>
      <c r="J2040" t="inlineStr">
        <is>
          <t>Project</t>
        </is>
      </c>
      <c r="K2040" t="inlineStr">
        <is>
          <t>GG - Event Service</t>
        </is>
      </c>
      <c r="L2040" t="inlineStr">
        <is>
          <t>KIC Addendum</t>
        </is>
      </c>
      <c r="M2040" t="inlineStr">
        <is>
          <t>2026TEG-P0003</t>
        </is>
      </c>
      <c r="N2040" t="inlineStr">
        <is>
          <t>Frances Angelita Arreglado</t>
        </is>
      </c>
      <c r="O2040" t="inlineStr">
        <is>
          <t>202602270038-Frances Angelita Arreglado-费用报销 - 副本 - 副本 - 副本-2026-02-27 09:28:06</t>
        </is>
      </c>
      <c r="P2040" t="inlineStr">
        <is>
          <t>NO</t>
        </is>
      </c>
      <c r="Q2040"/>
      <c r="R2040" t="inlineStr">
        <is>
          <t>YES</t>
        </is>
      </c>
      <c r="S2040" t="inlineStr">
        <is>
          <t>Rental of Chairs w/ Covers (181 pcs), Folding Chairs (14 pcs) and Tables (7 pcs) - Nov. 13 to 23, 2025</t>
        </is>
      </c>
      <c r="T2040">
        <v>1</v>
      </c>
      <c r="U2040">
        <v>87450</v>
      </c>
      <c r="V2040" t="inlineStr">
        <is>
          <t>PHP</t>
        </is>
      </c>
      <c r="W2040">
        <v>87450</v>
      </c>
      <c r="X2040" s="2" t="str">
        <f>=HYPERLINK("https://www.larksuite.com/approval/admin/previewAttachment?key=PMixDUIxDATQle5sx2ezDM2PIprQIEGV2ZEoaF8WkTXo2YimNXiUDJiKJnpZIf3YodQQNfzMve7ifu6Ny-ewz6zzflxrvjhaZpBHeAHg7e-uiOjOwM_5DQAA__8", "1 attachment(s)")</f>
        <v>1 attachment(s)</v>
      </c>
      <c r="Y2040"/>
      <c r="Z2040"/>
      <c r="AA2040"/>
      <c r="AB2040"/>
      <c r="AC2040"/>
      <c r="AD2040" s="4"/>
      <c r="AE2040"/>
      <c r="AF2040" s="2"/>
      <c r="AG2040" t="inlineStr">
        <is>
          <t>NzQyNTk5MTgyNzQ4MTg3MDM0MTozRUEyQTY2RS01NEUwLTRBRDYtOTlFNC1CNjUwNkYzMDhCQzktMjphZjk3ZTI4NWEzYjdjNmE1NWEyNmM0Yjk0MDFmOThlOTox</t>
        </is>
      </c>
      <c r="AH2040"/>
      <c r="AI2040"/>
      <c r="AJ2040" t="inlineStr">
        <is>
          <t>FOR PARTICULAR 3 ONLY:
LIQUIDITY PLAN (PAR # 202601050114 / 2026TEG-P0003)
PLAYOFFS &gt; PURCHASE &amp; RENTAL &gt;
Stand Fans for VIP/Holding Area
Total Budget = Php 1,900.00
Actual Cost = Php 25,400.00
Balance = (Php 23,500.00) OVER BUDGET
NOTE: FOR THE OTHER OTHER ITEMS, NO LINE ITEM/S IN INTERNAL CE.</t>
        </is>
      </c>
      <c r="AK2040"/>
    </row>
    <row r="2041" ht="25.5" customHeight="1">
      <c r="A2041" s="2" t="str">
        <f>=HYPERLINK("https://applink.larksuite.com/client/mini_program/open?appId=cli_9c7cc8a9a9edd105&amp;mode=appCenter&amp;path_pc=pc/pages/requested/index?instanceId=7614027812713828063&amp;source=bitable&amp;path=pages/detail/index?instanceId=7614027812713828063&amp;source=bitable", "202603060043")</f>
        <v>202603060043</v>
      </c>
      <c r="B2041" t="inlineStr">
        <is>
          <t>Approved</t>
        </is>
      </c>
      <c r="C2041" t="inlineStr">
        <is>
          <t>Procurement Order</t>
        </is>
      </c>
      <c r="D2041" s="3">
        <v>46087.60875</v>
      </c>
      <c r="E2041" s="3">
        <v>46125.58663194445</v>
      </c>
      <c r="F2041" t="inlineStr">
        <is>
          <t>Fatima Kathleen M. FLores</t>
        </is>
      </c>
      <c r="G2041" t="inlineStr">
        <is>
          <t>Procurement</t>
        </is>
      </c>
      <c r="H2041"/>
      <c r="I2041"/>
      <c r="J2041" t="inlineStr">
        <is>
          <t>Project</t>
        </is>
      </c>
      <c r="K2041" t="inlineStr">
        <is>
          <t>GG - Event Service</t>
        </is>
      </c>
      <c r="L2041" t="inlineStr">
        <is>
          <t>KIC Addendum</t>
        </is>
      </c>
      <c r="M2041" t="inlineStr">
        <is>
          <t>2026TEG-P0003</t>
        </is>
      </c>
      <c r="N2041" t="inlineStr">
        <is>
          <t>Frances Angelita Arreglado</t>
        </is>
      </c>
      <c r="O2041" t="inlineStr">
        <is>
          <t>202602270038-Frances Angelita Arreglado-费用报销 - 副本 - 副本 - 副本-2026-02-27 09:28:06</t>
        </is>
      </c>
      <c r="P2041" t="inlineStr">
        <is>
          <t>NO</t>
        </is>
      </c>
      <c r="Q2041"/>
      <c r="R2041" t="inlineStr">
        <is>
          <t>YES</t>
        </is>
      </c>
      <c r="S2041" t="inlineStr">
        <is>
          <t>Rental of Iwata Air coolers (5 units) + Delivery Fee - Nov. 28 to 30, 2025</t>
        </is>
      </c>
      <c r="T2041">
        <v>1</v>
      </c>
      <c r="U2041">
        <v>25400</v>
      </c>
      <c r="V2041" t="inlineStr">
        <is>
          <t>PHP</t>
        </is>
      </c>
      <c r="W2041">
        <v>25400</v>
      </c>
      <c r="X2041" s="2" t="str">
        <f>=HYPERLINK("https://www.larksuite.com/approval/admin/previewAttachment?key=PMixDUIxDATQle5sx2ezDM2PIprQIEGV2ZEoaF8WkTXo2YimNXiUDJiKJnpZIf3YodQQNfzMve7ifu6Ny-ewz6zzflxrvjhaZpBHeAHg7e-uiOjOwM_tGwAA__8", "1 attachment(s)")</f>
        <v>1 attachment(s)</v>
      </c>
      <c r="Y2041"/>
      <c r="Z2041"/>
      <c r="AA2041"/>
      <c r="AB2041"/>
      <c r="AC2041"/>
      <c r="AD2041" s="4"/>
      <c r="AE2041"/>
      <c r="AF2041" s="2"/>
      <c r="AG2041" t="inlineStr">
        <is>
          <t>NzQyNTk5MTgyNzQ4MTg3MDM0MTozRUEyQTY2RS01NEUwLTRBRDYtOTlFNC1CNjUwNkYzMDhCQzktMzpmOGU5MTNmZTE2Mjg1MGE0YzA0MGMxMzc4YjlhYmFlMDox</t>
        </is>
      </c>
      <c r="AH2041"/>
      <c r="AI2041"/>
      <c r="AJ2041" t="inlineStr">
        <is>
          <t>FOR PARTICULAR 3 ONLY:
LIQUIDITY PLAN (PAR # 202601050114 / 2026TEG-P0003)
PLAYOFFS &gt; PURCHASE &amp; RENTAL &gt;
Stand Fans for VIP/Holding Area
Total Budget = Php 1,900.00
Actual Cost = Php 25,400.00
Balance = (Php 23,500.00) OVER BUDGET
NOTE: FOR THE OTHER OTHER ITEMS, NO LINE ITEM/S IN INTERNAL CE.</t>
        </is>
      </c>
      <c r="AK2041"/>
    </row>
    <row r="2042" ht="25.5" customHeight="1">
      <c r="A2042" s="2" t="str">
        <f>=HYPERLINK("https://applink.larksuite.com/client/mini_program/open?appId=cli_9c7cc8a9a9edd105&amp;mode=appCenter&amp;path_pc=pc/pages/requested/index?instanceId=7614027812713828063&amp;source=bitable&amp;path=pages/detail/index?instanceId=7614027812713828063&amp;source=bitable", "202603060043")</f>
        <v>202603060043</v>
      </c>
      <c r="B2042" t="inlineStr">
        <is>
          <t>Approved</t>
        </is>
      </c>
      <c r="C2042" t="inlineStr">
        <is>
          <t>Procurement Order</t>
        </is>
      </c>
      <c r="D2042" s="3">
        <v>46087.60875</v>
      </c>
      <c r="E2042" s="3">
        <v>46125.58663194445</v>
      </c>
      <c r="F2042" t="inlineStr">
        <is>
          <t>Fatima Kathleen M. FLores</t>
        </is>
      </c>
      <c r="G2042" t="inlineStr">
        <is>
          <t>Procurement</t>
        </is>
      </c>
      <c r="H2042"/>
      <c r="I2042"/>
      <c r="J2042" t="inlineStr">
        <is>
          <t>Project</t>
        </is>
      </c>
      <c r="K2042" t="inlineStr">
        <is>
          <t>GG - Event Service</t>
        </is>
      </c>
      <c r="L2042" t="inlineStr">
        <is>
          <t>KIC Addendum</t>
        </is>
      </c>
      <c r="M2042" t="inlineStr">
        <is>
          <t>2026TEG-P0003</t>
        </is>
      </c>
      <c r="N2042" t="inlineStr">
        <is>
          <t>Frances Angelita Arreglado</t>
        </is>
      </c>
      <c r="O2042" t="inlineStr">
        <is>
          <t>202602270038-Frances Angelita Arreglado-费用报销 - 副本 - 副本 - 副本-2026-02-27 09:28:06</t>
        </is>
      </c>
      <c r="P2042" t="inlineStr">
        <is>
          <t>NO</t>
        </is>
      </c>
      <c r="Q2042"/>
      <c r="R2042" t="inlineStr">
        <is>
          <t>YES</t>
        </is>
      </c>
      <c r="S2042" t="inlineStr">
        <is>
          <t>Rental of Tables w/ Cover (15 pcs) - Nov. 29 to 30, 2025</t>
        </is>
      </c>
      <c r="T2042">
        <v>1</v>
      </c>
      <c r="U2042">
        <v>7500</v>
      </c>
      <c r="V2042" t="inlineStr">
        <is>
          <t>PHP</t>
        </is>
      </c>
      <c r="W2042">
        <v>7500</v>
      </c>
      <c r="X2042" s="2" t="str">
        <f>=HYPERLINK("https://www.larksuite.com/approval/admin/previewAttachment?key=PMixDUIxDATQle5sx2ezDM2PIprQIEGV2ZEoaF8WkTXo2YimNXiUDJiKJnpZIf3YodQQNfzMve7ifu6Ny-ewz6zzflxrvjhaZpBHeAHg7e-uiOjOwM_9GwAA__8", "1 attachment(s)")</f>
        <v>1 attachment(s)</v>
      </c>
      <c r="Y2042"/>
      <c r="Z2042"/>
      <c r="AA2042"/>
      <c r="AB2042"/>
      <c r="AC2042"/>
      <c r="AD2042" s="4"/>
      <c r="AE2042"/>
      <c r="AF2042" s="2"/>
      <c r="AG2042" t="inlineStr">
        <is>
          <t>NzQyNTk5MTgyNzQ4MTg3MDM0MTozRUEyQTY2RS01NEUwLTRBRDYtOTlFNC1CNjUwNkYzMDhCQzktNDo1YjBmZWRkZGM0MmJhMTkyY2NiZDYwZTNjZDgyYjE4Yjox</t>
        </is>
      </c>
      <c r="AH2042"/>
      <c r="AI2042"/>
      <c r="AJ2042" t="inlineStr">
        <is>
          <t>FOR PARTICULAR 3 ONLY:
LIQUIDITY PLAN (PAR # 202601050114 / 2026TEG-P0003)
PLAYOFFS &gt; PURCHASE &amp; RENTAL &gt;
Stand Fans for VIP/Holding Area
Total Budget = Php 1,900.00
Actual Cost = Php 25,400.00
Balance = (Php 23,500.00) OVER BUDGET
NOTE: FOR THE OTHER OTHER ITEMS, NO LINE ITEM/S IN INTERNAL CE.</t>
        </is>
      </c>
      <c r="AK2042"/>
    </row>
    <row r="2043" ht="25.5" customHeight="1">
      <c r="A2043" s="2" t="str">
        <f>=HYPERLINK("https://applink.larksuite.com/client/mini_program/open?appId=cli_9c7cc8a9a9edd105&amp;mode=appCenter&amp;path_pc=pc/pages/requested/index?instanceId=7614027812713828063&amp;source=bitable&amp;path=pages/detail/index?instanceId=7614027812713828063&amp;source=bitable", "202603060043")</f>
        <v>202603060043</v>
      </c>
      <c r="B2043" t="inlineStr">
        <is>
          <t>Approved</t>
        </is>
      </c>
      <c r="C2043" t="inlineStr">
        <is>
          <t>Procurement Order</t>
        </is>
      </c>
      <c r="D2043" s="3">
        <v>46087.60875</v>
      </c>
      <c r="E2043" s="3">
        <v>46125.58663194445</v>
      </c>
      <c r="F2043" t="inlineStr">
        <is>
          <t>Fatima Kathleen M. FLores</t>
        </is>
      </c>
      <c r="G2043" t="inlineStr">
        <is>
          <t>Procurement</t>
        </is>
      </c>
      <c r="H2043"/>
      <c r="I2043"/>
      <c r="J2043" t="inlineStr">
        <is>
          <t>Project</t>
        </is>
      </c>
      <c r="K2043" t="inlineStr">
        <is>
          <t>GG - Event Service</t>
        </is>
      </c>
      <c r="L2043" t="inlineStr">
        <is>
          <t>KIC Addendum</t>
        </is>
      </c>
      <c r="M2043" t="inlineStr">
        <is>
          <t>2026TEG-P0003</t>
        </is>
      </c>
      <c r="N2043" t="inlineStr">
        <is>
          <t>Frances Angelita Arreglado</t>
        </is>
      </c>
      <c r="O2043" t="inlineStr">
        <is>
          <t>202602270038-Frances Angelita Arreglado-费用报销 - 副本 - 副本 - 副本-2026-02-27 09:28:06</t>
        </is>
      </c>
      <c r="P2043" t="inlineStr">
        <is>
          <t>NO</t>
        </is>
      </c>
      <c r="Q2043"/>
      <c r="R2043" t="inlineStr">
        <is>
          <t>YES</t>
        </is>
      </c>
      <c r="S2043" t="inlineStr">
        <is>
          <t>Velvet Table Cover (purchase)</t>
        </is>
      </c>
      <c r="T2043">
        <v>1</v>
      </c>
      <c r="U2043">
        <v>1500</v>
      </c>
      <c r="V2043" t="inlineStr">
        <is>
          <t>PHP</t>
        </is>
      </c>
      <c r="W2043">
        <v>1500</v>
      </c>
      <c r="X2043" s="2" t="str">
        <f>=HYPERLINK("https://www.larksuite.com/approval/admin/previewAttachment?key=PMixDUIxDATQle5sx2ezDM2PIprQIEGV2ZEoaF8WkTXo2YimNXiUDJiKJnpZIf3YodQQNfzMve7ifu6Ny-ewz6zzflxrvjhaZpBHeAHg7e-uiOjOwM_jGwAA__8", "1 attachment(s)")</f>
        <v>1 attachment(s)</v>
      </c>
      <c r="Y2043"/>
      <c r="Z2043"/>
      <c r="AA2043"/>
      <c r="AB2043"/>
      <c r="AC2043"/>
      <c r="AD2043" s="4"/>
      <c r="AE2043"/>
      <c r="AF2043" s="2"/>
      <c r="AG2043" t="inlineStr">
        <is>
          <t>NzQyNTk5MTgyNzQ4MTg3MDM0MTozRUEyQTY2RS01NEUwLTRBRDYtOTlFNC1CNjUwNkYzMDhCQzktNTo5MjgxNTUyYzA3ZDEwNTNjYTVmNDg2MGNhOTcyMTgxYTox</t>
        </is>
      </c>
      <c r="AH2043"/>
      <c r="AI2043"/>
      <c r="AJ2043" t="inlineStr">
        <is>
          <t>FOR PARTICULAR 3 ONLY:
LIQUIDITY PLAN (PAR # 202601050114 / 2026TEG-P0003)
PLAYOFFS &gt; PURCHASE &amp; RENTAL &gt;
Stand Fans for VIP/Holding Area
Total Budget = Php 1,900.00
Actual Cost = Php 25,400.00
Balance = (Php 23,500.00) OVER BUDGET
NOTE: FOR THE OTHER OTHER ITEMS, NO LINE ITEM/S IN INTERNAL CE.</t>
        </is>
      </c>
      <c r="AK2043"/>
    </row>
    <row r="2044" ht="25.5" customHeight="1">
      <c r="A2044" s="2" t="str">
        <f>=HYPERLINK("https://applink.larksuite.com/client/mini_program/open?appId=cli_9c7cc8a9a9edd105&amp;mode=appCenter&amp;path_pc=pc/pages/requested/index?instanceId=7615085148740062943&amp;source=bitable&amp;path=pages/detail/index?instanceId=7615085148740062943&amp;source=bitable", "202603090017")</f>
        <v>202603090017</v>
      </c>
      <c r="B2044" t="inlineStr">
        <is>
          <t>Approved</t>
        </is>
      </c>
      <c r="C2044" t="inlineStr">
        <is>
          <t>Procurement Order</t>
        </is>
      </c>
      <c r="D2044" s="3">
        <v>46090.45805555556</v>
      </c>
      <c r="E2044" s="3">
        <v>46106.469988425924</v>
      </c>
      <c r="F2044" t="inlineStr">
        <is>
          <t>Fatima Kathleen M. FLores</t>
        </is>
      </c>
      <c r="G2044" t="inlineStr">
        <is>
          <t>Procurement</t>
        </is>
      </c>
      <c r="H2044"/>
      <c r="I2044"/>
      <c r="J2044" t="inlineStr">
        <is>
          <t>Project</t>
        </is>
      </c>
      <c r="K2044" t="inlineStr">
        <is>
          <t>PDEI - Game Marketing</t>
        </is>
      </c>
      <c r="L2044" t="inlineStr">
        <is>
          <t>SM Cyberzone Trading Card Game (TCG) Activations</t>
        </is>
      </c>
      <c r="M2044" t="inlineStr">
        <is>
          <t>2025TEG-P0278</t>
        </is>
      </c>
      <c r="N2044" t="inlineStr">
        <is>
          <t>Alessandra Mae Villanueva Boado</t>
        </is>
      </c>
      <c r="O2044" t="inlineStr">
        <is>
          <t>202602240004-Alessandra Mae Villanueva Boado-费用报销 - 副本 - 副本 - 副本-2026-02-24 02:25:58</t>
        </is>
      </c>
      <c r="P2044" t="inlineStr">
        <is>
          <t>YES</t>
        </is>
      </c>
      <c r="Q2044"/>
      <c r="R2044" t="inlineStr">
        <is>
          <t>YES</t>
        </is>
      </c>
      <c r="S2044" t="inlineStr">
        <is>
          <t>Outsourced Caster (Manjean)</t>
        </is>
      </c>
      <c r="T2044">
        <v>1</v>
      </c>
      <c r="U2044">
        <v>22300</v>
      </c>
      <c r="V2044" t="inlineStr">
        <is>
          <t>PHP</t>
        </is>
      </c>
      <c r="W2044">
        <v>22300</v>
      </c>
      <c r="X2044" s="2" t="str">
        <f>=HYPERLINK("https://www.larksuite.com/approval/admin/previewAttachment?key=PMgxrgIxDATQK43tiSf-l_lNVhFitTQoiCZnR6KgfdkN2ZtFFljmBdtKa-jN2EUgvRjbt0kFmVrs45r_Y-k91rrOue7nw_frNubxtFZyh4KMDsD-fh4iWZXE1_EJAAD__w", "2 attachment(s)")</f>
        <v>2 attachment(s)</v>
      </c>
      <c r="Y2044" t="inlineStr">
        <is>
          <t>Bank Transfer</t>
        </is>
      </c>
      <c r="Z2044" t="inlineStr">
        <is>
          <t>Manjean F. Faldas</t>
        </is>
      </c>
      <c r="AA2044" t="inlineStr">
        <is>
          <t>6086272286</t>
        </is>
      </c>
      <c r="AB2044" t="inlineStr">
        <is>
          <t>BPI</t>
        </is>
      </c>
      <c r="AC2044" t="inlineStr">
        <is>
          <t>257 - 259 Galvez Building Unit 317 A. Arnaiz St. Pasay City</t>
        </is>
      </c>
      <c r="AD2044" s="4">
        <v>46108</v>
      </c>
      <c r="AE2044" t="inlineStr">
        <is>
          <t>1st Payment - Mar. 27, 2026
Final Payment - Apr. 10, 2026</t>
        </is>
      </c>
      <c r="AF2044" s="2"/>
      <c r="AG2044" t="inlineStr">
        <is>
          <t>NzQyNTk5MTgyNzQ4MTg3MDM0MTo0QTI0NzkyQi02QUQwLTQwN0EtQThGNi02NjQwNTk4NEE1NTgtMToxNmMwZTJjNzQyMjZhOGJkNTQ4ZmFlMjZjODMzOTQyODox</t>
        </is>
      </c>
      <c r="AH2044" t="inlineStr">
        <is>
          <t>Manjean F. Faldas</t>
        </is>
      </c>
      <c r="AI2044"/>
      <c r="AJ2044" t="inlineStr">
        <is>
          <t>LIQUIDITY PLAN (PAR # 202602090082 / 2025TEG-P0278)
SM North EDSA &gt; Manjean - ML
Total Budget = Php 16,666.67
Actual Cost = Php 22,300.00
Balance = (Php 5,633.33) OVER BUDGET</t>
        </is>
      </c>
      <c r="AK2044"/>
    </row>
    <row r="2045" ht="25.5" customHeight="1">
      <c r="A2045" s="2" t="str">
        <f>=HYPERLINK("https://applink.larksuite.com/client/mini_program/open?appId=cli_9c7cc8a9a9edd105&amp;mode=appCenter&amp;path_pc=pc/pages/requested/index?instanceId=7615553265572302557&amp;source=bitable&amp;path=pages/detail/index?instanceId=7615553265572302557&amp;source=bitable", "202603100094")</f>
        <v>202603100094</v>
      </c>
      <c r="B2045" t="inlineStr">
        <is>
          <t>Approved</t>
        </is>
      </c>
      <c r="C2045" t="inlineStr">
        <is>
          <t>Procurement Order</t>
        </is>
      </c>
      <c r="D2045" s="3">
        <v>46091.71954861111</v>
      </c>
      <c r="E2045" s="3">
        <v>46092.61751157408</v>
      </c>
      <c r="F2045" t="inlineStr">
        <is>
          <t>Fatima Kathleen M. FLores</t>
        </is>
      </c>
      <c r="G2045" t="inlineStr">
        <is>
          <t>Procurement</t>
        </is>
      </c>
      <c r="H2045"/>
      <c r="I2045"/>
      <c r="J2045" t="inlineStr">
        <is>
          <t>Project</t>
        </is>
      </c>
      <c r="K2045" t="inlineStr">
        <is>
          <t>GG - Event Service</t>
        </is>
      </c>
      <c r="L2045" t="inlineStr">
        <is>
          <t>HOK Philippine Kings League - Fall Season</t>
        </is>
      </c>
      <c r="M2045" t="inlineStr">
        <is>
          <t>2025TEG-P0219</t>
        </is>
      </c>
      <c r="N2045" t="inlineStr">
        <is>
          <t>Frances Angelita Arreglado</t>
        </is>
      </c>
      <c r="O2045" t="inlineStr">
        <is>
          <t>202601190027-Frances Angelita Arreglado-费用报销 - 副本 - 副本 - 副本-2026-01-19 04:22:33</t>
        </is>
      </c>
      <c r="P2045" t="inlineStr">
        <is>
          <t>NO</t>
        </is>
      </c>
      <c r="Q2045"/>
      <c r="R2045" t="inlineStr">
        <is>
          <t>NO</t>
        </is>
      </c>
      <c r="S2045" t="inlineStr">
        <is>
          <t>LED Rental (w/ Logistics/Delivery &amp; Manpower) - Regular Season</t>
        </is>
      </c>
      <c r="T2045">
        <v>1</v>
      </c>
      <c r="U2045">
        <v>944844.32</v>
      </c>
      <c r="V2045" t="inlineStr">
        <is>
          <t>PHP</t>
        </is>
      </c>
      <c r="W2045">
        <v>944844.32</v>
      </c>
      <c r="X2045" s="2" t="str">
        <f>=HYPERLINK("https://www.larksuite.com/approval/admin/previewAttachment?key=PMg5CgJBEAXQK_1af5eXMZlhEFwQxMYO6uyCgenLIcgRYlnwEi1IMyUiTDOCatAItraQBQrDer8f5zXXtvSNz_Nxu8rsedmO_SVRVAXN3QYAOf3d6O5V6fg5vgEAAP__", "2 attachment(s)")</f>
        <v>2 attachment(s)</v>
      </c>
      <c r="Y2045" t="inlineStr">
        <is>
          <t>Bank Transfer</t>
        </is>
      </c>
      <c r="Z2045" t="inlineStr">
        <is>
          <t>APEX FRANCHISE VENTURES OPC.</t>
        </is>
      </c>
      <c r="AA2045" t="inlineStr">
        <is>
          <t>001620006872</t>
        </is>
      </c>
      <c r="AB2045" t="inlineStr">
        <is>
          <t>UnionBank of the Philippines</t>
        </is>
      </c>
      <c r="AC2045" t="inlineStr">
        <is>
          <t>9th Floor Santolan Town Plaza 276 Santolan Road Little Baguio 1500 City of San Juan</t>
        </is>
      </c>
      <c r="AD2045" s="4">
        <v>46094</v>
      </c>
      <c r="AE2045" t="inlineStr">
        <is>
          <t>100% Full Payment</t>
        </is>
      </c>
      <c r="AF2045" s="2"/>
      <c r="AG2045" t="inlineStr">
        <is>
          <t>NzQyNTk5MTgyNzQ4MTg3MDM0MTo2MjUxOTA1OS1EM0M3LTQ5MDktQkUwNi0yRjNCN0E2QjVGQUQtMToxMDJjMTM2MzFjYWFmYzllZjVmOTFiNTg4ODdjZGQwYzox</t>
        </is>
      </c>
      <c r="AH2045" t="inlineStr">
        <is>
          <t>APEX FRANCHISE VENTURES OPC.</t>
        </is>
      </c>
      <c r="AI2045"/>
      <c r="AJ2045" t="inlineStr">
        <is>
          <t>LIQUIDITY PLAN (PAR # 202508190134 / 2025TEG-P0219)
INTERNAL 0820 COST ESTIMATE &gt; 
REGULAR SEASON &gt; Venue &amp; Stage &gt;
TECHNICALS
PLAYOFFS &gt; Venue &amp; Stage &gt;
TECHNICALS
Total Budget = Php 3,770,000.00
Actual Cost = Php 3,602,688.68
Balance = Php 167,311.32</t>
        </is>
      </c>
      <c r="AK2045"/>
    </row>
    <row r="2046" ht="25.5" customHeight="1">
      <c r="A2046" s="2" t="str">
        <f>=HYPERLINK("https://applink.larksuite.com/client/mini_program/open?appId=cli_9c7cc8a9a9edd105&amp;mode=appCenter&amp;path_pc=pc/pages/requested/index?instanceId=7615553265572302557&amp;source=bitable&amp;path=pages/detail/index?instanceId=7615553265572302557&amp;source=bitable", "202603100094")</f>
        <v>202603100094</v>
      </c>
      <c r="B2046" t="inlineStr">
        <is>
          <t>Approved</t>
        </is>
      </c>
      <c r="C2046" t="inlineStr">
        <is>
          <t>Procurement Order</t>
        </is>
      </c>
      <c r="D2046" s="3">
        <v>46091.71954861111</v>
      </c>
      <c r="E2046" s="3">
        <v>46092.61751157408</v>
      </c>
      <c r="F2046" t="inlineStr">
        <is>
          <t>Fatima Kathleen M. FLores</t>
        </is>
      </c>
      <c r="G2046" t="inlineStr">
        <is>
          <t>Procurement</t>
        </is>
      </c>
      <c r="H2046"/>
      <c r="I2046"/>
      <c r="J2046" t="inlineStr">
        <is>
          <t>Project</t>
        </is>
      </c>
      <c r="K2046" t="inlineStr">
        <is>
          <t>GG - Event Service</t>
        </is>
      </c>
      <c r="L2046" t="inlineStr">
        <is>
          <t>HOK Philippine Kings League - Fall Season</t>
        </is>
      </c>
      <c r="M2046" t="inlineStr">
        <is>
          <t>2025TEG-P0219</t>
        </is>
      </c>
      <c r="N2046" t="inlineStr">
        <is>
          <t>Frances Angelita Arreglado</t>
        </is>
      </c>
      <c r="O2046" t="inlineStr">
        <is>
          <t>202601190027-Frances Angelita Arreglado-费用报销 - 副本 - 副本 - 副本-2026-01-19 04:22:33</t>
        </is>
      </c>
      <c r="P2046" t="inlineStr">
        <is>
          <t>NO</t>
        </is>
      </c>
      <c r="Q2046"/>
      <c r="R2046" t="inlineStr">
        <is>
          <t>NO</t>
        </is>
      </c>
      <c r="S2046" t="inlineStr">
        <is>
          <t>LED Rental (w/ Logistics/Delivery &amp; Manpower) - Playoffs</t>
        </is>
      </c>
      <c r="T2046">
        <v>1</v>
      </c>
      <c r="U2046">
        <v>852444.36</v>
      </c>
      <c r="V2046" t="inlineStr">
        <is>
          <t>PHP</t>
        </is>
      </c>
      <c r="W2046">
        <v>852444.36</v>
      </c>
      <c r="X2046" s="2" t="str">
        <f>=HYPERLINK("https://www.larksuite.com/approval/admin/previewAttachment?key=PMg5CgJBEAXQK_1fa5eXMZlhEFwQxMYO6uyCgemLQcRwahSsKAV2Bt1dJdxTFOKeLc3MQjJde78f5zXXtuSNz_Nxu3L2vGzH_qJXiiDVTAcAnv6uaWZVYfg5vwEAAP__", "1 attachment(s)")</f>
        <v>1 attachment(s)</v>
      </c>
      <c r="Y2046"/>
      <c r="Z2046"/>
      <c r="AA2046"/>
      <c r="AB2046"/>
      <c r="AC2046"/>
      <c r="AD2046" s="4"/>
      <c r="AE2046"/>
      <c r="AF2046" s="2"/>
      <c r="AG2046" t="inlineStr">
        <is>
          <t>NzQyNTk5MTgyNzQ4MTg3MDM0MTo2MjUxOTA1OS1EM0M3LTQ5MDktQkUwNi0yRjNCN0E2QjVGQUQtMjo5YmNjNTI4ZTE0NmJhODNiMGU4NDg0OGEzYWU3NWM2MDox</t>
        </is>
      </c>
      <c r="AH2046"/>
      <c r="AI2046"/>
      <c r="AJ2046" t="inlineStr">
        <is>
          <t>LIQUIDITY PLAN (PAR # 202508190134 / 2025TEG-P0219)
INTERNAL 0820 COST ESTIMATE &gt; 
REGULAR SEASON &gt; Venue &amp; Stage &gt;
TECHNICALS
PLAYOFFS &gt; Venue &amp; Stage &gt;
TECHNICALS
Total Budget = Php 3,770,000.00
Actual Cost = Php 3,602,688.68
Balance = Php 167,311.32</t>
        </is>
      </c>
      <c r="AK2046"/>
    </row>
    <row r="2047" ht="25.5" customHeight="1">
      <c r="A2047" s="2" t="str">
        <f>=HYPERLINK("https://applink.larksuite.com/client/mini_program/open?appId=cli_9c7cc8a9a9edd105&amp;mode=appCenter&amp;path_pc=pc/pages/requested/index?instanceId=7615553265572302557&amp;source=bitable&amp;path=pages/detail/index?instanceId=7615553265572302557&amp;source=bitable", "202603100094")</f>
        <v>202603100094</v>
      </c>
      <c r="B2047" t="inlineStr">
        <is>
          <t>Approved</t>
        </is>
      </c>
      <c r="C2047" t="inlineStr">
        <is>
          <t>Procurement Order</t>
        </is>
      </c>
      <c r="D2047" s="3">
        <v>46091.71954861111</v>
      </c>
      <c r="E2047" s="3">
        <v>46092.61751157408</v>
      </c>
      <c r="F2047" t="inlineStr">
        <is>
          <t>Fatima Kathleen M. FLores</t>
        </is>
      </c>
      <c r="G2047" t="inlineStr">
        <is>
          <t>Procurement</t>
        </is>
      </c>
      <c r="H2047"/>
      <c r="I2047"/>
      <c r="J2047" t="inlineStr">
        <is>
          <t>Project</t>
        </is>
      </c>
      <c r="K2047" t="inlineStr">
        <is>
          <t>GG - Event Service</t>
        </is>
      </c>
      <c r="L2047" t="inlineStr">
        <is>
          <t>HOK Philippine Kings League - Fall Season</t>
        </is>
      </c>
      <c r="M2047" t="inlineStr">
        <is>
          <t>2025TEG-P0219</t>
        </is>
      </c>
      <c r="N2047" t="inlineStr">
        <is>
          <t>Frances Angelita Arreglado</t>
        </is>
      </c>
      <c r="O2047" t="inlineStr">
        <is>
          <t>202601190027-Frances Angelita Arreglado-费用报销 - 副本 - 副本 - 副本-2026-01-19 04:22:33</t>
        </is>
      </c>
      <c r="P2047" t="inlineStr">
        <is>
          <t>NO</t>
        </is>
      </c>
      <c r="Q2047"/>
      <c r="R2047" t="inlineStr">
        <is>
          <t>NO</t>
        </is>
      </c>
      <c r="S2047" t="inlineStr">
        <is>
          <t>Outsourced Technical Services (Lights, Sounds &amp; Genset)</t>
        </is>
      </c>
      <c r="T2047">
        <v>1</v>
      </c>
      <c r="U2047">
        <v>1805400</v>
      </c>
      <c r="V2047" t="inlineStr">
        <is>
          <t>PHP</t>
        </is>
      </c>
      <c r="W2047">
        <v>1805400</v>
      </c>
      <c r="X2047" s="2" t="str">
        <f>=HYPERLINK("https://www.larksuite.com/approval/admin/previewAttachment?key=PMg5CgJBEAXQK_1af5eXMZlhEFwQxMYO6uyCgenLIcgRYlnwEi1IMyUiTDOCatAItraQBQrDer8f5zXXtvSNz_Nxu8rsedmO_SVRVAXN3QYAOf3d6O5V6fi5fgMAAP__", "1 attachment(s)")</f>
        <v>1 attachment(s)</v>
      </c>
      <c r="Y2047"/>
      <c r="Z2047"/>
      <c r="AA2047"/>
      <c r="AB2047"/>
      <c r="AC2047"/>
      <c r="AD2047" s="4"/>
      <c r="AE2047"/>
      <c r="AF2047" s="2"/>
      <c r="AG2047" t="inlineStr">
        <is>
          <t>NzQyNTk5MTgyNzQ4MTg3MDM0MTo2MjUxOTA1OS1EM0M3LTQ5MDktQkUwNi0yRjNCN0E2QjVGQUQtMzo0NGFjNjQxMjZkNTA5ZDkyNmMzZjJmOTRiMWMyMDFlMDox</t>
        </is>
      </c>
      <c r="AH2047"/>
      <c r="AI2047"/>
      <c r="AJ2047" t="inlineStr">
        <is>
          <t>LIQUIDITY PLAN (PAR # 202508190134 / 2025TEG-P0219)
INTERNAL 0820 COST ESTIMATE &gt; 
REGULAR SEASON &gt; Venue &amp; Stage &gt;
TECHNICALS
PLAYOFFS &gt; Venue &amp; Stage &gt;
TECHNICALS
Total Budget = Php 3,770,000.00
Actual Cost = Php 3,602,688.68
Balance = Php 167,311.32</t>
        </is>
      </c>
      <c r="AK2047"/>
    </row>
    <row r="2048" ht="25.5" customHeight="1">
      <c r="A2048" s="2" t="str">
        <f>=HYPERLINK("https://applink.larksuite.com/client/mini_program/open?appId=cli_9c7cc8a9a9edd105&amp;mode=appCenter&amp;path_pc=pc/pages/requested/index?instanceId=7615546318944997087&amp;source=bitable&amp;path=pages/detail/index?instanceId=7615546318944997087&amp;source=bitable", "202603100088")</f>
        <v>202603100088</v>
      </c>
      <c r="B2048" t="inlineStr">
        <is>
          <t>Approved</t>
        </is>
      </c>
      <c r="C2048" t="inlineStr">
        <is>
          <t>Procurement Order</t>
        </is>
      </c>
      <c r="D2048" s="3">
        <v>46091.70082175926</v>
      </c>
      <c r="E2048" s="3">
        <v>46092.62322916667</v>
      </c>
      <c r="F2048" t="inlineStr">
        <is>
          <t>Fatima Kathleen M. FLores</t>
        </is>
      </c>
      <c r="G2048" t="inlineStr">
        <is>
          <t>Procurement</t>
        </is>
      </c>
      <c r="H2048"/>
      <c r="I2048"/>
      <c r="J2048" t="inlineStr">
        <is>
          <t>Project</t>
        </is>
      </c>
      <c r="K2048" t="inlineStr">
        <is>
          <t>GG - Event Service</t>
        </is>
      </c>
      <c r="L2048" t="inlineStr">
        <is>
          <t>KIC 2025 - Playoffs</t>
        </is>
      </c>
      <c r="M2048" t="inlineStr">
        <is>
          <t>2025TEG-P0321</t>
        </is>
      </c>
      <c r="N2048" t="inlineStr">
        <is>
          <t>Frances Angelita Arreglado</t>
        </is>
      </c>
      <c r="O2048" t="inlineStr">
        <is>
          <t>202601190061-Frances Angelita Arreglado-费用报销 - 副本 - 副本 - 副本-2026-01-19 06:22:04</t>
        </is>
      </c>
      <c r="P2048" t="inlineStr">
        <is>
          <t>NO</t>
        </is>
      </c>
      <c r="Q2048"/>
      <c r="R2048" t="inlineStr">
        <is>
          <t>NO</t>
        </is>
      </c>
      <c r="S2048" t="inlineStr">
        <is>
          <t>Outsourced Technical Services (Lights, Sounds &amp; Genset)</t>
        </is>
      </c>
      <c r="T2048">
        <v>1</v>
      </c>
      <c r="U2048">
        <v>4900000</v>
      </c>
      <c r="V2048" t="inlineStr">
        <is>
          <t>PHP</t>
        </is>
      </c>
      <c r="W2048">
        <v>4900000</v>
      </c>
      <c r="X2048" s="2"/>
      <c r="Y2048" t="inlineStr">
        <is>
          <t>Bank Transfer</t>
        </is>
      </c>
      <c r="Z2048" t="inlineStr">
        <is>
          <t>APEX FRANCHISE VENTURES OPC.</t>
        </is>
      </c>
      <c r="AA2048" t="inlineStr">
        <is>
          <t>001620006872</t>
        </is>
      </c>
      <c r="AB2048" t="inlineStr">
        <is>
          <t>Unionbank</t>
        </is>
      </c>
      <c r="AC2048" t="inlineStr">
        <is>
          <t>9th Floor Santolan Town Plaza 276 Santolan Road Little Baguio 1500 City of San Juan</t>
        </is>
      </c>
      <c r="AD2048" s="4">
        <v>46094</v>
      </c>
      <c r="AE2048" t="inlineStr">
        <is>
          <t>100% Full Payment</t>
        </is>
      </c>
      <c r="AF2048" s="2"/>
      <c r="AG2048" t="inlineStr">
        <is>
          <t>NzQyNTk5MTgyNzQ4MTg3MDM0MTo0QjcxNEE3Ni04QjFCLTQ0MEItODU5My04QzcyN0NEMEY0MDUtMTozZmI2MWExZmQ0MzAwNDBkMDYxNDgzYTRlMTIxMGYyMTox</t>
        </is>
      </c>
      <c r="AH2048" t="inlineStr">
        <is>
          <t>APEX FRANCHISE VENTURES OPC.</t>
        </is>
      </c>
      <c r="AI2048"/>
      <c r="AJ2048" t="inlineStr">
        <is>
          <t>LIQUIDITY PLAN (PAR # 202511200098 / 2025TEG-P0321)
TECHNICALS &gt;
LED &amp; Truss
Lights
Sound System
Electricity
Total Budget = Php 6,284,000.00
Actual Cost = Php 6,197,016.00
Balance = Php 86,984.00</t>
        </is>
      </c>
      <c r="AK2048"/>
    </row>
    <row r="2049" ht="25.5" customHeight="1">
      <c r="A2049" s="2" t="str">
        <f>=HYPERLINK("https://applink.larksuite.com/client/mini_program/open?appId=cli_9c7cc8a9a9edd105&amp;mode=appCenter&amp;path_pc=pc/pages/requested/index?instanceId=7615546318944997087&amp;source=bitable&amp;path=pages/detail/index?instanceId=7615546318944997087&amp;source=bitable", "202603100088")</f>
        <v>202603100088</v>
      </c>
      <c r="B2049" t="inlineStr">
        <is>
          <t>Approved</t>
        </is>
      </c>
      <c r="C2049" t="inlineStr">
        <is>
          <t>Procurement Order</t>
        </is>
      </c>
      <c r="D2049" s="3">
        <v>46091.70082175926</v>
      </c>
      <c r="E2049" s="3">
        <v>46092.62322916667</v>
      </c>
      <c r="F2049" t="inlineStr">
        <is>
          <t>Fatima Kathleen M. FLores</t>
        </is>
      </c>
      <c r="G2049" t="inlineStr">
        <is>
          <t>Procurement</t>
        </is>
      </c>
      <c r="H2049"/>
      <c r="I2049"/>
      <c r="J2049" t="inlineStr">
        <is>
          <t>Project</t>
        </is>
      </c>
      <c r="K2049" t="inlineStr">
        <is>
          <t>GG - Event Service</t>
        </is>
      </c>
      <c r="L2049" t="inlineStr">
        <is>
          <t>KIC 2025 - Playoffs</t>
        </is>
      </c>
      <c r="M2049" t="inlineStr">
        <is>
          <t>2025TEG-P0321</t>
        </is>
      </c>
      <c r="N2049" t="inlineStr">
        <is>
          <t>Frances Angelita Arreglado</t>
        </is>
      </c>
      <c r="O2049" t="inlineStr">
        <is>
          <t>202601190061-Frances Angelita Arreglado-费用报销 - 副本 - 副本 - 副本-2026-01-19 06:22:04</t>
        </is>
      </c>
      <c r="P2049" t="inlineStr">
        <is>
          <t>NO</t>
        </is>
      </c>
      <c r="Q2049"/>
      <c r="R2049" t="inlineStr">
        <is>
          <t>NO</t>
        </is>
      </c>
      <c r="S2049" t="inlineStr">
        <is>
          <t>LED Rental (w/ Storage &amp; Electrical Installation)</t>
        </is>
      </c>
      <c r="T2049">
        <v>1</v>
      </c>
      <c r="U2049">
        <v>1003016</v>
      </c>
      <c r="V2049" t="inlineStr">
        <is>
          <t>PHP</t>
        </is>
      </c>
      <c r="W2049">
        <v>1003016</v>
      </c>
      <c r="X2049" s="2"/>
      <c r="Y2049"/>
      <c r="Z2049"/>
      <c r="AA2049"/>
      <c r="AB2049"/>
      <c r="AC2049"/>
      <c r="AD2049" s="4"/>
      <c r="AE2049"/>
      <c r="AF2049" s="2"/>
      <c r="AG2049" t="inlineStr">
        <is>
          <t>NzQyNTk5MTgyNzQ4MTg3MDM0MTo0QjcxNEE3Ni04QjFCLTQ0MEItODU5My04QzcyN0NEMEY0MDUtMjo0YTM0OTAxNzJjZDJiNjY1YjEzYWIxNTJjNzdmNjVmMDox</t>
        </is>
      </c>
      <c r="AH2049"/>
      <c r="AI2049"/>
      <c r="AJ2049" t="inlineStr">
        <is>
          <t>LIQUIDITY PLAN (PAR # 202511200098 / 2025TEG-P0321)
TECHNICALS &gt;
LED &amp; Truss
Lights
Sound System
Electricity
Total Budget = Php 6,284,000.00
Actual Cost = Php 6,197,016.00
Balance = Php 86,984.00</t>
        </is>
      </c>
      <c r="AK2049"/>
    </row>
    <row r="2050" ht="25.5" customHeight="1">
      <c r="A2050" s="2" t="str">
        <f>=HYPERLINK("https://applink.larksuite.com/client/mini_program/open?appId=cli_9c7cc8a9a9edd105&amp;mode=appCenter&amp;path_pc=pc/pages/requested/index?instanceId=7615546318944997087&amp;source=bitable&amp;path=pages/detail/index?instanceId=7615546318944997087&amp;source=bitable", "202603100088")</f>
        <v>202603100088</v>
      </c>
      <c r="B2050" t="inlineStr">
        <is>
          <t>Approved</t>
        </is>
      </c>
      <c r="C2050" t="inlineStr">
        <is>
          <t>Procurement Order</t>
        </is>
      </c>
      <c r="D2050" s="3">
        <v>46091.70082175926</v>
      </c>
      <c r="E2050" s="3">
        <v>46092.62322916667</v>
      </c>
      <c r="F2050" t="inlineStr">
        <is>
          <t>Fatima Kathleen M. FLores</t>
        </is>
      </c>
      <c r="G2050" t="inlineStr">
        <is>
          <t>Procurement</t>
        </is>
      </c>
      <c r="H2050"/>
      <c r="I2050"/>
      <c r="J2050" t="inlineStr">
        <is>
          <t>Project</t>
        </is>
      </c>
      <c r="K2050" t="inlineStr">
        <is>
          <t>GG - Event Service</t>
        </is>
      </c>
      <c r="L2050" t="inlineStr">
        <is>
          <t>KIC 2025 - Playoffs</t>
        </is>
      </c>
      <c r="M2050" t="inlineStr">
        <is>
          <t>2025TEG-P0321</t>
        </is>
      </c>
      <c r="N2050" t="inlineStr">
        <is>
          <t>Frances Angelita Arreglado</t>
        </is>
      </c>
      <c r="O2050" t="inlineStr">
        <is>
          <t>202601190061-Frances Angelita Arreglado-费用报销 - 副本 - 副本 - 副本-2026-01-19 06:22:04</t>
        </is>
      </c>
      <c r="P2050" t="inlineStr">
        <is>
          <t>NO</t>
        </is>
      </c>
      <c r="Q2050"/>
      <c r="R2050" t="inlineStr">
        <is>
          <t>NO</t>
        </is>
      </c>
      <c r="S2050" t="inlineStr">
        <is>
          <t>LED Cube Rental</t>
        </is>
      </c>
      <c r="T2050">
        <v>1</v>
      </c>
      <c r="U2050">
        <v>294000</v>
      </c>
      <c r="V2050" t="inlineStr">
        <is>
          <t>PHP</t>
        </is>
      </c>
      <c r="W2050">
        <v>294000</v>
      </c>
      <c r="X2050" s="2" t="str">
        <f>=HYPERLINK("https://www.larksuite.com/approval/admin/previewAttachment?key=PMw9CoIxEATQK83-TtbL2CQEQazEdHt20eJrX_FyCHKEWBa8RAvSTInwNBnlXkUMtraQBQrDer32XQ8mPmExF89z93nMvd4SRVXQ3G0AkNvlRv9t6fi7fgMAAP__", "4 attachment(s)")</f>
        <v>4 attachment(s)</v>
      </c>
      <c r="Y2050"/>
      <c r="Z2050"/>
      <c r="AA2050"/>
      <c r="AB2050"/>
      <c r="AC2050"/>
      <c r="AD2050" s="4"/>
      <c r="AE2050"/>
      <c r="AF2050" s="2"/>
      <c r="AG2050" t="inlineStr">
        <is>
          <t>NzQyNTk5MTgyNzQ4MTg3MDM0MTo0QjcxNEE3Ni04QjFCLTQ0MEItODU5My04QzcyN0NEMEY0MDUtMzphMDA4Y2RjY2ZmMTYzNzZkYzY5MGE2YWFhNThhNTUzMzox</t>
        </is>
      </c>
      <c r="AH2050"/>
      <c r="AI2050"/>
      <c r="AJ2050" t="inlineStr">
        <is>
          <t>LIQUIDITY PLAN (PAR # 202511200098 / 2025TEG-P0321)
TECHNICALS &gt;
LED &amp; Truss
Lights
Sound System
Electricity
Total Budget = Php 6,284,000.00
Actual Cost = Php 6,197,016.00
Balance = Php 86,984.00</t>
        </is>
      </c>
      <c r="AK2050"/>
    </row>
    <row r="2051" ht="25.5" customHeight="1">
      <c r="A2051" s="2" t="str">
        <f>=HYPERLINK("https://applink.larksuite.com/client/mini_program/open?appId=cli_9c7cc8a9a9edd105&amp;mode=appCenter&amp;path_pc=pc/pages/requested/index?instanceId=7615560073535835873&amp;source=bitable&amp;path=pages/detail/index?instanceId=7615560073535835873&amp;source=bitable", "202603100103")</f>
        <v>202603100103</v>
      </c>
      <c r="B2051" t="inlineStr">
        <is>
          <t>Approved</t>
        </is>
      </c>
      <c r="C2051" t="inlineStr">
        <is>
          <t>Procurement Order</t>
        </is>
      </c>
      <c r="D2051" s="3">
        <v>46091.73788194444</v>
      </c>
      <c r="E2051" s="3">
        <v>46092.63418981482</v>
      </c>
      <c r="F2051" t="inlineStr">
        <is>
          <t>Fatima Kathleen M. FLores</t>
        </is>
      </c>
      <c r="G2051" t="inlineStr">
        <is>
          <t>Procurement</t>
        </is>
      </c>
      <c r="H2051"/>
      <c r="I2051"/>
      <c r="J2051" t="inlineStr">
        <is>
          <t>Project</t>
        </is>
      </c>
      <c r="K2051" t="inlineStr">
        <is>
          <t>PDEI - Event Service</t>
        </is>
      </c>
      <c r="L2051" t="inlineStr">
        <is>
          <t>GTCC September Arena</t>
        </is>
      </c>
      <c r="M2051" t="inlineStr">
        <is>
          <t>2025TEG-P0236</t>
        </is>
      </c>
      <c r="N2051" t="inlineStr">
        <is>
          <t>Frances Angelita Arreglado</t>
        </is>
      </c>
      <c r="O2051" t="inlineStr">
        <is>
          <t>202601190018-Frances Angelita Arreglado-费用报销 - 副本 - 副本 - 副本-2026-01-19 03:39:13</t>
        </is>
      </c>
      <c r="P2051" t="inlineStr">
        <is>
          <t>NO</t>
        </is>
      </c>
      <c r="Q2051"/>
      <c r="R2051" t="inlineStr">
        <is>
          <t>NO</t>
        </is>
      </c>
      <c r="S2051" t="inlineStr">
        <is>
          <t>Outsourced Technical Services (Lights, Sounds &amp; Genset)</t>
        </is>
      </c>
      <c r="T2051">
        <v>1</v>
      </c>
      <c r="U2051">
        <v>1500000</v>
      </c>
      <c r="V2051" t="inlineStr">
        <is>
          <t>PHP</t>
        </is>
      </c>
      <c r="W2051">
        <v>1500000</v>
      </c>
      <c r="X2051" s="2" t="str">
        <f>=HYPERLINK("https://www.larksuite.com/approval/admin/previewAttachment?key=PMghDgMxDATAL62zttfuZ0ouikoOVQrL2ysVHJ0sQ1YYs-Fto2FHaREJiMEoRolnHJMaMgXPvNd7bFww6nbsmuvsz7Xm16I1BkR3FgB7PU65e3c6_o5fAAAA__8", "2 attachment(s)")</f>
        <v>2 attachment(s)</v>
      </c>
      <c r="Y2051" t="inlineStr">
        <is>
          <t>Bank Transfer</t>
        </is>
      </c>
      <c r="Z2051" t="inlineStr">
        <is>
          <t>APEX FRANCHISE VENTURES OPC.</t>
        </is>
      </c>
      <c r="AA2051" t="inlineStr">
        <is>
          <t>001620006872</t>
        </is>
      </c>
      <c r="AB2051" t="inlineStr">
        <is>
          <t>Unionbank</t>
        </is>
      </c>
      <c r="AC2051" t="inlineStr">
        <is>
          <t>9th Floor Santolan Town Plaza 276 Santolan Road Little Baguio 1500 City of San Juan</t>
        </is>
      </c>
      <c r="AD2051" s="4">
        <v>46094</v>
      </c>
      <c r="AE2051" t="inlineStr">
        <is>
          <t>100% Full Payment</t>
        </is>
      </c>
      <c r="AF2051" s="2"/>
      <c r="AG2051" t="inlineStr">
        <is>
          <t>NzQyNTk5MTgyNzQ4MTg3MDM0MTozRjYzMzM4RS0xMDIwLTRGRkEtQjBCOC04Q0M1MDMwRDM0MDItMTplZTUyNzRlMTE2NmFkNjkwYWRmOTllODliODUwMzhkZjox</t>
        </is>
      </c>
      <c r="AH2051" t="inlineStr">
        <is>
          <t>APEX FRANCHISE VENTURES OPC.</t>
        </is>
      </c>
      <c r="AI2051"/>
      <c r="AJ2051" t="inlineStr">
        <is>
          <t>LIQUIDITY PLAN (PAR # 202508110059 / 2025TEG-P0236)
FINAL 911 - CE INTERNAL &gt; STAGE TECHNICALS 
Total Budget = Php 2,145,500.00
Actual Cost = Php 2,137,127.68
Balance = Php 8,372.32</t>
        </is>
      </c>
      <c r="AK2051"/>
    </row>
    <row r="2052" ht="25.5" customHeight="1">
      <c r="A2052" s="2" t="str">
        <f>=HYPERLINK("https://applink.larksuite.com/client/mini_program/open?appId=cli_9c7cc8a9a9edd105&amp;mode=appCenter&amp;path_pc=pc/pages/requested/index?instanceId=7615560073535835873&amp;source=bitable&amp;path=pages/detail/index?instanceId=7615560073535835873&amp;source=bitable", "202603100103")</f>
        <v>202603100103</v>
      </c>
      <c r="B2052" t="inlineStr">
        <is>
          <t>Approved</t>
        </is>
      </c>
      <c r="C2052" t="inlineStr">
        <is>
          <t>Procurement Order</t>
        </is>
      </c>
      <c r="D2052" s="3">
        <v>46091.73788194444</v>
      </c>
      <c r="E2052" s="3">
        <v>46092.63418981482</v>
      </c>
      <c r="F2052" t="inlineStr">
        <is>
          <t>Fatima Kathleen M. FLores</t>
        </is>
      </c>
      <c r="G2052" t="inlineStr">
        <is>
          <t>Procurement</t>
        </is>
      </c>
      <c r="H2052"/>
      <c r="I2052"/>
      <c r="J2052" t="inlineStr">
        <is>
          <t>Project</t>
        </is>
      </c>
      <c r="K2052" t="inlineStr">
        <is>
          <t>PDEI - Event Service</t>
        </is>
      </c>
      <c r="L2052" t="inlineStr">
        <is>
          <t>GTCC September Arena</t>
        </is>
      </c>
      <c r="M2052" t="inlineStr">
        <is>
          <t>2025TEG-P0236</t>
        </is>
      </c>
      <c r="N2052" t="inlineStr">
        <is>
          <t>Frances Angelita Arreglado</t>
        </is>
      </c>
      <c r="O2052" t="inlineStr">
        <is>
          <t>202601190018-Frances Angelita Arreglado-费用报销 - 副本 - 副本 - 副本-2026-01-19 03:39:13</t>
        </is>
      </c>
      <c r="P2052" t="inlineStr">
        <is>
          <t>NO</t>
        </is>
      </c>
      <c r="Q2052"/>
      <c r="R2052" t="inlineStr">
        <is>
          <t>NO</t>
        </is>
      </c>
      <c r="S2052" t="inlineStr">
        <is>
          <t>LED Rental (w/ Logistics &amp; Delivery)</t>
        </is>
      </c>
      <c r="T2052">
        <v>1</v>
      </c>
      <c r="U2052">
        <v>637127.68</v>
      </c>
      <c r="V2052" t="inlineStr">
        <is>
          <t>PHP</t>
        </is>
      </c>
      <c r="W2052">
        <v>637127.68</v>
      </c>
      <c r="X2052" s="2" t="str">
        <f>=HYPERLINK("https://www.larksuite.com/approval/admin/previewAttachment?key=PMirDQMxEATQlma8n9lNMyFnWSGHIpm59kgBR18WkRW0bHhzNHiUjEhAFhZlUbIzDqWGqLAz7_UeGxdouh275jr7c635ZbTGgMzdCgBfj5vcvTsdf-cvAAD__w", "1 attachment(s)")</f>
        <v>1 attachment(s)</v>
      </c>
      <c r="Y2052"/>
      <c r="Z2052"/>
      <c r="AA2052"/>
      <c r="AB2052"/>
      <c r="AC2052"/>
      <c r="AD2052" s="4"/>
      <c r="AE2052"/>
      <c r="AF2052" s="2"/>
      <c r="AG2052" t="inlineStr">
        <is>
          <t>NzQyNTk5MTgyNzQ4MTg3MDM0MTozRjYzMzM4RS0xMDIwLTRGRkEtQjBCOC04Q0M1MDMwRDM0MDItMjo2YzFmMGUwOTA1ZmYzYWVkOGZmZDk5ZmRhZDA1OTg5ZDox</t>
        </is>
      </c>
      <c r="AH2052"/>
      <c r="AI2052"/>
      <c r="AJ2052" t="inlineStr">
        <is>
          <t>LIQUIDITY PLAN (PAR # 202508110059 / 2025TEG-P0236)
FINAL 911 - CE INTERNAL &gt; STAGE TECHNICALS 
Total Budget = Php 2,145,500.00
Actual Cost = Php 2,137,127.68
Balance = Php 8,372.32</t>
        </is>
      </c>
      <c r="AK2052"/>
    </row>
    <row r="2053" ht="25.5" customHeight="1">
      <c r="A2053" s="2" t="str">
        <f>=HYPERLINK("https://applink.larksuite.com/client/mini_program/open?appId=cli_9c7cc8a9a9edd105&amp;mode=appCenter&amp;path_pc=pc/pages/requested/index?instanceId=7615921213793111776&amp;source=bitable&amp;path=pages/detail/index?instanceId=7615921213793111776&amp;source=bitable", "202603110050")</f>
        <v>202603110050</v>
      </c>
      <c r="B2053" t="inlineStr">
        <is>
          <t>Approved</t>
        </is>
      </c>
      <c r="C2053" t="inlineStr">
        <is>
          <t>Procurement Order</t>
        </is>
      </c>
      <c r="D2053" s="3">
        <v>46092.71108796296</v>
      </c>
      <c r="E2053" s="3">
        <v>46093.435532407406</v>
      </c>
      <c r="F2053" t="inlineStr">
        <is>
          <t>Fatima Kathleen M. FLores</t>
        </is>
      </c>
      <c r="G2053" t="inlineStr">
        <is>
          <t>Procurement</t>
        </is>
      </c>
      <c r="H2053"/>
      <c r="I2053"/>
      <c r="J2053" t="inlineStr">
        <is>
          <t>Project</t>
        </is>
      </c>
      <c r="K2053" t="inlineStr">
        <is>
          <t>PDEI - Event Service</t>
        </is>
      </c>
      <c r="L2053" t="inlineStr">
        <is>
          <t>MPL PH S17</t>
        </is>
      </c>
      <c r="M2053" t="inlineStr">
        <is>
          <t>2026TEG-P0009</t>
        </is>
      </c>
      <c r="N2053" t="inlineStr">
        <is>
          <t>Katherine Denise Lee Sy</t>
        </is>
      </c>
      <c r="O2053" t="inlineStr">
        <is>
          <t>202603110012-Katherine Denise Lee Sy-费用报销 - 副本 - 副本 - 副本-2026-03-11 03:18:27</t>
        </is>
      </c>
      <c r="P2053" t="inlineStr">
        <is>
          <t>NO</t>
        </is>
      </c>
      <c r="Q2053"/>
      <c r="R2053" t="inlineStr">
        <is>
          <t>NO</t>
        </is>
      </c>
      <c r="S2053" t="inlineStr">
        <is>
          <t>Cloth Banner (Material: Satin Fabric / Single Side Print / Full Sublimation)</t>
        </is>
      </c>
      <c r="T2053">
        <v>16</v>
      </c>
      <c r="U2053">
        <v>2016</v>
      </c>
      <c r="V2053" t="inlineStr">
        <is>
          <t>PHP</t>
        </is>
      </c>
      <c r="W2053">
        <v>32256</v>
      </c>
      <c r="X2053" s="2"/>
      <c r="Y2053" t="inlineStr">
        <is>
          <t>Bank Transfer</t>
        </is>
      </c>
      <c r="Z2053" t="inlineStr">
        <is>
          <t>GOLDEN ARTS PRINTING SERVICES</t>
        </is>
      </c>
      <c r="AA2053" t="inlineStr">
        <is>
          <t>766-7-766000572</t>
        </is>
      </c>
      <c r="AB2053" t="inlineStr">
        <is>
          <t>Metrobank</t>
        </is>
      </c>
      <c r="AC2053" t="inlineStr">
        <is>
          <t>728 Raxabago St., Brgy. 154 Zone 14, Tondo Manila</t>
        </is>
      </c>
      <c r="AD2053" s="4">
        <v>46093</v>
      </c>
      <c r="AE2053" t="inlineStr">
        <is>
          <t>50% Down payment - Mar. 12, 2026
50% Final Payment upon complete delivery</t>
        </is>
      </c>
      <c r="AF2053" s="2" t="str">
        <f>=HYPERLINK("https://www.larksuite.com/approval/admin/previewAttachment?key=TMgxCgJBDAXQK_2fTJL5XsZmlsUFtxKmy9kFK9uXk8gZ9BSGaAK7kiGj0UtOsirbmlVCscL7uM-nbaxYl963-bqi92udx4c5PTEUY1AA-PhzEpqe_nN8AwAA__8", "3 attachment(s)")</f>
        <v>3 attachment(s)</v>
      </c>
      <c r="AG2053" t="inlineStr">
        <is>
          <t>NzQyNTk5MTgyNzQ4MTg3MDM0MToxNzFBRjgyRS0xQTU3LTQyOEItODZDRS1BNzFERjY0MjBBRUQtMTpjMzViY2Q1MjljYTdiY2RmNTJlMWRlMTBlMDNiNjg1Njox</t>
        </is>
      </c>
      <c r="AH2053" t="inlineStr">
        <is>
          <t>GOLDEN ARTS PRINTING SERVICES</t>
        </is>
      </c>
      <c r="AI2053"/>
      <c r="AJ2053" t="inlineStr">
        <is>
          <t>LIQUIDITY PLAN (PAR # 202602190021 / 2026TEG-P0009)
v7 RAM S17 Main CE  Security TAB &gt; 
VENDORS &gt; Staging &amp; Fabrication
Total Budget = Php 2,000,000.00
Actual Cost = Php 36,736.00
Balance = Php 1,963,264.00</t>
        </is>
      </c>
      <c r="AK2053"/>
    </row>
    <row r="2054" ht="25.5" customHeight="1">
      <c r="A2054" s="2" t="str">
        <f>=HYPERLINK("https://applink.larksuite.com/client/mini_program/open?appId=cli_9c7cc8a9a9edd105&amp;mode=appCenter&amp;path_pc=pc/pages/requested/index?instanceId=7615921213793111776&amp;source=bitable&amp;path=pages/detail/index?instanceId=7615921213793111776&amp;source=bitable", "202603110050")</f>
        <v>202603110050</v>
      </c>
      <c r="B2054" t="inlineStr">
        <is>
          <t>Approved</t>
        </is>
      </c>
      <c r="C2054" t="inlineStr">
        <is>
          <t>Procurement Order</t>
        </is>
      </c>
      <c r="D2054" s="3">
        <v>46092.71108796296</v>
      </c>
      <c r="E2054" s="3">
        <v>46093.435532407406</v>
      </c>
      <c r="F2054" t="inlineStr">
        <is>
          <t>Fatima Kathleen M. FLores</t>
        </is>
      </c>
      <c r="G2054" t="inlineStr">
        <is>
          <t>Procurement</t>
        </is>
      </c>
      <c r="H2054"/>
      <c r="I2054"/>
      <c r="J2054" t="inlineStr">
        <is>
          <t>Project</t>
        </is>
      </c>
      <c r="K2054" t="inlineStr">
        <is>
          <t>PDEI - Event Service</t>
        </is>
      </c>
      <c r="L2054" t="inlineStr">
        <is>
          <t>MPL PH S17</t>
        </is>
      </c>
      <c r="M2054" t="inlineStr">
        <is>
          <t>2026TEG-P0009</t>
        </is>
      </c>
      <c r="N2054" t="inlineStr">
        <is>
          <t>Katherine Denise Lee Sy</t>
        </is>
      </c>
      <c r="O2054" t="inlineStr">
        <is>
          <t>202603110012-Katherine Denise Lee Sy-费用报销 - 副本 - 副本 - 副本-2026-03-11 03:18:27</t>
        </is>
      </c>
      <c r="P2054" t="inlineStr">
        <is>
          <t>NO</t>
        </is>
      </c>
      <c r="Q2054"/>
      <c r="R2054" t="inlineStr">
        <is>
          <t>NO</t>
        </is>
      </c>
      <c r="S2054" t="inlineStr">
        <is>
          <t>Aluminum Pipe</t>
        </is>
      </c>
      <c r="T2054">
        <v>16</v>
      </c>
      <c r="U2054">
        <v>280</v>
      </c>
      <c r="V2054" t="inlineStr">
        <is>
          <t>PHP</t>
        </is>
      </c>
      <c r="W2054">
        <v>4480</v>
      </c>
      <c r="X2054" s="2" t="str">
        <f>=HYPERLINK("https://www.larksuite.com/approval/admin/previewAttachment?key=PMg7CsJgEATgK-3sazJexuYPwYCphHR7dsHC9usN1lshWpaCyzBslByOoAIA2eMDUkawYvbrePptq9ap9-Wxzpr7tY79gxLdjZEZm5nh8fdgZkqd9nN8AwAA__8", "2 attachment(s)")</f>
        <v>2 attachment(s)</v>
      </c>
      <c r="Y2054"/>
      <c r="Z2054"/>
      <c r="AA2054"/>
      <c r="AB2054"/>
      <c r="AC2054"/>
      <c r="AD2054" s="4"/>
      <c r="AE2054"/>
      <c r="AF2054" s="2"/>
      <c r="AG2054" t="inlineStr">
        <is>
          <t>NzQyNTk5MTgyNzQ4MTg3MDM0MToxNzFBRjgyRS0xQTU3LTQyOEItODZDRS1BNzFERjY0MjBBRUQtMjpkM2YwYTNkODU2ZWJlMGNkZjVkMjk0Y2IzOGM0MGRjZTox</t>
        </is>
      </c>
      <c r="AH2054"/>
      <c r="AI2054"/>
      <c r="AJ2054" t="inlineStr">
        <is>
          <t>LIQUIDITY PLAN (PAR # 202602190021 / 2026TEG-P0009)
v7 RAM S17 Main CE  Security TAB &gt; 
VENDORS &gt; Staging &amp; Fabrication
Total Budget = Php 2,000,000.00
Actual Cost = Php 36,736.00
Balance = Php 1,963,264.00</t>
        </is>
      </c>
      <c r="AK2054"/>
    </row>
    <row r="2055" ht="25.5" customHeight="1">
      <c r="A2055" s="2" t="str">
        <f>=HYPERLINK("https://applink.larksuite.com/client/mini_program/open?appId=cli_9c7cc8a9a9edd105&amp;mode=appCenter&amp;path_pc=pc/pages/requested/index?instanceId=7615935232327290592&amp;source=bitable&amp;path=pages/detail/index?instanceId=7615935232327290592&amp;source=bitable", "202603110057")</f>
        <v>202603110057</v>
      </c>
      <c r="B2055" t="inlineStr">
        <is>
          <t>Approved</t>
        </is>
      </c>
      <c r="C2055" t="inlineStr">
        <is>
          <t>Procurement Order</t>
        </is>
      </c>
      <c r="D2055" s="3">
        <v>46092.74886574074</v>
      </c>
      <c r="E2055" s="3">
        <v>46093.43372685185</v>
      </c>
      <c r="F2055" t="inlineStr">
        <is>
          <t>Fatima Kathleen M. FLores</t>
        </is>
      </c>
      <c r="G2055" t="inlineStr">
        <is>
          <t>Procurement</t>
        </is>
      </c>
      <c r="H2055"/>
      <c r="I2055"/>
      <c r="J2055" t="inlineStr">
        <is>
          <t>Project</t>
        </is>
      </c>
      <c r="K2055" t="inlineStr">
        <is>
          <t>PDEI - Event Service</t>
        </is>
      </c>
      <c r="L2055" t="inlineStr">
        <is>
          <t>MPL PH S17</t>
        </is>
      </c>
      <c r="M2055" t="inlineStr">
        <is>
          <t>2026TEG-P0009</t>
        </is>
      </c>
      <c r="N2055" t="inlineStr">
        <is>
          <t>Katherine Denise Lee Sy</t>
        </is>
      </c>
      <c r="O2055" t="inlineStr">
        <is>
          <t>202603060062-Katherine Denise Lee Sy-费用报销 - 副本 - 副本 - 副本-2026-03-06 07:45:26</t>
        </is>
      </c>
      <c r="P2055" t="inlineStr">
        <is>
          <t>NO</t>
        </is>
      </c>
      <c r="Q2055"/>
      <c r="R2055" t="inlineStr">
        <is>
          <t>NO</t>
        </is>
      </c>
      <c r="S2055" t="inlineStr">
        <is>
          <t>Black Katrina cloth (per roll)</t>
        </is>
      </c>
      <c r="T2055">
        <v>4</v>
      </c>
      <c r="U2055">
        <v>4200</v>
      </c>
      <c r="V2055" t="inlineStr">
        <is>
          <t>PHP</t>
        </is>
      </c>
      <c r="W2055">
        <v>16800</v>
      </c>
      <c r="X2055" s="2" t="str">
        <f>=HYPERLINK("https://www.larksuite.com/approval/admin/previewAttachment?key=PMgxCkIxEATQK83u7GYyXsbG8PGDVoJWObtgYfvGDIzZwWGUI43YGtFmJ5OpNNq5c4dkKNTc63lcu1fW56FFts9zv--3Y72irUyIVZwA4vJ3qqrsUfg5vgEAAP__", "2 attachment(s)")</f>
        <v>2 attachment(s)</v>
      </c>
      <c r="Y2055" t="inlineStr">
        <is>
          <t>Bank Transfer</t>
        </is>
      </c>
      <c r="Z2055" t="inlineStr">
        <is>
          <t>SPE Events Management And Services Party Needs Rental</t>
        </is>
      </c>
      <c r="AA2055" t="inlineStr">
        <is>
          <t>141102017588</t>
        </is>
      </c>
      <c r="AB2055" t="inlineStr">
        <is>
          <t>Chinabank</t>
        </is>
      </c>
      <c r="AC2055" t="inlineStr">
        <is>
          <t>10A St. Benedict, Paradise Village, Sangandaan, Quezon City</t>
        </is>
      </c>
      <c r="AD2055" s="4">
        <v>46094</v>
      </c>
      <c r="AE2055" t="inlineStr">
        <is>
          <t>100% Full Payment</t>
        </is>
      </c>
      <c r="AF2055" s="2"/>
      <c r="AG2055" t="inlineStr">
        <is>
          <t>NzQyNTk5MTgyNzQ4MTg3MDM0MTo4MDdFQTQ4MS0yRjU1LTQxNDAtQjQ4Ny1GRDY1M0E3RTA1RTYtMTo4YmZhZmJkYjhmZWExZGM3NjkxOTRkZGFkYTg0ZWYwZDox</t>
        </is>
      </c>
      <c r="AH2055" t="inlineStr">
        <is>
          <t>SPE Events Management And Services Party Needs Rental</t>
        </is>
      </c>
      <c r="AI2055"/>
      <c r="AJ2055" t="inlineStr">
        <is>
          <t>LIQUIDITY PLAN (PAR # 202602190021 / 2026TEG-P0009)
v7 RAM S17 Main CE  Security TAB &gt; 
LOGISTICS &gt; Venue &gt;
Black Cloth (4 rolls)
Total Budget = Php 60,000.00
Actual Cost = Php 16,800.00
Balance = Php 43,200.00</t>
        </is>
      </c>
      <c r="AK2055"/>
    </row>
    <row r="2056" ht="25.5" customHeight="1">
      <c r="A2056" s="2" t="str">
        <f>=HYPERLINK("https://applink.larksuite.com/client/mini_program/open?appId=cli_9c7cc8a9a9edd105&amp;mode=appCenter&amp;path_pc=pc/pages/requested/index?instanceId=7615539241509981919&amp;source=bitable&amp;path=pages/detail/index?instanceId=7615539241509981919&amp;source=bitable", "202603100084")</f>
        <v>202603100084</v>
      </c>
      <c r="B2056" t="inlineStr">
        <is>
          <t>Approved</t>
        </is>
      </c>
      <c r="C2056" t="inlineStr">
        <is>
          <t>Procurement Order</t>
        </is>
      </c>
      <c r="D2056" s="3">
        <v>46091.68174768519</v>
      </c>
      <c r="E2056" s="3">
        <v>46125.59578703704</v>
      </c>
      <c r="F2056" t="inlineStr">
        <is>
          <t>Fatima Kathleen M. FLores</t>
        </is>
      </c>
      <c r="G2056" t="inlineStr">
        <is>
          <t>Procurement</t>
        </is>
      </c>
      <c r="H2056"/>
      <c r="I2056"/>
      <c r="J2056" t="inlineStr">
        <is>
          <t>Project</t>
        </is>
      </c>
      <c r="K2056" t="inlineStr">
        <is>
          <t>GG - Event Service</t>
        </is>
      </c>
      <c r="L2056" t="inlineStr">
        <is>
          <t>KIC 2025 - Group Stage &amp; Knockouts</t>
        </is>
      </c>
      <c r="M2056" t="inlineStr">
        <is>
          <t>2025TEG-P0286</t>
        </is>
      </c>
      <c r="N2056" t="inlineStr">
        <is>
          <t>Frances Angelita Arreglado</t>
        </is>
      </c>
      <c r="O2056" t="inlineStr">
        <is>
          <t>202601190060-Frances Angelita Arreglado-费用报销 - 副本 - 副本 - 副本-2026-01-19 06:19:22</t>
        </is>
      </c>
      <c r="P2056" t="inlineStr">
        <is>
          <t>NO</t>
        </is>
      </c>
      <c r="Q2056"/>
      <c r="R2056" t="inlineStr">
        <is>
          <t>YES</t>
        </is>
      </c>
      <c r="S2056" t="inlineStr">
        <is>
          <t>Outsourced Technical Services (Lights, Sounds &amp; Genset)</t>
        </is>
      </c>
      <c r="T2056">
        <v>1</v>
      </c>
      <c r="U2056">
        <v>7350000</v>
      </c>
      <c r="V2056" t="inlineStr">
        <is>
          <t>PHP</t>
        </is>
      </c>
      <c r="W2056">
        <v>7350000</v>
      </c>
      <c r="X2056" s="2"/>
      <c r="Y2056" t="inlineStr">
        <is>
          <t>Bank Transfer</t>
        </is>
      </c>
      <c r="Z2056" t="inlineStr">
        <is>
          <t>APEX FRANCHISE VENTURES OPC.</t>
        </is>
      </c>
      <c r="AA2056" t="inlineStr">
        <is>
          <t>001620006872</t>
        </is>
      </c>
      <c r="AB2056" t="inlineStr">
        <is>
          <t>UnionBank of the Philippines</t>
        </is>
      </c>
      <c r="AC2056" t="inlineStr">
        <is>
          <t>9th Floor Santolan Town Plaza 276 Santolan Road Little Baguio 1500 City of San Juan</t>
        </is>
      </c>
      <c r="AD2056" s="4">
        <v>46094</v>
      </c>
      <c r="AE2056" t="inlineStr">
        <is>
          <t>100% Full Payment</t>
        </is>
      </c>
      <c r="AF2056" s="2"/>
      <c r="AG2056" t="inlineStr">
        <is>
          <t>NzQyNTk5MTgyNzQ4MTg3MDM0MTo2QUFCMDBGQi04M0JFLTQ2QjEtODMzMi1FMjU3NTJFMDFDOEEtMTphMGU0MjNiYmVhNjIzMWMxZjZjZTU5OGI0MWRjNjk2Nzox</t>
        </is>
      </c>
      <c r="AH2056" t="inlineStr">
        <is>
          <t>APEX FRANCHISE VENTURES OPC.</t>
        </is>
      </c>
      <c r="AI2056"/>
      <c r="AJ2056" t="inlineStr">
        <is>
          <t>LIQUIDITY PLAN (PAR # 202510290062 / 2025TEG-P0286)
1120 CE KIC GS+KO TAB &gt; GROUPSTAGE - KNOCKOUTS (Main Event) &gt; 
TECHNICALS &gt; 
LED &amp; Truss
Lights
Sound System
Electricity
Total Budget = Php 7,272,500.00
Actual Cost = Php 9,060,752.40
Balance = (Php 1,788,252.40) OVER BUDGET</t>
        </is>
      </c>
      <c r="AK2056"/>
    </row>
    <row r="2057" ht="25.5" customHeight="1">
      <c r="A2057" s="2" t="str">
        <f>=HYPERLINK("https://applink.larksuite.com/client/mini_program/open?appId=cli_9c7cc8a9a9edd105&amp;mode=appCenter&amp;path_pc=pc/pages/requested/index?instanceId=7615539241509981919&amp;source=bitable&amp;path=pages/detail/index?instanceId=7615539241509981919&amp;source=bitable", "202603100084")</f>
        <v>202603100084</v>
      </c>
      <c r="B2057" t="inlineStr">
        <is>
          <t>Approved</t>
        </is>
      </c>
      <c r="C2057" t="inlineStr">
        <is>
          <t>Procurement Order</t>
        </is>
      </c>
      <c r="D2057" s="3">
        <v>46091.68174768519</v>
      </c>
      <c r="E2057" s="3">
        <v>46125.59578703704</v>
      </c>
      <c r="F2057" t="inlineStr">
        <is>
          <t>Fatima Kathleen M. FLores</t>
        </is>
      </c>
      <c r="G2057" t="inlineStr">
        <is>
          <t>Procurement</t>
        </is>
      </c>
      <c r="H2057"/>
      <c r="I2057"/>
      <c r="J2057" t="inlineStr">
        <is>
          <t>Project</t>
        </is>
      </c>
      <c r="K2057" t="inlineStr">
        <is>
          <t>GG - Event Service</t>
        </is>
      </c>
      <c r="L2057" t="inlineStr">
        <is>
          <t>KIC 2025 - Group Stage &amp; Knockouts</t>
        </is>
      </c>
      <c r="M2057" t="inlineStr">
        <is>
          <t>2025TEG-P0286</t>
        </is>
      </c>
      <c r="N2057" t="inlineStr">
        <is>
          <t>Frances Angelita Arreglado</t>
        </is>
      </c>
      <c r="O2057" t="inlineStr">
        <is>
          <t>202601190060-Frances Angelita Arreglado-费用报销 - 副本 - 副本 - 副本-2026-01-19 06:19:22</t>
        </is>
      </c>
      <c r="P2057" t="inlineStr">
        <is>
          <t>NO</t>
        </is>
      </c>
      <c r="Q2057"/>
      <c r="R2057" t="inlineStr">
        <is>
          <t>YES</t>
        </is>
      </c>
      <c r="S2057" t="inlineStr">
        <is>
          <t>LED Rental (with Storage &amp; Electrical Installation)</t>
        </is>
      </c>
      <c r="T2057">
        <v>1</v>
      </c>
      <c r="U2057">
        <v>1551502.4</v>
      </c>
      <c r="V2057" t="inlineStr">
        <is>
          <t>PHP</t>
        </is>
      </c>
      <c r="W2057">
        <v>1551502.4</v>
      </c>
      <c r="X2057" s="2"/>
      <c r="Y2057"/>
      <c r="Z2057"/>
      <c r="AA2057"/>
      <c r="AB2057"/>
      <c r="AC2057"/>
      <c r="AD2057" s="4"/>
      <c r="AE2057"/>
      <c r="AF2057" s="2"/>
      <c r="AG2057" t="inlineStr">
        <is>
          <t>NzQyNTk5MTgyNzQ4MTg3MDM0MTo2QUFCMDBGQi04M0JFLTQ2QjEtODMzMi1FMjU3NTJFMDFDOEEtMjo1Y2M2NDI5YjZmNWEzMmYwNTZhM2Q0NzYyZjYwYjZlZjox</t>
        </is>
      </c>
      <c r="AH2057"/>
      <c r="AI2057"/>
      <c r="AJ2057" t="inlineStr">
        <is>
          <t>LIQUIDITY PLAN (PAR # 202510290062 / 2025TEG-P0286)
1120 CE KIC GS+KO TAB &gt; GROUPSTAGE - KNOCKOUTS (Main Event) &gt; 
TECHNICALS &gt; 
LED &amp; Truss
Lights
Sound System
Electricity
Total Budget = Php 7,272,500.00
Actual Cost = Php 9,060,752.40
Balance = (Php 1,788,252.40) OVER BUDGET</t>
        </is>
      </c>
      <c r="AK2057"/>
    </row>
    <row r="2058" ht="25.5" customHeight="1">
      <c r="A2058" s="2" t="str">
        <f>=HYPERLINK("https://applink.larksuite.com/client/mini_program/open?appId=cli_9c7cc8a9a9edd105&amp;mode=appCenter&amp;path_pc=pc/pages/requested/index?instanceId=7615539241509981919&amp;source=bitable&amp;path=pages/detail/index?instanceId=7615539241509981919&amp;source=bitable", "202603100084")</f>
        <v>202603100084</v>
      </c>
      <c r="B2058" t="inlineStr">
        <is>
          <t>Approved</t>
        </is>
      </c>
      <c r="C2058" t="inlineStr">
        <is>
          <t>Procurement Order</t>
        </is>
      </c>
      <c r="D2058" s="3">
        <v>46091.68174768519</v>
      </c>
      <c r="E2058" s="3">
        <v>46125.59578703704</v>
      </c>
      <c r="F2058" t="inlineStr">
        <is>
          <t>Fatima Kathleen M. FLores</t>
        </is>
      </c>
      <c r="G2058" t="inlineStr">
        <is>
          <t>Procurement</t>
        </is>
      </c>
      <c r="H2058"/>
      <c r="I2058"/>
      <c r="J2058" t="inlineStr">
        <is>
          <t>Project</t>
        </is>
      </c>
      <c r="K2058" t="inlineStr">
        <is>
          <t>GG - Event Service</t>
        </is>
      </c>
      <c r="L2058" t="inlineStr">
        <is>
          <t>KIC 2025 - Group Stage &amp; Knockouts</t>
        </is>
      </c>
      <c r="M2058" t="inlineStr">
        <is>
          <t>2025TEG-P0286</t>
        </is>
      </c>
      <c r="N2058" t="inlineStr">
        <is>
          <t>Frances Angelita Arreglado</t>
        </is>
      </c>
      <c r="O2058" t="inlineStr">
        <is>
          <t>202601190060-Frances Angelita Arreglado-费用报销 - 副本 - 副本 - 副本-2026-01-19 06:19:22</t>
        </is>
      </c>
      <c r="P2058" t="inlineStr">
        <is>
          <t>NO</t>
        </is>
      </c>
      <c r="Q2058"/>
      <c r="R2058" t="inlineStr">
        <is>
          <t>YES</t>
        </is>
      </c>
      <c r="S2058" t="inlineStr">
        <is>
          <t>LED Riser</t>
        </is>
      </c>
      <c r="T2058">
        <v>1</v>
      </c>
      <c r="U2058">
        <v>159250</v>
      </c>
      <c r="V2058" t="inlineStr">
        <is>
          <t>PHP</t>
        </is>
      </c>
      <c r="W2058">
        <v>159250</v>
      </c>
      <c r="X2058" s="2" t="str">
        <f>=HYPERLINK("https://www.larksuite.com/approval/admin/previewAttachment?key=PMg7DsIwEATQK83sx-vhMjREEYpFhXCg8NmRKGhf60TrSW9CiCZwVWOmy4IJqVPUssUqoVjpa3vs19dnHvM43z7O4Rxr3m_79mSqzFAe4R0AL3_3igipBX5u3wAAAP__", "4 attachment(s)")</f>
        <v>4 attachment(s)</v>
      </c>
      <c r="Y2058"/>
      <c r="Z2058"/>
      <c r="AA2058"/>
      <c r="AB2058"/>
      <c r="AC2058"/>
      <c r="AD2058" s="4"/>
      <c r="AE2058"/>
      <c r="AF2058" s="2"/>
      <c r="AG2058" t="inlineStr">
        <is>
          <t>NzQyNTk5MTgyNzQ4MTg3MDM0MTo2QUFCMDBGQi04M0JFLTQ2QjEtODMzMi1FMjU3NTJFMDFDOEEtMzowMmI3Y2FlMjZlMjE2YzkzOTNkOWY2MWQ2NDE2NjU4NTox</t>
        </is>
      </c>
      <c r="AH2058"/>
      <c r="AI2058"/>
      <c r="AJ2058" t="inlineStr">
        <is>
          <t>LIQUIDITY PLAN (PAR # 202510290062 / 2025TEG-P0286)
1120 CE KIC GS+KO TAB &gt; GROUPSTAGE - KNOCKOUTS (Main Event) &gt; 
TECHNICALS &gt; 
LED &amp; Truss
Lights
Sound System
Electricity
Total Budget = Php 7,272,500.00
Actual Cost = Php 9,060,752.40
Balance = (Php 1,788,252.40) OVER BUDGET</t>
        </is>
      </c>
      <c r="AK2058"/>
    </row>
    <row r="2059" ht="25.5" customHeight="1">
      <c r="A2059" s="2" t="str">
        <f>=HYPERLINK("https://applink.larksuite.com/client/mini_program/open?appId=cli_9c7cc8a9a9edd105&amp;mode=appCenter&amp;path_pc=pc/pages/requested/index?instanceId=7616203173652336351&amp;source=bitable&amp;path=pages/detail/index?instanceId=7616203173652336351&amp;source=bitable", "202603120020")</f>
        <v>202603120020</v>
      </c>
      <c r="B2059" t="inlineStr">
        <is>
          <t>Approved</t>
        </is>
      </c>
      <c r="C2059" t="inlineStr">
        <is>
          <t>Procurement Order</t>
        </is>
      </c>
      <c r="D2059" s="3">
        <v>46093.47091435185</v>
      </c>
      <c r="E2059" s="3">
        <v>46093.798310185186</v>
      </c>
      <c r="F2059" t="inlineStr">
        <is>
          <t>Fatima Kathleen M. FLores</t>
        </is>
      </c>
      <c r="G2059" t="inlineStr">
        <is>
          <t>Procurement</t>
        </is>
      </c>
      <c r="H2059"/>
      <c r="I2059"/>
      <c r="J2059" t="inlineStr">
        <is>
          <t>Project</t>
        </is>
      </c>
      <c r="K2059" t="inlineStr">
        <is>
          <t>PDEI - Event Service</t>
        </is>
      </c>
      <c r="L2059" t="inlineStr">
        <is>
          <t>MPL PH S17</t>
        </is>
      </c>
      <c r="M2059" t="inlineStr">
        <is>
          <t>2026TEG-P0009</t>
        </is>
      </c>
      <c r="N2059" t="inlineStr">
        <is>
          <t>Katherine Denise Lee Sy</t>
        </is>
      </c>
      <c r="O2059" t="inlineStr">
        <is>
          <t>202602190043-Katherine Denise Lee Sy-费用报销 - 副本 - 副本 - 副本-2026-02-19 06:37:22</t>
        </is>
      </c>
      <c r="P2059" t="inlineStr">
        <is>
          <t>YES</t>
        </is>
      </c>
      <c r="Q2059"/>
      <c r="R2059" t="inlineStr">
        <is>
          <t>NO</t>
        </is>
      </c>
      <c r="S2059" t="inlineStr">
        <is>
          <t>Outsourced Lighting Director / Plotter (RS)</t>
        </is>
      </c>
      <c r="T2059">
        <v>1</v>
      </c>
      <c r="U2059">
        <v>188000</v>
      </c>
      <c r="V2059" t="inlineStr">
        <is>
          <t>PHP</t>
        </is>
      </c>
      <c r="W2059">
        <v>188000</v>
      </c>
      <c r="X2059" s="2" t="str">
        <f>=HYPERLINK("https://www.larksuite.com/approval/admin/previewAttachment?key=PMg9CsJAEAXgK703vztexiYhKGFBEBct5uyChe0Xg4jh1ChYUQrsDIZAmRouqqHOlmZmIZluvc_jujhPr_M9P_e1PV69btuxP-mVIkg10wGAl79rmllVGH6ObwAAAP__", "2 attachment(s)")</f>
        <v>2 attachment(s)</v>
      </c>
      <c r="Y2059" t="inlineStr">
        <is>
          <t>Bank Transfer</t>
        </is>
      </c>
      <c r="Z2059" t="inlineStr">
        <is>
          <t>Mark Anthony Flor</t>
        </is>
      </c>
      <c r="AA2059" t="inlineStr">
        <is>
          <t>09199712271</t>
        </is>
      </c>
      <c r="AB2059" t="inlineStr">
        <is>
          <t>GCash</t>
        </is>
      </c>
      <c r="AC2059" t="inlineStr">
        <is>
          <t>Blk179 Lot44 St. Cecilia Street, Deca Homes Loma de Gato, Marilao, Bulacan</t>
        </is>
      </c>
      <c r="AD2059" s="4">
        <v>46101</v>
      </c>
      <c r="AE2059" t="inlineStr">
        <is>
          <t>1st Payment - Mar. 20, 2026
2nd Payment - Apr. 17, 2026
3rd Payment - May 8, 2026
4th Payment - May 22, 2026
5th Payment - Jun 12, 2026
Final Payment - Jun 26, 2026</t>
        </is>
      </c>
      <c r="AF2059" s="2"/>
      <c r="AG2059" t="inlineStr">
        <is>
          <t>NzQyNTk5MTgyNzQ4MTg3MDM0MTpCQjI2OTdFNy04MjFGLTQwMDUtQUVDMi00MUVFMEUxQjNGRTYtMTo3NDFmMDY3ZmI0NWRkZDNiYWRjOWMxNTMyZjFjMWM3NDox</t>
        </is>
      </c>
      <c r="AH2059" t="inlineStr">
        <is>
          <t>Mark Anthony Flor</t>
        </is>
      </c>
      <c r="AI2059"/>
      <c r="AJ2059" t="inlineStr">
        <is>
          <t>LIQUIDITY PLAN (PAR # 202602190021 / 2026TEG-P0009)
v7 RAM S17 Main CE  Security TAB &gt; 
MANPOWER &gt; Broadcast &amp; Production &gt; 
Light Plotter
Lighting Director / Operator
Total Budget = Php 199,000.00
Actual Cost = Php 188,000.00
Balance = Php 11,000.00</t>
        </is>
      </c>
      <c r="AK2059"/>
    </row>
    <row r="2060" ht="25.5" customHeight="1">
      <c r="A2060" s="2" t="str">
        <f>=HYPERLINK("https://applink.larksuite.com/client/mini_program/open?appId=cli_9c7cc8a9a9edd105&amp;mode=appCenter&amp;path_pc=pc/pages/requested/index?instanceId=7616218708479413984&amp;source=bitable&amp;path=pages/detail/index?instanceId=7616218708479413984&amp;source=bitable", "202603120036")</f>
        <v>202603120036</v>
      </c>
      <c r="B2060" t="inlineStr">
        <is>
          <t>Approved</t>
        </is>
      </c>
      <c r="C2060" t="inlineStr">
        <is>
          <t>Procurement Order</t>
        </is>
      </c>
      <c r="D2060" s="3">
        <v>46093.512777777774</v>
      </c>
      <c r="E2060" s="3">
        <v>46093.804131944446</v>
      </c>
      <c r="F2060" t="inlineStr">
        <is>
          <t>Fatima Kathleen M. FLores</t>
        </is>
      </c>
      <c r="G2060" t="inlineStr">
        <is>
          <t>Procurement</t>
        </is>
      </c>
      <c r="H2060"/>
      <c r="I2060"/>
      <c r="J2060" t="inlineStr">
        <is>
          <t>Project</t>
        </is>
      </c>
      <c r="K2060" t="inlineStr">
        <is>
          <t>PDEI - Event Service</t>
        </is>
      </c>
      <c r="L2060" t="inlineStr">
        <is>
          <t>MPL PH S17</t>
        </is>
      </c>
      <c r="M2060" t="inlineStr">
        <is>
          <t>2026TEG-P0009</t>
        </is>
      </c>
      <c r="N2060" t="inlineStr">
        <is>
          <t>Katherine Denise Lee Sy</t>
        </is>
      </c>
      <c r="O2060" t="inlineStr">
        <is>
          <t>202602190046-Katherine Denise Lee Sy-费用报销 - 副本 - 副本 - 副本-2026-02-19 06:54:14</t>
        </is>
      </c>
      <c r="P2060" t="inlineStr">
        <is>
          <t>YES</t>
        </is>
      </c>
      <c r="Q2060"/>
      <c r="R2060" t="inlineStr">
        <is>
          <t>NO</t>
        </is>
      </c>
      <c r="S2060" t="inlineStr">
        <is>
          <t>Outsourced CG Dynamic Operator (RS &amp; PO)</t>
        </is>
      </c>
      <c r="T2060">
        <v>1</v>
      </c>
      <c r="U2060">
        <v>103600</v>
      </c>
      <c r="V2060" t="inlineStr">
        <is>
          <t>PHP</t>
        </is>
      </c>
      <c r="W2060">
        <v>103600</v>
      </c>
      <c r="X2060" s="2" t="str">
        <f>=HYPERLINK("https://www.larksuite.com/approval/admin/previewAttachment?key=PMgxCsJAFATQK83s_v3zx8vYZAkqpJIIKfbsgoXtyyKyBnsaYTaDS8lsLKFCDnZXrLYoGaJGrHns99dBn8K8tunnda7PY9vnm8NqDeoRvQDw9veuiLAz8HN8AwAA__8", "2 attachment(s)")</f>
        <v>2 attachment(s)</v>
      </c>
      <c r="Y2060" t="inlineStr">
        <is>
          <t>Bank Transfer</t>
        </is>
      </c>
      <c r="Z2060" t="inlineStr">
        <is>
          <t>Jan Laurence Antonio</t>
        </is>
      </c>
      <c r="AA2060" t="inlineStr">
        <is>
          <t>1094 2724 1990</t>
        </is>
      </c>
      <c r="AB2060" t="inlineStr">
        <is>
          <t>Unionbank</t>
        </is>
      </c>
      <c r="AC2060" t="inlineStr">
        <is>
          <t>46.F. Ablola St. Tangos North Navotas City</t>
        </is>
      </c>
      <c r="AD2060" s="4">
        <v>46122</v>
      </c>
      <c r="AE2060" t="inlineStr">
        <is>
          <t>1st Payment - Apr. 10, 2026
2nd Payment - Apr. 24, 2026
3rd Payment - May 8, 2026
4th Payment - May 29, 2026
Final Payment - Jun 19, 2026</t>
        </is>
      </c>
      <c r="AF2060" s="2"/>
      <c r="AG2060" t="inlineStr">
        <is>
          <t>NzQyNTk5MTgyNzQ4MTg3MDM0MToyRkRCNkE0NC03NDM0LTQ2RTUtOTVBMy03QzVBODQ2NEQ4MEMtMTpmMmNiY2EzODIzZjJlNmVkYmQ3OTAzOTNkZWQyYjZkZjox</t>
        </is>
      </c>
      <c r="AH2060" t="inlineStr">
        <is>
          <t>Jan Laurence Antonio</t>
        </is>
      </c>
      <c r="AI2060"/>
      <c r="AJ2060" t="inlineStr">
        <is>
          <t>LIQUIDITY PLAN (PAR # 202602190021 / 2026TEG-P0009)
v7 RAM S17 Main CE  Security TAB &gt; 
MANPOWER &gt; Broadcast &amp; Production &gt; 
CG Dynamic
PLAYOFFS SPECIFIC &gt; MANPOWER &gt;
CG Dynamic
Total Budget = Php 103,600.00
Actual Cost = Php 103,600.00</t>
        </is>
      </c>
      <c r="AK2060"/>
    </row>
    <row r="2061" ht="25.5" customHeight="1">
      <c r="A2061" s="2" t="str">
        <f>=HYPERLINK("https://applink.larksuite.com/client/mini_program/open?appId=cli_9c7cc8a9a9edd105&amp;mode=appCenter&amp;path_pc=pc/pages/requested/index?instanceId=7616221399144730336&amp;source=bitable&amp;path=pages/detail/index?instanceId=7616221399144730336&amp;source=bitable", "202603120037")</f>
        <v>202603120037</v>
      </c>
      <c r="B2061" t="inlineStr">
        <is>
          <t>Approved</t>
        </is>
      </c>
      <c r="C2061" t="inlineStr">
        <is>
          <t>Procurement Order</t>
        </is>
      </c>
      <c r="D2061" s="3">
        <v>46093.52002314815</v>
      </c>
      <c r="E2061" s="3">
        <v>46093.8025</v>
      </c>
      <c r="F2061" t="inlineStr">
        <is>
          <t>Fatima Kathleen M. FLores</t>
        </is>
      </c>
      <c r="G2061" t="inlineStr">
        <is>
          <t>Procurement</t>
        </is>
      </c>
      <c r="H2061"/>
      <c r="I2061"/>
      <c r="J2061" t="inlineStr">
        <is>
          <t>Project</t>
        </is>
      </c>
      <c r="K2061" t="inlineStr">
        <is>
          <t>PDEI - Event Service</t>
        </is>
      </c>
      <c r="L2061" t="inlineStr">
        <is>
          <t>MPL PH S17</t>
        </is>
      </c>
      <c r="M2061" t="inlineStr">
        <is>
          <t>2026TEG-P0009</t>
        </is>
      </c>
      <c r="N2061" t="inlineStr">
        <is>
          <t>Katherine Denise Lee Sy</t>
        </is>
      </c>
      <c r="O2061" t="inlineStr">
        <is>
          <t>202602190049-Katherine Denise Lee Sy-费用报销 - 副本 - 副本 - 副本-2026-02-19 07:05:50</t>
        </is>
      </c>
      <c r="P2061" t="inlineStr">
        <is>
          <t>YES</t>
        </is>
      </c>
      <c r="Q2061"/>
      <c r="R2061" t="inlineStr">
        <is>
          <t>NO</t>
        </is>
      </c>
      <c r="S2061" t="inlineStr">
        <is>
          <t>Outsourced Stream Engineer (RS &amp; PO)</t>
        </is>
      </c>
      <c r="T2061">
        <v>1</v>
      </c>
      <c r="U2061">
        <v>103600</v>
      </c>
      <c r="V2061" t="inlineStr">
        <is>
          <t>PHP</t>
        </is>
      </c>
      <c r="W2061">
        <v>103600</v>
      </c>
      <c r="X2061" s="2" t="str">
        <f>=HYPERLINK("https://www.larksuite.com/approval/admin/previewAttachment?key=PMgxCkIxEATQK83sTnayXsbGz8dGEISARc4uWPz21SRqDmY11IwGt4sVweym5ERm7di0G6aH9vE677Ew8_3VmgDpvZ6P8_hwtCPglHIC4O3ytKTuEv6OXwAAAP__", "2 attachment(s)")</f>
        <v>2 attachment(s)</v>
      </c>
      <c r="Y2061" t="inlineStr">
        <is>
          <t>Bank Transfer</t>
        </is>
      </c>
      <c r="Z2061" t="inlineStr">
        <is>
          <t>SEAN JHONAS A. ARAGO</t>
        </is>
      </c>
      <c r="AA2061" t="inlineStr">
        <is>
          <t>011880108133</t>
        </is>
      </c>
      <c r="AB2061" t="inlineStr">
        <is>
          <t>BDO</t>
        </is>
      </c>
      <c r="AC2061" t="inlineStr">
        <is>
          <t>7 SUNFLOWER ST. LUMANG BAYAN EXECUTIVE VILLAGE, BRGY. MAYAMOT, ANTIPOLO CITY</t>
        </is>
      </c>
      <c r="AD2061" s="4">
        <v>46101</v>
      </c>
      <c r="AE2061" t="inlineStr">
        <is>
          <t>1st Payment - Mar. 20, 2026
2nd Payment - Apr. 17, 2026
3rd Payment - May 8, 2026
4th Payment - May 22, 2026
5th Payment - Jun. 12, 2026
Final Payment - Jun 26, 2026</t>
        </is>
      </c>
      <c r="AF2061" s="2"/>
      <c r="AG2061" t="inlineStr">
        <is>
          <t>NzQyNTk5MTgyNzQ4MTg3MDM0MTpGMTA0RTVCMC01MDdCLTQ5QkEtODg1Ri1FNjkwNjAyMEZBQjktMTo1NGNjNDcwNWE3ZDRmYWE4MDZhMjUzOTNhNTI2NDRjMjox</t>
        </is>
      </c>
      <c r="AH2061" t="inlineStr">
        <is>
          <t>SEAN JHONAS A. ARAGO</t>
        </is>
      </c>
      <c r="AI2061"/>
      <c r="AJ2061" t="inlineStr">
        <is>
          <t>LIQUIDITY PLAN (PAR # 202602190021 / 2026TEG-P0009)
v7 RAM S17 Main CE  Security TAB &gt; 
MANPOWER &gt; Broadcast &amp; Production &gt; 
Lead Stream Engineer
PLAYOFFS SPECIFIC &gt; MANPOWER &gt;
Lead Stream Engineer
Total Budget = Php 103,600.00
Actual Cost = Php 103,600.00</t>
        </is>
      </c>
      <c r="AK2061"/>
    </row>
    <row r="2062" ht="25.5" customHeight="1">
      <c r="A2062" s="2" t="str">
        <f>=HYPERLINK("https://applink.larksuite.com/client/mini_program/open?appId=cli_9c7cc8a9a9edd105&amp;mode=appCenter&amp;path_pc=pc/pages/requested/index?instanceId=7616214061146967774&amp;source=bitable&amp;path=pages/detail/index?instanceId=7616214061146967774&amp;source=bitable", "202603120030")</f>
        <v>202603120030</v>
      </c>
      <c r="B2062" t="inlineStr">
        <is>
          <t>Approved</t>
        </is>
      </c>
      <c r="C2062" t="inlineStr">
        <is>
          <t>Procurement Order</t>
        </is>
      </c>
      <c r="D2062" s="3">
        <v>46093.50025462963</v>
      </c>
      <c r="E2062" s="3">
        <v>46093.80056712963</v>
      </c>
      <c r="F2062" t="inlineStr">
        <is>
          <t>Fatima Kathleen M. FLores</t>
        </is>
      </c>
      <c r="G2062" t="inlineStr">
        <is>
          <t>Procurement</t>
        </is>
      </c>
      <c r="H2062"/>
      <c r="I2062"/>
      <c r="J2062" t="inlineStr">
        <is>
          <t>Project</t>
        </is>
      </c>
      <c r="K2062" t="inlineStr">
        <is>
          <t>PDEI - Event Service</t>
        </is>
      </c>
      <c r="L2062" t="inlineStr">
        <is>
          <t>MPL PH S17</t>
        </is>
      </c>
      <c r="M2062" t="inlineStr">
        <is>
          <t>2026TEG-P0009</t>
        </is>
      </c>
      <c r="N2062" t="inlineStr">
        <is>
          <t>Katherine Denise Lee Sy</t>
        </is>
      </c>
      <c r="O2062" t="inlineStr">
        <is>
          <t>202602190044-Katherine Denise Lee Sy-费用报销 - 副本 - 副本 - 副本-2026-02-19 06:42:33</t>
        </is>
      </c>
      <c r="P2062" t="inlineStr">
        <is>
          <t>YES</t>
        </is>
      </c>
      <c r="Q2062"/>
      <c r="R2062" t="inlineStr">
        <is>
          <t>NO</t>
        </is>
      </c>
      <c r="S2062" t="inlineStr">
        <is>
          <t>Outsourced EN CG Operator/ Director (RS &amp; PO)</t>
        </is>
      </c>
      <c r="T2062">
        <v>1</v>
      </c>
      <c r="U2062">
        <v>111150</v>
      </c>
      <c r="V2062" t="inlineStr">
        <is>
          <t>PHP</t>
        </is>
      </c>
      <c r="W2062">
        <v>111150</v>
      </c>
      <c r="X2062" s="2" t="str">
        <f>=HYPERLINK("https://www.larksuite.com/approval/admin/previewAttachment?key=PMhBisJQEATQK1V11-_6PZeZzYQwIgkBQVf_7IILt68mUXMwq6FmNLhcrKBQpKrLtlYs2g3TQ2s79t-XIq8rxjnzuJ339fz_27cHRzsCTiknAP58PS2pu4SP4x0AAP__", "2 attachment(s)")</f>
        <v>2 attachment(s)</v>
      </c>
      <c r="Y2062" t="inlineStr">
        <is>
          <t>Bank Transfer</t>
        </is>
      </c>
      <c r="Z2062" t="inlineStr">
        <is>
          <t>JUAN MIGUEL NAVARRO</t>
        </is>
      </c>
      <c r="AA2062" t="inlineStr">
        <is>
          <t>1096 7202 2709</t>
        </is>
      </c>
      <c r="AB2062" t="inlineStr">
        <is>
          <t>Unionbank</t>
        </is>
      </c>
      <c r="AC2062" t="inlineStr">
        <is>
          <t>B33 L1-B, DILIGENCE ST., GOODWILL HOMES 1, SAN BARTOLOME, NOVALICHES, QUEZON CITY</t>
        </is>
      </c>
      <c r="AD2062" s="4">
        <v>46101</v>
      </c>
      <c r="AE2062" t="inlineStr">
        <is>
          <t>1st Payment - Mar. 27, 2026
2nd Payment - Apr. 10, 2026
3rd Payment - Apr. 24, 2026
4th Payment - May 8, 2026
5th Payment - May 29, 2026
Final Payment - Jun 19, 2026</t>
        </is>
      </c>
      <c r="AF2062" s="2"/>
      <c r="AG2062" t="inlineStr">
        <is>
          <t>NzQyNTk5MTgyNzQ4MTg3MDM0MTo1QThFRENBMS04RkU3LTQ2ODMtQTlFQy0yRjFEQUJCMzU1RDctMToxZmJjNzg4OTlhNzFjODA2YjA2ZjRiZTJlNmI0MmIwMzox</t>
        </is>
      </c>
      <c r="AH2062" t="inlineStr">
        <is>
          <t>JUAN MIGUEL NAVARRO</t>
        </is>
      </c>
      <c r="AI2062"/>
      <c r="AJ2062" t="inlineStr">
        <is>
          <t>LIQUIDITY PLAN (PAR # 202602190021 / 2026TEG-P0009)
v7 RAM S17 Main CE  Security TAB &gt; 
MANPOWER &gt; Broadcast &amp; Production &gt; 
EN CG Operator
Total Budget = Php 111,150.00
Actual Cost = Php 111,150.00</t>
        </is>
      </c>
      <c r="AK2062"/>
    </row>
    <row r="2063" ht="25.5" customHeight="1">
      <c r="A2063" s="2" t="str">
        <f>=HYPERLINK("https://applink.larksuite.com/client/mini_program/open?appId=cli_9c7cc8a9a9edd105&amp;mode=appCenter&amp;path_pc=pc/pages/requested/index?instanceId=7616231193146658525&amp;source=bitable&amp;path=pages/detail/index?instanceId=7616231193146658525&amp;source=bitable", "202603120041")</f>
        <v>202603120041</v>
      </c>
      <c r="B2063" t="inlineStr">
        <is>
          <t>Approved</t>
        </is>
      </c>
      <c r="C2063" t="inlineStr">
        <is>
          <t>Procurement Order</t>
        </is>
      </c>
      <c r="D2063" s="3">
        <v>46093.546423611115</v>
      </c>
      <c r="E2063" s="3">
        <v>46093.714004629626</v>
      </c>
      <c r="F2063" t="inlineStr">
        <is>
          <t>Fatima Kathleen M. FLores</t>
        </is>
      </c>
      <c r="G2063" t="inlineStr">
        <is>
          <t>Procurement</t>
        </is>
      </c>
      <c r="H2063"/>
      <c r="I2063"/>
      <c r="J2063" t="inlineStr">
        <is>
          <t>Project</t>
        </is>
      </c>
      <c r="K2063" t="inlineStr">
        <is>
          <t>PDEI - Event Service</t>
        </is>
      </c>
      <c r="L2063" t="inlineStr">
        <is>
          <t>MPL PH S17</t>
        </is>
      </c>
      <c r="M2063" t="inlineStr">
        <is>
          <t>2026TEG-P0009</t>
        </is>
      </c>
      <c r="N2063" t="inlineStr">
        <is>
          <t>Katherine Denise Lee Sy</t>
        </is>
      </c>
      <c r="O2063" t="inlineStr">
        <is>
          <t>202603050103-Katherine Denise Lee Sy-费用报销 - 副本 - 副本 - 副本-2026-03-05 10:09:54</t>
        </is>
      </c>
      <c r="P2063" t="inlineStr">
        <is>
          <t>NO</t>
        </is>
      </c>
      <c r="Q2063"/>
      <c r="R2063" t="inlineStr">
        <is>
          <t>NO</t>
        </is>
      </c>
      <c r="S2063" t="inlineStr">
        <is>
          <t>Fabrication of Main stage &amp; On-ground Set-up (RS &amp; PO)</t>
        </is>
      </c>
      <c r="T2063">
        <v>1</v>
      </c>
      <c r="U2063">
        <v>2800000</v>
      </c>
      <c r="V2063" t="inlineStr">
        <is>
          <t>PHP</t>
        </is>
      </c>
      <c r="W2063">
        <v>2800000</v>
      </c>
      <c r="X2063" s="2" t="str">
        <f>=HYPERLINK("https://www.larksuite.com/approval/admin/previewAttachment?key=PMg9CsJAEAXgK703vztexiZLECU2wqrFnF2wSPvFIGI4NQpWlAI7gyFKltIifLh4SzOzkEy3nsd-XTweYz0xt_f9-9Fet22fL3qlCFLNdADg5XRNM6sKw9_xCwAA__8", "2 attachment(s)")</f>
        <v>2 attachment(s)</v>
      </c>
      <c r="Y2063" t="inlineStr">
        <is>
          <t>Bank Transfer</t>
        </is>
      </c>
      <c r="Z2063" t="inlineStr">
        <is>
          <t>STAGE ONE EVENT SERVICES CORP.</t>
        </is>
      </c>
      <c r="AA2063" t="inlineStr">
        <is>
          <t>0124 0800 3549</t>
        </is>
      </c>
      <c r="AB2063" t="inlineStr">
        <is>
          <t>BDO</t>
        </is>
      </c>
      <c r="AC2063" t="inlineStr">
        <is>
          <t>Kamagong St. cor. Ipil St. Hillcrest Village, Brgy. 173 Camarin, Caloocan</t>
        </is>
      </c>
      <c r="AD2063" s="4">
        <v>46094</v>
      </c>
      <c r="AE2063" t="inlineStr">
        <is>
          <t>50% Down Payment upon confirmation
50% Final Payment upon completion of services</t>
        </is>
      </c>
      <c r="AF2063" s="2"/>
      <c r="AG2063" t="inlineStr">
        <is>
          <t>NzQyNTk5MTgyNzQ4MTg3MDM0MTpGMDNFODk0MS1GQzQyLTQwRjctQUJGMS02MURBMTFFRjdEQkYtMTo3MTZiNzA0NGE4N2IyZDBlZjA3NGExNDcyOGU0ZDg5MDox</t>
        </is>
      </c>
      <c r="AH2063" t="inlineStr">
        <is>
          <t>STAGE ONE EVENT SERVICES CORP.</t>
        </is>
      </c>
      <c r="AI2063"/>
      <c r="AJ2063" t="inlineStr">
        <is>
          <t>LIQUIDITY PLAN (PAR # 202602190021 / 2026TEG-P0009)
v7 RAM S17 Main CE  Security TAB &gt; 
VENDORS &gt; Staging &amp; Fabrication
PLAYOFFS SPECIFIC &gt; VENDORS
Staging &amp; Fabrication
Total Remaining Budget = Php 3,163,264.00
Actual Cost = Php 2,800,000.00
Balance = Php 363,264.00</t>
        </is>
      </c>
      <c r="AK2063"/>
    </row>
    <row r="2064" ht="25.5" customHeight="1">
      <c r="A2064" s="2" t="str">
        <f>=HYPERLINK("https://applink.larksuite.com/client/mini_program/open?appId=cli_9c7cc8a9a9edd105&amp;mode=appCenter&amp;path_pc=pc/pages/requested/index?instanceId=7616244380042546911&amp;source=bitable&amp;path=pages/detail/index?instanceId=7616244380042546911&amp;source=bitable", "202603120054")</f>
        <v>202603120054</v>
      </c>
      <c r="B2064" t="inlineStr">
        <is>
          <t>Approved</t>
        </is>
      </c>
      <c r="C2064" t="inlineStr">
        <is>
          <t>Procurement Order</t>
        </is>
      </c>
      <c r="D2064" s="3">
        <v>46093.58195601852</v>
      </c>
      <c r="E2064" s="3">
        <v>46093.80503472222</v>
      </c>
      <c r="F2064" t="inlineStr">
        <is>
          <t>Fatima Kathleen M. FLores</t>
        </is>
      </c>
      <c r="G2064" t="inlineStr">
        <is>
          <t>Procurement</t>
        </is>
      </c>
      <c r="H2064"/>
      <c r="I2064"/>
      <c r="J2064" t="inlineStr">
        <is>
          <t>Project</t>
        </is>
      </c>
      <c r="K2064" t="inlineStr">
        <is>
          <t>PDEI - Event Service</t>
        </is>
      </c>
      <c r="L2064" t="inlineStr">
        <is>
          <t>MPL PH S17</t>
        </is>
      </c>
      <c r="M2064" t="inlineStr">
        <is>
          <t>2026TEG-P0009</t>
        </is>
      </c>
      <c r="N2064" t="inlineStr">
        <is>
          <t>Katherine Denise Lee Sy</t>
        </is>
      </c>
      <c r="O2064" t="inlineStr">
        <is>
          <t>202602200006-Katherine Denise Lee Sy-费用报销 - 副本 - 副本 - 副本-2026-02-20 02:34:42</t>
        </is>
      </c>
      <c r="P2064" t="inlineStr">
        <is>
          <t>YES</t>
        </is>
      </c>
      <c r="Q2064"/>
      <c r="R2064" t="inlineStr">
        <is>
          <t>NO</t>
        </is>
      </c>
      <c r="S2064" t="inlineStr">
        <is>
          <t>Outsourced Content Producer / Script writer</t>
        </is>
      </c>
      <c r="T2064">
        <v>1</v>
      </c>
      <c r="U2064">
        <v>75000</v>
      </c>
      <c r="V2064" t="inlineStr">
        <is>
          <t>PHP</t>
        </is>
      </c>
      <c r="W2064">
        <v>75000</v>
      </c>
      <c r="X2064" s="2" t="str">
        <f>=HYPERLINK("https://www.larksuite.com/approval/admin/previewAttachment?key=PMsxCgJBEATAL3XP9s5s-xkTj8ULLhLM5u2CgmlB5SJyTY40ZIbBrmSGNBagmEqTHc0qo1hTfVz7XrwWAqfn9jjV7-djHy9OVwRq_Dp4-_soSXYKX8cnAAD__w", "2 attachment(s)")</f>
        <v>2 attachment(s)</v>
      </c>
      <c r="Y2064" t="inlineStr">
        <is>
          <t>Bank Transfer</t>
        </is>
      </c>
      <c r="Z2064" t="inlineStr">
        <is>
          <t>Evan Bonjibod</t>
        </is>
      </c>
      <c r="AA2064" t="inlineStr">
        <is>
          <t>019795481281</t>
        </is>
      </c>
      <c r="AB2064" t="inlineStr">
        <is>
          <t>GoTyme Bank</t>
        </is>
      </c>
      <c r="AC2064" t="inlineStr">
        <is>
          <t>B22 L8, Diamond East St. Golden City Subd., Brgy Dolores, Taytay, Rizal</t>
        </is>
      </c>
      <c r="AD2064" s="4">
        <v>46101</v>
      </c>
      <c r="AE2064" t="inlineStr">
        <is>
          <t>1st Payment - Mar. 20, 2026
2nd Payment - Apr. 17, 2026
3rd Payment - May 22, 2026
4th Payment - Jun. 12, 2026
Final Payment - Jun 26, 2026</t>
        </is>
      </c>
      <c r="AF2064" s="2"/>
      <c r="AG2064" t="inlineStr">
        <is>
          <t>NzQyNTk5MTgyNzQ4MTg3MDM0MTpFRjdBQUJFQy05QkYzLTRDNDItQTFGRS1FQzE2QUI0QUE5MjktMTo3ZWEyNDI2NTU0NjhmZTI1ZTk5OTU0MzdmMzMzYjk5Njox</t>
        </is>
      </c>
      <c r="AH2064" t="inlineStr">
        <is>
          <t>Jesus Evan B. Bonjibod</t>
        </is>
      </c>
      <c r="AI2064"/>
      <c r="AJ2064" t="inlineStr">
        <is>
          <t>LIQUIDITY PLAN (PAR # 202602190021 / 2026TEG-P0009)
v7 RAM S17 Main CE  Security TAB &gt; 
MANPOWER &gt; Show &amp; Content &gt;
Content Producer / Script writer
Total Budget = Php 75,000.00
Actual Cost = Php 75,000.00</t>
        </is>
      </c>
      <c r="AK2064"/>
    </row>
    <row r="2065" ht="25.5" customHeight="1">
      <c r="A2065" s="2" t="str">
        <f>=HYPERLINK("https://applink.larksuite.com/client/mini_program/open?appId=cli_9c7cc8a9a9edd105&amp;mode=appCenter&amp;path_pc=pc/pages/requested/index?instanceId=7616242735132987099&amp;source=bitable&amp;path=pages/detail/index?instanceId=7616242735132987099&amp;source=bitable", "202603120052")</f>
        <v>202603120052</v>
      </c>
      <c r="B2065" t="inlineStr">
        <is>
          <t>Approved</t>
        </is>
      </c>
      <c r="C2065" t="inlineStr">
        <is>
          <t>Procurement Order</t>
        </is>
      </c>
      <c r="D2065" s="3">
        <v>46093.577523148146</v>
      </c>
      <c r="E2065" s="3">
        <v>46093.8058912037</v>
      </c>
      <c r="F2065" t="inlineStr">
        <is>
          <t>Fatima Kathleen M. FLores</t>
        </is>
      </c>
      <c r="G2065" t="inlineStr">
        <is>
          <t>Procurement</t>
        </is>
      </c>
      <c r="H2065"/>
      <c r="I2065"/>
      <c r="J2065" t="inlineStr">
        <is>
          <t>Project</t>
        </is>
      </c>
      <c r="K2065" t="inlineStr">
        <is>
          <t>PDEI - Event Service</t>
        </is>
      </c>
      <c r="L2065" t="inlineStr">
        <is>
          <t>MPL PH S17</t>
        </is>
      </c>
      <c r="M2065" t="inlineStr">
        <is>
          <t>2026TEG-P0009</t>
        </is>
      </c>
      <c r="N2065" t="inlineStr">
        <is>
          <t>Katherine Denise Lee Sy</t>
        </is>
      </c>
      <c r="O2065" t="inlineStr">
        <is>
          <t>202602190070-Katherine Denise Lee Sy-费用报销 - 副本 - 副本 - 副本-2026-02-19 08:20:14</t>
        </is>
      </c>
      <c r="P2065" t="inlineStr">
        <is>
          <t>YES</t>
        </is>
      </c>
      <c r="Q2065"/>
      <c r="R2065" t="inlineStr">
        <is>
          <t>NO</t>
        </is>
      </c>
      <c r="S2065" t="inlineStr">
        <is>
          <t>Outsourced Hospitality Manager</t>
        </is>
      </c>
      <c r="T2065">
        <v>1</v>
      </c>
      <c r="U2065">
        <v>155000</v>
      </c>
      <c r="V2065" t="inlineStr">
        <is>
          <t>PHP</t>
        </is>
      </c>
      <c r="W2065">
        <v>155000</v>
      </c>
      <c r="X2065" s="2" t="str">
        <f>=HYPERLINK("https://www.larksuite.com/approval/admin/previewAttachment?key=PMgxCgJBDAXQK_2fZJJ8L2Pjsggy0wiLzZxdsLB92UT2oKcQognclUwLKx90UxekbZtVQrFG7GOed5-f1rpsvthrrX09H-fx5lCZoTzCGwBvf_eKCCkDP8c3AAD__w", "2 attachment(s)")</f>
        <v>2 attachment(s)</v>
      </c>
      <c r="Y2065" t="inlineStr">
        <is>
          <t>Bank Transfer</t>
        </is>
      </c>
      <c r="Z2065" t="inlineStr">
        <is>
          <t>Jeremiah Montemayor Obial</t>
        </is>
      </c>
      <c r="AA2065" t="inlineStr">
        <is>
          <t>109427684740</t>
        </is>
      </c>
      <c r="AB2065" t="inlineStr">
        <is>
          <t>Unionbank</t>
        </is>
      </c>
      <c r="AC2065" t="inlineStr">
        <is>
          <t>18 Alfa Street North Fairview Park Subdivision</t>
        </is>
      </c>
      <c r="AD2065" s="4">
        <v>46101</v>
      </c>
      <c r="AE2065" t="inlineStr">
        <is>
          <t>1st Payment - Mar. 20, 2026
2nd Payment - Apr. 17, 2026
3rd Payment - May 22, 2026
4th Payment - Jun. 12, 2026
Final Payment - Jun 26, 2026</t>
        </is>
      </c>
      <c r="AF2065" s="2"/>
      <c r="AG2065" t="inlineStr">
        <is>
          <t>NzQyNTk5MTgyNzQ4MTg3MDM0MTpDQzYxNzU3Ny05QjZCLTQ2OTEtOTdCQy1DOTY1M0YyMzYxQTAtMTpjNzg2MjYzMGNkYmU3NTg3MWMwYmFiYzBlZjgyMjA3OTox</t>
        </is>
      </c>
      <c r="AH2065" t="inlineStr">
        <is>
          <t>Jeremiah Montemayor Obial</t>
        </is>
      </c>
      <c r="AI2065"/>
      <c r="AJ2065" t="inlineStr">
        <is>
          <t>LIQUIDITY PLAN (PAR # 202602190021 / 2026TEG-P0009)
v7 RAM S17 Main CE  Security TAB &gt; 
MANPOWER &gt; Hospitality &gt;
Hospitality Manager (Iah)
Total Budget = Php 155,000.00
Actual Cost = Php 155,000.00</t>
        </is>
      </c>
      <c r="AK2065"/>
    </row>
    <row r="2066" ht="25.5" customHeight="1">
      <c r="A2066" s="2" t="str">
        <f>=HYPERLINK("https://applink.larksuite.com/client/mini_program/open?appId=cli_9c7cc8a9a9edd105&amp;mode=appCenter&amp;path_pc=pc/pages/requested/index?instanceId=7616246480847802082&amp;source=bitable&amp;path=pages/detail/index?instanceId=7616246480847802082&amp;source=bitable", "202603120055")</f>
        <v>202603120055</v>
      </c>
      <c r="B2066" t="inlineStr">
        <is>
          <t>Approved</t>
        </is>
      </c>
      <c r="C2066" t="inlineStr">
        <is>
          <t>Procurement Order</t>
        </is>
      </c>
      <c r="D2066" s="3">
        <v>46093.58761574074</v>
      </c>
      <c r="E2066" s="3">
        <v>46093.807280092595</v>
      </c>
      <c r="F2066" t="inlineStr">
        <is>
          <t>Fatima Kathleen M. FLores</t>
        </is>
      </c>
      <c r="G2066" t="inlineStr">
        <is>
          <t>Procurement</t>
        </is>
      </c>
      <c r="H2066"/>
      <c r="I2066"/>
      <c r="J2066" t="inlineStr">
        <is>
          <t>Project</t>
        </is>
      </c>
      <c r="K2066" t="inlineStr">
        <is>
          <t>PDEI - Event Service</t>
        </is>
      </c>
      <c r="L2066" t="inlineStr">
        <is>
          <t>MPL PH S17</t>
        </is>
      </c>
      <c r="M2066" t="inlineStr">
        <is>
          <t>2026TEG-P0009</t>
        </is>
      </c>
      <c r="N2066" t="inlineStr">
        <is>
          <t>Katherine Denise Lee Sy</t>
        </is>
      </c>
      <c r="O2066" t="inlineStr">
        <is>
          <t>202602190044-Katherine Denise Lee Sy-费用报销 - 副本 - 副本 - 副本-2026-02-19 06:42:33</t>
        </is>
      </c>
      <c r="P2066" t="inlineStr">
        <is>
          <t>YES</t>
        </is>
      </c>
      <c r="Q2066"/>
      <c r="R2066" t="inlineStr">
        <is>
          <t>NO</t>
        </is>
      </c>
      <c r="S2066" t="inlineStr">
        <is>
          <t>Outsourced Main CG Operator (RS &amp; PO)</t>
        </is>
      </c>
      <c r="T2066">
        <v>1</v>
      </c>
      <c r="U2066">
        <v>114800</v>
      </c>
      <c r="V2066" t="inlineStr">
        <is>
          <t>PHP</t>
        </is>
      </c>
      <c r="W2066">
        <v>114800</v>
      </c>
      <c r="X2066" s="2" t="str">
        <f>=HYPERLINK("https://www.larksuite.com/approval/admin/previewAttachment?key=PMg9qsJwEATwK83szn8_3mVekxAUsRIDKfbsgoXtL4qIWvRoqGkNTgbDFCqUsmAoGxtmNpK5NPvz-H9fZ9md3HjVevict-3YX1ydZkiXvADw7-eekrpD-Do-AQAA__8", "2 attachment(s)")</f>
        <v>2 attachment(s)</v>
      </c>
      <c r="Y2066" t="inlineStr">
        <is>
          <t>Bank Transfer</t>
        </is>
      </c>
      <c r="Z2066" t="inlineStr">
        <is>
          <t>Mark Noel Alcaraz</t>
        </is>
      </c>
      <c r="AA2066" t="inlineStr">
        <is>
          <t>003520333729</t>
        </is>
      </c>
      <c r="AB2066" t="inlineStr">
        <is>
          <t>BDO</t>
        </is>
      </c>
      <c r="AC2066" t="inlineStr">
        <is>
          <t>045 Bancal Meycauayan Bulacan</t>
        </is>
      </c>
      <c r="AD2066" s="4">
        <v>46122</v>
      </c>
      <c r="AE2066" t="inlineStr">
        <is>
          <t>1st Payment - Apr. 10, 2026
2nd Payment - Apr. 24, 2026
3rd Payment - May 8, 2026
4th Payment - May 29, 2026
Final Payment - Jun 19, 2026</t>
        </is>
      </c>
      <c r="AF2066" s="2"/>
      <c r="AG2066" t="inlineStr">
        <is>
          <t>NzQyNTk5MTgyNzQ4MTg3MDM0MTpFODM2MDZCOS00NkFFLTQ1MzItQkU5MS0xM0VBRjQ5Qzc3MTktMTo5MmZhOGI5YzgxMGU3YjJkMTdiNDdiMDMxMGNkYzQ1NTox</t>
        </is>
      </c>
      <c r="AH2066" t="inlineStr">
        <is>
          <t>Mark Noel Alcaraz</t>
        </is>
      </c>
      <c r="AI2066"/>
      <c r="AJ2066" t="inlineStr">
        <is>
          <t>LIQUIDITY PLAN (PAR # 202602190021 / 2026TEG-P0009)
v7 RAM S17 Main CE  Security TAB &gt; 
MANPOWER &gt; Broadcast &amp; Production &gt;
Main CG Operator - 41 days
PLAYOFFS SPECIFIC &gt; MANPOWER &gt;
Broadcast &amp; Production &gt; Main CG Operator
Total Budget = Php 114,800.00
Actual Cost = Php 114,800.00</t>
        </is>
      </c>
      <c r="AK2066"/>
    </row>
    <row r="2067" ht="25.5" customHeight="1">
      <c r="A2067" s="2" t="str">
        <f>=HYPERLINK("https://applink.larksuite.com/client/mini_program/open?appId=cli_9c7cc8a9a9edd105&amp;mode=appCenter&amp;path_pc=pc/pages/requested/index?instanceId=7616236393651539679&amp;source=bitable&amp;path=pages/detail/index?instanceId=7616236393651539679&amp;source=bitable", "202603120046")</f>
        <v>202603120046</v>
      </c>
      <c r="B2067" t="inlineStr">
        <is>
          <t>Approved</t>
        </is>
      </c>
      <c r="C2067" t="inlineStr">
        <is>
          <t>Procurement Order</t>
        </is>
      </c>
      <c r="D2067" s="3">
        <v>46093.560428240744</v>
      </c>
      <c r="E2067" s="3">
        <v>46106.473703703705</v>
      </c>
      <c r="F2067" t="inlineStr">
        <is>
          <t>Fatima Kathleen M. FLores</t>
        </is>
      </c>
      <c r="G2067" t="inlineStr">
        <is>
          <t>Procurement</t>
        </is>
      </c>
      <c r="H2067"/>
      <c r="I2067"/>
      <c r="J2067" t="inlineStr">
        <is>
          <t>Project</t>
        </is>
      </c>
      <c r="K2067" t="inlineStr">
        <is>
          <t>PDEI - Game Marketing</t>
        </is>
      </c>
      <c r="L2067" t="inlineStr">
        <is>
          <t>SM Cyberzone Trading Card Game (TCG) Activations</t>
        </is>
      </c>
      <c r="M2067" t="inlineStr">
        <is>
          <t>2025TEG-P0278</t>
        </is>
      </c>
      <c r="N2067" t="inlineStr">
        <is>
          <t>Alessandra Mae Villanueva Boado</t>
        </is>
      </c>
      <c r="O2067" t="inlineStr">
        <is>
          <t>202602240003-Alessandra Mae Villanueva Boado-费用报销 - 副本 - 副本 - 副本-2026-02-24 02:24:10</t>
        </is>
      </c>
      <c r="P2067" t="inlineStr">
        <is>
          <t>YES</t>
        </is>
      </c>
      <c r="Q2067"/>
      <c r="R2067" t="inlineStr">
        <is>
          <t>YES</t>
        </is>
      </c>
      <c r="S2067" t="inlineStr">
        <is>
          <t>Outsourced Host (Phaister)</t>
        </is>
      </c>
      <c r="T2067">
        <v>1</v>
      </c>
      <c r="U2067">
        <v>89200</v>
      </c>
      <c r="V2067" t="inlineStr">
        <is>
          <t>PHP</t>
        </is>
      </c>
      <c r="W2067">
        <v>89200</v>
      </c>
      <c r="X2067" s="2" t="str">
        <f>=HYPERLINK("https://www.larksuite.com/approval/admin/previewAttachment?key=PMgxqoJBDATgK80k2WTnXeY1u_xYKAjyixY5u2Bh--Ukcg56CiGawK5kmqfLc3C4stTWrBKKNaL37fhnrXlez9fasPt79_Oyjv3gUJmhPMInAP793CsipAx8HZ8AAAD__w", "2 attachment(s)")</f>
        <v>2 attachment(s)</v>
      </c>
      <c r="Y2067" t="inlineStr">
        <is>
          <t>Bank Transfer</t>
        </is>
      </c>
      <c r="Z2067" t="inlineStr">
        <is>
          <t>Nona Sibayan</t>
        </is>
      </c>
      <c r="AA2067" t="inlineStr">
        <is>
          <t>109485313471</t>
        </is>
      </c>
      <c r="AB2067" t="inlineStr">
        <is>
          <t>Unionbank</t>
        </is>
      </c>
      <c r="AC2067" t="inlineStr">
        <is>
          <t>Lt. 18 Gen lim st. Soldiers Hills 2, LPC</t>
        </is>
      </c>
      <c r="AD2067" s="4">
        <v>46108</v>
      </c>
      <c r="AE2067" t="inlineStr">
        <is>
          <t>1st Payment - Mar. 27, 2026
Final Payment - Apr. 10, 2026</t>
        </is>
      </c>
      <c r="AF2067" s="2"/>
      <c r="AG2067" t="inlineStr">
        <is>
          <t>NzQyNTk5MTgyNzQ4MTg3MDM0MTo1RUNGRDk1QS1FMDNELTRDRkQtQTA4QS01RDc1MzRCMjk3RDctMTo0ZDcxMzkxMzg4Y2UzYTg3Yjc0NDA2MjhkNzlkNWE1Yjox</t>
        </is>
      </c>
      <c r="AH2067" t="inlineStr">
        <is>
          <t>Nona Sibayan</t>
        </is>
      </c>
      <c r="AI2067"/>
      <c r="AJ2067" t="inlineStr">
        <is>
          <t>LIQUIDITY PLAN (PAR # 202602090082 / 2025TEG-P0278)
SM North EDSA &gt; Main Host - Phaister
SM BF Paranaque &gt; Main Host - Phaister
Total Budget = Php 68,000.00
Actual Cost = Php 89,200.00
Balance = (Php 21,200.00) OVER BUDGET</t>
        </is>
      </c>
      <c r="AK2067"/>
    </row>
    <row r="2068" ht="25.5" customHeight="1">
      <c r="A2068" s="2" t="str">
        <f>=HYPERLINK("https://applink.larksuite.com/client/mini_program/open?appId=cli_9c7cc8a9a9edd105&amp;mode=appCenter&amp;path_pc=pc/pages/requested/index?instanceId=7616250137905909471&amp;source=bitable&amp;path=pages/detail/index?instanceId=7616250137905909471&amp;source=bitable", "202603120057")</f>
        <v>202603120057</v>
      </c>
      <c r="B2068" t="inlineStr">
        <is>
          <t>Approved</t>
        </is>
      </c>
      <c r="C2068" t="inlineStr">
        <is>
          <t>Procurement Order</t>
        </is>
      </c>
      <c r="D2068" s="3">
        <v>46093.59747685185</v>
      </c>
      <c r="E2068" s="3">
        <v>46093.81017361111</v>
      </c>
      <c r="F2068" t="inlineStr">
        <is>
          <t>Fatima Kathleen M. FLores</t>
        </is>
      </c>
      <c r="G2068" t="inlineStr">
        <is>
          <t>Procurement</t>
        </is>
      </c>
      <c r="H2068"/>
      <c r="I2068"/>
      <c r="J2068" t="inlineStr">
        <is>
          <t>Project</t>
        </is>
      </c>
      <c r="K2068" t="inlineStr">
        <is>
          <t>PDEI - Event Service</t>
        </is>
      </c>
      <c r="L2068" t="inlineStr">
        <is>
          <t>MPL PH S17</t>
        </is>
      </c>
      <c r="M2068" t="inlineStr">
        <is>
          <t>2026TEG-P0009</t>
        </is>
      </c>
      <c r="N2068" t="inlineStr">
        <is>
          <t>Katherine Denise Lee Sy</t>
        </is>
      </c>
      <c r="O2068" t="inlineStr">
        <is>
          <t>202602200007-Katherine Denise Lee Sy-费用报销 - 副本 - 副本 - 副本-2026-02-20 02:36:53</t>
        </is>
      </c>
      <c r="P2068" t="inlineStr">
        <is>
          <t>YES</t>
        </is>
      </c>
      <c r="Q2068"/>
      <c r="R2068" t="inlineStr">
        <is>
          <t>NO</t>
        </is>
      </c>
      <c r="S2068" t="inlineStr">
        <is>
          <t>Outsourced Script Writer (for Host)</t>
        </is>
      </c>
      <c r="T2068">
        <v>1</v>
      </c>
      <c r="U2068">
        <v>114500</v>
      </c>
      <c r="V2068" t="inlineStr">
        <is>
          <t>PHP</t>
        </is>
      </c>
      <c r="W2068">
        <v>114500</v>
      </c>
      <c r="X2068" s="2" t="str">
        <f>=HYPERLINK("https://www.larksuite.com/approval/admin/previewAttachment?key=PMg7CsJAGATgK83s_5gdL2NjCBpMJWi1ZxcsbL-eRM9itJHmMLjU7FFgyCjDKa6xKBmiKtd27lcfNYNHfM4H45nrfb_t24tljQFFZkwAvPw9lJl2J36ObwAAAP__", "2 attachment(s)")</f>
        <v>2 attachment(s)</v>
      </c>
      <c r="Y2068" t="inlineStr">
        <is>
          <t>Bank Transfer</t>
        </is>
      </c>
      <c r="Z2068" t="inlineStr">
        <is>
          <t>CALVIN A TRILLES</t>
        </is>
      </c>
      <c r="AA2068" t="inlineStr">
        <is>
          <t>0263026614016</t>
        </is>
      </c>
      <c r="AB2068" t="inlineStr">
        <is>
          <t>Metrobank</t>
        </is>
      </c>
      <c r="AC2068" t="inlineStr">
        <is>
          <t>0215 E. Viudez St., Purok 6, Brgy. Maasim, San Ildefonso, Bulacan</t>
        </is>
      </c>
      <c r="AD2068" s="4">
        <v>46101</v>
      </c>
      <c r="AE2068" t="inlineStr">
        <is>
          <t>1st Payment - Mar. 20, 2026
2nd Payment - Apr. 17, 2026
3rd Payment - May 8, 2026
4th Payment - May 22, 2026
Final Payment - Jun 12, 2026</t>
        </is>
      </c>
      <c r="AF2068" s="2"/>
      <c r="AG2068" t="inlineStr">
        <is>
          <t>NzQyNTk5MTgyNzQ4MTg3MDM0MTo2RTYzOEU0MC0wRjMxLTRDMjEtQTk5RS0wQ0U0RDFBMkVBQjctMTpjODU0M2Y3N2ZjODU3NTVhODM5NDA5ODBlZmMwN2U5Zjox</t>
        </is>
      </c>
      <c r="AH2068" t="inlineStr">
        <is>
          <t>CALVIN A TRILLES</t>
        </is>
      </c>
      <c r="AI2068"/>
      <c r="AJ2068" t="inlineStr">
        <is>
          <t>LIQUIDITY PLAN (PAR # 202602190021 / 2026TEG-P0009)
v7 RAM S17 Main CE  Security TAB &gt; 
MANPOWER &gt; Show &amp; Content &gt;
Host Script Writer
Total Budget = Php 114,500.00
Actual Cost = Php 114,500.00</t>
        </is>
      </c>
      <c r="AK2068"/>
    </row>
    <row r="2069" ht="25.5" customHeight="1">
      <c r="A2069" s="2" t="str">
        <f>=HYPERLINK("https://applink.larksuite.com/client/mini_program/open?appId=cli_9c7cc8a9a9edd105&amp;mode=appCenter&amp;path_pc=pc/pages/requested/index?instanceId=7616249143337455326&amp;source=bitable&amp;path=pages/detail/index?instanceId=7616249143337455326&amp;source=bitable", "202603120056")</f>
        <v>202603120056</v>
      </c>
      <c r="B2069" t="inlineStr">
        <is>
          <t>Approved</t>
        </is>
      </c>
      <c r="C2069" t="inlineStr">
        <is>
          <t>Procurement Order</t>
        </is>
      </c>
      <c r="D2069" s="3">
        <v>46093.59479166667</v>
      </c>
      <c r="E2069" s="3">
        <v>46093.81230324074</v>
      </c>
      <c r="F2069" t="inlineStr">
        <is>
          <t>Fatima Kathleen M. FLores</t>
        </is>
      </c>
      <c r="G2069" t="inlineStr">
        <is>
          <t>Procurement</t>
        </is>
      </c>
      <c r="H2069"/>
      <c r="I2069"/>
      <c r="J2069" t="inlineStr">
        <is>
          <t>Project</t>
        </is>
      </c>
      <c r="K2069" t="inlineStr">
        <is>
          <t>PDEI - Event Service</t>
        </is>
      </c>
      <c r="L2069" t="inlineStr">
        <is>
          <t>MPL PH S17</t>
        </is>
      </c>
      <c r="M2069" t="inlineStr">
        <is>
          <t>2026TEG-P0009</t>
        </is>
      </c>
      <c r="N2069" t="inlineStr">
        <is>
          <t>Katherine Denise Lee Sy</t>
        </is>
      </c>
      <c r="O2069" t="inlineStr">
        <is>
          <t>202602190068-Katherine Denise Lee Sy-费用报销 - 副本 - 副本 - 副本-2026-02-19 08:04:42</t>
        </is>
      </c>
      <c r="P2069" t="inlineStr">
        <is>
          <t>YES</t>
        </is>
      </c>
      <c r="Q2069"/>
      <c r="R2069" t="inlineStr">
        <is>
          <t>NO</t>
        </is>
      </c>
      <c r="S2069" t="inlineStr">
        <is>
          <t>Outsourced Content Producer</t>
        </is>
      </c>
      <c r="T2069">
        <v>1</v>
      </c>
      <c r="U2069">
        <v>140000</v>
      </c>
      <c r="V2069" t="inlineStr">
        <is>
          <t>PHP</t>
        </is>
      </c>
      <c r="W2069">
        <v>140000</v>
      </c>
      <c r="X2069" s="2" t="str">
        <f>=HYPERLINK("https://www.larksuite.com/approval/admin/previewAttachment?key=PMgxrgIxDATQK3nssSf-l_nNriIklAqx0OTsSBS0rwasRiKqjQ1vw1ahnA1GhJgZXts3pDZByX2u-X9h3cfqfGq-3gf2dTvm-UC23E1BxjAz_P08RLK7aF-3TwAAAP__", "2 attachment(s)")</f>
        <v>2 attachment(s)</v>
      </c>
      <c r="Y2069" t="inlineStr">
        <is>
          <t>Bank Transfer</t>
        </is>
      </c>
      <c r="Z2069" t="inlineStr">
        <is>
          <t>Caisam Yvez F. Nopueto</t>
        </is>
      </c>
      <c r="AA2069" t="inlineStr">
        <is>
          <t>12130019206</t>
        </is>
      </c>
      <c r="AB2069" t="inlineStr">
        <is>
          <t>BDO</t>
        </is>
      </c>
      <c r="AC2069" t="inlineStr">
        <is>
          <t>#72 Carmen Street, Brgy. San Carlos, Binangonan, Rizal</t>
        </is>
      </c>
      <c r="AD2069" s="4">
        <v>46101</v>
      </c>
      <c r="AE2069" t="inlineStr">
        <is>
          <t>1st Payment - Mar. 20, 2026
2nd Payment - Apr. 17, 2026
3rd Payment - May 22, 2026
4th Payment - Jun. 12, 2026
Final Payment - Jun 26, 2026</t>
        </is>
      </c>
      <c r="AF2069" s="2"/>
      <c r="AG2069" t="inlineStr">
        <is>
          <t>NzQyNTk5MTgyNzQ4MTg3MDM0MTpFNzg5MjdFOC1GRUIzLTRENjItOThFMS1DOURCNjg0OUUzNkYtMTo5ODdiYzdjNDM4YzM4NThjY2FkODc0OTQ0YzljZGNmMzox</t>
        </is>
      </c>
      <c r="AH2069" t="inlineStr">
        <is>
          <t>Caisam Yvez F. Nopueto</t>
        </is>
      </c>
      <c r="AI2069"/>
      <c r="AJ2069" t="inlineStr">
        <is>
          <t>LIQUIDITY PLAN (PAR # 202602190021 / 2026TEG-P0009)
v7 RAM S17 Main CE  Security TAB &gt; 
MANPOWER &gt; Show &amp; Content &gt;
Content Producer (Wolf)
Total Budget = Php 140,000.00
Actual Cost = Php 140,000.00</t>
        </is>
      </c>
      <c r="AK2069"/>
    </row>
    <row r="2070" ht="25.5" customHeight="1">
      <c r="A2070" s="2" t="str">
        <f>=HYPERLINK("https://applink.larksuite.com/client/mini_program/open?appId=cli_9c7cc8a9a9edd105&amp;mode=appCenter&amp;path_pc=pc/pages/requested/index?instanceId=7616278790104174300&amp;source=bitable&amp;path=pages/detail/index?instanceId=7616278790104174300&amp;source=bitable", "202603120071")</f>
        <v>202603120071</v>
      </c>
      <c r="B2070" t="inlineStr">
        <is>
          <t>Approved</t>
        </is>
      </c>
      <c r="C2070" t="inlineStr">
        <is>
          <t>Procurement Order</t>
        </is>
      </c>
      <c r="D2070" s="3">
        <v>46093.6746875</v>
      </c>
      <c r="E2070" s="3">
        <v>46094.45469907407</v>
      </c>
      <c r="F2070" t="inlineStr">
        <is>
          <t>Fatima Kathleen M. FLores</t>
        </is>
      </c>
      <c r="G2070" t="inlineStr">
        <is>
          <t>Procurement</t>
        </is>
      </c>
      <c r="H2070"/>
      <c r="I2070"/>
      <c r="J2070" t="inlineStr">
        <is>
          <t>Project</t>
        </is>
      </c>
      <c r="K2070" t="inlineStr">
        <is>
          <t>PDEI - Game Marketing</t>
        </is>
      </c>
      <c r="L2070" t="inlineStr">
        <is>
          <t>SM Cyberzone Trading Card Game (TCG) Activations</t>
        </is>
      </c>
      <c r="M2070" t="inlineStr">
        <is>
          <t>2025TEG-P0278</t>
        </is>
      </c>
      <c r="N2070" t="inlineStr">
        <is>
          <t>Alessandra Mae Villanueva Boado</t>
        </is>
      </c>
      <c r="O2070" t="inlineStr">
        <is>
          <t>202602130096-Alessandra Mae Villanueva Boado-费用报销 - 副本 - 副本 - 副本-2026-02-13 10:35:39</t>
        </is>
      </c>
      <c r="P2070" t="inlineStr">
        <is>
          <t>YES</t>
        </is>
      </c>
      <c r="Q2070"/>
      <c r="R2070" t="inlineStr">
        <is>
          <t>NO</t>
        </is>
      </c>
      <c r="S2070" t="inlineStr">
        <is>
          <t>Outsourced League Operations (1 day)</t>
        </is>
      </c>
      <c r="T2070">
        <v>1</v>
      </c>
      <c r="U2070">
        <v>1700</v>
      </c>
      <c r="V2070" t="inlineStr">
        <is>
          <t>PHP</t>
        </is>
      </c>
      <c r="W2070">
        <v>1700</v>
      </c>
      <c r="X2070" s="2" t="str">
        <f>=HYPERLINK("https://www.larksuite.com/approval/admin/previewAttachment?key=PMgxCgIxFATQK83kT_7kexmbLEFkrYS1ytkFC9uXg8jRGVlQsRW4nczm4QIhWgHstmkXTHft47Xu9exjzrmus33i1L4ecx1v9nJrcEgxAPD297CkqhR-jm8AAAD__w", "2 attachment(s)")</f>
        <v>2 attachment(s)</v>
      </c>
      <c r="Y2070" t="inlineStr">
        <is>
          <t>Bank Transfer</t>
        </is>
      </c>
      <c r="Z2070" t="inlineStr">
        <is>
          <t>Juvin Daryl L. Chico</t>
        </is>
      </c>
      <c r="AA2070" t="inlineStr">
        <is>
          <t>2486264929</t>
        </is>
      </c>
      <c r="AB2070" t="inlineStr">
        <is>
          <t>Landbank</t>
        </is>
      </c>
      <c r="AC2070" t="inlineStr">
        <is>
          <t>Blk 1 lot 27 Amethyst st. Saint Francis Homes III. San Pedro Laguna</t>
        </is>
      </c>
      <c r="AD2070" s="4">
        <v>46101</v>
      </c>
      <c r="AE2070" t="inlineStr">
        <is>
          <t>100% Full Payment - Mar. 20, 2026</t>
        </is>
      </c>
      <c r="AF2070" s="2"/>
      <c r="AG2070" t="inlineStr">
        <is>
          <t>NzQyNTk5MTgyNzQ4MTg3MDM0MTo3NUM1Q0FGMC0xNzEwLTQ2RjItOTQ5Ny1ENTJGMkJFNDU4OTktMTo1MDdkOGNlOTg5OTNjZTYyMjM3YTc0ZDc0ZWY0ZWRmNzox</t>
        </is>
      </c>
      <c r="AH2070" t="inlineStr">
        <is>
          <t>Juvin Daryl L. Chico</t>
        </is>
      </c>
      <c r="AI2070"/>
      <c r="AJ2070" t="inlineStr">
        <is>
          <t>LIQUIDITY PLAN (PAR # 202602090082 / 2025TEG-P0278)
SM North EDSA &gt; League ops - MLBB
SM BF Paranaque &gt; League ops - MLBB
Total Budget = Php 13,600.00
Actual Cost = Php 1,700.00
Balance = Php 11,900.00</t>
        </is>
      </c>
      <c r="AK2070"/>
    </row>
    <row r="2071" ht="25.5" customHeight="1">
      <c r="A2071" s="2" t="str">
        <f>=HYPERLINK("https://applink.larksuite.com/client/mini_program/open?appId=cli_9c7cc8a9a9edd105&amp;mode=appCenter&amp;path_pc=pc/pages/requested/index?instanceId=7616286275087257307&amp;source=bitable&amp;path=pages/detail/index?instanceId=7616286275087257307&amp;source=bitable", "202603120086")</f>
        <v>202603120086</v>
      </c>
      <c r="B2071" t="inlineStr">
        <is>
          <t>Approved</t>
        </is>
      </c>
      <c r="C2071" t="inlineStr">
        <is>
          <t>Procurement Order</t>
        </is>
      </c>
      <c r="D2071" s="3">
        <v>46093.69484953704</v>
      </c>
      <c r="E2071" s="3">
        <v>46093.81346064815</v>
      </c>
      <c r="F2071" t="inlineStr">
        <is>
          <t>Fatima Kathleen M. FLores</t>
        </is>
      </c>
      <c r="G2071" t="inlineStr">
        <is>
          <t>Procurement</t>
        </is>
      </c>
      <c r="H2071"/>
      <c r="I2071"/>
      <c r="J2071" t="inlineStr">
        <is>
          <t>Project</t>
        </is>
      </c>
      <c r="K2071" t="inlineStr">
        <is>
          <t>PDEI - Event Service</t>
        </is>
      </c>
      <c r="L2071" t="inlineStr">
        <is>
          <t>MPL PH S17</t>
        </is>
      </c>
      <c r="M2071" t="inlineStr">
        <is>
          <t>2026TEG-P0009</t>
        </is>
      </c>
      <c r="N2071" t="inlineStr">
        <is>
          <t>Katherine Denise Lee Sy</t>
        </is>
      </c>
      <c r="O2071" t="inlineStr">
        <is>
          <t>202602190054-Katherine Denise Lee Sy-费用报销 - 副本 - 副本 - 副本-2026-02-19 07:21:53</t>
        </is>
      </c>
      <c r="P2071" t="inlineStr">
        <is>
          <t>YES</t>
        </is>
      </c>
      <c r="Q2071"/>
      <c r="R2071" t="inlineStr">
        <is>
          <t>NO</t>
        </is>
      </c>
      <c r="S2071" t="inlineStr">
        <is>
          <t>Outsourced Floor Director (RS &amp; PO)</t>
        </is>
      </c>
      <c r="T2071">
        <v>1</v>
      </c>
      <c r="U2071">
        <v>83000</v>
      </c>
      <c r="V2071" t="inlineStr">
        <is>
          <t>PHP</t>
        </is>
      </c>
      <c r="W2071">
        <v>83000</v>
      </c>
      <c r="X2071" s="2" t="str">
        <f>=HYPERLINK("https://www.larksuite.com/approval/admin/previewAttachment?key=PMg7CsJgEATgK80-Z9fL2BiCGFMJPzZ7dsEi7ZclyAqxbHiLNmSYklqpDBQ1aODoCNmgMHy2c79_X2HLSzXePM5j1vOxbx-Jpipo7lYA5Ha50d270_F3_AIAAP__", "2 attachment(s)")</f>
        <v>2 attachment(s)</v>
      </c>
      <c r="Y2071" t="inlineStr">
        <is>
          <t>Bank Transfer</t>
        </is>
      </c>
      <c r="Z2071" t="inlineStr">
        <is>
          <t>Ralph Renzo V. Desamparado</t>
        </is>
      </c>
      <c r="AA2071" t="inlineStr">
        <is>
          <t>0968-222-2986</t>
        </is>
      </c>
      <c r="AB2071" t="inlineStr">
        <is>
          <t>GCash</t>
        </is>
      </c>
      <c r="AC2071" t="inlineStr">
        <is>
          <t>Blk 8 lot 9 Valencia St. Phase 1 Avida Santa Catalina Barangay Salawag City of Dasmariñas Cavite</t>
        </is>
      </c>
      <c r="AD2071" s="4">
        <v>46122</v>
      </c>
      <c r="AE2071" t="inlineStr">
        <is>
          <t>1st Payment - Apr. 10, 2026
2nd Payment - Apr. 24, 2026
3rd Payment - May 8, 2026
4th Payment - May 29, 2026
Final Payment - Jun 19, 2026</t>
        </is>
      </c>
      <c r="AF2071" s="2"/>
      <c r="AG2071" t="inlineStr">
        <is>
          <t>NzQyNTk5MTgyNzQ4MTg3MDM0MTpFMTNFQzg4NC03OTg5LTRCRDAtOTlENi03NDI1REEwMzdGMEEtMTpjZTQxZTYxMTU2ZjRmYjU0MmI2NzAzMzQ5ZDgwOGM3Mjox</t>
        </is>
      </c>
      <c r="AH2071" t="inlineStr">
        <is>
          <t>Ralph Renzo V. Desamparado</t>
        </is>
      </c>
      <c r="AI2071"/>
      <c r="AJ2071" t="inlineStr">
        <is>
          <t>LIQUIDITY PLAN (PAR # 202602190021 / 2026TEG-P0009)
v7 RAM S17 Main CE  Security TAB &gt; 
MANPOWER &gt; Broadcast &amp; Production &gt;
Floor Director 
PLAYOFFS SPECIFIC &gt; MANPOWER &gt;
Broadcast &amp; Production &gt; Floor Director 
Total Budget = Php 87,500.00
Actual Cost = Php 83,000.00
Balance = Php 4,500.00</t>
        </is>
      </c>
      <c r="AK2071"/>
    </row>
    <row r="2072" ht="25.5" customHeight="1">
      <c r="A2072" s="2" t="str">
        <f>=HYPERLINK("https://applink.larksuite.com/client/mini_program/open?appId=cli_9c7cc8a9a9edd105&amp;mode=appCenter&amp;path_pc=pc/pages/requested/index?instanceId=7616285977622941404&amp;source=bitable&amp;path=pages/detail/index?instanceId=7616285977622941404&amp;source=bitable", "202603120085")</f>
        <v>202603120085</v>
      </c>
      <c r="B2072" t="inlineStr">
        <is>
          <t>Approved</t>
        </is>
      </c>
      <c r="C2072" t="inlineStr">
        <is>
          <t>Procurement Order</t>
        </is>
      </c>
      <c r="D2072" s="3">
        <v>46093.69405092593</v>
      </c>
      <c r="E2072" s="3">
        <v>46093.81445601852</v>
      </c>
      <c r="F2072" t="inlineStr">
        <is>
          <t>Fatima Kathleen M. FLores</t>
        </is>
      </c>
      <c r="G2072" t="inlineStr">
        <is>
          <t>Procurement</t>
        </is>
      </c>
      <c r="H2072"/>
      <c r="I2072"/>
      <c r="J2072" t="inlineStr">
        <is>
          <t>Project</t>
        </is>
      </c>
      <c r="K2072" t="inlineStr">
        <is>
          <t>PDEI - Event Service</t>
        </is>
      </c>
      <c r="L2072" t="inlineStr">
        <is>
          <t>MPL PH S17</t>
        </is>
      </c>
      <c r="M2072" t="inlineStr">
        <is>
          <t>2026TEG-P0009</t>
        </is>
      </c>
      <c r="N2072" t="inlineStr">
        <is>
          <t>Katherine Denise Lee Sy</t>
        </is>
      </c>
      <c r="O2072" t="inlineStr">
        <is>
          <t>202602190055-Katherine Denise Lee Sy-费用报销 - 副本 - 副本 - 副本-2026-02-19 07:23:58</t>
        </is>
      </c>
      <c r="P2072" t="inlineStr">
        <is>
          <t>YES</t>
        </is>
      </c>
      <c r="Q2072"/>
      <c r="R2072" t="inlineStr">
        <is>
          <t>NO</t>
        </is>
      </c>
      <c r="S2072" t="inlineStr">
        <is>
          <t>Outsourced Stage Hand (RS &amp; PO)</t>
        </is>
      </c>
      <c r="T2072">
        <v>1</v>
      </c>
      <c r="U2072">
        <v>52500</v>
      </c>
      <c r="V2072" t="inlineStr">
        <is>
          <t>PHP</t>
        </is>
      </c>
      <c r="W2072">
        <v>52500</v>
      </c>
      <c r="X2072" s="2" t="str">
        <f>=HYPERLINK("https://www.larksuite.com/approval/admin/previewAttachment?key=PMgxCgIxFATQK838TP7kexkblyDKLoKwVjm7YGH7chA5OlsWVIwCl5MZo5edESUKWrFoF0x3rW2f15P783g9PpOex9bWeb_N7c1ejoCb1AYAXv7eLKkqhZ_jGwAA__8", "2 attachment(s)")</f>
        <v>2 attachment(s)</v>
      </c>
      <c r="Y2072" t="inlineStr">
        <is>
          <t>Bank Transfer</t>
        </is>
      </c>
      <c r="Z2072" t="inlineStr">
        <is>
          <t>Neil Legreso Magan</t>
        </is>
      </c>
      <c r="AA2072" t="inlineStr">
        <is>
          <t>09639963607</t>
        </is>
      </c>
      <c r="AB2072" t="inlineStr">
        <is>
          <t>GCash</t>
        </is>
      </c>
      <c r="AC2072" t="inlineStr">
        <is>
          <t>231 Laot, Buenavista sta. Maria Bulacan</t>
        </is>
      </c>
      <c r="AD2072" s="4">
        <v>46122</v>
      </c>
      <c r="AE2072" t="inlineStr">
        <is>
          <t>1st Payment - Apr. 10, 2026
2nd Payment - Apr. 24, 2026
3rd Payment - May 8, 2026
4th Payment - May 29, 2026
Final Payment - Jun 19, 2026</t>
        </is>
      </c>
      <c r="AF2072" s="2"/>
      <c r="AG2072" t="inlineStr">
        <is>
          <t>NzQyNTk5MTgyNzQ4MTg3MDM0MTpCNTFDMEFGMC1CNEMxLTRFRjctOUMzMy03Qjk4OEE2QjBCMUUtMTozNzM4NDczYWFiOWJiYTdhY2QwYmY2YmUyZDI2OGViNzox</t>
        </is>
      </c>
      <c r="AH2072" t="inlineStr">
        <is>
          <t>Neil Legreso Magan</t>
        </is>
      </c>
      <c r="AI2072"/>
      <c r="AJ2072" t="inlineStr">
        <is>
          <t>LIQUIDITY PLAN (PAR # 202602190021 / 2026TEG-P0009)
v7 RAM S17 Main CE  Security TAB &gt; 
MANPOWER &gt; Broadcast &amp; Production &gt;
Stage Hand
PLAYOFFS SPECIFIC &gt; MANPOWER &gt;
Broadcast &amp; Production &gt; Stage Hand
Total Budget = Php 64,500.00
Actual Cost = Php 52,500.00
Balance = Php 12,000.00</t>
        </is>
      </c>
      <c r="AK2072"/>
    </row>
    <row r="2073" ht="25.5" customHeight="1">
      <c r="A2073" s="2" t="str">
        <f>=HYPERLINK("https://applink.larksuite.com/client/mini_program/open?appId=cli_9c7cc8a9a9edd105&amp;mode=appCenter&amp;path_pc=pc/pages/requested/index?instanceId=7616291231231921887&amp;source=bitable&amp;path=pages/detail/index?instanceId=7616291231231921887&amp;source=bitable", "202603120089")</f>
        <v>202603120089</v>
      </c>
      <c r="B2073" t="inlineStr">
        <is>
          <t>Approved</t>
        </is>
      </c>
      <c r="C2073" t="inlineStr">
        <is>
          <t>Procurement Order</t>
        </is>
      </c>
      <c r="D2073" s="3">
        <v>46093.70820601852</v>
      </c>
      <c r="E2073" s="3">
        <v>46093.81707175926</v>
      </c>
      <c r="F2073" t="inlineStr">
        <is>
          <t>Fatima Kathleen M. FLores</t>
        </is>
      </c>
      <c r="G2073" t="inlineStr">
        <is>
          <t>Procurement</t>
        </is>
      </c>
      <c r="H2073"/>
      <c r="I2073"/>
      <c r="J2073" t="inlineStr">
        <is>
          <t>Project</t>
        </is>
      </c>
      <c r="K2073" t="inlineStr">
        <is>
          <t>PDEI - Event Service</t>
        </is>
      </c>
      <c r="L2073" t="inlineStr">
        <is>
          <t>MPL PH S17</t>
        </is>
      </c>
      <c r="M2073" t="inlineStr">
        <is>
          <t>2026TEG-P0009</t>
        </is>
      </c>
      <c r="N2073" t="inlineStr">
        <is>
          <t>Katherine Denise Lee Sy</t>
        </is>
      </c>
      <c r="O2073" t="inlineStr">
        <is>
          <t>202602190058-Katherine Denise Lee Sy-费用报销 - 副本 - 副本 - 副本-2026-02-19 07:37:51</t>
        </is>
      </c>
      <c r="P2073" t="inlineStr">
        <is>
          <t>YES</t>
        </is>
      </c>
      <c r="Q2073"/>
      <c r="R2073" t="inlineStr">
        <is>
          <t>NO</t>
        </is>
      </c>
      <c r="S2073" t="inlineStr">
        <is>
          <t>Outsourced Game Observer</t>
        </is>
      </c>
      <c r="T2073">
        <v>1</v>
      </c>
      <c r="U2073">
        <v>74250</v>
      </c>
      <c r="V2073" t="inlineStr">
        <is>
          <t>PHP</t>
        </is>
      </c>
      <c r="W2073">
        <v>74250</v>
      </c>
      <c r="X2073" s="2" t="str">
        <f>=HYPERLINK("https://www.larksuite.com/approval/admin/previewAttachment?key=PMgxDsJADATAL-36fLaXz9AkilBQ0iDS-e0ICqSpJoqImhwhuGgCO4Nhoo0vGauyrZkpJHN6r8d21z5r2XWd7-ex4OzrsWzri1NphhzuowDw9v-R7i6F4_f4BAAA__8", "2 attachment(s)")</f>
        <v>2 attachment(s)</v>
      </c>
      <c r="Y2073" t="inlineStr">
        <is>
          <t>Bank Transfer</t>
        </is>
      </c>
      <c r="Z2073" t="inlineStr">
        <is>
          <t>John Troy J. Berris</t>
        </is>
      </c>
      <c r="AA2073" t="inlineStr">
        <is>
          <t>010340031670</t>
        </is>
      </c>
      <c r="AB2073" t="inlineStr">
        <is>
          <t>BDO</t>
        </is>
      </c>
      <c r="AC2073" t="inlineStr">
        <is>
          <t>52 Asheville Street, Santa Rosa, Laguna, Laguna Bel Air 1, Brgy. Don Jose</t>
        </is>
      </c>
      <c r="AD2073" s="4">
        <v>46122</v>
      </c>
      <c r="AE2073" t="inlineStr">
        <is>
          <t>1st Payment - Apr. 10, 2026
2nd Payment - Apr. 24, 2026
3rd Payment - May 8, 2026
4th Payment - May 29, 2026
Final Payment - Jun 19, 2026</t>
        </is>
      </c>
      <c r="AF2073" s="2"/>
      <c r="AG2073" t="inlineStr">
        <is>
          <t>NzQyNTk5MTgyNzQ4MTg3MDM0MTpEN0FCMEY1NS0yODIzLTRBMkUtOTQ3MC00NjgwNUY2QjMzNzktMTphNDFhN2M5YTc2ZmNmMjc5ZmQzMjZhNTQzOWQ4MGNmOTox</t>
        </is>
      </c>
      <c r="AH2073" t="inlineStr">
        <is>
          <t>John Troy J. Berris</t>
        </is>
      </c>
      <c r="AI2073"/>
      <c r="AJ2073" t="inlineStr">
        <is>
          <t>LIQUIDITY PLAN (PAR # 202602190021 / 2026TEG-P0009)
v7 RAM S17 Main CE  Security TAB &gt; 
MANPOWER &gt; Broadcast &amp; Production &gt;
Game Observer
PLAYOFFS SPECIFIC &gt; MANPOWER &gt;
Broadcast &amp; Production &gt; Game Observer
Total Budget = Php 74,250.00
Actual Cost = Php 74,250.00</t>
        </is>
      </c>
      <c r="AK2073"/>
    </row>
    <row r="2074" ht="25.5" customHeight="1">
      <c r="A2074" s="2" t="str">
        <f>=HYPERLINK("https://applink.larksuite.com/client/mini_program/open?appId=cli_9c7cc8a9a9edd105&amp;mode=appCenter&amp;path_pc=pc/pages/requested/index?instanceId=7616296425957150430&amp;source=bitable&amp;path=pages/detail/index?instanceId=7616296425957150430&amp;source=bitable", "202603120095")</f>
        <v>202603120095</v>
      </c>
      <c r="B2074" t="inlineStr">
        <is>
          <t>Approved</t>
        </is>
      </c>
      <c r="C2074" t="inlineStr">
        <is>
          <t>Procurement Order</t>
        </is>
      </c>
      <c r="D2074" s="3">
        <v>46093.72221064815</v>
      </c>
      <c r="E2074" s="3">
        <v>46093.8178125</v>
      </c>
      <c r="F2074" t="inlineStr">
        <is>
          <t>Fatima Kathleen M. FLores</t>
        </is>
      </c>
      <c r="G2074" t="inlineStr">
        <is>
          <t>Procurement</t>
        </is>
      </c>
      <c r="H2074"/>
      <c r="I2074"/>
      <c r="J2074" t="inlineStr">
        <is>
          <t>Project</t>
        </is>
      </c>
      <c r="K2074" t="inlineStr">
        <is>
          <t>PDEI - Event Service</t>
        </is>
      </c>
      <c r="L2074" t="inlineStr">
        <is>
          <t>MPL PH S17</t>
        </is>
      </c>
      <c r="M2074" t="inlineStr">
        <is>
          <t>2026TEG-P0009</t>
        </is>
      </c>
      <c r="N2074" t="inlineStr">
        <is>
          <t>Katherine Denise Lee Sy</t>
        </is>
      </c>
      <c r="O2074" t="inlineStr">
        <is>
          <t>202602190065-Katherine Denise Lee Sy-费用报销 - 副本 - 副本 - 副本-2026-02-19 07:56:51</t>
        </is>
      </c>
      <c r="P2074" t="inlineStr">
        <is>
          <t>YES</t>
        </is>
      </c>
      <c r="Q2074"/>
      <c r="R2074" t="inlineStr">
        <is>
          <t>NO</t>
        </is>
      </c>
      <c r="S2074" t="inlineStr">
        <is>
          <t>Outsourced Collaterals Designer / Asst GA</t>
        </is>
      </c>
      <c r="T2074">
        <v>1</v>
      </c>
      <c r="U2074">
        <v>55000</v>
      </c>
      <c r="V2074" t="inlineStr">
        <is>
          <t>PHP</t>
        </is>
      </c>
      <c r="W2074">
        <v>55000</v>
      </c>
      <c r="X2074" s="2" t="str">
        <f>=HYPERLINK("https://www.larksuite.com/approval/admin/previewAttachment?key=PMg9CgJBDAXgK70kL8nEy9g4DP6wIAirFjm7YLHtF0MQw8WiwBItSGdIaAXVy1McNLS2ZBZS0tlzW-fP3W3X982faz62b-_Xy5ov8UpVpJE2AMjpcEuSVUH8Hb8AAAD__w", "2 attachment(s)")</f>
        <v>2 attachment(s)</v>
      </c>
      <c r="Y2074" t="inlineStr">
        <is>
          <t>Bank Transfer</t>
        </is>
      </c>
      <c r="Z2074" t="inlineStr">
        <is>
          <t>John Kenneth Todoc</t>
        </is>
      </c>
      <c r="AA2074" t="inlineStr">
        <is>
          <t>012936593912</t>
        </is>
      </c>
      <c r="AB2074" t="inlineStr">
        <is>
          <t>GoTyme Bank</t>
        </is>
      </c>
      <c r="AC2074" t="inlineStr">
        <is>
          <t>Blk 22 Lot 4 Carissa 5A SJDM Bulacan</t>
        </is>
      </c>
      <c r="AD2074" s="4">
        <v>46122</v>
      </c>
      <c r="AE2074" t="inlineStr">
        <is>
          <t>1st Payment - Apr. 10, 2026
2nd Payment - Apr. 24, 2026
3rd Payment - May 8, 2026
4th Payment - May 29, 2026
Final Payment - Jun 19, 2026</t>
        </is>
      </c>
      <c r="AF2074" s="2"/>
      <c r="AG2074" t="inlineStr">
        <is>
          <t>NzQyNTk5MTgyNzQ4MTg3MDM0MTpFQjI5RjNDRC04QjczLTRFM0YtOThERS03NDlFRUZDMTNCOTQtMTo3YzM0ZDVkNjUyZmFmZTMyZDc1MGRlMGIyYzA2NmFmODox</t>
        </is>
      </c>
      <c r="AH2074" t="inlineStr">
        <is>
          <t>John Kenneth Todoc</t>
        </is>
      </c>
      <c r="AI2074"/>
      <c r="AJ2074" t="inlineStr">
        <is>
          <t>LIQUIDITY PLAN (PAR # 202602190021 / 2026TEG-P0009)
v7 RAM S17 Main CE  Security TAB &gt; 
MANPOWER &gt; Show &amp; Content &gt;
Collateral Designer
Total Budget = Php 75,000.00
Actual Cost = Php 55,000.00
Balance = Php 20,000.00</t>
        </is>
      </c>
      <c r="AK2074"/>
    </row>
    <row r="2075" ht="25.5" customHeight="1">
      <c r="A2075" s="2" t="str">
        <f>=HYPERLINK("https://applink.larksuite.com/client/mini_program/open?appId=cli_9c7cc8a9a9edd105&amp;mode=appCenter&amp;path_pc=pc/pages/requested/index?instanceId=7616292756725485276&amp;source=bitable&amp;path=pages/detail/index?instanceId=7616292756725485276&amp;source=bitable", "202603120091")</f>
        <v>202603120091</v>
      </c>
      <c r="B2075" t="inlineStr">
        <is>
          <t>Approved</t>
        </is>
      </c>
      <c r="C2075" t="inlineStr">
        <is>
          <t>Procurement Order</t>
        </is>
      </c>
      <c r="D2075" s="3">
        <v>46093.71231481482</v>
      </c>
      <c r="E2075" s="3">
        <v>46093.818449074075</v>
      </c>
      <c r="F2075" t="inlineStr">
        <is>
          <t>Fatima Kathleen M. FLores</t>
        </is>
      </c>
      <c r="G2075" t="inlineStr">
        <is>
          <t>Procurement</t>
        </is>
      </c>
      <c r="H2075"/>
      <c r="I2075"/>
      <c r="J2075" t="inlineStr">
        <is>
          <t>Project</t>
        </is>
      </c>
      <c r="K2075" t="inlineStr">
        <is>
          <t>PDEI - Event Service</t>
        </is>
      </c>
      <c r="L2075" t="inlineStr">
        <is>
          <t>MPL PH S17</t>
        </is>
      </c>
      <c r="M2075" t="inlineStr">
        <is>
          <t>2026TEG-P0009</t>
        </is>
      </c>
      <c r="N2075" t="inlineStr">
        <is>
          <t>Katherine Denise Lee Sy</t>
        </is>
      </c>
      <c r="O2075" t="inlineStr">
        <is>
          <t>202602190060-Katherine Denise Lee Sy-费用报销 - 副本 - 副本 - 副本-2026-02-19 07:41:50</t>
        </is>
      </c>
      <c r="P2075" t="inlineStr">
        <is>
          <t>YES</t>
        </is>
      </c>
      <c r="Q2075"/>
      <c r="R2075" t="inlineStr">
        <is>
          <t>NO</t>
        </is>
      </c>
      <c r="S2075" t="inlineStr">
        <is>
          <t>Outsourced API Engineer</t>
        </is>
      </c>
      <c r="T2075">
        <v>1</v>
      </c>
      <c r="U2075">
        <v>167000</v>
      </c>
      <c r="V2075" t="inlineStr">
        <is>
          <t>PHP</t>
        </is>
      </c>
      <c r="W2075">
        <v>167000</v>
      </c>
      <c r="X2075" s="2" t="str">
        <f>=HYPERLINK("https://www.larksuite.com/approval/admin/previewAttachment?key=PMgxDsJADATAL-36bK_NZ2gSRRRHGiSgubcjUaSdLCIrOLLhTWtwKZnWpkhZeIUply1KDVHha38e95Mntpifr81ZXev92I79xWiZQcN9FADeLh9y9-50_B2_AAAA__8", "2 attachment(s)")</f>
        <v>2 attachment(s)</v>
      </c>
      <c r="Y2075" t="inlineStr">
        <is>
          <t>Bank Transfer</t>
        </is>
      </c>
      <c r="Z2075" t="inlineStr">
        <is>
          <t>Jay Lawrence Rivera</t>
        </is>
      </c>
      <c r="AA2075" t="inlineStr">
        <is>
          <t>109332551963</t>
        </is>
      </c>
      <c r="AB2075" t="inlineStr">
        <is>
          <t>Unionbank</t>
        </is>
      </c>
      <c r="AC2075" t="inlineStr">
        <is>
          <t>023 Kasunduan St. Brgy. Commonwealth Quezon City</t>
        </is>
      </c>
      <c r="AD2075" s="4">
        <v>46122</v>
      </c>
      <c r="AE2075" t="inlineStr">
        <is>
          <t>1st Payment - Apr. 10, 2026
2nd Payment - Apr. 24, 2026
3rd Payment - May 8, 2026
4th Payment - May 29, 2026
Final Payment - Jun 19, 2026</t>
        </is>
      </c>
      <c r="AF2075" s="2"/>
      <c r="AG2075" t="inlineStr">
        <is>
          <t>NzQyNTk5MTgyNzQ4MTg3MDM0MTo3RDFBOTgxMy0yMTY4LTQzREMtODRBOS01MkUyRjgzQzY4QjAtMTo5N2RjNTg1Mjg5Nzk2ZDIyODBhZmE5NmQ4YWMyNjViYjox</t>
        </is>
      </c>
      <c r="AH2075" t="inlineStr">
        <is>
          <t>Jay Lawrence Rivera</t>
        </is>
      </c>
      <c r="AI2075"/>
      <c r="AJ2075" t="inlineStr">
        <is>
          <t>LIQUIDITY PLAN (PAR # 202602190021 / 2026TEG-P0009)
v7 RAM S17 Main CE  Security TAB &gt; 
MANPOWER &gt; Broadcast &amp; Production &gt;
API Engineer
PLAYOFFS SPECIFIC &gt; MANPOWER &gt;
Broadcast &amp; Production &gt; Game Observer
Total Budget = Php 167,000.00
Actual Cost = Php 167,000.00</t>
        </is>
      </c>
      <c r="AK2075"/>
    </row>
    <row r="2076" ht="25.5" customHeight="1">
      <c r="A2076" s="2" t="str">
        <f>=HYPERLINK("https://applink.larksuite.com/client/mini_program/open?appId=cli_9c7cc8a9a9edd105&amp;mode=appCenter&amp;path_pc=pc/pages/requested/index?instanceId=7616311039684038367&amp;source=bitable&amp;path=pages/detail/index?instanceId=7616311039684038367&amp;source=bitable", "202603120113")</f>
        <v>202603120113</v>
      </c>
      <c r="B2076" t="inlineStr">
        <is>
          <t>Approved</t>
        </is>
      </c>
      <c r="C2076" t="inlineStr">
        <is>
          <t>Procurement Order</t>
        </is>
      </c>
      <c r="D2076" s="3">
        <v>46093.76158564815</v>
      </c>
      <c r="E2076" s="3">
        <v>46093.82377314815</v>
      </c>
      <c r="F2076" t="inlineStr">
        <is>
          <t>Fatima Kathleen M. FLores</t>
        </is>
      </c>
      <c r="G2076" t="inlineStr">
        <is>
          <t>Procurement</t>
        </is>
      </c>
      <c r="H2076"/>
      <c r="I2076"/>
      <c r="J2076" t="inlineStr">
        <is>
          <t>Project</t>
        </is>
      </c>
      <c r="K2076" t="inlineStr">
        <is>
          <t>PDEI - Event Service</t>
        </is>
      </c>
      <c r="L2076" t="inlineStr">
        <is>
          <t>MPL PH S17</t>
        </is>
      </c>
      <c r="M2076" t="inlineStr">
        <is>
          <t>2026TEG-P0009</t>
        </is>
      </c>
      <c r="N2076" t="inlineStr">
        <is>
          <t>Katherine Denise Lee Sy</t>
        </is>
      </c>
      <c r="O2076" t="inlineStr">
        <is>
          <t>202603060054-Katherine Denise Lee Sy-费用报销 - 副本 - 副本 - 副本-2026-03-06 07:22:58</t>
        </is>
      </c>
      <c r="P2076" t="inlineStr">
        <is>
          <t>YES</t>
        </is>
      </c>
      <c r="Q2076"/>
      <c r="R2076" t="inlineStr">
        <is>
          <t>NO</t>
        </is>
      </c>
      <c r="S2076" t="inlineStr">
        <is>
          <t>Oustourced Head of League Operations</t>
        </is>
      </c>
      <c r="T2076">
        <v>1</v>
      </c>
      <c r="U2076">
        <v>150000</v>
      </c>
      <c r="V2076" t="inlineStr">
        <is>
          <t>PHP</t>
        </is>
      </c>
      <c r="W2076">
        <v>150000</v>
      </c>
      <c r="X2076" s="2" t="str">
        <f>=HYPERLINK("https://www.larksuite.com/approval/admin/previewAttachment?key=PMi7CQJhEATglmb2Nf_ajInHIYoiCBpt7YLBpV8tolbSqxFNa3BULCfhXSvgy0tjQ6khKmO2x37-hjks85b350uYz_Wyb29mywzyCF8AeDrcFRHdFfg7fgEAAP__", "2 attachment(s)")</f>
        <v>2 attachment(s)</v>
      </c>
      <c r="Y2076" t="inlineStr">
        <is>
          <t>Bank Transfer</t>
        </is>
      </c>
      <c r="Z2076" t="inlineStr">
        <is>
          <t>Rinzcent Gueco</t>
        </is>
      </c>
      <c r="AA2076" t="inlineStr">
        <is>
          <t>160610012764</t>
        </is>
      </c>
      <c r="AB2076" t="inlineStr">
        <is>
          <t>PNB</t>
        </is>
      </c>
      <c r="AC2076" t="inlineStr">
        <is>
          <t>1347-G Lardizabal St. Sampaloc Manila</t>
        </is>
      </c>
      <c r="AD2076" s="4">
        <v>46101</v>
      </c>
      <c r="AE2076" t="inlineStr">
        <is>
          <t>1st Payment - Mar. 20, 2026
2nd Payment - Apr. 17, 2026
3rd Payment - May 22, 2026
4th Payment - Jun. 12, 2026
Final Payment - Jun 19, 2026</t>
        </is>
      </c>
      <c r="AF2076" s="2"/>
      <c r="AG2076" t="inlineStr">
        <is>
          <t>NzQyNTk5MTgyNzQ4MTg3MDM0MTo5NkRBQzEzMy1DMzg0LTRDMDgtODkxRC0wMTE5RENEMEE0QzUtMTo2MzE0MTY1YTk3ZWM2ZDk0MmRlYTQxZGI1MTIyMWFmMjox</t>
        </is>
      </c>
      <c r="AH2076" t="inlineStr">
        <is>
          <t>Rinzcent Gueco</t>
        </is>
      </c>
      <c r="AI2076"/>
      <c r="AJ2076" t="inlineStr">
        <is>
          <t>LIQUIDITY PLAN (PAR # 202602190021 / 2026TEG-P0009)
v7 RAM S17 Main CE  Security TAB &gt; 
MANPOWER &gt; League Operations &gt;
Head Lops - 55 days
BROADCAST &amp; TECHNICALS &gt; Hide From Client 1
Total Budget = Php 260,000.00
Actual Cost = Php 150,000.00
Balance = Php 110,000.00</t>
        </is>
      </c>
      <c r="AK2076"/>
    </row>
    <row r="2077" ht="25.5" customHeight="1">
      <c r="A2077" s="2" t="str">
        <f>=HYPERLINK("https://applink.larksuite.com/client/mini_program/open?appId=cli_9c7cc8a9a9edd105&amp;mode=appCenter&amp;path_pc=pc/pages/requested/index?instanceId=7616312532147490526&amp;source=bitable&amp;path=pages/detail/index?instanceId=7616312532147490526&amp;source=bitable", "202603120114")</f>
        <v>202603120114</v>
      </c>
      <c r="B2077" t="inlineStr">
        <is>
          <t>Approved</t>
        </is>
      </c>
      <c r="C2077" t="inlineStr">
        <is>
          <t>Procurement Order</t>
        </is>
      </c>
      <c r="D2077" s="3">
        <v>46093.76561342592</v>
      </c>
      <c r="E2077" s="3">
        <v>46093.8215162037</v>
      </c>
      <c r="F2077" t="inlineStr">
        <is>
          <t>Fatima Kathleen M. FLores</t>
        </is>
      </c>
      <c r="G2077" t="inlineStr">
        <is>
          <t>Procurement</t>
        </is>
      </c>
      <c r="H2077"/>
      <c r="I2077"/>
      <c r="J2077" t="inlineStr">
        <is>
          <t>Project</t>
        </is>
      </c>
      <c r="K2077" t="inlineStr">
        <is>
          <t>PDEI - Event Service</t>
        </is>
      </c>
      <c r="L2077" t="inlineStr">
        <is>
          <t>MPL PH S17</t>
        </is>
      </c>
      <c r="M2077" t="inlineStr">
        <is>
          <t>2026TEG-P0009</t>
        </is>
      </c>
      <c r="N2077" t="inlineStr">
        <is>
          <t>Katherine Denise Lee Sy</t>
        </is>
      </c>
      <c r="O2077" t="inlineStr">
        <is>
          <t>202603060055-Katherine Denise Lee Sy-费用报销 - 副本 - 副本 - 副本-2026-03-06 07:25:16</t>
        </is>
      </c>
      <c r="P2077" t="inlineStr">
        <is>
          <t>YES</t>
        </is>
      </c>
      <c r="Q2077"/>
      <c r="R2077" t="inlineStr">
        <is>
          <t>NO</t>
        </is>
      </c>
      <c r="S2077" t="inlineStr">
        <is>
          <t>Oustourced Head Referee</t>
        </is>
      </c>
      <c r="T2077">
        <v>1</v>
      </c>
      <c r="U2077">
        <v>84000</v>
      </c>
      <c r="V2077" t="inlineStr">
        <is>
          <t>PHP</t>
        </is>
      </c>
      <c r="W2077">
        <v>84000</v>
      </c>
      <c r="X2077" s="2" t="str">
        <f>=HYPERLINK("https://www.larksuite.com/approval/admin/previewAttachment?key=PMhBqgJBDATQK1UllaTzL_M30wyKTG8EwUWfXXDh9uUgcgQ9G2pag7uS6bRwo0qNsNy2WdUoVmjP6_xfXDjWY_KtsOu-X7fjnE9GlxnKJR8A-PdzL0ndKXwdnwAAAP__", "2 attachment(s)")</f>
        <v>2 attachment(s)</v>
      </c>
      <c r="Y2077" t="inlineStr">
        <is>
          <t>Bank Transfer</t>
        </is>
      </c>
      <c r="Z2077" t="inlineStr">
        <is>
          <t>Wilbert Rysher Dela Cruz Manabat</t>
        </is>
      </c>
      <c r="AA2077" t="inlineStr">
        <is>
          <t>1093-2482-8669</t>
        </is>
      </c>
      <c r="AB2077" t="inlineStr">
        <is>
          <t>Unionbank</t>
        </is>
      </c>
      <c r="AC2077" t="inlineStr">
        <is>
          <t>1277-B Kagitingan St. Morga EXT. Tondo, Manila</t>
        </is>
      </c>
      <c r="AD2077" s="4">
        <v>46101</v>
      </c>
      <c r="AE2077" t="inlineStr">
        <is>
          <t>1st Payment - Mar. 20, 2026
2nd Payment - Apr. 17, 2026
3rd Payment - May 22, 2026
4th Payment - Jun. 12, 2026
Final Payment - Jun 26, 2026</t>
        </is>
      </c>
      <c r="AF2077" s="2"/>
      <c r="AG2077" t="inlineStr">
        <is>
          <t>NzQyNTk5MTgyNzQ4MTg3MDM0MTpBMjE1NzY4RS0zQjA5LTQ4QjctQURDMC1EQzVBREZBODQ5QzEtMTpjNGU5MzkzMzllNGQyYzk3ODdlN2EzMzE5YmZiMWMzMjox</t>
        </is>
      </c>
      <c r="AH2077" t="inlineStr">
        <is>
          <t>Wilbert Rysher Dela Cruz Manabat</t>
        </is>
      </c>
      <c r="AI2077"/>
      <c r="AJ2077" t="inlineStr">
        <is>
          <t>LIQUIDITY PLAN (PAR # 202602190021 / 2026TEG-P0009)
v7 RAM S17 Main CE  Security TAB &gt; 
MANPOWER &gt; League Operations &gt;
Head Referee - 29+10=39 days
Total Budget = Php 84,000.00
Actual Cost = Php 84,000.00</t>
        </is>
      </c>
      <c r="AK2077"/>
    </row>
    <row r="2078" ht="25.5" customHeight="1">
      <c r="A2078" s="2" t="str">
        <f>=HYPERLINK("https://applink.larksuite.com/client/mini_program/open?appId=cli_9c7cc8a9a9edd105&amp;mode=appCenter&amp;path_pc=pc/pages/requested/index?instanceId=7616308742220484320&amp;source=bitable&amp;path=pages/detail/index?instanceId=7616308742220484320&amp;source=bitable", "202603120112")</f>
        <v>202603120112</v>
      </c>
      <c r="B2078" t="inlineStr">
        <is>
          <t>Approved</t>
        </is>
      </c>
      <c r="C2078" t="inlineStr">
        <is>
          <t>Procurement Order</t>
        </is>
      </c>
      <c r="D2078" s="3">
        <v>46093.75539351852</v>
      </c>
      <c r="E2078" s="3">
        <v>46093.820856481485</v>
      </c>
      <c r="F2078" t="inlineStr">
        <is>
          <t>Fatima Kathleen M. FLores</t>
        </is>
      </c>
      <c r="G2078" t="inlineStr">
        <is>
          <t>Procurement</t>
        </is>
      </c>
      <c r="H2078"/>
      <c r="I2078"/>
      <c r="J2078" t="inlineStr">
        <is>
          <t>Project</t>
        </is>
      </c>
      <c r="K2078" t="inlineStr">
        <is>
          <t>PDEI - Event Service</t>
        </is>
      </c>
      <c r="L2078" t="inlineStr">
        <is>
          <t>MPL PH S17</t>
        </is>
      </c>
      <c r="M2078" t="inlineStr">
        <is>
          <t>2026TEG-P0009</t>
        </is>
      </c>
      <c r="N2078" t="inlineStr">
        <is>
          <t>Katherine Denise Lee Sy</t>
        </is>
      </c>
      <c r="O2078" t="inlineStr">
        <is>
          <t>202603020156-Katherine Denise Lee Sy-费用报销 - 副本 - 副本 - 副本-2026-03-02 11:12:23</t>
        </is>
      </c>
      <c r="P2078" t="inlineStr">
        <is>
          <t>YES</t>
        </is>
      </c>
      <c r="Q2078"/>
      <c r="R2078" t="inlineStr">
        <is>
          <t>NO</t>
        </is>
      </c>
      <c r="S2078" t="inlineStr">
        <is>
          <t>Outsourced Assistant Director / VM</t>
        </is>
      </c>
      <c r="T2078">
        <v>1</v>
      </c>
      <c r="U2078">
        <v>103600</v>
      </c>
      <c r="V2078" t="inlineStr">
        <is>
          <t>PHP</t>
        </is>
      </c>
      <c r="W2078">
        <v>103600</v>
      </c>
      <c r="X2078" s="2" t="str">
        <f>=HYPERLINK("https://www.larksuite.com/approval/admin/previewAttachment?key=PMixDcJQDATQlc72fZ_NMjSJIppUSCgUnh2JIu3LMmQti2ywzRs2SstAie4OFsMxPiY1ZFqc_TyesrPCv7XJ67pqPq_t2N-2Wu5QkFEA7HF7iGR3En_HLwAA__8", "2 attachment(s)")</f>
        <v>2 attachment(s)</v>
      </c>
      <c r="Y2078" t="inlineStr">
        <is>
          <t>Bank Transfer</t>
        </is>
      </c>
      <c r="Z2078" t="inlineStr">
        <is>
          <t>Remar John Bayona</t>
        </is>
      </c>
      <c r="AA2078" t="inlineStr">
        <is>
          <t>09458591894</t>
        </is>
      </c>
      <c r="AB2078" t="inlineStr">
        <is>
          <t>GCash</t>
        </is>
      </c>
      <c r="AC2078" t="inlineStr">
        <is>
          <t>Puntales Road,Concepcion,Iloilo</t>
        </is>
      </c>
      <c r="AD2078" s="4">
        <v>46108</v>
      </c>
      <c r="AE2078" t="inlineStr">
        <is>
          <t>1st Payment - Mar. 27, 2026
2nd Payment - Apr. 10, 2026
3rd Payment - Apr. 24, 2026
4th Payment - May 8, 2026
5th Payment - May 29, 2026
Final Payment - Jun 19, 2026</t>
        </is>
      </c>
      <c r="AF2078" s="2"/>
      <c r="AG2078" t="inlineStr">
        <is>
          <t>NzQyNTk5MTgyNzQ4MTg3MDM0MTo4NkJCMjc2RC1DMzEwLTRCQTEtQUVFMC0zNzhGRTY1NTkyNTktMTozZWVlNjA4ZmU1OTg1NTdkN2MwNGYxZTE2N2JmM2ZjNTox</t>
        </is>
      </c>
      <c r="AH2078" t="inlineStr">
        <is>
          <t>Remar John Bayona</t>
        </is>
      </c>
      <c r="AI2078"/>
      <c r="AJ2078" t="inlineStr">
        <is>
          <t>LIQUIDITY PLAN (PAR # 202602190021 / 2026TEG-P0009)
v7 RAM S17 Main CE  Security TAB &gt; 
MANPOWER &gt; Broadcast &amp; Production &gt;
Assistant Director / VM
PLAYOFFS SPECIFIC &gt; MANPOWER &gt;
Broadcast &amp; Production &gt; Assistant Director / VM
Total Budget = Php 103,600.00
Actual Cost = Php 103,600.00</t>
        </is>
      </c>
      <c r="AK2078"/>
    </row>
    <row r="2079" ht="25.5" customHeight="1">
      <c r="A2079" s="2" t="str">
        <f>=HYPERLINK("https://applink.larksuite.com/client/mini_program/open?appId=cli_9c7cc8a9a9edd105&amp;mode=appCenter&amp;path_pc=pc/pages/requested/index?instanceId=7616562756426239707&amp;source=bitable&amp;path=pages/detail/index?instanceId=7616562756426239707&amp;source=bitable", "202603130006")</f>
        <v>202603130006</v>
      </c>
      <c r="B2079" t="inlineStr">
        <is>
          <t>Approved</t>
        </is>
      </c>
      <c r="C2079" t="inlineStr">
        <is>
          <t>Procurement Order</t>
        </is>
      </c>
      <c r="D2079" s="3">
        <v>46094.43991898148</v>
      </c>
      <c r="E2079" s="3">
        <v>46094.44988425926</v>
      </c>
      <c r="F2079" t="inlineStr">
        <is>
          <t>Arlyn Castillo</t>
        </is>
      </c>
      <c r="G2079" t="inlineStr">
        <is>
          <t>Procurement</t>
        </is>
      </c>
      <c r="H2079"/>
      <c r="I2079"/>
      <c r="J2079" t="inlineStr">
        <is>
          <t>Project</t>
        </is>
      </c>
      <c r="K2079" t="inlineStr">
        <is>
          <t>PDEI - Event Service</t>
        </is>
      </c>
      <c r="L2079" t="inlineStr">
        <is>
          <t>MPL PH S17</t>
        </is>
      </c>
      <c r="M2079" t="inlineStr">
        <is>
          <t>2026TEG-P0009</t>
        </is>
      </c>
      <c r="N2079" t="inlineStr">
        <is>
          <t>Katherine Denise Lee Sy</t>
        </is>
      </c>
      <c r="O2079" t="inlineStr">
        <is>
          <t>202603110090-Katherine Denise Lee Sy-费用报销 - 副本 - 副本 - 副本-2026-03-11 12:28:05</t>
        </is>
      </c>
      <c r="P2079" t="inlineStr">
        <is>
          <t>NO</t>
        </is>
      </c>
      <c r="Q2079"/>
      <c r="R2079" t="inlineStr">
        <is>
          <t>NO</t>
        </is>
      </c>
      <c r="S2079" t="inlineStr">
        <is>
          <t>Outsourced On-ground PIC</t>
        </is>
      </c>
      <c r="T2079">
        <v>1</v>
      </c>
      <c r="U2079">
        <v>39150</v>
      </c>
      <c r="V2079" t="inlineStr">
        <is>
          <t>PHP</t>
        </is>
      </c>
      <c r="W2079">
        <v>39150</v>
      </c>
      <c r="X2079" s="2" t="str">
        <f>=HYPERLINK("https://www.larksuite.com/approval/admin/previewAttachment?key=PMg9CsJAEAXgK735fTtexmZDECHbyNrN2QWLtF8OQY4Qy4KXaEGaKRmpjHRNtSLY2kIWKAzv4zqfc_Payph7zffS_r7meXwkiqqgudsAII_bje5elY6_4xcAAP__", "2 attachment(s)")</f>
        <v>2 attachment(s)</v>
      </c>
      <c r="Y2079" t="inlineStr">
        <is>
          <t>Bank Transfer</t>
        </is>
      </c>
      <c r="Z2079" t="inlineStr">
        <is>
          <t>Marjon Bensig</t>
        </is>
      </c>
      <c r="AA2079" t="inlineStr">
        <is>
          <t>0967-243-3106</t>
        </is>
      </c>
      <c r="AB2079" t="inlineStr">
        <is>
          <t>Gcash</t>
        </is>
      </c>
      <c r="AC2079" t="inlineStr">
        <is>
          <t>17 2nd Street A. Marcelo Dalandanan Valenzuela Cit</t>
        </is>
      </c>
      <c r="AD2079" s="4">
        <v>46094</v>
      </c>
      <c r="AE2079" t="inlineStr">
        <is>
          <t>1ST TERM - MARCH 13, 2026
2ND TERM - MAY 8, 2026
FINAL TERM - JUNE 19, 2026</t>
        </is>
      </c>
      <c r="AF2079" s="2"/>
      <c r="AG2079" t="inlineStr">
        <is>
          <t>NzQyNTk5MTgyNzQ4MTg3MDM0MTpFOEU0QjUwQS1GQTQ0LTQ1QzItQjhERS0yOUMxODZDNTNBQzUtMToyNmM4YjA4NjFjZjQyZWYxNzE3ODEyN2IwOGI2NzNiMTox</t>
        </is>
      </c>
      <c r="AH2079" t="inlineStr">
        <is>
          <t>Marjon Bensig</t>
        </is>
      </c>
      <c r="AI2079"/>
      <c r="AJ2079" t="inlineStr">
        <is>
          <t>LIQUIDITY PLAN (PAR # 202602190021 / 2026TEG-P0009)
v7 RAM S17 Main CE  Security TAB &gt; 
MANPOWER &gt; On Ground  &gt;
LOPs / Onground PIC 
Total Budget = Php 39,150.00
Actual Cost = Php 39,150.00</t>
        </is>
      </c>
      <c r="AK2079"/>
    </row>
    <row r="2080" ht="25.5" customHeight="1">
      <c r="A2080" s="2" t="str">
        <f>=HYPERLINK("https://applink.larksuite.com/client/mini_program/open?appId=cli_9c7cc8a9a9edd105&amp;mode=appCenter&amp;path_pc=pc/pages/requested/index?instanceId=7616559813857677022&amp;source=bitable&amp;path=pages/detail/index?instanceId=7616559813857677022&amp;source=bitable", "202603130005")</f>
        <v>202603130005</v>
      </c>
      <c r="B2080" t="inlineStr">
        <is>
          <t>Approved</t>
        </is>
      </c>
      <c r="C2080" t="inlineStr">
        <is>
          <t>Procurement Order</t>
        </is>
      </c>
      <c r="D2080" s="3">
        <v>46094.43199074074</v>
      </c>
      <c r="E2080" s="3">
        <v>46094.45077546296</v>
      </c>
      <c r="F2080" t="inlineStr">
        <is>
          <t>Arlyn Castillo</t>
        </is>
      </c>
      <c r="G2080" t="inlineStr">
        <is>
          <t>Procurement</t>
        </is>
      </c>
      <c r="H2080"/>
      <c r="I2080"/>
      <c r="J2080" t="inlineStr">
        <is>
          <t>Project</t>
        </is>
      </c>
      <c r="K2080" t="inlineStr">
        <is>
          <t>PDEI - Event Service</t>
        </is>
      </c>
      <c r="L2080" t="inlineStr">
        <is>
          <t>MPL PH S17</t>
        </is>
      </c>
      <c r="M2080" t="inlineStr">
        <is>
          <t>2026TEG-P0009</t>
        </is>
      </c>
      <c r="N2080" t="inlineStr">
        <is>
          <t>Katherine Denise Lee Sy</t>
        </is>
      </c>
      <c r="O2080" t="inlineStr">
        <is>
          <t>202603100130-Katherine Denise Lee Sy-费用报销 - 副本 - 副本 - 副本-2026-03-10 13:20:45</t>
        </is>
      </c>
      <c r="P2080" t="inlineStr">
        <is>
          <t>NO</t>
        </is>
      </c>
      <c r="Q2080"/>
      <c r="R2080" t="inlineStr">
        <is>
          <t>NO</t>
        </is>
      </c>
      <c r="S2080" t="inlineStr">
        <is>
          <t>Hanging Banner with Stand 55cmx152cm | 1 Side Print</t>
        </is>
      </c>
      <c r="T2080">
        <v>2</v>
      </c>
      <c r="U2080">
        <v>4000</v>
      </c>
      <c r="V2080" t="inlineStr">
        <is>
          <t>PHP</t>
        </is>
      </c>
      <c r="W2080">
        <v>8000</v>
      </c>
      <c r="X2080" s="2"/>
      <c r="Y2080" t="inlineStr">
        <is>
          <t>Bank Transfer</t>
        </is>
      </c>
      <c r="Z2080" t="inlineStr">
        <is>
          <t>MGL Sign Fabrication</t>
        </is>
      </c>
      <c r="AA2080" t="inlineStr">
        <is>
          <t>9050295708</t>
        </is>
      </c>
      <c r="AB2080" t="inlineStr">
        <is>
          <t>MGL Sign Fabrication</t>
        </is>
      </c>
      <c r="AC2080" t="inlineStr">
        <is>
          <t>B92 L9 SB LOOP ASCENSION AVE., GREATER LAGRO QUEZON CITY</t>
        </is>
      </c>
      <c r="AD2080" s="4">
        <v>46094</v>
      </c>
      <c r="AE2080" t="inlineStr">
        <is>
          <t>50% Down Payment
50% Upon pick up/Before Pick Up</t>
        </is>
      </c>
      <c r="AF2080" s="2" t="str">
        <f>=HYPERLINK("https://www.larksuite.com/approval/admin/previewAttachment?key=TMgxCgJBDAXQK_0_meQnXsZmh0GFrQStcnbBatsXSUQ6LQqzOApsBcO9kpaukDBGj6ZUEOWz17nv1JF65X5-t_k6-_M49noz0gKzfE4WAN4uTqLSwv6OXwAAAP__", "3 attachment(s)")</f>
        <v>3 attachment(s)</v>
      </c>
      <c r="AG2080" t="inlineStr">
        <is>
          <t>NzQyNTk5MTgyNzQ4MTg3MDM0MToyMzkzMUQ0MC0zNUVFLTQ0NkQtODJDNy1GODUzMjA5Nzg3Q0QtMTphYWQ3NmM1NjdlMWRlZTJjZDVkYWE3ODgxNmY0ZWE2ODox</t>
        </is>
      </c>
      <c r="AH2080" t="inlineStr">
        <is>
          <t>MGL Sign Fabrication</t>
        </is>
      </c>
      <c r="AI2080"/>
      <c r="AJ2080" t="inlineStr">
        <is>
          <t>LIQUIDITY PLAN (PAR # 202602190021 / 2026TEG-P0009)
v7 RAM S17 Main CE  Security TAB &gt; 
LOGISTICS &gt; Branded Collaterals&gt;
Hanging Signage Stands
Total Budget = Php 18,000..00
Actual Cost = Php 12,300.00
Balance = Php 5,700.00</t>
        </is>
      </c>
      <c r="AK2080"/>
    </row>
    <row r="2081" ht="25.5" customHeight="1">
      <c r="A2081" s="2" t="str">
        <f>=HYPERLINK("https://applink.larksuite.com/client/mini_program/open?appId=cli_9c7cc8a9a9edd105&amp;mode=appCenter&amp;path_pc=pc/pages/requested/index?instanceId=7616559813857677022&amp;source=bitable&amp;path=pages/detail/index?instanceId=7616559813857677022&amp;source=bitable", "202603130005")</f>
        <v>202603130005</v>
      </c>
      <c r="B2081" t="inlineStr">
        <is>
          <t>Approved</t>
        </is>
      </c>
      <c r="C2081" t="inlineStr">
        <is>
          <t>Procurement Order</t>
        </is>
      </c>
      <c r="D2081" s="3">
        <v>46094.43199074074</v>
      </c>
      <c r="E2081" s="3">
        <v>46094.45077546296</v>
      </c>
      <c r="F2081" t="inlineStr">
        <is>
          <t>Arlyn Castillo</t>
        </is>
      </c>
      <c r="G2081" t="inlineStr">
        <is>
          <t>Procurement</t>
        </is>
      </c>
      <c r="H2081"/>
      <c r="I2081"/>
      <c r="J2081" t="inlineStr">
        <is>
          <t>Project</t>
        </is>
      </c>
      <c r="K2081" t="inlineStr">
        <is>
          <t>PDEI - Event Service</t>
        </is>
      </c>
      <c r="L2081" t="inlineStr">
        <is>
          <t>MPL PH S17</t>
        </is>
      </c>
      <c r="M2081" t="inlineStr">
        <is>
          <t>2026TEG-P0009</t>
        </is>
      </c>
      <c r="N2081" t="inlineStr">
        <is>
          <t>Katherine Denise Lee Sy</t>
        </is>
      </c>
      <c r="O2081" t="inlineStr">
        <is>
          <t>202603100130-Katherine Denise Lee Sy-费用报销 - 副本 - 副本 - 副本-2026-03-10 13:20:45</t>
        </is>
      </c>
      <c r="P2081" t="inlineStr">
        <is>
          <t>NO</t>
        </is>
      </c>
      <c r="Q2081"/>
      <c r="R2081" t="inlineStr">
        <is>
          <t>NO</t>
        </is>
      </c>
      <c r="S2081" t="inlineStr">
        <is>
          <t>Hanging Banner with Stand 55cmx152cm | Back to Back Print</t>
        </is>
      </c>
      <c r="T2081">
        <v>1</v>
      </c>
      <c r="U2081">
        <v>4300</v>
      </c>
      <c r="V2081" t="inlineStr">
        <is>
          <t>PHP</t>
        </is>
      </c>
      <c r="W2081">
        <v>4300</v>
      </c>
      <c r="X2081" s="2" t="str">
        <f>=HYPERLINK("https://www.larksuite.com/approval/admin/previewAttachment?key=PMg9CgJBDAXgK-Xl7yVexmaHQYWtBK1ydsFi2y8LkhWwbPGGtmCYyIguWAWTFNXRAdlCMHzWue_gUXzVfn63xTrn8zj2eiOaqkJztxIR3C43unt3uvwdvwAAAP__", "2 attachment(s)")</f>
        <v>2 attachment(s)</v>
      </c>
      <c r="Y2081"/>
      <c r="Z2081"/>
      <c r="AA2081"/>
      <c r="AB2081"/>
      <c r="AC2081"/>
      <c r="AD2081" s="4"/>
      <c r="AE2081"/>
      <c r="AF2081" s="2"/>
      <c r="AG2081" t="inlineStr">
        <is>
          <t>NzQyNTk5MTgyNzQ4MTg3MDM0MToyMzkzMUQ0MC0zNUVFLTQ0NkQtODJDNy1GODUzMjA5Nzg3Q0QtMjpkZjA2NDE0ZGNjNzc5OGU3ZjViYzk1NWZkOTMyNDU1Yjox</t>
        </is>
      </c>
      <c r="AH2081"/>
      <c r="AI2081"/>
      <c r="AJ2081" t="inlineStr">
        <is>
          <t>LIQUIDITY PLAN (PAR # 202602190021 / 2026TEG-P0009)
v7 RAM S17 Main CE  Security TAB &gt; 
LOGISTICS &gt; Branded Collaterals&gt;
Hanging Signage Stands
Total Budget = Php 18,000..00
Actual Cost = Php 12,300.00
Balance = Php 5,700.00</t>
        </is>
      </c>
      <c r="AK2081"/>
    </row>
    <row r="2082" ht="25.5" customHeight="1">
      <c r="A2082" s="2" t="str">
        <f>=HYPERLINK("https://applink.larksuite.com/client/mini_program/open?appId=cli_9c7cc8a9a9edd105&amp;mode=appCenter&amp;path_pc=pc/pages/requested/index?instanceId=7616233586265427681&amp;source=bitable&amp;path=pages/detail/index?instanceId=7616233586265427681&amp;source=bitable", "202603120044")</f>
        <v>202603120044</v>
      </c>
      <c r="B2082" t="inlineStr">
        <is>
          <t>Approved</t>
        </is>
      </c>
      <c r="C2082" t="inlineStr">
        <is>
          <t>Procurement Order</t>
        </is>
      </c>
      <c r="D2082" s="3">
        <v>46093.55287037037</v>
      </c>
      <c r="E2082" s="3">
        <v>46099.44131944444</v>
      </c>
      <c r="F2082" t="inlineStr">
        <is>
          <t>Fatima Kathleen M. FLores</t>
        </is>
      </c>
      <c r="G2082" t="inlineStr">
        <is>
          <t>Procurement</t>
        </is>
      </c>
      <c r="H2082"/>
      <c r="I2082"/>
      <c r="J2082" t="inlineStr">
        <is>
          <t>Project</t>
        </is>
      </c>
      <c r="K2082" t="inlineStr">
        <is>
          <t>PDEI - Event Service</t>
        </is>
      </c>
      <c r="L2082" t="inlineStr">
        <is>
          <t>MPL PH S17</t>
        </is>
      </c>
      <c r="M2082" t="inlineStr">
        <is>
          <t>2026TEG-P0009</t>
        </is>
      </c>
      <c r="N2082" t="inlineStr">
        <is>
          <t>Katherine Denise Lee Sy</t>
        </is>
      </c>
      <c r="O2082" t="inlineStr">
        <is>
          <t>202603100132-Katherine Denise Lee Sy-费用报销 - 副本 - 副本 - 副本-2026-03-10 13:34:19</t>
        </is>
      </c>
      <c r="P2082" t="inlineStr">
        <is>
          <t>NO</t>
        </is>
      </c>
      <c r="Q2082"/>
      <c r="R2082" t="inlineStr">
        <is>
          <t>YES</t>
        </is>
      </c>
      <c r="S2082" t="inlineStr">
        <is>
          <t>Outsourced LED Riser + Installation (RS &amp; PO)</t>
        </is>
      </c>
      <c r="T2082">
        <v>1</v>
      </c>
      <c r="U2082">
        <v>415000</v>
      </c>
      <c r="V2082" t="inlineStr">
        <is>
          <t>PHP</t>
        </is>
      </c>
      <c r="W2082">
        <v>415000</v>
      </c>
      <c r="X2082" s="2" t="str">
        <f>=HYPERLINK("https://www.larksuite.com/approval/admin/previewAttachment?key=PMg9CgIxFATgK828v8nzMjaGIKzaCAsWObtgYfvVIGokvRrRtAa3imXuOcoqw1SD2zalhqiMPZ_rOl32OV_LksfxyH3eb2u-mS0zyCN8AODl766I6K7Az_ENAAD__w", "2 attachment(s)")</f>
        <v>2 attachment(s)</v>
      </c>
      <c r="Y2082" t="inlineStr">
        <is>
          <t>Bank Transfer</t>
        </is>
      </c>
      <c r="Z2082" t="inlineStr">
        <is>
          <t>STAGE ONE EVENT SERVICES CORP.</t>
        </is>
      </c>
      <c r="AA2082" t="inlineStr">
        <is>
          <t>0124 0800 3549</t>
        </is>
      </c>
      <c r="AB2082" t="inlineStr">
        <is>
          <t>BDO</t>
        </is>
      </c>
      <c r="AC2082" t="inlineStr">
        <is>
          <t>Kamagong St. cor. Ipil St. Hillcrest Village, Brgy. 173 Camarin, Caloocan</t>
        </is>
      </c>
      <c r="AD2082" s="4">
        <v>46094</v>
      </c>
      <c r="AE2082" t="inlineStr">
        <is>
          <t>50% Down Payment upon confirmation
50% Final Payment upon completion of services</t>
        </is>
      </c>
      <c r="AF2082" s="2"/>
      <c r="AG2082" t="inlineStr">
        <is>
          <t>NzQyNTk5MTgyNzQ4MTg3MDM0MTpFRUFFN0Y3Mi0yMDQ5LTQ5NkUtODc3NC0yRDNCMTE3RDU0RDgtMTplZjQ0NjM0MmQzNDdiZmQxNDAwMGZlMGYwMjAxZjkyYzox</t>
        </is>
      </c>
      <c r="AH2082" t="inlineStr">
        <is>
          <t>STAGE ONE EVENT SERVICES CORP.</t>
        </is>
      </c>
      <c r="AI2082"/>
      <c r="AJ2082" t="inlineStr">
        <is>
          <t>LIQUIDITY PLAN (PAR # 202602190021 / 2026TEG-P0009)
v7 RAM S17 Main CE  Security TAB &gt; 
PLAYOFFS SPECIFIC &gt; VENDORS
Staging &amp; Fabrication
Total Remaining Budget = Php 363,264.00
Actual Cost = Php 415,000.00
Balance = (Php 51,736.00) OVER BUDGET</t>
        </is>
      </c>
      <c r="AK2082"/>
    </row>
    <row r="2083" ht="25.5" customHeight="1">
      <c r="A2083" s="2" t="str">
        <f>=HYPERLINK("https://applink.larksuite.com/client/mini_program/open?appId=cli_9c7cc8a9a9edd105&amp;mode=appCenter&amp;path_pc=pc/pages/requested/index?instanceId=7616313778480615132&amp;source=bitable&amp;path=pages/detail/index?instanceId=7616313778480615132&amp;source=bitable", "202603120115")</f>
        <v>202603120115</v>
      </c>
      <c r="B2083" t="inlineStr">
        <is>
          <t>Approved</t>
        </is>
      </c>
      <c r="C2083" t="inlineStr">
        <is>
          <t>Procurement Order</t>
        </is>
      </c>
      <c r="D2083" s="3">
        <v>46093.76896990741</v>
      </c>
      <c r="E2083" s="3">
        <v>46099.43579861111</v>
      </c>
      <c r="F2083" t="inlineStr">
        <is>
          <t>Fatima Kathleen M. FLores</t>
        </is>
      </c>
      <c r="G2083" t="inlineStr">
        <is>
          <t>Procurement</t>
        </is>
      </c>
      <c r="H2083"/>
      <c r="I2083"/>
      <c r="J2083" t="inlineStr">
        <is>
          <t>Project</t>
        </is>
      </c>
      <c r="K2083" t="inlineStr">
        <is>
          <t>PDEI - Event Service</t>
        </is>
      </c>
      <c r="L2083" t="inlineStr">
        <is>
          <t>MPL PH S17</t>
        </is>
      </c>
      <c r="M2083" t="inlineStr">
        <is>
          <t>2026TEG-P0009</t>
        </is>
      </c>
      <c r="N2083" t="inlineStr">
        <is>
          <t>Katherine Denise Lee Sy</t>
        </is>
      </c>
      <c r="O2083" t="inlineStr">
        <is>
          <t>202603020138-Katherine Denise Lee Sy-费用报销 - 副本 - 副本 - 副本-2026-03-02 09:23:23</t>
        </is>
      </c>
      <c r="P2083" t="inlineStr">
        <is>
          <t>YES</t>
        </is>
      </c>
      <c r="Q2083"/>
      <c r="R2083" t="inlineStr">
        <is>
          <t>YES</t>
        </is>
      </c>
      <c r="S2083" t="inlineStr">
        <is>
          <t>Outsourced Talent Manager</t>
        </is>
      </c>
      <c r="T2083">
        <v>1</v>
      </c>
      <c r="U2083">
        <v>96700</v>
      </c>
      <c r="V2083" t="inlineStr">
        <is>
          <t>PHP</t>
        </is>
      </c>
      <c r="W2083">
        <v>96700</v>
      </c>
      <c r="X2083" s="2" t="str">
        <f>=HYPERLINK("https://www.larksuite.com/approval/admin/previewAttachment?key=PMg9qsIxEATwK83sTvbjXeY1CcFCRRD-Xc4uWNj-ooioQY-GmtbgyWA4PbNUCA66HTvMbCRz6KzH_rcLdV_7Kc7pep3rNvd6c3SaIV3yAsC_n3tK6g7h6_gEAAD__w", "2 attachment(s)")</f>
        <v>2 attachment(s)</v>
      </c>
      <c r="Y2083" t="inlineStr">
        <is>
          <t>Bank Transfer</t>
        </is>
      </c>
      <c r="Z2083" t="inlineStr">
        <is>
          <t>Aislinn Soriaga</t>
        </is>
      </c>
      <c r="AA2083" t="inlineStr">
        <is>
          <t>1093-2608-7780</t>
        </is>
      </c>
      <c r="AB2083" t="inlineStr">
        <is>
          <t>Unionbank</t>
        </is>
      </c>
      <c r="AC2083" t="inlineStr">
        <is>
          <t>Avida Vita Towers - Tower 3, Vertis North, Brgy. Pag-Asa, Quezon City</t>
        </is>
      </c>
      <c r="AD2083" s="4">
        <v>46101</v>
      </c>
      <c r="AE2083" t="inlineStr">
        <is>
          <t>1st Payment - Mar. 20, 2026
2nd Payment - Apr. 17, 2026
3rd Payment - May 22, 2026
4th Payment - Jun. 12, 2026
Final Payment - Jun 26, 2026</t>
        </is>
      </c>
      <c r="AF2083" s="2"/>
      <c r="AG2083" t="inlineStr">
        <is>
          <t>NzQyNTk5MTgyNzQ4MTg3MDM0MTo1RDk3RjY1OC0xOUVCLTQxMjctOTREMi00M0IxMDdGRkZBNEMtMTo1YWU1ZDViYmEzM2UwMzUxM2U1ZTU5MTkwZWE1M2ZhNzox</t>
        </is>
      </c>
      <c r="AH2083" t="inlineStr">
        <is>
          <t>Aislinn Soriaga</t>
        </is>
      </c>
      <c r="AI2083"/>
      <c r="AJ2083" t="inlineStr">
        <is>
          <t>LIQUIDITY PLAN (PAR # 202602190021 / 2026TEG-P0009)
v7 RAM S17 Main CE  Security TAB &gt; 
MANPOWER &gt; Talent Management &gt;
Talent Manager
Total Budget = Php 87,000.00
Actual Cost = Php 96,700.00
Balance = (Php 9,700.00) OVER BUDGET</t>
        </is>
      </c>
      <c r="AK2083"/>
    </row>
    <row r="2084" ht="25.5" customHeight="1">
      <c r="A2084" s="2" t="str">
        <f>=HYPERLINK("https://applink.larksuite.com/client/mini_program/open?appId=cli_9c7cc8a9a9edd105&amp;mode=appCenter&amp;path_pc=pc/pages/requested/index?instanceId=7616956527936540385&amp;source=bitable&amp;path=pages/detail/index?instanceId=7616956527936540385&amp;source=bitable", "202603140012")</f>
        <v>202603140012</v>
      </c>
      <c r="B2084" t="inlineStr">
        <is>
          <t>Approved</t>
        </is>
      </c>
      <c r="C2084" t="inlineStr">
        <is>
          <t>Procurement Order</t>
        </is>
      </c>
      <c r="D2084" s="3">
        <v>46095.50105324074</v>
      </c>
      <c r="E2084" s="3">
        <v>46097.46892361111</v>
      </c>
      <c r="F2084" t="inlineStr">
        <is>
          <t>Arlyn Castillo</t>
        </is>
      </c>
      <c r="G2084" t="inlineStr">
        <is>
          <t>Procurement</t>
        </is>
      </c>
      <c r="H2084"/>
      <c r="I2084"/>
      <c r="J2084" t="inlineStr">
        <is>
          <t>Project</t>
        </is>
      </c>
      <c r="K2084" t="inlineStr">
        <is>
          <t>GG - Event Service</t>
        </is>
      </c>
      <c r="L2084" t="inlineStr">
        <is>
          <t>Philippine Kings League Spring Season 2026 (PKL)</t>
        </is>
      </c>
      <c r="M2084" t="inlineStr">
        <is>
          <t>2026TEG-P0037</t>
        </is>
      </c>
      <c r="N2084" t="inlineStr">
        <is>
          <t>Juvie Anne Asis Castres</t>
        </is>
      </c>
      <c r="O2084" t="inlineStr">
        <is>
          <t>202603090109-Juvie Anne Asis Castres-费用报销 - 副本 - 副本 - 副本-2026-03-09 10:04:31</t>
        </is>
      </c>
      <c r="P2084" t="inlineStr">
        <is>
          <t>NO</t>
        </is>
      </c>
      <c r="Q2084"/>
      <c r="R2084" t="inlineStr">
        <is>
          <t>NO</t>
        </is>
      </c>
      <c r="S2084" t="inlineStr">
        <is>
          <t>Rental of GM2- Quantum Skyview Area (5 days)</t>
        </is>
      </c>
      <c r="T2084">
        <v>1</v>
      </c>
      <c r="U2084">
        <v>1514702</v>
      </c>
      <c r="V2084" t="inlineStr">
        <is>
          <t>PHP</t>
        </is>
      </c>
      <c r="W2084">
        <v>1514702</v>
      </c>
      <c r="X2084" s="2" t="str">
        <f>=HYPERLINK("https://www.larksuite.com/approval/admin/previewAttachment?key=PMg7ioJBEATgK1X1u_cym_zDIIiROGDQZxcMTL8oIsqp0bCmNDgZjPZwydZwg5aPDDMbyXSb9dj_clAvrvf9OqfWnnO79nrSO0WQaqYFgH8_1zSz7jB8HZ8AAAD__w", "2 attachment(s)")</f>
        <v>2 attachment(s)</v>
      </c>
      <c r="Y2084" t="inlineStr">
        <is>
          <t>Bank Transfer</t>
        </is>
      </c>
      <c r="Z2084" t="inlineStr">
        <is>
          <t>ACI, INC.</t>
        </is>
      </c>
      <c r="AA2084" t="inlineStr">
        <is>
          <t>3181040598</t>
        </is>
      </c>
      <c r="AB2084" t="inlineStr">
        <is>
          <t>BPI</t>
        </is>
      </c>
      <c r="AC2084" t="inlineStr">
        <is>
          <t>25th to 26th Floors, Gateway Tower, Araneta City, Quezon City</t>
        </is>
      </c>
      <c r="AD2084" s="4">
        <v>46097</v>
      </c>
      <c r="AE2084" t="inlineStr">
        <is>
          <t>100% Full payment</t>
        </is>
      </c>
      <c r="AF2084" s="2"/>
      <c r="AG2084" t="inlineStr">
        <is>
          <t>NzQyNTk5MTgyNzQ4MTg3MDM0MTo4RENGMjIwOC0xNEY3LTQ2N0UtQkRFRi0zNTFFQkVBNDdDOTEtMTpjZGQ4MGYyOTRhMDBlOTM5ZTFjM2VjOTdiNzgzYTMwYzox</t>
        </is>
      </c>
      <c r="AH2084" t="inlineStr">
        <is>
          <t>ACI, INC.</t>
        </is>
      </c>
      <c r="AI2084"/>
      <c r="AJ2084" t="inlineStr">
        <is>
          <t>LIQUIDITY PLAN (PAR # 202602120015 / 2026TEG-P0037)	
LATEST 0301 3DAYS PO NO TALENT&gt;
PLAYOFFS &gt; Playoffs Venue&gt;
Venue Rental Playoffs
Venue Rental Playoffs (Ingress)
Venue Rental Playoffs (Rehearsals)
VAT / Document Stamp
Incidental Fees
Total Budget = Php 1,564,702.00
Actual Cost = Php 1,514,702.00
Balance = Php 50,000.00</t>
        </is>
      </c>
      <c r="AK2084"/>
    </row>
    <row r="2085" ht="25.5" customHeight="1">
      <c r="A2085" s="2" t="str">
        <f>=HYPERLINK("https://applink.larksuite.com/client/mini_program/open?appId=cli_9c7cc8a9a9edd105&amp;mode=appCenter&amp;path_pc=pc/pages/requested/index?instanceId=7617756131716239071&amp;source=bitable&amp;path=pages/detail/index?instanceId=7617756131716239071&amp;source=bitable", "202603160067")</f>
        <v>202603160067</v>
      </c>
      <c r="B2085" t="inlineStr">
        <is>
          <t>Approved</t>
        </is>
      </c>
      <c r="C2085" t="inlineStr">
        <is>
          <t>Procurement Order</t>
        </is>
      </c>
      <c r="D2085" s="3">
        <v>46097.65582175926</v>
      </c>
      <c r="E2085" s="3">
        <v>46098.60427083333</v>
      </c>
      <c r="F2085" t="inlineStr">
        <is>
          <t>Arlyn Castillo</t>
        </is>
      </c>
      <c r="G2085" t="inlineStr">
        <is>
          <t>Procurement</t>
        </is>
      </c>
      <c r="H2085"/>
      <c r="I2085"/>
      <c r="J2085" t="inlineStr">
        <is>
          <t>Project</t>
        </is>
      </c>
      <c r="K2085" t="inlineStr">
        <is>
          <t>PDEI - Event Service</t>
        </is>
      </c>
      <c r="L2085" t="inlineStr">
        <is>
          <t>MPL PH S17</t>
        </is>
      </c>
      <c r="M2085" t="inlineStr">
        <is>
          <t>2026TEG-P0009</t>
        </is>
      </c>
      <c r="N2085" t="inlineStr">
        <is>
          <t>Katherine Denise Lee Sy</t>
        </is>
      </c>
      <c r="O2085" t="inlineStr">
        <is>
          <t>202603110090-Katherine Denise Lee Sy-费用报销 - 副本 - 副本 - 副本-2026-03-11 12:28:05</t>
        </is>
      </c>
      <c r="P2085" t="inlineStr">
        <is>
          <t>NO</t>
        </is>
      </c>
      <c r="Q2085"/>
      <c r="R2085" t="inlineStr">
        <is>
          <t>NO</t>
        </is>
      </c>
      <c r="S2085" t="inlineStr">
        <is>
          <t>Additional Black Cloth</t>
        </is>
      </c>
      <c r="T2085">
        <v>10</v>
      </c>
      <c r="U2085">
        <v>2400</v>
      </c>
      <c r="V2085" t="inlineStr">
        <is>
          <t>PHP</t>
        </is>
      </c>
      <c r="W2085">
        <v>24000</v>
      </c>
      <c r="X2085" s="2" t="str">
        <f>=HYPERLINK("https://www.larksuite.com/approval/admin/previewAttachment?key=PMg7jsJAEATQK1VNf2p6L7OJLQshmwRhRNBnRxCQPb2cRM6gZcGLo8BWUoqkUcxhBbFHU_pIEb0e239d47Dz-brZvi8P9HlZtvXOKI0BmbtNAPz7vcndq9LxfbwDAAD__w", "2 attachment(s)")</f>
        <v>2 attachment(s)</v>
      </c>
      <c r="Y2085" t="inlineStr">
        <is>
          <t>Bank Transfer</t>
        </is>
      </c>
      <c r="Z2085" t="inlineStr">
        <is>
          <t>Tricia Mae Sarmiento</t>
        </is>
      </c>
      <c r="AA2085" t="inlineStr">
        <is>
          <t>09353028767</t>
        </is>
      </c>
      <c r="AB2085" t="inlineStr">
        <is>
          <t>GCash</t>
        </is>
      </c>
      <c r="AC2085" t="inlineStr">
        <is>
          <t>1658 Everlasting St., Barangay 177 Camarin, City of Caloocan</t>
        </is>
      </c>
      <c r="AD2085" s="4">
        <v>46097</v>
      </c>
      <c r="AE2085" t="inlineStr">
        <is>
          <t>Full payment</t>
        </is>
      </c>
      <c r="AF2085" s="2" t="str">
        <f>=HYPERLINK("https://www.larksuite.com/approval/admin/previewAttachment?key=TMgxDsJADATAL-2ez-szn6FJFCGU0CAOUfjtCKp0o9EgNJymRE-2BCvECBeNQTVLBKsVI34K91qP7Zp3P2y-Pw_b9-WFmrdlW5_UMKGn984EwMvpSeQw2f_xDQAA__8", "2 attachment(s)")</f>
        <v>2 attachment(s)</v>
      </c>
      <c r="AG2085" t="inlineStr">
        <is>
          <t>NzQyNTk5MTgyNzQ4MTg3MDM0MToxQTkxMUExMS0zQzhBLTQwQzQtODU0OS02MDcwQjM4RDBDQUUtMTpjNjUxNDQ4YzIyYWEzN2M0YTZmMzJkNDFmNzc2NGVjOTox</t>
        </is>
      </c>
      <c r="AH2085" t="inlineStr">
        <is>
          <t>Tricia Mae Sarmiento</t>
        </is>
      </c>
      <c r="AI2085"/>
      <c r="AJ2085" t="inlineStr">
        <is>
          <t>LIQUIDITY PLAN (PAR # 202602190021 / 2026TEG-P0009)
v7 RAM S17 Main CE  Security TAB &gt; 
LOGISTICS &gt; Venue &gt;
Black Cloth (4 rolls)
Total Budget = Php  43,200.00
Actual Cost = Php 24,000.00
Balance = Php 19,200.00</t>
        </is>
      </c>
      <c r="AK2085"/>
    </row>
    <row r="2086" ht="25.5" customHeight="1">
      <c r="A2086" s="2" t="str">
        <f>=HYPERLINK("https://applink.larksuite.com/client/mini_program/open?appId=cli_9c7cc8a9a9edd105&amp;mode=appCenter&amp;path_pc=pc/pages/requested/index?instanceId=7618054942447718114&amp;source=bitable&amp;path=pages/detail/index?instanceId=7618054942447718114&amp;source=bitable", "202603170063")</f>
        <v>202603170063</v>
      </c>
      <c r="B2086" t="inlineStr">
        <is>
          <t>Approved</t>
        </is>
      </c>
      <c r="C2086" t="inlineStr">
        <is>
          <t>Procurement Order</t>
        </is>
      </c>
      <c r="D2086" s="3">
        <v>46098.46105324074</v>
      </c>
      <c r="E2086" s="3">
        <v>46098.64210648148</v>
      </c>
      <c r="F2086" t="inlineStr">
        <is>
          <t>Fatima Kathleen M. FLores</t>
        </is>
      </c>
      <c r="G2086" t="inlineStr">
        <is>
          <t>Procurement</t>
        </is>
      </c>
      <c r="H2086"/>
      <c r="I2086"/>
      <c r="J2086" t="inlineStr">
        <is>
          <t>Project</t>
        </is>
      </c>
      <c r="K2086" t="inlineStr">
        <is>
          <t>PDEI - Event Service</t>
        </is>
      </c>
      <c r="L2086" t="inlineStr">
        <is>
          <t>MPL PH S17</t>
        </is>
      </c>
      <c r="M2086" t="inlineStr">
        <is>
          <t>2026TEG-P0009</t>
        </is>
      </c>
      <c r="N2086" t="inlineStr">
        <is>
          <t>Katherine Denise Lee Sy</t>
        </is>
      </c>
      <c r="O2086" t="inlineStr">
        <is>
          <t>202603050104-Katherine Denise Lee Sy-费用报销 - 副本 - 副本 - 副本-2026-03-05 10:13:11</t>
        </is>
      </c>
      <c r="P2086" t="inlineStr">
        <is>
          <t>NO</t>
        </is>
      </c>
      <c r="Q2086"/>
      <c r="R2086" t="inlineStr">
        <is>
          <t>NO</t>
        </is>
      </c>
      <c r="S2086" t="inlineStr">
        <is>
          <t>Outsourced Technical Services (Lights, Sounds, Camera, Genset) - RS &amp; PO</t>
        </is>
      </c>
      <c r="T2086">
        <v>1</v>
      </c>
      <c r="U2086">
        <v>5163200</v>
      </c>
      <c r="V2086" t="inlineStr">
        <is>
          <t>PHP</t>
        </is>
      </c>
      <c r="W2086">
        <v>5163200</v>
      </c>
      <c r="X2086" s="2" t="str">
        <f>=HYPERLINK("https://www.larksuite.com/approval/admin/previewAttachment?key=PMgxCkIxEATQK81kZzO7XsbGz0cQQRCCTc4uWNi-WcSsZMyGmqPB7clCqjUkm0Vqj027YTpzH8_zeoQr9On1MHO99rrfzuPNbI8BhxQFgJe_hyV1T-Hn-AYAAP__", "2 attachment(s)")</f>
        <v>2 attachment(s)</v>
      </c>
      <c r="Y2086" t="inlineStr">
        <is>
          <t>Bank Transfer</t>
        </is>
      </c>
      <c r="Z2086" t="inlineStr">
        <is>
          <t>RED APPLE ENTERTAINMENT PRODUCTION</t>
        </is>
      </c>
      <c r="AA2086" t="inlineStr">
        <is>
          <t>002370007698</t>
        </is>
      </c>
      <c r="AB2086" t="inlineStr">
        <is>
          <t>Unionbank</t>
        </is>
      </c>
      <c r="AC2086" t="inlineStr">
        <is>
          <t>Unit 1208 Corinthian Executive Regency, Ortigas Center, Pasig City</t>
        </is>
      </c>
      <c r="AD2086" s="4">
        <v>46100</v>
      </c>
      <c r="AE2086" t="inlineStr">
        <is>
          <t>50% Down Payment upon confirmation
50% Final Payment upon completion of services</t>
        </is>
      </c>
      <c r="AF2086" s="2" t="str">
        <f>=HYPERLINK("https://www.larksuite.com/approval/admin/previewAttachment?key=TMg7CgJBEATQK1VtV_-8jInDIoggCINJn10wMn1RRJTToqHm0eBksOBqHVImi9Qcw8xGMt1nPc_rsizTp_cj6fs1-34715tRFlC7xAbAy5-T6LKwn-MbAAD__w", "2 attachment(s)")</f>
        <v>2 attachment(s)</v>
      </c>
      <c r="AG2086" t="inlineStr">
        <is>
          <t>NzQyNTk5MTgyNzQ4MTg3MDM0MTpDRjk3N0U5Mi1ENDJELTQ4NjAtQjlEMC03ODhFMTAwRTE2Q0EtMTpjYWQzZjY3N2Y0OWQ1NGFmYjFiNWEyYWFhOGYzNzk2Yzox</t>
        </is>
      </c>
      <c r="AH2086" t="inlineStr">
        <is>
          <t>RED APPLE ENTERTAINMENT PRODUCTION</t>
        </is>
      </c>
      <c r="AI2086"/>
      <c r="AJ2086" t="inlineStr">
        <is>
          <t>LIQUIDITY PLAN (PAR # 202602190021 / 2026TEG-P0009) - AS OF 031626
VENDORS &gt; 
Lights &amp; Sounds / Technicals 
Camera Crew (2 GImbal)
PLAYOFFS SPECIFIC &gt; VENDORS &gt;
Lights &amp; Sounds / Technicals
Total Budget = Php 5,164,000.00
Actual Cost = Php 5,163,200.00
Balance = Php 800.00</t>
        </is>
      </c>
      <c r="AK2086"/>
    </row>
    <row r="2087" ht="25.5" customHeight="1">
      <c r="A2087" s="2" t="str">
        <f>=HYPERLINK("https://applink.larksuite.com/client/mini_program/open?appId=cli_9c7cc8a9a9edd105&amp;mode=appCenter&amp;path_pc=pc/pages/requested/index?instanceId=7618108188839136992&amp;source=bitable&amp;path=pages/detail/index?instanceId=7618108188839136992&amp;source=bitable", "202603170110")</f>
        <v>202603170110</v>
      </c>
      <c r="B2087" t="inlineStr">
        <is>
          <t>Approved</t>
        </is>
      </c>
      <c r="C2087" t="inlineStr">
        <is>
          <t>Procurement Order</t>
        </is>
      </c>
      <c r="D2087" s="3">
        <v>46098.60454861111</v>
      </c>
      <c r="E2087" s="3">
        <v>46098.64989583333</v>
      </c>
      <c r="F2087" t="inlineStr">
        <is>
          <t>Arlyn Castillo</t>
        </is>
      </c>
      <c r="G2087" t="inlineStr">
        <is>
          <t>Procurement</t>
        </is>
      </c>
      <c r="H2087"/>
      <c r="I2087"/>
      <c r="J2087" t="inlineStr">
        <is>
          <t>Project</t>
        </is>
      </c>
      <c r="K2087" t="inlineStr">
        <is>
          <t>PDEI - Event Service</t>
        </is>
      </c>
      <c r="L2087" t="inlineStr">
        <is>
          <t>MPL PH S17</t>
        </is>
      </c>
      <c r="M2087" t="inlineStr">
        <is>
          <t>2026TEG-P0009</t>
        </is>
      </c>
      <c r="N2087" t="inlineStr">
        <is>
          <t>Katherine Denise Lee Sy</t>
        </is>
      </c>
      <c r="O2087" t="inlineStr">
        <is>
          <t>202603100130-Katherine Denise Lee Sy-费用报销 - 副本 - 副本 - 副本-2026-03-10 13:20:45</t>
        </is>
      </c>
      <c r="P2087" t="inlineStr">
        <is>
          <t>NO</t>
        </is>
      </c>
      <c r="Q2087"/>
      <c r="R2087" t="inlineStr">
        <is>
          <t>NO</t>
        </is>
      </c>
      <c r="S2087" t="inlineStr">
        <is>
          <t>Additional fee changed material from tarpulin to sintra board</t>
        </is>
      </c>
      <c r="T2087">
        <v>1</v>
      </c>
      <c r="U2087">
        <v>1500</v>
      </c>
      <c r="V2087" t="inlineStr">
        <is>
          <t>PHP</t>
        </is>
      </c>
      <c r="W2087">
        <v>1500</v>
      </c>
      <c r="X2087" s="2" t="str">
        <f>=HYPERLINK("https://www.larksuite.com/approval/admin/previewAttachment?key=PMm7DQJBDATQlmbWXn9ohoSTBUJcgjixgWtHEJC-Z0FYTIolNDkSbDcGEYwIye_k6NF0Tzh9zt4edV7HKt5v-_6WV9Xq43qp7cmZPgZcVCUA8PR3cVXNNMXP8QkAAP__", "1 attachment(s)")</f>
        <v>1 attachment(s)</v>
      </c>
      <c r="Y2087" t="inlineStr">
        <is>
          <t>Bank Transfer</t>
        </is>
      </c>
      <c r="Z2087" t="inlineStr">
        <is>
          <t>MGL Sign Fabrication</t>
        </is>
      </c>
      <c r="AA2087" t="inlineStr">
        <is>
          <t>9050295708</t>
        </is>
      </c>
      <c r="AB2087" t="inlineStr">
        <is>
          <t>RCBC</t>
        </is>
      </c>
      <c r="AC2087" t="inlineStr">
        <is>
          <t>B92 L9 SB LOOP ASCENSION AVE., GREATER LAGRO QUEZON CITY</t>
        </is>
      </c>
      <c r="AD2087" s="4">
        <v>46094</v>
      </c>
      <c r="AE2087" t="inlineStr">
        <is>
          <t>Full Payment Upon pick up/Before Pick Up</t>
        </is>
      </c>
      <c r="AF2087" s="2" t="str">
        <f>=HYPERLINK("https://www.larksuite.com/approval/admin/previewAttachment?key=TMkxDgIxDATAL-3GiePlMzScLBDiGsSJFH47gop2xoPwGDQXutgE1nQGEYwI03fUqhXnFCbnGLU98ryOlbzf9v1tr8xVx_WS25Me5ugavVMAePpzEgpz-zk-AQAA__8", "3 attachment(s)")</f>
        <v>3 attachment(s)</v>
      </c>
      <c r="AG2087" t="inlineStr">
        <is>
          <t>NzQyNTk5MTgyNzQ4MTg3MDM0MTowOTI1MzRCRS0zMDE2LTQ5NEYtODdEMi1CMjE2NDQ0MTRDQUMtMTo1NDJiYzFlZTY1MDBhM2JlOTFmNzYyMjg3OTU4YmYxMDox</t>
        </is>
      </c>
      <c r="AH2087" t="inlineStr">
        <is>
          <t>MGL Sign Fabrication</t>
        </is>
      </c>
      <c r="AI2087"/>
      <c r="AJ2087" t="inlineStr">
        <is>
          <t>LIQUIDITY PLAN (PAR # 202602190021 / 2026TEG-P0009)
v7 RAM S17 Main CE  Security TAB &gt; 
LOGISTICS &gt; Branded Collaterals&gt;
Hanging Signage Stands
Total Budget = Php 5,700.00
Actual Cost = Php 1,000.00
Balance = Php 4,700.00</t>
        </is>
      </c>
      <c r="AK2087"/>
    </row>
    <row r="2088" ht="25.5" customHeight="1">
      <c r="A2088" s="2" t="str">
        <f>=HYPERLINK("https://applink.larksuite.com/client/mini_program/open?appId=cli_9c7cc8a9a9edd105&amp;mode=appCenter&amp;path_pc=pc/pages/requested/index?instanceId=7618125262512836318&amp;source=bitable&amp;path=pages/detail/index?instanceId=7618125262512836318&amp;source=bitable", "202603170118")</f>
        <v>202603170118</v>
      </c>
      <c r="B2088" t="inlineStr">
        <is>
          <t>Approved</t>
        </is>
      </c>
      <c r="C2088" t="inlineStr">
        <is>
          <t>Procurement Order</t>
        </is>
      </c>
      <c r="D2088" s="3">
        <v>46098.650555555556</v>
      </c>
      <c r="E2088" s="3">
        <v>46099.42181712963</v>
      </c>
      <c r="F2088" t="inlineStr">
        <is>
          <t>Fatima Kathleen M. FLores</t>
        </is>
      </c>
      <c r="G2088" t="inlineStr">
        <is>
          <t>Procurement</t>
        </is>
      </c>
      <c r="H2088"/>
      <c r="I2088"/>
      <c r="J2088" t="inlineStr">
        <is>
          <t>Project</t>
        </is>
      </c>
      <c r="K2088" t="inlineStr">
        <is>
          <t>PDEI - Event Service</t>
        </is>
      </c>
      <c r="L2088" t="inlineStr">
        <is>
          <t>MPL PH S17</t>
        </is>
      </c>
      <c r="M2088" t="inlineStr">
        <is>
          <t>2026TEG-P0009</t>
        </is>
      </c>
      <c r="N2088" t="inlineStr">
        <is>
          <t>Katherine Denise Lee Sy</t>
        </is>
      </c>
      <c r="O2088" t="inlineStr">
        <is>
          <t>202603060080-Katherine Denise Lee Sy-费用报销 - 副本 - 副本 - 副本-2026-03-06 08:52:43</t>
        </is>
      </c>
      <c r="P2088" t="inlineStr">
        <is>
          <t>NO</t>
        </is>
      </c>
      <c r="Q2088"/>
      <c r="R2088" t="inlineStr">
        <is>
          <t>NO</t>
        </is>
      </c>
      <c r="S2088" t="inlineStr">
        <is>
          <t>Outsourced Stylist (2 Hosts) - RS</t>
        </is>
      </c>
      <c r="T2088">
        <v>1</v>
      </c>
      <c r="U2088">
        <v>120000</v>
      </c>
      <c r="V2088" t="inlineStr">
        <is>
          <t>PHP</t>
        </is>
      </c>
      <c r="W2088">
        <v>120000</v>
      </c>
      <c r="X2088" s="2" t="str">
        <f>=HYPERLINK("https://www.larksuite.com/approval/admin/previewAttachment?key=PMg7CgJBEATQK1X1v72MyS6DCBOJCwZ9dsHA9EURUU6NhjWlwclgUVxCnFIayhoZZjaS6T7nXvf351rb5XhWFbbP9TjW-aJ3iiDVTAsAb3_XNLPuMPwc3wAAAP__", "2 attachment(s)")</f>
        <v>2 attachment(s)</v>
      </c>
      <c r="Y2088" t="inlineStr">
        <is>
          <t>Bank Transfer</t>
        </is>
      </c>
      <c r="Z2088" t="inlineStr">
        <is>
          <t>Escapeboss Marketing Campaign Services</t>
        </is>
      </c>
      <c r="AA2088" t="inlineStr">
        <is>
          <t>013758000381</t>
        </is>
      </c>
      <c r="AB2088" t="inlineStr">
        <is>
          <t>BDO</t>
        </is>
      </c>
      <c r="AC2088" t="inlineStr">
        <is>
          <t>Unit C Blk 4 Lot 17 PH 4 Boxing St., Villa Olympia Chrysanthemum, San Pedro, Laguna</t>
        </is>
      </c>
      <c r="AD2088" s="4">
        <v>46101</v>
      </c>
      <c r="AE2088" t="inlineStr">
        <is>
          <t>Regular Season:
25% 1st Payment - Mar. 20, 2026
25% 2nd Payment - Apr. 10, 2026
25% 3rd Payment - Apr. 24, 2026
25% Final Payment - May 15, 2026
Playoffs:
50% 1st payment - May 22, 2026
50% Final Payment - Jun. 5, 2026</t>
        </is>
      </c>
      <c r="AF2088" s="2" t="str">
        <f>=HYPERLINK("https://www.larksuite.com/approval/admin/previewAttachment?key=TMwxrgIxDATQK804sT3-l_nNriKElAqxEoXPjqCifcULESHniMIsWoGdQdHcwpymEYNqa2YWkune517_z9e1tttxl4Ttfd2OdT4YGoFZPicLAP9-nER9uq_jHQAA__8", "2 attachment(s)")</f>
        <v>2 attachment(s)</v>
      </c>
      <c r="AG2088" t="inlineStr">
        <is>
          <t>NzQyNTk5MTgyNzQ4MTg3MDM0MTpGRjU4MjcxMi04RkRBLTQxM0EtOEQxOS1DODlCQUU3RUE0QkQtMTo2OWE1MDg5MjI3MjNmMTMxMDQwYmMzM2M3OGFkMmQxZTox</t>
        </is>
      </c>
      <c r="AH2088" t="inlineStr">
        <is>
          <t>Escapeboss Marketing Campaign Services</t>
        </is>
      </c>
      <c r="AI2088"/>
      <c r="AJ2088" t="inlineStr">
        <is>
          <t>LIQUIDITY PLAN (PAR # 202602190021 / 2026TEG-P0009) - AS OF 031626
Talent Management &gt; Stylist
PLAYOFFS SPECIFIC &gt; Talent Management &gt;
Playoffs Stylist
Total Budget = Php 260,000.00
Actual Cost = Php 200,000.00
Balance = Php 60,000.00</t>
        </is>
      </c>
      <c r="AK2088"/>
    </row>
    <row r="2089" ht="25.5" customHeight="1">
      <c r="A2089" s="2" t="str">
        <f>=HYPERLINK("https://applink.larksuite.com/client/mini_program/open?appId=cli_9c7cc8a9a9edd105&amp;mode=appCenter&amp;path_pc=pc/pages/requested/index?instanceId=7618125262512836318&amp;source=bitable&amp;path=pages/detail/index?instanceId=7618125262512836318&amp;source=bitable", "202603170118")</f>
        <v>202603170118</v>
      </c>
      <c r="B2089" t="inlineStr">
        <is>
          <t>Approved</t>
        </is>
      </c>
      <c r="C2089" t="inlineStr">
        <is>
          <t>Procurement Order</t>
        </is>
      </c>
      <c r="D2089" s="3">
        <v>46098.650555555556</v>
      </c>
      <c r="E2089" s="3">
        <v>46099.42181712963</v>
      </c>
      <c r="F2089" t="inlineStr">
        <is>
          <t>Fatima Kathleen M. FLores</t>
        </is>
      </c>
      <c r="G2089" t="inlineStr">
        <is>
          <t>Procurement</t>
        </is>
      </c>
      <c r="H2089"/>
      <c r="I2089"/>
      <c r="J2089" t="inlineStr">
        <is>
          <t>Project</t>
        </is>
      </c>
      <c r="K2089" t="inlineStr">
        <is>
          <t>PDEI - Event Service</t>
        </is>
      </c>
      <c r="L2089" t="inlineStr">
        <is>
          <t>MPL PH S17</t>
        </is>
      </c>
      <c r="M2089" t="inlineStr">
        <is>
          <t>2026TEG-P0009</t>
        </is>
      </c>
      <c r="N2089" t="inlineStr">
        <is>
          <t>Katherine Denise Lee Sy</t>
        </is>
      </c>
      <c r="O2089" t="inlineStr">
        <is>
          <t>202603060080-Katherine Denise Lee Sy-费用报销 - 副本 - 副本 - 副本-2026-03-06 08:52:43</t>
        </is>
      </c>
      <c r="P2089" t="inlineStr">
        <is>
          <t>NO</t>
        </is>
      </c>
      <c r="Q2089"/>
      <c r="R2089" t="inlineStr">
        <is>
          <t>NO</t>
        </is>
      </c>
      <c r="S2089" t="inlineStr">
        <is>
          <t>Outsourced Stylist (3 Hosts) - PO</t>
        </is>
      </c>
      <c r="T2089">
        <v>1</v>
      </c>
      <c r="U2089">
        <v>80000</v>
      </c>
      <c r="V2089" t="inlineStr">
        <is>
          <t>PHP</t>
        </is>
      </c>
      <c r="W2089">
        <v>80000</v>
      </c>
      <c r="X2089" s="2" t="str">
        <f>=HYPERLINK("https://www.larksuite.com/approval/admin/previewAttachment?key=PMg7CgJBEATQK1X1v72MyS6DCBOJCwZ9dsHA9EURUU6NhjWlwclgUVxCnFIayhoZZjaS6T7nXvf351rb5XhWFbbP9TjW-aJ3iiDVTAsAb3_XNLPuMPyc3wAAAP__", "1 attachment(s)")</f>
        <v>1 attachment(s)</v>
      </c>
      <c r="Y2089"/>
      <c r="Z2089"/>
      <c r="AA2089"/>
      <c r="AB2089"/>
      <c r="AC2089"/>
      <c r="AD2089" s="4"/>
      <c r="AE2089"/>
      <c r="AF2089" s="2"/>
      <c r="AG2089" t="inlineStr">
        <is>
          <t>NzQyNTk5MTgyNzQ4MTg3MDM0MTpGRjU4MjcxMi04RkRBLTQxM0EtOEQxOS1DODlCQUU3RUE0QkQtMjoxOGZlZGQ5NzVhMDhlYWRhZjZiNzkzNGU4Y2ZjNGEzMzox</t>
        </is>
      </c>
      <c r="AH2089"/>
      <c r="AI2089"/>
      <c r="AJ2089" t="inlineStr">
        <is>
          <t>LIQUIDITY PLAN (PAR # 202602190021 / 2026TEG-P0009) - AS OF 031626
Talent Management &gt; Stylist
PLAYOFFS SPECIFIC &gt; Talent Management &gt;
Playoffs Stylist
Total Budget = Php 260,000.00
Actual Cost = Php 200,000.00
Balance = Php 60,000.00</t>
        </is>
      </c>
      <c r="AK2089"/>
    </row>
    <row r="2090" ht="25.5" customHeight="1">
      <c r="A2090" s="2" t="str">
        <f>=HYPERLINK("https://applink.larksuite.com/client/mini_program/open?appId=cli_9c7cc8a9a9edd105&amp;mode=appCenter&amp;path_pc=pc/pages/requested/index?instanceId=7618128228124757728&amp;source=bitable&amp;path=pages/detail/index?instanceId=7618128228124757728&amp;source=bitable", "202603170121")</f>
        <v>202603170121</v>
      </c>
      <c r="B2090" t="inlineStr">
        <is>
          <t>Approved</t>
        </is>
      </c>
      <c r="C2090" t="inlineStr">
        <is>
          <t>Procurement Order</t>
        </is>
      </c>
      <c r="D2090" s="3">
        <v>46098.658541666664</v>
      </c>
      <c r="E2090" s="3">
        <v>46106.75813657408</v>
      </c>
      <c r="F2090" t="inlineStr">
        <is>
          <t>Fatima Kathleen M. FLores</t>
        </is>
      </c>
      <c r="G2090" t="inlineStr">
        <is>
          <t>Procurement</t>
        </is>
      </c>
      <c r="H2090"/>
      <c r="I2090"/>
      <c r="J2090" t="inlineStr">
        <is>
          <t>Project</t>
        </is>
      </c>
      <c r="K2090" t="inlineStr">
        <is>
          <t>PDEI - Slash</t>
        </is>
      </c>
      <c r="L2090" t="inlineStr">
        <is>
          <t>RED RIBBON NATIONAL CONVENTION</t>
        </is>
      </c>
      <c r="M2090" t="inlineStr">
        <is>
          <t>2026TEG-P0067</t>
        </is>
      </c>
      <c r="N2090" t="inlineStr">
        <is>
          <t>Arvin Evangelista Dela Cruz</t>
        </is>
      </c>
      <c r="O2090" t="inlineStr">
        <is>
          <t>202603110047-Arvin Evangelista Dela Cruz-费用报销 - 副本 - 副本 - 副本-2026-03-11 08:50:03</t>
        </is>
      </c>
      <c r="P2090" t="inlineStr">
        <is>
          <t>YES</t>
        </is>
      </c>
      <c r="Q2090"/>
      <c r="R2090" t="inlineStr">
        <is>
          <t>NO</t>
        </is>
      </c>
      <c r="S2090" t="inlineStr">
        <is>
          <t>Outsourced Technical Support</t>
        </is>
      </c>
      <c r="T2090">
        <v>1</v>
      </c>
      <c r="U2090">
        <v>1700</v>
      </c>
      <c r="V2090" t="inlineStr">
        <is>
          <t>PHP</t>
        </is>
      </c>
      <c r="W2090">
        <v>1700</v>
      </c>
      <c r="X2090" s="2" t="str">
        <f>=HYPERLINK("https://www.larksuite.com/approval/admin/previewAttachment?key=PMgxCkIxEATQK81sdjO7Xsbmh6BIbAT9Tc4uWNi-nkTPYOsFL1qBW51JS7OkuUKy3LYpFURF7LHmta3z-VjjqHne4zP3-3bM8WKUzKDm3hIAL39vcveq7vg5vgEAAP__", "2 attachment(s)")</f>
        <v>2 attachment(s)</v>
      </c>
      <c r="Y2090" t="inlineStr">
        <is>
          <t>Bank Transfer</t>
        </is>
      </c>
      <c r="Z2090" t="inlineStr">
        <is>
          <t>John Enric Puno</t>
        </is>
      </c>
      <c r="AA2090" t="inlineStr">
        <is>
          <t>000690087837</t>
        </is>
      </c>
      <c r="AB2090" t="inlineStr">
        <is>
          <t>BDO</t>
        </is>
      </c>
      <c r="AC2090" t="inlineStr">
        <is>
          <t>1728 G. Perfecto st. Tondo manila</t>
        </is>
      </c>
      <c r="AD2090" s="4">
        <v>46108</v>
      </c>
      <c r="AE2090" t="inlineStr">
        <is>
          <t>100% Full Payment - Mar. 27, 2026</t>
        </is>
      </c>
      <c r="AF2090" s="2"/>
      <c r="AG2090" t="inlineStr">
        <is>
          <t>NzQyNTk5MTgyNzQ4MTg3MDM0MTpBNkYwOTAxNy1DMDM5LTQyM0UtQjJCRC02NzJBQjBGOUExOUItMTo1YjRiOGQ2NGVjMzc0ZDg1YTkzYmYxOWY2NjhiMzJiZTox</t>
        </is>
      </c>
      <c r="AH2090" t="inlineStr">
        <is>
          <t>John Enric Puno</t>
        </is>
      </c>
      <c r="AI2090"/>
      <c r="AJ2090" t="inlineStr">
        <is>
          <t>LIQUIDITY PLAN (PAR # 202603110039 / 2026TEG-P0067)
Slash on site tech support
Total Budget = Php 1,700.00
Actual Cost = Php 1,700.00</t>
        </is>
      </c>
      <c r="AK2090"/>
    </row>
    <row r="2091" ht="25.5" customHeight="1">
      <c r="A2091" s="2" t="str">
        <f>=HYPERLINK("https://applink.larksuite.com/client/mini_program/open?appId=cli_9c7cc8a9a9edd105&amp;mode=appCenter&amp;path_pc=pc/pages/requested/index?instanceId=7618138750664609502&amp;source=bitable&amp;path=pages/detail/index?instanceId=7618138750664609502&amp;source=bitable", "202603170137")</f>
        <v>202603170137</v>
      </c>
      <c r="B2091" t="inlineStr">
        <is>
          <t>Approved</t>
        </is>
      </c>
      <c r="C2091" t="inlineStr">
        <is>
          <t>Procurement Order</t>
        </is>
      </c>
      <c r="D2091" s="3">
        <v>46098.686898148146</v>
      </c>
      <c r="E2091" s="3">
        <v>46119.71976851852</v>
      </c>
      <c r="F2091" t="inlineStr">
        <is>
          <t>Fatima Kathleen M. FLores</t>
        </is>
      </c>
      <c r="G2091" t="inlineStr">
        <is>
          <t>Procurement</t>
        </is>
      </c>
      <c r="H2091"/>
      <c r="I2091"/>
      <c r="J2091" t="inlineStr">
        <is>
          <t>GAE</t>
        </is>
      </c>
      <c r="K2091"/>
      <c r="L2091"/>
      <c r="M2091"/>
      <c r="N2091"/>
      <c r="O2091" t="inlineStr">
        <is>
          <t>202603140009-Ronelle Kylene Chaneco Lim-费用报销 - 副本 - 副本 - 副本-2026-03-14 03:34:42</t>
        </is>
      </c>
      <c r="P2091"/>
      <c r="Q2091" t="inlineStr">
        <is>
          <t>Business Development</t>
        </is>
      </c>
      <c r="R2091"/>
      <c r="S2091" t="inlineStr">
        <is>
          <t>Outsourced Motion Graphic Artist</t>
        </is>
      </c>
      <c r="T2091">
        <v>1</v>
      </c>
      <c r="U2091">
        <v>22250</v>
      </c>
      <c r="V2091" t="inlineStr">
        <is>
          <t>PHP</t>
        </is>
      </c>
      <c r="W2091">
        <v>22250</v>
      </c>
      <c r="X2091" s="2" t="str">
        <f>=HYPERLINK("https://www.larksuite.com/approval/admin/previewAttachment?key=PMixDUIxDATQle4c22ezDM2PvmiokJIqsyNR0L4sIis4suFNa_AoWRylQKYnOmDHDqWGqIgz3_ez3NZmr31Re8ZZr-ueH0bLDBruowDw8fchd-9Ox8_xDQAA__8", "2 attachment(s)")</f>
        <v>2 attachment(s)</v>
      </c>
      <c r="Y2091" t="inlineStr">
        <is>
          <t>Bank Transfer</t>
        </is>
      </c>
      <c r="Z2091" t="inlineStr">
        <is>
          <t>Janilo Bautista</t>
        </is>
      </c>
      <c r="AA2091" t="inlineStr">
        <is>
          <t>109420774258</t>
        </is>
      </c>
      <c r="AB2091" t="inlineStr">
        <is>
          <t>UnionBank</t>
        </is>
      </c>
      <c r="AC2091" t="inlineStr">
        <is>
          <t>10 Paz St. Tugatog, Malabon City</t>
        </is>
      </c>
      <c r="AD2091" s="4">
        <v>46122</v>
      </c>
      <c r="AE2091" t="inlineStr">
        <is>
          <t>100% Full Payment - Apr. 10, 2026</t>
        </is>
      </c>
      <c r="AF2091" s="2"/>
      <c r="AG2091" t="inlineStr">
        <is>
          <t>NzQyNTk5MTgyNzQ4MTg3MDM0MTozMTc5MEJFMS02RTY2LTRFQzYtQjQ2RC1EQTY3OEMyRjlBMjMtMToyYjA2MjQ3YWE2ZmYxOTNlMzRjYmRhYWYxMmE2YjBiMjox</t>
        </is>
      </c>
      <c r="AH2091" t="inlineStr">
        <is>
          <t>Janilo Bautista</t>
        </is>
      </c>
      <c r="AI2091"/>
      <c r="AJ2091"/>
      <c r="AK2091" t="inlineStr">
        <is>
          <t>Ronelle Kylene Chaneco Lim</t>
        </is>
      </c>
    </row>
    <row r="2092" ht="25.5" customHeight="1">
      <c r="A2092" s="2" t="str">
        <f>=HYPERLINK("https://applink.larksuite.com/client/mini_program/open?appId=cli_9c7cc8a9a9edd105&amp;mode=appCenter&amp;path_pc=pc/pages/requested/index?instanceId=7618174166549712605&amp;source=bitable&amp;path=pages/detail/index?instanceId=7618174166549712605&amp;source=bitable", "202603170166")</f>
        <v>202603170166</v>
      </c>
      <c r="B2092" t="inlineStr">
        <is>
          <t>Approved</t>
        </is>
      </c>
      <c r="C2092" t="inlineStr">
        <is>
          <t>Procurement Order</t>
        </is>
      </c>
      <c r="D2092" s="3">
        <v>46098.78233796296</v>
      </c>
      <c r="E2092" s="3">
        <v>46099.58572916667</v>
      </c>
      <c r="F2092" t="inlineStr">
        <is>
          <t>Fatima Kathleen M. FLores</t>
        </is>
      </c>
      <c r="G2092" t="inlineStr">
        <is>
          <t>Procurement</t>
        </is>
      </c>
      <c r="H2092"/>
      <c r="I2092"/>
      <c r="J2092" t="inlineStr">
        <is>
          <t>Project</t>
        </is>
      </c>
      <c r="K2092" t="inlineStr">
        <is>
          <t>GG - Event Service</t>
        </is>
      </c>
      <c r="L2092" t="inlineStr">
        <is>
          <t>PUBG Mobile 8th Anniversary Event</t>
        </is>
      </c>
      <c r="M2092" t="inlineStr">
        <is>
          <t>2026TEG-P0066</t>
        </is>
      </c>
      <c r="N2092" t="inlineStr">
        <is>
          <t>Randy Vince Fernandez Apura</t>
        </is>
      </c>
      <c r="O2092" t="inlineStr">
        <is>
          <t>202603170025-Randy Vince Fernandez Apura-费用报销 - 副本 - 副本 - 副本-2026-03-17 01:53:04;202603170027-Randy Vince Fernandez Apura-费用报销 - 副本 - 副本 - 副本-2026-03-17 01:56:05</t>
        </is>
      </c>
      <c r="P2092" t="inlineStr">
        <is>
          <t>NO</t>
        </is>
      </c>
      <c r="Q2092"/>
      <c r="R2092" t="inlineStr">
        <is>
          <t>NO</t>
        </is>
      </c>
      <c r="S2092" t="inlineStr">
        <is>
          <t>Merchandise Booth - Onsite Merch printing (150 pcs)</t>
        </is>
      </c>
      <c r="T2092">
        <v>1</v>
      </c>
      <c r="U2092">
        <v>25000</v>
      </c>
      <c r="V2092" t="inlineStr">
        <is>
          <t>PHP</t>
        </is>
      </c>
      <c r="W2092">
        <v>25000</v>
      </c>
      <c r="X2092" s="2" t="str">
        <f>=HYPERLINK("https://www.larksuite.com/approval/admin/previewAttachment?key=PMgxDsJADATAL-36bO-Zz9AQnUhQKiSUxm9HoqCdnETO4MiCF63AVnJSzszwEi0RbU2pICqit3PdxfNah_G1H9fYvT_Px9rejJIZNNzHBMDb34fcvSodP8c3AAD__w", "1 attachment(s)")</f>
        <v>1 attachment(s)</v>
      </c>
      <c r="Y2092" t="inlineStr">
        <is>
          <t>Bank Transfer</t>
        </is>
      </c>
      <c r="Z2092" t="inlineStr">
        <is>
          <t>Venic Printing Shop</t>
        </is>
      </c>
      <c r="AA2092" t="inlineStr">
        <is>
          <t>0119127986</t>
        </is>
      </c>
      <c r="AB2092" t="inlineStr">
        <is>
          <t>BPI</t>
        </is>
      </c>
      <c r="AC2092" t="inlineStr">
        <is>
          <t>Prk 5 Salvacion, 8105 City of Panabo, Davao del Norte</t>
        </is>
      </c>
      <c r="AD2092" s="4">
        <v>46099</v>
      </c>
      <c r="AE2092" t="inlineStr">
        <is>
          <t>50% Down payment upon confirmation
50% Final payment upon completion of services</t>
        </is>
      </c>
      <c r="AF2092" s="2" t="str">
        <f>=HYPERLINK("https://www.larksuite.com/approval/admin/previewAttachment?key=TMgxDsJADATAL-3e2Wubz9AQnUhQKiSUxm9HoqIdJaF0ThWsOArsEJNhlNwqOATv0YwoBMO9t3Pdg-e1jsHXflxzt_48H2t7UzkFKzdjAeDtz0lUTs2f4xsAAP__", "3 attachment(s)")</f>
        <v>3 attachment(s)</v>
      </c>
      <c r="AG2092" t="inlineStr">
        <is>
          <t>NzQyNTk5MTgyNzQ4MTg3MDM0MTo5OEFERTA4Qy1GQURFLTQyQ0QtQUI3NS05OTdGMTlBOUY3NUMtMTphZmY1M2I5NmVlZTBkNjkzNGExZWJjNmEyNmNlZGIxYTox</t>
        </is>
      </c>
      <c r="AH2092" t="inlineStr">
        <is>
          <t>Venic Printing Shop</t>
        </is>
      </c>
      <c r="AI2092"/>
      <c r="AJ2092" t="inlineStr">
        <is>
          <t>LIQUIDITY PLAN (PAR # 202603150011 / 2026TEG-P0066)
MINDANAO LEG - MARCH 22, 2026 &gt; MARKETING COLLATERAL &amp; VENUE SKINNING &gt;
Booth Activities &gt;
"Activity Booth - DIY Merch 
-Tote Bag and Shirt
-Inclusive of items"
Activity Booth - DIY Beadworks and Lanyard
Total Budget = Php 70,000.00
Actual Cost = Php 41,000.00
Balance = Php 29,000.00</t>
        </is>
      </c>
      <c r="AK2092"/>
    </row>
    <row r="2093" ht="25.5" customHeight="1">
      <c r="A2093" s="2" t="str">
        <f>=HYPERLINK("https://applink.larksuite.com/client/mini_program/open?appId=cli_9c7cc8a9a9edd105&amp;mode=appCenter&amp;path_pc=pc/pages/requested/index?instanceId=7618174166549712605&amp;source=bitable&amp;path=pages/detail/index?instanceId=7618174166549712605&amp;source=bitable", "202603170166")</f>
        <v>202603170166</v>
      </c>
      <c r="B2093" t="inlineStr">
        <is>
          <t>Approved</t>
        </is>
      </c>
      <c r="C2093" t="inlineStr">
        <is>
          <t>Procurement Order</t>
        </is>
      </c>
      <c r="D2093" s="3">
        <v>46098.78233796296</v>
      </c>
      <c r="E2093" s="3">
        <v>46099.58572916667</v>
      </c>
      <c r="F2093" t="inlineStr">
        <is>
          <t>Fatima Kathleen M. FLores</t>
        </is>
      </c>
      <c r="G2093" t="inlineStr">
        <is>
          <t>Procurement</t>
        </is>
      </c>
      <c r="H2093"/>
      <c r="I2093"/>
      <c r="J2093" t="inlineStr">
        <is>
          <t>Project</t>
        </is>
      </c>
      <c r="K2093" t="inlineStr">
        <is>
          <t>GG - Event Service</t>
        </is>
      </c>
      <c r="L2093" t="inlineStr">
        <is>
          <t>PUBG Mobile 8th Anniversary Event</t>
        </is>
      </c>
      <c r="M2093" t="inlineStr">
        <is>
          <t>2026TEG-P0066</t>
        </is>
      </c>
      <c r="N2093" t="inlineStr">
        <is>
          <t>Randy Vince Fernandez Apura</t>
        </is>
      </c>
      <c r="O2093" t="inlineStr">
        <is>
          <t>202603170025-Randy Vince Fernandez Apura-费用报销 - 副本 - 副本 - 副本-2026-03-17 01:53:04;202603170027-Randy Vince Fernandez Apura-费用报销 - 副本 - 副本 - 副本-2026-03-17 01:56:05</t>
        </is>
      </c>
      <c r="P2093" t="inlineStr">
        <is>
          <t>NO</t>
        </is>
      </c>
      <c r="Q2093"/>
      <c r="R2093" t="inlineStr">
        <is>
          <t>NO</t>
        </is>
      </c>
      <c r="S2093" t="inlineStr">
        <is>
          <t>Charm Bar booth (100 pcs)</t>
        </is>
      </c>
      <c r="T2093">
        <v>1</v>
      </c>
      <c r="U2093">
        <v>16000</v>
      </c>
      <c r="V2093" t="inlineStr">
        <is>
          <t>PHP</t>
        </is>
      </c>
      <c r="W2093">
        <v>16000</v>
      </c>
      <c r="X2093" s="2" t="str">
        <f>=HYPERLINK("https://www.larksuite.com/approval/admin/previewAttachment?key=PMgxDsJADATAL3l9a--Zz9AQnUhQKiSUxm9HoqCdnLCcgZFlLHgZWokJEZnBEjwt2htSmaCI3s51F85rHY7XflxjZ3-ej7W9ESV30yDHNDPc_j5EsippP8c3AAD__w", "2 attachment(s)")</f>
        <v>2 attachment(s)</v>
      </c>
      <c r="Y2093"/>
      <c r="Z2093"/>
      <c r="AA2093"/>
      <c r="AB2093"/>
      <c r="AC2093"/>
      <c r="AD2093" s="4"/>
      <c r="AE2093"/>
      <c r="AF2093" s="2"/>
      <c r="AG2093" t="inlineStr">
        <is>
          <t>NzQyNTk5MTgyNzQ4MTg3MDM0MTo5OEFERTA4Qy1GQURFLTQyQ0QtQUI3NS05OTdGMTlBOUY3NUMtMjpiZDc5MzNjZWMxOWYwYzQzYTE2ODUyOGE5MzVmMjkxMzox</t>
        </is>
      </c>
      <c r="AH2093"/>
      <c r="AI2093"/>
      <c r="AJ2093" t="inlineStr">
        <is>
          <t>LIQUIDITY PLAN (PAR # 202603150011 / 2026TEG-P0066)
MINDANAO LEG - MARCH 22, 2026 &gt; MARKETING COLLATERAL &amp; VENUE SKINNING &gt;
Booth Activities &gt;
"Activity Booth - DIY Merch 
-Tote Bag and Shirt
-Inclusive of items"
Activity Booth - DIY Beadworks and Lanyard
Total Budget = Php 70,000.00
Actual Cost = Php 41,000.00
Balance = Php 29,000.00</t>
        </is>
      </c>
      <c r="AK2093"/>
    </row>
    <row r="2094" ht="25.5" customHeight="1">
      <c r="A2094" s="2" t="str">
        <f>=HYPERLINK("https://applink.larksuite.com/client/mini_program/open?appId=cli_9c7cc8a9a9edd105&amp;mode=appCenter&amp;path_pc=pc/pages/requested/index?instanceId=7618433202973101790&amp;source=bitable&amp;path=pages/detail/index?instanceId=7618433202973101790&amp;source=bitable", "202603180014")</f>
        <v>202603180014</v>
      </c>
      <c r="B2094" t="inlineStr">
        <is>
          <t>Approved</t>
        </is>
      </c>
      <c r="C2094" t="inlineStr">
        <is>
          <t>Procurement Order</t>
        </is>
      </c>
      <c r="D2094" s="3">
        <v>46099.48039351852</v>
      </c>
      <c r="E2094" s="3">
        <v>46099.58974537037</v>
      </c>
      <c r="F2094" t="inlineStr">
        <is>
          <t>Fatima Kathleen M. FLores</t>
        </is>
      </c>
      <c r="G2094" t="inlineStr">
        <is>
          <t>Procurement</t>
        </is>
      </c>
      <c r="H2094"/>
      <c r="I2094"/>
      <c r="J2094" t="inlineStr">
        <is>
          <t>Project</t>
        </is>
      </c>
      <c r="K2094" t="inlineStr">
        <is>
          <t>GG - Event Service</t>
        </is>
      </c>
      <c r="L2094" t="inlineStr">
        <is>
          <t>Philippine Kings League Spring Season 2026 (PKL)</t>
        </is>
      </c>
      <c r="M2094" t="inlineStr">
        <is>
          <t>2026TEG-P0037</t>
        </is>
      </c>
      <c r="N2094" t="inlineStr">
        <is>
          <t>Juvie Anne Asis Castres</t>
        </is>
      </c>
      <c r="O2094" t="inlineStr">
        <is>
          <t>202603140017-Juvie Anne Asis Castres-费用报销 - 副本 - 副本 - 副本-2026-03-14 11:58:02</t>
        </is>
      </c>
      <c r="P2094" t="inlineStr">
        <is>
          <t>NO</t>
        </is>
      </c>
      <c r="Q2094"/>
      <c r="R2094" t="inlineStr">
        <is>
          <t>NO</t>
        </is>
      </c>
      <c r="S2094" t="inlineStr">
        <is>
          <t>MICROPHONE HOLDER</t>
        </is>
      </c>
      <c r="T2094">
        <v>4</v>
      </c>
      <c r="U2094">
        <v>201.6</v>
      </c>
      <c r="V2094" t="inlineStr">
        <is>
          <t>PHP</t>
        </is>
      </c>
      <c r="W2094">
        <v>806.4</v>
      </c>
      <c r="X2094" s="2"/>
      <c r="Y2094" t="inlineStr">
        <is>
          <t>Bank Transfer</t>
        </is>
      </c>
      <c r="Z2094" t="inlineStr">
        <is>
          <t>ILIGHT PRODUCTION</t>
        </is>
      </c>
      <c r="AA2094" t="inlineStr">
        <is>
          <t>007960010274</t>
        </is>
      </c>
      <c r="AB2094" t="inlineStr">
        <is>
          <t>BDO</t>
        </is>
      </c>
      <c r="AC2094" t="inlineStr">
        <is>
          <t>3791 Mascardo St. Brgy, Sta Cruz, Makati City</t>
        </is>
      </c>
      <c r="AD2094" s="4">
        <v>46108</v>
      </c>
      <c r="AE2094" t="inlineStr">
        <is>
          <t>100% Full Payment upon complete delivery</t>
        </is>
      </c>
      <c r="AF2094" s="2"/>
      <c r="AG2094" t="inlineStr">
        <is>
          <t>NzQyNTk5MTgyNzQ4MTg3MDM0MTpGMTYyQTkwRS0zOTgzLTRDQjktOTE0Ri04NjhGMjYzNENGMTItMTo3NzA1Y2FlYTJmZWYzOWNiNzUzOTU5ODU1NDhiMTAyOTox</t>
        </is>
      </c>
      <c r="AH2094" t="inlineStr">
        <is>
          <t>ILIGHT PRODUCTION</t>
        </is>
      </c>
      <c r="AI2094"/>
      <c r="AJ2094" t="inlineStr">
        <is>
          <t>LIQUIDITY PLAN (PAR # 202602120015 / 2026TEG-P0037) - MAR 9 VERSION
PLAYOFFS &gt; Collateral &amp; Venue Skinning &gt;
On-ground Collaterals
Total Budget = Php 20,000.00
Actual Cost = Php 1,164.80
Balance = Php 18,835.20</t>
        </is>
      </c>
      <c r="AK2094"/>
    </row>
    <row r="2095" ht="25.5" customHeight="1">
      <c r="A2095" s="2" t="str">
        <f>=HYPERLINK("https://applink.larksuite.com/client/mini_program/open?appId=cli_9c7cc8a9a9edd105&amp;mode=appCenter&amp;path_pc=pc/pages/requested/index?instanceId=7618433202973101790&amp;source=bitable&amp;path=pages/detail/index?instanceId=7618433202973101790&amp;source=bitable", "202603180014")</f>
        <v>202603180014</v>
      </c>
      <c r="B2095" t="inlineStr">
        <is>
          <t>Approved</t>
        </is>
      </c>
      <c r="C2095" t="inlineStr">
        <is>
          <t>Procurement Order</t>
        </is>
      </c>
      <c r="D2095" s="3">
        <v>46099.48039351852</v>
      </c>
      <c r="E2095" s="3">
        <v>46099.58974537037</v>
      </c>
      <c r="F2095" t="inlineStr">
        <is>
          <t>Fatima Kathleen M. FLores</t>
        </is>
      </c>
      <c r="G2095" t="inlineStr">
        <is>
          <t>Procurement</t>
        </is>
      </c>
      <c r="H2095"/>
      <c r="I2095"/>
      <c r="J2095" t="inlineStr">
        <is>
          <t>Project</t>
        </is>
      </c>
      <c r="K2095" t="inlineStr">
        <is>
          <t>GG - Event Service</t>
        </is>
      </c>
      <c r="L2095" t="inlineStr">
        <is>
          <t>Philippine Kings League Spring Season 2026 (PKL)</t>
        </is>
      </c>
      <c r="M2095" t="inlineStr">
        <is>
          <t>2026TEG-P0037</t>
        </is>
      </c>
      <c r="N2095" t="inlineStr">
        <is>
          <t>Juvie Anne Asis Castres</t>
        </is>
      </c>
      <c r="O2095" t="inlineStr">
        <is>
          <t>202603140017-Juvie Anne Asis Castres-费用报销 - 副本 - 副本 - 副本-2026-03-14 11:58:02</t>
        </is>
      </c>
      <c r="P2095" t="inlineStr">
        <is>
          <t>NO</t>
        </is>
      </c>
      <c r="Q2095"/>
      <c r="R2095" t="inlineStr">
        <is>
          <t>NO</t>
        </is>
      </c>
      <c r="S2095" t="inlineStr">
        <is>
          <t>A5 CUE CARD</t>
        </is>
      </c>
      <c r="T2095">
        <v>4</v>
      </c>
      <c r="U2095">
        <v>89.6</v>
      </c>
      <c r="V2095" t="inlineStr">
        <is>
          <t>PHP</t>
        </is>
      </c>
      <c r="W2095">
        <v>358.4</v>
      </c>
      <c r="X2095" s="2" t="str">
        <f>=HYPERLINK("https://www.larksuite.com/approval/admin/previewAttachment?key=PMg9CkIxEATgK83sTybrZWzeI4gQG0G02LMLFrbfmMSYSR-FKFqBrcEZ7gYrOUEV2ppSQVRmn3td6557e-6t9Xkfj37djnU-mSUzyCN8AuDl766IqBqBn_MbAAD__w", "2 attachment(s)")</f>
        <v>2 attachment(s)</v>
      </c>
      <c r="Y2095"/>
      <c r="Z2095"/>
      <c r="AA2095"/>
      <c r="AB2095"/>
      <c r="AC2095"/>
      <c r="AD2095" s="4"/>
      <c r="AE2095"/>
      <c r="AF2095" s="2"/>
      <c r="AG2095" t="inlineStr">
        <is>
          <t>NzQyNTk5MTgyNzQ4MTg3MDM0MTpGMTYyQTkwRS0zOTgzLTRDQjktOTE0Ri04NjhGMjYzNENGMTItMjo1ZDI0OWExN2YwOTI1ZmMzMzc2MzYzZjFlYzE4Mjg5MTox</t>
        </is>
      </c>
      <c r="AH2095"/>
      <c r="AI2095"/>
      <c r="AJ2095" t="inlineStr">
        <is>
          <t>LIQUIDITY PLAN (PAR # 202602120015 / 2026TEG-P0037) - MAR 9 VERSION
PLAYOFFS &gt; Collateral &amp; Venue Skinning &gt;
On-ground Collaterals
Total Budget = Php 20,000.00
Actual Cost = Php 1,164.80
Balance = Php 18,835.20</t>
        </is>
      </c>
      <c r="AK2095"/>
    </row>
    <row r="2096" ht="25.5" customHeight="1">
      <c r="A2096" s="2" t="str">
        <f>=HYPERLINK("https://applink.larksuite.com/client/mini_program/open?appId=cli_9c7cc8a9a9edd105&amp;mode=appCenter&amp;path_pc=pc/pages/requested/index?instanceId=7618499288917659359&amp;source=bitable&amp;path=pages/detail/index?instanceId=7618499288917659359&amp;source=bitable", "202603180045")</f>
        <v>202603180045</v>
      </c>
      <c r="B2096" t="inlineStr">
        <is>
          <t>Approved</t>
        </is>
      </c>
      <c r="C2096" t="inlineStr">
        <is>
          <t>Procurement Order</t>
        </is>
      </c>
      <c r="D2096" s="3">
        <v>46099.658483796295</v>
      </c>
      <c r="E2096" s="3">
        <v>46105.67634259259</v>
      </c>
      <c r="F2096" t="inlineStr">
        <is>
          <t>Fatima Kathleen M. FLores</t>
        </is>
      </c>
      <c r="G2096" t="inlineStr">
        <is>
          <t>Procurement</t>
        </is>
      </c>
      <c r="H2096"/>
      <c r="I2096"/>
      <c r="J2096" t="inlineStr">
        <is>
          <t>Project</t>
        </is>
      </c>
      <c r="K2096" t="inlineStr">
        <is>
          <t>PDEI - Event Service</t>
        </is>
      </c>
      <c r="L2096" t="inlineStr">
        <is>
          <t>MPL PH S17</t>
        </is>
      </c>
      <c r="M2096" t="inlineStr">
        <is>
          <t>2026TEG-P0009</t>
        </is>
      </c>
      <c r="N2096" t="inlineStr">
        <is>
          <t>Katherine Denise Lee Sy</t>
        </is>
      </c>
      <c r="O2096" t="inlineStr">
        <is>
          <t>202603060088-Katherine Denise Lee Sy-费用报销 - 副本 - 副本 - 副本-2026-03-06 09:48:19</t>
        </is>
      </c>
      <c r="P2096" t="inlineStr">
        <is>
          <t>NO</t>
        </is>
      </c>
      <c r="Q2096"/>
      <c r="R2096" t="inlineStr">
        <is>
          <t>NO</t>
        </is>
      </c>
      <c r="S2096" t="inlineStr">
        <is>
          <t>MPL STICKERS (Material: Satin Sticker | Die Cut | Size: A4 Sheet | Big &amp; Small)</t>
        </is>
      </c>
      <c r="T2096">
        <v>6</v>
      </c>
      <c r="U2096">
        <v>117.6</v>
      </c>
      <c r="V2096" t="inlineStr">
        <is>
          <t>PHP</t>
        </is>
      </c>
      <c r="W2096">
        <v>705.6</v>
      </c>
      <c r="X2096" s="2" t="str">
        <f>=HYPERLINK("https://www.larksuite.com/approval/admin/previewAttachment?key=PMi7CQJRFATQlmbuf2zGxGURWUEQFINXu2BgemqImqSXEKIJXF2ckGxG7Ep5atlit9DszLXd9zP8iPft-JjyyHys1_Wyb0-m2gztET4AePq7d0RIFfg5vgEAAP__", "2 attachment(s)")</f>
        <v>2 attachment(s)</v>
      </c>
      <c r="Y2096" t="inlineStr">
        <is>
          <t>Bank Transfer</t>
        </is>
      </c>
      <c r="Z2096" t="inlineStr">
        <is>
          <t>Bescost Digital Marketing Services Inc.</t>
        </is>
      </c>
      <c r="AA2096" t="inlineStr">
        <is>
          <t>00000-5674-8951</t>
        </is>
      </c>
      <c r="AB2096" t="inlineStr">
        <is>
          <t>Security Bank</t>
        </is>
      </c>
      <c r="AC2096" t="inlineStr">
        <is>
          <t>5105-A Sulok St., Brgy. Ugong, Valenzuela City</t>
        </is>
      </c>
      <c r="AD2096" s="4">
        <v>46122</v>
      </c>
      <c r="AE2096" t="inlineStr">
        <is>
          <t>100% Full Payment - 15 days upon complete delivery</t>
        </is>
      </c>
      <c r="AF2096" s="2"/>
      <c r="AG2096" t="inlineStr">
        <is>
          <t>NzQyNTk5MTgyNzQ4MTg3MDM0MTpDQ0NCRUMwQS0yMUNBLTQ1QzEtQTc3Ny0xNkVBMkFGQzFDRkQtMTowYTdjM2I5MDM4Mjc4MjViZjJlYjY1NDdmNGRjNDM5Yjox</t>
        </is>
      </c>
      <c r="AH2096" t="inlineStr">
        <is>
          <t>Bescost Digital Marketing Services Inc.</t>
        </is>
      </c>
      <c r="AI2096"/>
      <c r="AJ2096" t="inlineStr">
        <is>
          <t>LIQUIDITY PLAN (PAR # 202602190021 / 2026TEG-P0009) - AS OF 031626
LOGISTICS &gt; Branded Collaterals &gt;
MPL Stickers
Total Budget = Php 1,375.00
Actual Cost = Php 705.60
Balance = Php 669.40</t>
        </is>
      </c>
      <c r="AK2096"/>
    </row>
    <row r="2097" ht="25.5" customHeight="1">
      <c r="A2097" s="2" t="str">
        <f>=HYPERLINK("https://applink.larksuite.com/client/mini_program/open?appId=cli_9c7cc8a9a9edd105&amp;mode=appCenter&amp;path_pc=pc/pages/requested/index?instanceId=7618511051964813024&amp;source=bitable&amp;path=pages/detail/index?instanceId=7618511051964813024&amp;source=bitable", "202603180050")</f>
        <v>202603180050</v>
      </c>
      <c r="B2097" t="inlineStr">
        <is>
          <t>Approved</t>
        </is>
      </c>
      <c r="C2097" t="inlineStr">
        <is>
          <t>Procurement Order</t>
        </is>
      </c>
      <c r="D2097" s="3">
        <v>46099.69018518519</v>
      </c>
      <c r="E2097" s="3">
        <v>46100.44262731481</v>
      </c>
      <c r="F2097" t="inlineStr">
        <is>
          <t>Fatima Kathleen M. FLores</t>
        </is>
      </c>
      <c r="G2097" t="inlineStr">
        <is>
          <t>Procurement</t>
        </is>
      </c>
      <c r="H2097"/>
      <c r="I2097"/>
      <c r="J2097" t="inlineStr">
        <is>
          <t>Project</t>
        </is>
      </c>
      <c r="K2097" t="inlineStr">
        <is>
          <t>GG - Event Service</t>
        </is>
      </c>
      <c r="L2097" t="inlineStr">
        <is>
          <t>PUBG Mobile 8th Anniversary Event</t>
        </is>
      </c>
      <c r="M2097" t="inlineStr">
        <is>
          <t>2026TEG-P0066</t>
        </is>
      </c>
      <c r="N2097" t="inlineStr">
        <is>
          <t>Randy Vince Fernandez Apura</t>
        </is>
      </c>
      <c r="O2097" t="inlineStr">
        <is>
          <t>202603170023-Randy Vince Fernandez Apura-费用报销 - 副本 - 副本 - 副本-2026-03-17 01:48:53;202603170029-Randy Vince Fernandez Apura-费用报销 - 副本 - 副本 - 副本-2026-03-17 01:57:17;202603170031-Randy Vince Fernandez Apura-费用报销 - 副本 - 副本 - 副本-2026-03-17 02:00:17;202603170032-Randy Vince Fernandez Apura-费用报销 - 副本 - 副本 - 副本-2026-03-17 02:01:36;202603170035-Randy Vince Fernandez Apura-费用报销 - 副本 - 副本 - 副本-2026-03-17 02:08:41;202603170036-Randy Vince Fernandez Apura-费用报销 - 副本 - 副本 - 副本-2026-03-17 02:18:47</t>
        </is>
      </c>
      <c r="P2097" t="inlineStr">
        <is>
          <t>NO</t>
        </is>
      </c>
      <c r="Q2097"/>
      <c r="R2097" t="inlineStr">
        <is>
          <t>NO</t>
        </is>
      </c>
      <c r="S2097" t="inlineStr">
        <is>
          <t>ACTIVITY BOOTH BANNER - Tarpaulins (Materials: 10oz Tarpaulin)</t>
        </is>
      </c>
      <c r="T2097">
        <v>2</v>
      </c>
      <c r="U2097">
        <v>201.6</v>
      </c>
      <c r="V2097" t="inlineStr">
        <is>
          <t>PHP</t>
        </is>
      </c>
      <c r="W2097">
        <v>403.2</v>
      </c>
      <c r="X2097" s="2"/>
      <c r="Y2097" t="inlineStr">
        <is>
          <t>Bank Transfer</t>
        </is>
      </c>
      <c r="Z2097" t="inlineStr">
        <is>
          <t>ADFOCUS GRAPHICS AND DESIGN</t>
        </is>
      </c>
      <c r="AA2097" t="inlineStr">
        <is>
          <t>011418001659</t>
        </is>
      </c>
      <c r="AB2097" t="inlineStr">
        <is>
          <t>BDO</t>
        </is>
      </c>
      <c r="AC2097" t="inlineStr">
        <is>
          <t>#27 Araullo-Mabini Sts.Brgy. 9-A Poblacion District, Davao City</t>
        </is>
      </c>
      <c r="AD2097" s="4">
        <v>46100</v>
      </c>
      <c r="AE2097" t="inlineStr">
        <is>
          <t>50% Down payment upon confirmation
50% Full Payment upon complete delivery</t>
        </is>
      </c>
      <c r="AF2097" s="2" t="str">
        <f>=HYPERLINK("https://www.larksuite.com/approval/admin/previewAttachment?key=TMg9CgIxFATgK80k72-8jE3CIoqVuN07u2C17RdFRDlnCCYOgZ3BchJOhRUnhvVoZgrJdO_9Pu7rmzXWc4vg67Q-H-vYH0bNgMnNKAC8XZyEasb8O34BAAD__w", "2 attachment(s)")</f>
        <v>2 attachment(s)</v>
      </c>
      <c r="AG2097" t="inlineStr">
        <is>
          <t>NzQyNTk5MTgyNzQ4MTg3MDM0MTpBQUY0NkEzNi03QTk1LTRFQ0MtQjQxMS1FQTkxNTBEMzBBQ0EtMTpiODI4ZjYzNGM0ZTViZGQ3OWEwZGRjMDk5YmJiYjM3Yjox</t>
        </is>
      </c>
      <c r="AH2097" t="inlineStr">
        <is>
          <t>ADFOCUS GRAPHICS AND DESIGN</t>
        </is>
      </c>
      <c r="AI2097"/>
      <c r="AJ2097" t="inlineStr">
        <is>
          <t>LIQUIDITY PLAN (PAR # 202603150011 / 2026TEG-P0066)
MINDANAO LEG - MARCH 22, 2026 &gt; MARKETING COLLATERAL &amp; VENUE SKINNING &gt;
Booth Activities &gt; 
Photo Booth w/ themed Jeepney -inclusive of backdrop
Pull up Banners-w/ Mechanicsm
Characters Standees
Platform Fabrication
Print &amp; Collaterals &gt; 
Stamp Cards
Banderitas, Table Toppers
Total Budget = Php 80,000.00
Actual Cost = Php 51,184.00
Balance = Php 28,816.00</t>
        </is>
      </c>
      <c r="AK2097"/>
    </row>
    <row r="2098" ht="25.5" customHeight="1">
      <c r="A2098" s="2" t="str">
        <f>=HYPERLINK("https://applink.larksuite.com/client/mini_program/open?appId=cli_9c7cc8a9a9edd105&amp;mode=appCenter&amp;path_pc=pc/pages/requested/index?instanceId=7618511051964813024&amp;source=bitable&amp;path=pages/detail/index?instanceId=7618511051964813024&amp;source=bitable", "202603180050")</f>
        <v>202603180050</v>
      </c>
      <c r="B2098" t="inlineStr">
        <is>
          <t>Approved</t>
        </is>
      </c>
      <c r="C2098" t="inlineStr">
        <is>
          <t>Procurement Order</t>
        </is>
      </c>
      <c r="D2098" s="3">
        <v>46099.69018518519</v>
      </c>
      <c r="E2098" s="3">
        <v>46100.44262731481</v>
      </c>
      <c r="F2098" t="inlineStr">
        <is>
          <t>Fatima Kathleen M. FLores</t>
        </is>
      </c>
      <c r="G2098" t="inlineStr">
        <is>
          <t>Procurement</t>
        </is>
      </c>
      <c r="H2098"/>
      <c r="I2098"/>
      <c r="J2098" t="inlineStr">
        <is>
          <t>Project</t>
        </is>
      </c>
      <c r="K2098" t="inlineStr">
        <is>
          <t>GG - Event Service</t>
        </is>
      </c>
      <c r="L2098" t="inlineStr">
        <is>
          <t>PUBG Mobile 8th Anniversary Event</t>
        </is>
      </c>
      <c r="M2098" t="inlineStr">
        <is>
          <t>2026TEG-P0066</t>
        </is>
      </c>
      <c r="N2098" t="inlineStr">
        <is>
          <t>Randy Vince Fernandez Apura</t>
        </is>
      </c>
      <c r="O2098" t="inlineStr">
        <is>
          <t>202603170023-Randy Vince Fernandez Apura-费用报销 - 副本 - 副本 - 副本-2026-03-17 01:48:53;202603170029-Randy Vince Fernandez Apura-费用报销 - 副本 - 副本 - 副本-2026-03-17 01:57:17;202603170031-Randy Vince Fernandez Apura-费用报销 - 副本 - 副本 - 副本-2026-03-17 02:00:17;202603170032-Randy Vince Fernandez Apura-费用报销 - 副本 - 副本 - 副本-2026-03-17 02:01:36;202603170035-Randy Vince Fernandez Apura-费用报销 - 副本 - 副本 - 副本-2026-03-17 02:08:41;202603170036-Randy Vince Fernandez Apura-费用报销 - 副本 - 副本 - 副本-2026-03-17 02:18:47</t>
        </is>
      </c>
      <c r="P2098" t="inlineStr">
        <is>
          <t>NO</t>
        </is>
      </c>
      <c r="Q2098"/>
      <c r="R2098" t="inlineStr">
        <is>
          <t>NO</t>
        </is>
      </c>
      <c r="S2098" t="inlineStr">
        <is>
          <t>PUBG PHOTOWALL - Tarpaulin with Wooden Frame (Size: H-8ft x W-10ft)</t>
        </is>
      </c>
      <c r="T2098">
        <v>1</v>
      </c>
      <c r="U2098">
        <v>7280</v>
      </c>
      <c r="V2098" t="inlineStr">
        <is>
          <t>PHP</t>
        </is>
      </c>
      <c r="W2098">
        <v>7280</v>
      </c>
      <c r="X2098" s="2"/>
      <c r="Y2098"/>
      <c r="Z2098"/>
      <c r="AA2098"/>
      <c r="AB2098"/>
      <c r="AC2098"/>
      <c r="AD2098" s="4"/>
      <c r="AE2098"/>
      <c r="AF2098" s="2"/>
      <c r="AG2098" t="inlineStr">
        <is>
          <t>NzQyNTk5MTgyNzQ4MTg3MDM0MTpBQUY0NkEzNi03QTk1LTRFQ0MtQjQxMS1FQTkxNTBEMzBBQ0EtMjpkZjg4YzVmZDNhOGU3ZGVhNDY0MTcxY2U0OGMyZGI5ODox</t>
        </is>
      </c>
      <c r="AH2098"/>
      <c r="AI2098"/>
      <c r="AJ2098" t="inlineStr">
        <is>
          <t>LIQUIDITY PLAN (PAR # 202603150011 / 2026TEG-P0066)
MINDANAO LEG - MARCH 22, 2026 &gt; MARKETING COLLATERAL &amp; VENUE SKINNING &gt;
Booth Activities &gt; 
Photo Booth w/ themed Jeepney -inclusive of backdrop
Pull up Banners-w/ Mechanicsm
Characters Standees
Platform Fabrication
Print &amp; Collaterals &gt; 
Stamp Cards
Banderitas, Table Toppers
Total Budget = Php 80,000.00
Actual Cost = Php 51,184.00
Balance = Php 28,816.00</t>
        </is>
      </c>
      <c r="AK2098"/>
    </row>
    <row r="2099" ht="25.5" customHeight="1">
      <c r="A2099" s="2" t="str">
        <f>=HYPERLINK("https://applink.larksuite.com/client/mini_program/open?appId=cli_9c7cc8a9a9edd105&amp;mode=appCenter&amp;path_pc=pc/pages/requested/index?instanceId=7618511051964813024&amp;source=bitable&amp;path=pages/detail/index?instanceId=7618511051964813024&amp;source=bitable", "202603180050")</f>
        <v>202603180050</v>
      </c>
      <c r="B2099" t="inlineStr">
        <is>
          <t>Approved</t>
        </is>
      </c>
      <c r="C2099" t="inlineStr">
        <is>
          <t>Procurement Order</t>
        </is>
      </c>
      <c r="D2099" s="3">
        <v>46099.69018518519</v>
      </c>
      <c r="E2099" s="3">
        <v>46100.44262731481</v>
      </c>
      <c r="F2099" t="inlineStr">
        <is>
          <t>Fatima Kathleen M. FLores</t>
        </is>
      </c>
      <c r="G2099" t="inlineStr">
        <is>
          <t>Procurement</t>
        </is>
      </c>
      <c r="H2099"/>
      <c r="I2099"/>
      <c r="J2099" t="inlineStr">
        <is>
          <t>Project</t>
        </is>
      </c>
      <c r="K2099" t="inlineStr">
        <is>
          <t>GG - Event Service</t>
        </is>
      </c>
      <c r="L2099" t="inlineStr">
        <is>
          <t>PUBG Mobile 8th Anniversary Event</t>
        </is>
      </c>
      <c r="M2099" t="inlineStr">
        <is>
          <t>2026TEG-P0066</t>
        </is>
      </c>
      <c r="N2099" t="inlineStr">
        <is>
          <t>Randy Vince Fernandez Apura</t>
        </is>
      </c>
      <c r="O2099" t="inlineStr">
        <is>
          <t>202603170023-Randy Vince Fernandez Apura-费用报销 - 副本 - 副本 - 副本-2026-03-17 01:48:53;202603170029-Randy Vince Fernandez Apura-费用报销 - 副本 - 副本 - 副本-2026-03-17 01:57:17;202603170031-Randy Vince Fernandez Apura-费用报销 - 副本 - 副本 - 副本-2026-03-17 02:00:17;202603170032-Randy Vince Fernandez Apura-费用报销 - 副本 - 副本 - 副本-2026-03-17 02:01:36;202603170035-Randy Vince Fernandez Apura-费用报销 - 副本 - 副本 - 副本-2026-03-17 02:08:41;202603170036-Randy Vince Fernandez Apura-费用报销 - 副本 - 副本 - 副本-2026-03-17 02:18:47</t>
        </is>
      </c>
      <c r="P2099" t="inlineStr">
        <is>
          <t>NO</t>
        </is>
      </c>
      <c r="Q2099"/>
      <c r="R2099" t="inlineStr">
        <is>
          <t>NO</t>
        </is>
      </c>
      <c r="S2099" t="inlineStr">
        <is>
          <t>STANDEES - Sticker on Sintra Board (Jeepney Photobooth: H-96” x W-105”)</t>
        </is>
      </c>
      <c r="T2099">
        <v>1</v>
      </c>
      <c r="U2099">
        <v>14515.2</v>
      </c>
      <c r="V2099" t="inlineStr">
        <is>
          <t>PHP</t>
        </is>
      </c>
      <c r="W2099">
        <v>14515.2</v>
      </c>
      <c r="X2099" s="2"/>
      <c r="Y2099"/>
      <c r="Z2099"/>
      <c r="AA2099"/>
      <c r="AB2099"/>
      <c r="AC2099"/>
      <c r="AD2099" s="4"/>
      <c r="AE2099"/>
      <c r="AF2099" s="2"/>
      <c r="AG2099" t="inlineStr">
        <is>
          <t>NzQyNTk5MTgyNzQ4MTg3MDM0MTpBQUY0NkEzNi03QTk1LTRFQ0MtQjQxMS1FQTkxNTBEMzBBQ0EtMzoyZTRlYWI2N2MyMWJiM2MwOGIwNDQxNzVhMWJiNDk3NTox</t>
        </is>
      </c>
      <c r="AH2099"/>
      <c r="AI2099"/>
      <c r="AJ2099" t="inlineStr">
        <is>
          <t>LIQUIDITY PLAN (PAR # 202603150011 / 2026TEG-P0066)
MINDANAO LEG - MARCH 22, 2026 &gt; MARKETING COLLATERAL &amp; VENUE SKINNING &gt;
Booth Activities &gt; 
Photo Booth w/ themed Jeepney -inclusive of backdrop
Pull up Banners-w/ Mechanicsm
Characters Standees
Platform Fabrication
Print &amp; Collaterals &gt; 
Stamp Cards
Banderitas, Table Toppers
Total Budget = Php 80,000.00
Actual Cost = Php 51,184.00
Balance = Php 28,816.00</t>
        </is>
      </c>
      <c r="AK2099"/>
    </row>
    <row r="2100" ht="25.5" customHeight="1">
      <c r="A2100" s="2" t="str">
        <f>=HYPERLINK("https://applink.larksuite.com/client/mini_program/open?appId=cli_9c7cc8a9a9edd105&amp;mode=appCenter&amp;path_pc=pc/pages/requested/index?instanceId=7618511051964813024&amp;source=bitable&amp;path=pages/detail/index?instanceId=7618511051964813024&amp;source=bitable", "202603180050")</f>
        <v>202603180050</v>
      </c>
      <c r="B2100" t="inlineStr">
        <is>
          <t>Approved</t>
        </is>
      </c>
      <c r="C2100" t="inlineStr">
        <is>
          <t>Procurement Order</t>
        </is>
      </c>
      <c r="D2100" s="3">
        <v>46099.69018518519</v>
      </c>
      <c r="E2100" s="3">
        <v>46100.44262731481</v>
      </c>
      <c r="F2100" t="inlineStr">
        <is>
          <t>Fatima Kathleen M. FLores</t>
        </is>
      </c>
      <c r="G2100" t="inlineStr">
        <is>
          <t>Procurement</t>
        </is>
      </c>
      <c r="H2100"/>
      <c r="I2100"/>
      <c r="J2100" t="inlineStr">
        <is>
          <t>Project</t>
        </is>
      </c>
      <c r="K2100" t="inlineStr">
        <is>
          <t>GG - Event Service</t>
        </is>
      </c>
      <c r="L2100" t="inlineStr">
        <is>
          <t>PUBG Mobile 8th Anniversary Event</t>
        </is>
      </c>
      <c r="M2100" t="inlineStr">
        <is>
          <t>2026TEG-P0066</t>
        </is>
      </c>
      <c r="N2100" t="inlineStr">
        <is>
          <t>Randy Vince Fernandez Apura</t>
        </is>
      </c>
      <c r="O2100" t="inlineStr">
        <is>
          <t>202603170023-Randy Vince Fernandez Apura-费用报销 - 副本 - 副本 - 副本-2026-03-17 01:48:53;202603170029-Randy Vince Fernandez Apura-费用报销 - 副本 - 副本 - 副本-2026-03-17 01:57:17;202603170031-Randy Vince Fernandez Apura-费用报销 - 副本 - 副本 - 副本-2026-03-17 02:00:17;202603170032-Randy Vince Fernandez Apura-费用报销 - 副本 - 副本 - 副本-2026-03-17 02:01:36;202603170035-Randy Vince Fernandez Apura-费用报销 - 副本 - 副本 - 副本-2026-03-17 02:08:41;202603170036-Randy Vince Fernandez Apura-费用报销 - 副本 - 副本 - 副本-2026-03-17 02:18:47</t>
        </is>
      </c>
      <c r="P2100" t="inlineStr">
        <is>
          <t>NO</t>
        </is>
      </c>
      <c r="Q2100"/>
      <c r="R2100" t="inlineStr">
        <is>
          <t>NO</t>
        </is>
      </c>
      <c r="S2100" t="inlineStr">
        <is>
          <t>STANDEES - Sticker on Sintra Board (Helmet Guy: H-67.6” x W-45”)</t>
        </is>
      </c>
      <c r="T2100">
        <v>1</v>
      </c>
      <c r="U2100">
        <v>4838.4</v>
      </c>
      <c r="V2100" t="inlineStr">
        <is>
          <t>PHP</t>
        </is>
      </c>
      <c r="W2100">
        <v>4838.4</v>
      </c>
      <c r="X2100" s="2"/>
      <c r="Y2100"/>
      <c r="Z2100"/>
      <c r="AA2100"/>
      <c r="AB2100"/>
      <c r="AC2100"/>
      <c r="AD2100" s="4"/>
      <c r="AE2100"/>
      <c r="AF2100" s="2"/>
      <c r="AG2100" t="inlineStr">
        <is>
          <t>NzQyNTk5MTgyNzQ4MTg3MDM0MTpBQUY0NkEzNi03QTk1LTRFQ0MtQjQxMS1FQTkxNTBEMzBBQ0EtNDo3ODMwZTBkNTgyMzlhYmM2MGIwODg1NmNjODA4Nzc3MTox</t>
        </is>
      </c>
      <c r="AH2100"/>
      <c r="AI2100"/>
      <c r="AJ2100" t="inlineStr">
        <is>
          <t>LIQUIDITY PLAN (PAR # 202603150011 / 2026TEG-P0066)
MINDANAO LEG - MARCH 22, 2026 &gt; MARKETING COLLATERAL &amp; VENUE SKINNING &gt;
Booth Activities &gt; 
Photo Booth w/ themed Jeepney -inclusive of backdrop
Pull up Banners-w/ Mechanicsm
Characters Standees
Platform Fabrication
Print &amp; Collaterals &gt; 
Stamp Cards
Banderitas, Table Toppers
Total Budget = Php 80,000.00
Actual Cost = Php 51,184.00
Balance = Php 28,816.00</t>
        </is>
      </c>
      <c r="AK2100"/>
    </row>
    <row r="2101" ht="25.5" customHeight="1">
      <c r="A2101" s="2" t="str">
        <f>=HYPERLINK("https://applink.larksuite.com/client/mini_program/open?appId=cli_9c7cc8a9a9edd105&amp;mode=appCenter&amp;path_pc=pc/pages/requested/index?instanceId=7618511051964813024&amp;source=bitable&amp;path=pages/detail/index?instanceId=7618511051964813024&amp;source=bitable", "202603180050")</f>
        <v>202603180050</v>
      </c>
      <c r="B2101" t="inlineStr">
        <is>
          <t>Approved</t>
        </is>
      </c>
      <c r="C2101" t="inlineStr">
        <is>
          <t>Procurement Order</t>
        </is>
      </c>
      <c r="D2101" s="3">
        <v>46099.69018518519</v>
      </c>
      <c r="E2101" s="3">
        <v>46100.44262731481</v>
      </c>
      <c r="F2101" t="inlineStr">
        <is>
          <t>Fatima Kathleen M. FLores</t>
        </is>
      </c>
      <c r="G2101" t="inlineStr">
        <is>
          <t>Procurement</t>
        </is>
      </c>
      <c r="H2101"/>
      <c r="I2101"/>
      <c r="J2101" t="inlineStr">
        <is>
          <t>Project</t>
        </is>
      </c>
      <c r="K2101" t="inlineStr">
        <is>
          <t>GG - Event Service</t>
        </is>
      </c>
      <c r="L2101" t="inlineStr">
        <is>
          <t>PUBG Mobile 8th Anniversary Event</t>
        </is>
      </c>
      <c r="M2101" t="inlineStr">
        <is>
          <t>2026TEG-P0066</t>
        </is>
      </c>
      <c r="N2101" t="inlineStr">
        <is>
          <t>Randy Vince Fernandez Apura</t>
        </is>
      </c>
      <c r="O2101" t="inlineStr">
        <is>
          <t>202603170023-Randy Vince Fernandez Apura-费用报销 - 副本 - 副本 - 副本-2026-03-17 01:48:53;202603170029-Randy Vince Fernandez Apura-费用报销 - 副本 - 副本 - 副本-2026-03-17 01:57:17;202603170031-Randy Vince Fernandez Apura-费用报销 - 副本 - 副本 - 副本-2026-03-17 02:00:17;202603170032-Randy Vince Fernandez Apura-费用报销 - 副本 - 副本 - 副本-2026-03-17 02:01:36;202603170035-Randy Vince Fernandez Apura-费用报销 - 副本 - 副本 - 副本-2026-03-17 02:08:41;202603170036-Randy Vince Fernandez Apura-费用报销 - 副本 - 副本 - 副本-2026-03-17 02:18:47</t>
        </is>
      </c>
      <c r="P2101" t="inlineStr">
        <is>
          <t>NO</t>
        </is>
      </c>
      <c r="Q2101"/>
      <c r="R2101" t="inlineStr">
        <is>
          <t>NO</t>
        </is>
      </c>
      <c r="S2101" t="inlineStr">
        <is>
          <t>STANDEES - Sticker on Sintra Board (School Girl: H-66.1” x W-44”)</t>
        </is>
      </c>
      <c r="T2101">
        <v>1</v>
      </c>
      <c r="U2101">
        <v>4435.2</v>
      </c>
      <c r="V2101" t="inlineStr">
        <is>
          <t>PHP</t>
        </is>
      </c>
      <c r="W2101">
        <v>4435.2</v>
      </c>
      <c r="X2101" s="2"/>
      <c r="Y2101"/>
      <c r="Z2101"/>
      <c r="AA2101"/>
      <c r="AB2101"/>
      <c r="AC2101"/>
      <c r="AD2101" s="4"/>
      <c r="AE2101"/>
      <c r="AF2101" s="2"/>
      <c r="AG2101" t="inlineStr">
        <is>
          <t>NzQyNTk5MTgyNzQ4MTg3MDM0MTpBQUY0NkEzNi03QTk1LTRFQ0MtQjQxMS1FQTkxNTBEMzBBQ0EtNTozNDZhY2Q2N2IyMWU0YTE2ZGRkY2NhMzgwMWQ2MDQ3ZTox</t>
        </is>
      </c>
      <c r="AH2101"/>
      <c r="AI2101"/>
      <c r="AJ2101" t="inlineStr">
        <is>
          <t>LIQUIDITY PLAN (PAR # 202603150011 / 2026TEG-P0066)
MINDANAO LEG - MARCH 22, 2026 &gt; MARKETING COLLATERAL &amp; VENUE SKINNING &gt;
Booth Activities &gt; 
Photo Booth w/ themed Jeepney -inclusive of backdrop
Pull up Banners-w/ Mechanicsm
Characters Standees
Platform Fabrication
Print &amp; Collaterals &gt; 
Stamp Cards
Banderitas, Table Toppers
Total Budget = Php 80,000.00
Actual Cost = Php 51,184.00
Balance = Php 28,816.00</t>
        </is>
      </c>
      <c r="AK2101"/>
    </row>
    <row r="2102" ht="25.5" customHeight="1">
      <c r="A2102" s="2" t="str">
        <f>=HYPERLINK("https://applink.larksuite.com/client/mini_program/open?appId=cli_9c7cc8a9a9edd105&amp;mode=appCenter&amp;path_pc=pc/pages/requested/index?instanceId=7618511051964813024&amp;source=bitable&amp;path=pages/detail/index?instanceId=7618511051964813024&amp;source=bitable", "202603180050")</f>
        <v>202603180050</v>
      </c>
      <c r="B2102" t="inlineStr">
        <is>
          <t>Approved</t>
        </is>
      </c>
      <c r="C2102" t="inlineStr">
        <is>
          <t>Procurement Order</t>
        </is>
      </c>
      <c r="D2102" s="3">
        <v>46099.69018518519</v>
      </c>
      <c r="E2102" s="3">
        <v>46100.44262731481</v>
      </c>
      <c r="F2102" t="inlineStr">
        <is>
          <t>Fatima Kathleen M. FLores</t>
        </is>
      </c>
      <c r="G2102" t="inlineStr">
        <is>
          <t>Procurement</t>
        </is>
      </c>
      <c r="H2102"/>
      <c r="I2102"/>
      <c r="J2102" t="inlineStr">
        <is>
          <t>Project</t>
        </is>
      </c>
      <c r="K2102" t="inlineStr">
        <is>
          <t>GG - Event Service</t>
        </is>
      </c>
      <c r="L2102" t="inlineStr">
        <is>
          <t>PUBG Mobile 8th Anniversary Event</t>
        </is>
      </c>
      <c r="M2102" t="inlineStr">
        <is>
          <t>2026TEG-P0066</t>
        </is>
      </c>
      <c r="N2102" t="inlineStr">
        <is>
          <t>Randy Vince Fernandez Apura</t>
        </is>
      </c>
      <c r="O2102" t="inlineStr">
        <is>
          <t>202603170023-Randy Vince Fernandez Apura-费用报销 - 副本 - 副本 - 副本-2026-03-17 01:48:53;202603170029-Randy Vince Fernandez Apura-费用报销 - 副本 - 副本 - 副本-2026-03-17 01:57:17;202603170031-Randy Vince Fernandez Apura-费用报销 - 副本 - 副本 - 副本-2026-03-17 02:00:17;202603170032-Randy Vince Fernandez Apura-费用报销 - 副本 - 副本 - 副本-2026-03-17 02:01:36;202603170035-Randy Vince Fernandez Apura-费用报销 - 副本 - 副本 - 副本-2026-03-17 02:08:41;202603170036-Randy Vince Fernandez Apura-费用报销 - 副本 - 副本 - 副本-2026-03-17 02:18:47</t>
        </is>
      </c>
      <c r="P2102" t="inlineStr">
        <is>
          <t>NO</t>
        </is>
      </c>
      <c r="Q2102"/>
      <c r="R2102" t="inlineStr">
        <is>
          <t>NO</t>
        </is>
      </c>
      <c r="S2102" t="inlineStr">
        <is>
          <t>STANDEES - Sticker on Sintra Board (Table Toppers: H-8” x W-6”)</t>
        </is>
      </c>
      <c r="T2102">
        <v>20</v>
      </c>
      <c r="U2102">
        <v>134.4</v>
      </c>
      <c r="V2102" t="inlineStr">
        <is>
          <t>PHP</t>
        </is>
      </c>
      <c r="W2102">
        <v>2688</v>
      </c>
      <c r="X2102" s="2"/>
      <c r="Y2102"/>
      <c r="Z2102"/>
      <c r="AA2102"/>
      <c r="AB2102"/>
      <c r="AC2102"/>
      <c r="AD2102" s="4"/>
      <c r="AE2102"/>
      <c r="AF2102" s="2"/>
      <c r="AG2102" t="inlineStr">
        <is>
          <t>NzQyNTk5MTgyNzQ4MTg3MDM0MTpBQUY0NkEzNi03QTk1LTRFQ0MtQjQxMS1FQTkxNTBEMzBBQ0EtNjoxNTJjZGU2MTkxOGZhMzU3OThiOWE2ZWQxMzJjMDFkMjox</t>
        </is>
      </c>
      <c r="AH2102"/>
      <c r="AI2102"/>
      <c r="AJ2102" t="inlineStr">
        <is>
          <t>LIQUIDITY PLAN (PAR # 202603150011 / 2026TEG-P0066)
MINDANAO LEG - MARCH 22, 2026 &gt; MARKETING COLLATERAL &amp; VENUE SKINNING &gt;
Booth Activities &gt; 
Photo Booth w/ themed Jeepney -inclusive of backdrop
Pull up Banners-w/ Mechanicsm
Characters Standees
Platform Fabrication
Print &amp; Collaterals &gt; 
Stamp Cards
Banderitas, Table Toppers
Total Budget = Php 80,000.00
Actual Cost = Php 51,184.00
Balance = Php 28,816.00</t>
        </is>
      </c>
      <c r="AK2102"/>
    </row>
    <row r="2103" ht="25.5" customHeight="1">
      <c r="A2103" s="2" t="str">
        <f>=HYPERLINK("https://applink.larksuite.com/client/mini_program/open?appId=cli_9c7cc8a9a9edd105&amp;mode=appCenter&amp;path_pc=pc/pages/requested/index?instanceId=7618511051964813024&amp;source=bitable&amp;path=pages/detail/index?instanceId=7618511051964813024&amp;source=bitable", "202603180050")</f>
        <v>202603180050</v>
      </c>
      <c r="B2103" t="inlineStr">
        <is>
          <t>Approved</t>
        </is>
      </c>
      <c r="C2103" t="inlineStr">
        <is>
          <t>Procurement Order</t>
        </is>
      </c>
      <c r="D2103" s="3">
        <v>46099.69018518519</v>
      </c>
      <c r="E2103" s="3">
        <v>46100.44262731481</v>
      </c>
      <c r="F2103" t="inlineStr">
        <is>
          <t>Fatima Kathleen M. FLores</t>
        </is>
      </c>
      <c r="G2103" t="inlineStr">
        <is>
          <t>Procurement</t>
        </is>
      </c>
      <c r="H2103"/>
      <c r="I2103"/>
      <c r="J2103" t="inlineStr">
        <is>
          <t>Project</t>
        </is>
      </c>
      <c r="K2103" t="inlineStr">
        <is>
          <t>GG - Event Service</t>
        </is>
      </c>
      <c r="L2103" t="inlineStr">
        <is>
          <t>PUBG Mobile 8th Anniversary Event</t>
        </is>
      </c>
      <c r="M2103" t="inlineStr">
        <is>
          <t>2026TEG-P0066</t>
        </is>
      </c>
      <c r="N2103" t="inlineStr">
        <is>
          <t>Randy Vince Fernandez Apura</t>
        </is>
      </c>
      <c r="O2103" t="inlineStr">
        <is>
          <t>202603170023-Randy Vince Fernandez Apura-费用报销 - 副本 - 副本 - 副本-2026-03-17 01:48:53;202603170029-Randy Vince Fernandez Apura-费用报销 - 副本 - 副本 - 副本-2026-03-17 01:57:17;202603170031-Randy Vince Fernandez Apura-费用报销 - 副本 - 副本 - 副本-2026-03-17 02:00:17;202603170032-Randy Vince Fernandez Apura-费用报销 - 副本 - 副本 - 副本-2026-03-17 02:01:36;202603170035-Randy Vince Fernandez Apura-费用报销 - 副本 - 副本 - 副本-2026-03-17 02:08:41;202603170036-Randy Vince Fernandez Apura-费用报销 - 副本 - 副本 - 副本-2026-03-17 02:18:47</t>
        </is>
      </c>
      <c r="P2103" t="inlineStr">
        <is>
          <t>NO</t>
        </is>
      </c>
      <c r="Q2103"/>
      <c r="R2103" t="inlineStr">
        <is>
          <t>NO</t>
        </is>
      </c>
      <c r="S2103" t="inlineStr">
        <is>
          <t>X-STANDEE (Size: H-5ft x W-2ft)</t>
        </is>
      </c>
      <c r="T2103">
        <v>4</v>
      </c>
      <c r="U2103">
        <v>896</v>
      </c>
      <c r="V2103" t="inlineStr">
        <is>
          <t>PHP</t>
        </is>
      </c>
      <c r="W2103">
        <v>3584</v>
      </c>
      <c r="X2103" s="2"/>
      <c r="Y2103"/>
      <c r="Z2103"/>
      <c r="AA2103"/>
      <c r="AB2103"/>
      <c r="AC2103"/>
      <c r="AD2103" s="4"/>
      <c r="AE2103"/>
      <c r="AF2103" s="2"/>
      <c r="AG2103" t="inlineStr">
        <is>
          <t>NzQyNTk5MTgyNzQ4MTg3MDM0MTpBQUY0NkEzNi03QTk1LTRFQ0MtQjQxMS1FQTkxNTBEMzBBQ0EtNzpkMzY2NmQ0ODc2YTkwOWM3MzUyYWUzYTYxMmYwMTE5ZTox</t>
        </is>
      </c>
      <c r="AH2103"/>
      <c r="AI2103"/>
      <c r="AJ2103" t="inlineStr">
        <is>
          <t>LIQUIDITY PLAN (PAR # 202603150011 / 2026TEG-P0066)
MINDANAO LEG - MARCH 22, 2026 &gt; MARKETING COLLATERAL &amp; VENUE SKINNING &gt;
Booth Activities &gt; 
Photo Booth w/ themed Jeepney -inclusive of backdrop
Pull up Banners-w/ Mechanicsm
Characters Standees
Platform Fabrication
Print &amp; Collaterals &gt; 
Stamp Cards
Banderitas, Table Toppers
Total Budget = Php 80,000.00
Actual Cost = Php 51,184.00
Balance = Php 28,816.00</t>
        </is>
      </c>
      <c r="AK2103"/>
    </row>
    <row r="2104" ht="25.5" customHeight="1">
      <c r="A2104" s="2" t="str">
        <f>=HYPERLINK("https://applink.larksuite.com/client/mini_program/open?appId=cli_9c7cc8a9a9edd105&amp;mode=appCenter&amp;path_pc=pc/pages/requested/index?instanceId=7618511051964813024&amp;source=bitable&amp;path=pages/detail/index?instanceId=7618511051964813024&amp;source=bitable", "202603180050")</f>
        <v>202603180050</v>
      </c>
      <c r="B2104" t="inlineStr">
        <is>
          <t>Approved</t>
        </is>
      </c>
      <c r="C2104" t="inlineStr">
        <is>
          <t>Procurement Order</t>
        </is>
      </c>
      <c r="D2104" s="3">
        <v>46099.69018518519</v>
      </c>
      <c r="E2104" s="3">
        <v>46100.44262731481</v>
      </c>
      <c r="F2104" t="inlineStr">
        <is>
          <t>Fatima Kathleen M. FLores</t>
        </is>
      </c>
      <c r="G2104" t="inlineStr">
        <is>
          <t>Procurement</t>
        </is>
      </c>
      <c r="H2104"/>
      <c r="I2104"/>
      <c r="J2104" t="inlineStr">
        <is>
          <t>Project</t>
        </is>
      </c>
      <c r="K2104" t="inlineStr">
        <is>
          <t>GG - Event Service</t>
        </is>
      </c>
      <c r="L2104" t="inlineStr">
        <is>
          <t>PUBG Mobile 8th Anniversary Event</t>
        </is>
      </c>
      <c r="M2104" t="inlineStr">
        <is>
          <t>2026TEG-P0066</t>
        </is>
      </c>
      <c r="N2104" t="inlineStr">
        <is>
          <t>Randy Vince Fernandez Apura</t>
        </is>
      </c>
      <c r="O2104" t="inlineStr">
        <is>
          <t>202603170023-Randy Vince Fernandez Apura-费用报销 - 副本 - 副本 - 副本-2026-03-17 01:48:53;202603170029-Randy Vince Fernandez Apura-费用报销 - 副本 - 副本 - 副本-2026-03-17 01:57:17;202603170031-Randy Vince Fernandez Apura-费用报销 - 副本 - 副本 - 副本-2026-03-17 02:00:17;202603170032-Randy Vince Fernandez Apura-费用报销 - 副本 - 副本 - 副本-2026-03-17 02:01:36;202603170035-Randy Vince Fernandez Apura-费用报销 - 副本 - 副本 - 副本-2026-03-17 02:08:41;202603170036-Randy Vince Fernandez Apura-费用报销 - 副本 - 副本 - 副本-2026-03-17 02:18:47</t>
        </is>
      </c>
      <c r="P2104" t="inlineStr">
        <is>
          <t>NO</t>
        </is>
      </c>
      <c r="Q2104"/>
      <c r="R2104" t="inlineStr">
        <is>
          <t>NO</t>
        </is>
      </c>
      <c r="S2104" t="inlineStr">
        <is>
          <t>BANDERITAS (Size: L-10meters)</t>
        </is>
      </c>
      <c r="T2104">
        <v>1</v>
      </c>
      <c r="U2104">
        <v>2800</v>
      </c>
      <c r="V2104" t="inlineStr">
        <is>
          <t>PHP</t>
        </is>
      </c>
      <c r="W2104">
        <v>2800</v>
      </c>
      <c r="X2104" s="2"/>
      <c r="Y2104"/>
      <c r="Z2104"/>
      <c r="AA2104"/>
      <c r="AB2104"/>
      <c r="AC2104"/>
      <c r="AD2104" s="4"/>
      <c r="AE2104"/>
      <c r="AF2104" s="2"/>
      <c r="AG2104" t="inlineStr">
        <is>
          <t>NzQyNTk5MTgyNzQ4MTg3MDM0MTpBQUY0NkEzNi03QTk1LTRFQ0MtQjQxMS1FQTkxNTBEMzBBQ0EtODoxMzZkMDI0ZGZiZDMzZDFiZmYyNWNhYWU2OTFiNDkwNDox</t>
        </is>
      </c>
      <c r="AH2104"/>
      <c r="AI2104"/>
      <c r="AJ2104" t="inlineStr">
        <is>
          <t>LIQUIDITY PLAN (PAR # 202603150011 / 2026TEG-P0066)
MINDANAO LEG - MARCH 22, 2026 &gt; MARKETING COLLATERAL &amp; VENUE SKINNING &gt;
Booth Activities &gt; 
Photo Booth w/ themed Jeepney -inclusive of backdrop
Pull up Banners-w/ Mechanicsm
Characters Standees
Platform Fabrication
Print &amp; Collaterals &gt; 
Stamp Cards
Banderitas, Table Toppers
Total Budget = Php 80,000.00
Actual Cost = Php 51,184.00
Balance = Php 28,816.00</t>
        </is>
      </c>
      <c r="AK2104"/>
    </row>
    <row r="2105" ht="25.5" customHeight="1">
      <c r="A2105" s="2" t="str">
        <f>=HYPERLINK("https://applink.larksuite.com/client/mini_program/open?appId=cli_9c7cc8a9a9edd105&amp;mode=appCenter&amp;path_pc=pc/pages/requested/index?instanceId=7618511051964813024&amp;source=bitable&amp;path=pages/detail/index?instanceId=7618511051964813024&amp;source=bitable", "202603180050")</f>
        <v>202603180050</v>
      </c>
      <c r="B2105" t="inlineStr">
        <is>
          <t>Approved</t>
        </is>
      </c>
      <c r="C2105" t="inlineStr">
        <is>
          <t>Procurement Order</t>
        </is>
      </c>
      <c r="D2105" s="3">
        <v>46099.69018518519</v>
      </c>
      <c r="E2105" s="3">
        <v>46100.44262731481</v>
      </c>
      <c r="F2105" t="inlineStr">
        <is>
          <t>Fatima Kathleen M. FLores</t>
        </is>
      </c>
      <c r="G2105" t="inlineStr">
        <is>
          <t>Procurement</t>
        </is>
      </c>
      <c r="H2105"/>
      <c r="I2105"/>
      <c r="J2105" t="inlineStr">
        <is>
          <t>Project</t>
        </is>
      </c>
      <c r="K2105" t="inlineStr">
        <is>
          <t>GG - Event Service</t>
        </is>
      </c>
      <c r="L2105" t="inlineStr">
        <is>
          <t>PUBG Mobile 8th Anniversary Event</t>
        </is>
      </c>
      <c r="M2105" t="inlineStr">
        <is>
          <t>2026TEG-P0066</t>
        </is>
      </c>
      <c r="N2105" t="inlineStr">
        <is>
          <t>Randy Vince Fernandez Apura</t>
        </is>
      </c>
      <c r="O2105" t="inlineStr">
        <is>
          <t>202603170023-Randy Vince Fernandez Apura-费用报销 - 副本 - 副本 - 副本-2026-03-17 01:48:53;202603170029-Randy Vince Fernandez Apura-费用报销 - 副本 - 副本 - 副本-2026-03-17 01:57:17;202603170031-Randy Vince Fernandez Apura-费用报销 - 副本 - 副本 - 副本-2026-03-17 02:00:17;202603170032-Randy Vince Fernandez Apura-费用报销 - 副本 - 副本 - 副本-2026-03-17 02:01:36;202603170035-Randy Vince Fernandez Apura-费用报销 - 副本 - 副本 - 副本-2026-03-17 02:08:41;202603170036-Randy Vince Fernandez Apura-费用报销 - 副本 - 副本 - 副本-2026-03-17 02:18:47</t>
        </is>
      </c>
      <c r="P2105" t="inlineStr">
        <is>
          <t>NO</t>
        </is>
      </c>
      <c r="Q2105"/>
      <c r="R2105" t="inlineStr">
        <is>
          <t>NO</t>
        </is>
      </c>
      <c r="S2105" t="inlineStr">
        <is>
          <t>STAMP CARD (Size: H-6” x W-4” | Material: C2S 180gsm)</t>
        </is>
      </c>
      <c r="T2105">
        <v>180</v>
      </c>
      <c r="U2105">
        <v>28</v>
      </c>
      <c r="V2105" t="inlineStr">
        <is>
          <t>PHP</t>
        </is>
      </c>
      <c r="W2105">
        <v>5040</v>
      </c>
      <c r="X2105" s="2"/>
      <c r="Y2105"/>
      <c r="Z2105"/>
      <c r="AA2105"/>
      <c r="AB2105"/>
      <c r="AC2105"/>
      <c r="AD2105" s="4"/>
      <c r="AE2105"/>
      <c r="AF2105" s="2"/>
      <c r="AG2105" t="inlineStr">
        <is>
          <t>NzQyNTk5MTgyNzQ4MTg3MDM0MTpBQUY0NkEzNi03QTk1LTRFQ0MtQjQxMS1FQTkxNTBEMzBBQ0EtOTo3ZGE4NGUwMjg1YjA4NDhjMGM4YWQwNmE1NjVhOTE2Zjox</t>
        </is>
      </c>
      <c r="AH2105"/>
      <c r="AI2105"/>
      <c r="AJ2105" t="inlineStr">
        <is>
          <t>LIQUIDITY PLAN (PAR # 202603150011 / 2026TEG-P0066)
MINDANAO LEG - MARCH 22, 2026 &gt; MARKETING COLLATERAL &amp; VENUE SKINNING &gt;
Booth Activities &gt; 
Photo Booth w/ themed Jeepney -inclusive of backdrop
Pull up Banners-w/ Mechanicsm
Characters Standees
Platform Fabrication
Print &amp; Collaterals &gt; 
Stamp Cards
Banderitas, Table Toppers
Total Budget = Php 80,000.00
Actual Cost = Php 51,184.00
Balance = Php 28,816.00</t>
        </is>
      </c>
      <c r="AK2105"/>
    </row>
    <row r="2106" ht="25.5" customHeight="1">
      <c r="A2106" s="2" t="str">
        <f>=HYPERLINK("https://applink.larksuite.com/client/mini_program/open?appId=cli_9c7cc8a9a9edd105&amp;mode=appCenter&amp;path_pc=pc/pages/requested/index?instanceId=7618511051964813024&amp;source=bitable&amp;path=pages/detail/index?instanceId=7618511051964813024&amp;source=bitable", "202603180050")</f>
        <v>202603180050</v>
      </c>
      <c r="B2106" t="inlineStr">
        <is>
          <t>Approved</t>
        </is>
      </c>
      <c r="C2106" t="inlineStr">
        <is>
          <t>Procurement Order</t>
        </is>
      </c>
      <c r="D2106" s="3">
        <v>46099.69018518519</v>
      </c>
      <c r="E2106" s="3">
        <v>46100.44262731481</v>
      </c>
      <c r="F2106" t="inlineStr">
        <is>
          <t>Fatima Kathleen M. FLores</t>
        </is>
      </c>
      <c r="G2106" t="inlineStr">
        <is>
          <t>Procurement</t>
        </is>
      </c>
      <c r="H2106"/>
      <c r="I2106"/>
      <c r="J2106" t="inlineStr">
        <is>
          <t>Project</t>
        </is>
      </c>
      <c r="K2106" t="inlineStr">
        <is>
          <t>GG - Event Service</t>
        </is>
      </c>
      <c r="L2106" t="inlineStr">
        <is>
          <t>PUBG Mobile 8th Anniversary Event</t>
        </is>
      </c>
      <c r="M2106" t="inlineStr">
        <is>
          <t>2026TEG-P0066</t>
        </is>
      </c>
      <c r="N2106" t="inlineStr">
        <is>
          <t>Randy Vince Fernandez Apura</t>
        </is>
      </c>
      <c r="O2106" t="inlineStr">
        <is>
          <t>202603170023-Randy Vince Fernandez Apura-费用报销 - 副本 - 副本 - 副本-2026-03-17 01:48:53;202603170029-Randy Vince Fernandez Apura-费用报销 - 副本 - 副本 - 副本-2026-03-17 01:57:17;202603170031-Randy Vince Fernandez Apura-费用报销 - 副本 - 副本 - 副本-2026-03-17 02:00:17;202603170032-Randy Vince Fernandez Apura-费用报销 - 副本 - 副本 - 副本-2026-03-17 02:01:36;202603170035-Randy Vince Fernandez Apura-费用报销 - 副本 - 副本 - 副本-2026-03-17 02:08:41;202603170036-Randy Vince Fernandez Apura-费用报销 - 副本 - 副本 - 副本-2026-03-17 02:18:47</t>
        </is>
      </c>
      <c r="P2106" t="inlineStr">
        <is>
          <t>NO</t>
        </is>
      </c>
      <c r="Q2106"/>
      <c r="R2106" t="inlineStr">
        <is>
          <t>NO</t>
        </is>
      </c>
      <c r="S2106" t="inlineStr">
        <is>
          <t>INSTALLATION AND MOBILIZATION CHARGE</t>
        </is>
      </c>
      <c r="T2106">
        <v>1</v>
      </c>
      <c r="U2106">
        <v>5600</v>
      </c>
      <c r="V2106" t="inlineStr">
        <is>
          <t>PHP</t>
        </is>
      </c>
      <c r="W2106">
        <v>5600</v>
      </c>
      <c r="X2106" s="2" t="str">
        <f>=HYPERLINK("https://www.larksuite.com/approval/admin/previewAttachment?key=PMg9CgIxFATgK828vL_xMjYJiyhW4nY5u2Cx7ZdNZAdHCi6awF3JDhJBpTcHzLdtVgnFitjrfdznt9rmc4ng6_R9PuaxPgyVGWq4jwbA2-Wj3F1Kx9_1CwAA__8", "7 attachment(s)")</f>
        <v>7 attachment(s)</v>
      </c>
      <c r="Y2106"/>
      <c r="Z2106"/>
      <c r="AA2106"/>
      <c r="AB2106"/>
      <c r="AC2106"/>
      <c r="AD2106" s="4"/>
      <c r="AE2106"/>
      <c r="AF2106" s="2"/>
      <c r="AG2106" t="inlineStr">
        <is>
          <t>NzQyNTk5MTgyNzQ4MTg3MDM0MTpBQUY0NkEzNi03QTk1LTRFQ0MtQjQxMS1FQTkxNTBEMzBBQ0EtMTA6YzMwOGU4OGE3YWJkMWQxYjNiMTJlOTM4NWZlOGEzMGM6MQ==</t>
        </is>
      </c>
      <c r="AH2106"/>
      <c r="AI2106"/>
      <c r="AJ2106" t="inlineStr">
        <is>
          <t>LIQUIDITY PLAN (PAR # 202603150011 / 2026TEG-P0066)
MINDANAO LEG - MARCH 22, 2026 &gt; MARKETING COLLATERAL &amp; VENUE SKINNING &gt;
Booth Activities &gt; 
Photo Booth w/ themed Jeepney -inclusive of backdrop
Pull up Banners-w/ Mechanicsm
Characters Standees
Platform Fabrication
Print &amp; Collaterals &gt; 
Stamp Cards
Banderitas, Table Toppers
Total Budget = Php 80,000.00
Actual Cost = Php 51,184.00
Balance = Php 28,816.00</t>
        </is>
      </c>
      <c r="AK2106"/>
    </row>
    <row r="2107" ht="25.5" customHeight="1">
      <c r="A2107" s="2" t="str">
        <f>=HYPERLINK("https://applink.larksuite.com/client/mini_program/open?appId=cli_9c7cc8a9a9edd105&amp;mode=appCenter&amp;path_pc=pc/pages/requested/index?instanceId=7618521303414279899&amp;source=bitable&amp;path=pages/detail/index?instanceId=7618521303414279899&amp;source=bitable", "202603180051")</f>
        <v>202603180051</v>
      </c>
      <c r="B2107" t="inlineStr">
        <is>
          <t>Approved</t>
        </is>
      </c>
      <c r="C2107" t="inlineStr">
        <is>
          <t>Procurement Order</t>
        </is>
      </c>
      <c r="D2107" s="3">
        <v>46099.71780092592</v>
      </c>
      <c r="E2107" s="3">
        <v>46100.43616898148</v>
      </c>
      <c r="F2107" t="inlineStr">
        <is>
          <t>Fatima Kathleen M. FLores</t>
        </is>
      </c>
      <c r="G2107" t="inlineStr">
        <is>
          <t>Procurement</t>
        </is>
      </c>
      <c r="H2107"/>
      <c r="I2107"/>
      <c r="J2107" t="inlineStr">
        <is>
          <t>Project</t>
        </is>
      </c>
      <c r="K2107" t="inlineStr">
        <is>
          <t>GG - Event Service</t>
        </is>
      </c>
      <c r="L2107" t="inlineStr">
        <is>
          <t>PUBG Mobile 8th Anniversary Event</t>
        </is>
      </c>
      <c r="M2107" t="inlineStr">
        <is>
          <t>2026TEG-P0066</t>
        </is>
      </c>
      <c r="N2107" t="inlineStr">
        <is>
          <t>Randy Vince Fernandez Apura</t>
        </is>
      </c>
      <c r="O2107" t="inlineStr">
        <is>
          <t>202603180031-Randy Vince Fernandez Apura-费用报销 - 副本 - 副本 - 副本-2026-03-18 05:22:59;202603170032-Randy Vince Fernandez Apura-费用报销 - 副本 - 副本 - 副本-2026-03-17 02:01:36;202603170033-Randy Vince Fernandez Apura-费用报销 - 副本 - 副本 - 副本-2026-03-17 02:03:13</t>
        </is>
      </c>
      <c r="P2107" t="inlineStr">
        <is>
          <t>NO</t>
        </is>
      </c>
      <c r="Q2107"/>
      <c r="R2107" t="inlineStr">
        <is>
          <t>NO</t>
        </is>
      </c>
      <c r="S2107" t="inlineStr">
        <is>
          <t>Rental of LED Wall (9x12)</t>
        </is>
      </c>
      <c r="T2107">
        <v>1</v>
      </c>
      <c r="U2107">
        <v>20000</v>
      </c>
      <c r="V2107" t="inlineStr">
        <is>
          <t>PHP</t>
        </is>
      </c>
      <c r="W2107">
        <v>20000</v>
      </c>
      <c r="X2107" s="2"/>
      <c r="Y2107" t="inlineStr">
        <is>
          <t>Bank Transfer</t>
        </is>
      </c>
      <c r="Z2107" t="inlineStr">
        <is>
          <t>Mkb Event Catering Services</t>
        </is>
      </c>
      <c r="AA2107" t="inlineStr">
        <is>
          <t>0225001894</t>
        </is>
      </c>
      <c r="AB2107" t="inlineStr">
        <is>
          <t>BPI</t>
        </is>
      </c>
      <c r="AC2107" t="inlineStr">
        <is>
          <t>Lot 18 B15 P2 Nova Tierra Vicente Hizon Sr., Buhangin District, Davao del Sur</t>
        </is>
      </c>
      <c r="AD2107" s="4">
        <v>46100</v>
      </c>
      <c r="AE2107" t="inlineStr">
        <is>
          <t>50% Down Payment upon confirmation
50% Final Payment upon completion of services</t>
        </is>
      </c>
      <c r="AF2107" s="2" t="str">
        <f>=HYPERLINK("https://www.larksuite.com/approval/admin/previewAttachment?key=TMg9isJgGATgK828_7OX2SYhCFEbUavv7IKV7VND1CS9hBBN4OripNHhwbDWSMsWu4VmZ679dvyfFvv1qbudm8871-uyHfuDNV4IZQQFgH8_TkLj5V_HJwAA__8", "4 attachment(s)")</f>
        <v>4 attachment(s)</v>
      </c>
      <c r="AG2107" t="inlineStr">
        <is>
          <t>NzQyNTk5MTgyNzQ4MTg3MDM0MTozRThBMTg0RS1CRUMyLTRBMUItQTM5Ny02NzQ3MDdDRjFFOEItMToyN2U1ZDNiZGIwNGU4MDQ3NWNhMjg5MmU4ODhiNzAyNjox</t>
        </is>
      </c>
      <c r="AH2107" t="inlineStr">
        <is>
          <t>Mkb Event Catering Services</t>
        </is>
      </c>
      <c r="AI2107"/>
      <c r="AJ2107" t="inlineStr">
        <is>
          <t>LIQUIDITY PLAN (PAR # 202603150011 / 2026TEG-P0066)
MINDANAO LEG - MARCH 22, 2026 &gt; MARKETING COLLATERAL &amp; VENUE SKINNING &gt;
Booth Activities &gt; 
Platform Fabrication
Customized Balloon
RENTAL &amp; EQUIPMENT &gt; 
LED Wall &gt; 9ft x 12ft LED Wall
Audio, Sound and Lights Equipment &gt;
Basic Package
Total Budget = Php 71,800.00
Actual Cost = Php 36,700.00
Balance = Php 35,100.00</t>
        </is>
      </c>
      <c r="AK2107"/>
    </row>
    <row r="2108" ht="25.5" customHeight="1">
      <c r="A2108" s="2" t="str">
        <f>=HYPERLINK("https://applink.larksuite.com/client/mini_program/open?appId=cli_9c7cc8a9a9edd105&amp;mode=appCenter&amp;path_pc=pc/pages/requested/index?instanceId=7618521303414279899&amp;source=bitable&amp;path=pages/detail/index?instanceId=7618521303414279899&amp;source=bitable", "202603180051")</f>
        <v>202603180051</v>
      </c>
      <c r="B2108" t="inlineStr">
        <is>
          <t>Approved</t>
        </is>
      </c>
      <c r="C2108" t="inlineStr">
        <is>
          <t>Procurement Order</t>
        </is>
      </c>
      <c r="D2108" s="3">
        <v>46099.71780092592</v>
      </c>
      <c r="E2108" s="3">
        <v>46100.43616898148</v>
      </c>
      <c r="F2108" t="inlineStr">
        <is>
          <t>Fatima Kathleen M. FLores</t>
        </is>
      </c>
      <c r="G2108" t="inlineStr">
        <is>
          <t>Procurement</t>
        </is>
      </c>
      <c r="H2108"/>
      <c r="I2108"/>
      <c r="J2108" t="inlineStr">
        <is>
          <t>Project</t>
        </is>
      </c>
      <c r="K2108" t="inlineStr">
        <is>
          <t>GG - Event Service</t>
        </is>
      </c>
      <c r="L2108" t="inlineStr">
        <is>
          <t>PUBG Mobile 8th Anniversary Event</t>
        </is>
      </c>
      <c r="M2108" t="inlineStr">
        <is>
          <t>2026TEG-P0066</t>
        </is>
      </c>
      <c r="N2108" t="inlineStr">
        <is>
          <t>Randy Vince Fernandez Apura</t>
        </is>
      </c>
      <c r="O2108" t="inlineStr">
        <is>
          <t>202603180031-Randy Vince Fernandez Apura-费用报销 - 副本 - 副本 - 副本-2026-03-18 05:22:59;202603170032-Randy Vince Fernandez Apura-费用报销 - 副本 - 副本 - 副本-2026-03-17 02:01:36;202603170033-Randy Vince Fernandez Apura-费用报销 - 副本 - 副本 - 副本-2026-03-17 02:03:13</t>
        </is>
      </c>
      <c r="P2108" t="inlineStr">
        <is>
          <t>NO</t>
        </is>
      </c>
      <c r="Q2108"/>
      <c r="R2108" t="inlineStr">
        <is>
          <t>NO</t>
        </is>
      </c>
      <c r="S2108" t="inlineStr">
        <is>
          <t>Rental of Sounds and Lights</t>
        </is>
      </c>
      <c r="T2108">
        <v>1</v>
      </c>
      <c r="U2108">
        <v>10000</v>
      </c>
      <c r="V2108" t="inlineStr">
        <is>
          <t>PHP</t>
        </is>
      </c>
      <c r="W2108">
        <v>10000</v>
      </c>
      <c r="X2108" s="2"/>
      <c r="Y2108"/>
      <c r="Z2108"/>
      <c r="AA2108"/>
      <c r="AB2108"/>
      <c r="AC2108"/>
      <c r="AD2108" s="4"/>
      <c r="AE2108"/>
      <c r="AF2108" s="2"/>
      <c r="AG2108" t="inlineStr">
        <is>
          <t>NzQyNTk5MTgyNzQ4MTg3MDM0MTozRThBMTg0RS1CRUMyLTRBMUItQTM5Ny02NzQ3MDdDRjFFOEItMjo1ODAwZGYxYWMzOGMzZDcyODZlNjQyOTM1MmIyNTk0Yjox</t>
        </is>
      </c>
      <c r="AH2108"/>
      <c r="AI2108"/>
      <c r="AJ2108" t="inlineStr">
        <is>
          <t>LIQUIDITY PLAN (PAR # 202603150011 / 2026TEG-P0066)
MINDANAO LEG - MARCH 22, 2026 &gt; MARKETING COLLATERAL &amp; VENUE SKINNING &gt;
Booth Activities &gt; 
Platform Fabrication
Customized Balloon
RENTAL &amp; EQUIPMENT &gt; 
LED Wall &gt; 9ft x 12ft LED Wall
Audio, Sound and Lights Equipment &gt;
Basic Package
Total Budget = Php 71,800.00
Actual Cost = Php 36,700.00
Balance = Php 35,100.00</t>
        </is>
      </c>
      <c r="AK2108"/>
    </row>
    <row r="2109" ht="25.5" customHeight="1">
      <c r="A2109" s="2" t="str">
        <f>=HYPERLINK("https://applink.larksuite.com/client/mini_program/open?appId=cli_9c7cc8a9a9edd105&amp;mode=appCenter&amp;path_pc=pc/pages/requested/index?instanceId=7618521303414279899&amp;source=bitable&amp;path=pages/detail/index?instanceId=7618521303414279899&amp;source=bitable", "202603180051")</f>
        <v>202603180051</v>
      </c>
      <c r="B2109" t="inlineStr">
        <is>
          <t>Approved</t>
        </is>
      </c>
      <c r="C2109" t="inlineStr">
        <is>
          <t>Procurement Order</t>
        </is>
      </c>
      <c r="D2109" s="3">
        <v>46099.71780092592</v>
      </c>
      <c r="E2109" s="3">
        <v>46100.43616898148</v>
      </c>
      <c r="F2109" t="inlineStr">
        <is>
          <t>Fatima Kathleen M. FLores</t>
        </is>
      </c>
      <c r="G2109" t="inlineStr">
        <is>
          <t>Procurement</t>
        </is>
      </c>
      <c r="H2109"/>
      <c r="I2109"/>
      <c r="J2109" t="inlineStr">
        <is>
          <t>Project</t>
        </is>
      </c>
      <c r="K2109" t="inlineStr">
        <is>
          <t>GG - Event Service</t>
        </is>
      </c>
      <c r="L2109" t="inlineStr">
        <is>
          <t>PUBG Mobile 8th Anniversary Event</t>
        </is>
      </c>
      <c r="M2109" t="inlineStr">
        <is>
          <t>2026TEG-P0066</t>
        </is>
      </c>
      <c r="N2109" t="inlineStr">
        <is>
          <t>Randy Vince Fernandez Apura</t>
        </is>
      </c>
      <c r="O2109" t="inlineStr">
        <is>
          <t>202603180031-Randy Vince Fernandez Apura-费用报销 - 副本 - 副本 - 副本-2026-03-18 05:22:59;202603170032-Randy Vince Fernandez Apura-费用报销 - 副本 - 副本 - 副本-2026-03-17 02:01:36;202603170033-Randy Vince Fernandez Apura-费用报销 - 副本 - 副本 - 副本-2026-03-17 02:03:13</t>
        </is>
      </c>
      <c r="P2109" t="inlineStr">
        <is>
          <t>NO</t>
        </is>
      </c>
      <c r="Q2109"/>
      <c r="R2109" t="inlineStr">
        <is>
          <t>NO</t>
        </is>
      </c>
      <c r="S2109" t="inlineStr">
        <is>
          <t>Rental of Stage (5 Panels)</t>
        </is>
      </c>
      <c r="T2109">
        <v>1</v>
      </c>
      <c r="U2109">
        <v>5000</v>
      </c>
      <c r="V2109" t="inlineStr">
        <is>
          <t>PHP</t>
        </is>
      </c>
      <c r="W2109">
        <v>5000</v>
      </c>
      <c r="X2109" s="2"/>
      <c r="Y2109"/>
      <c r="Z2109"/>
      <c r="AA2109"/>
      <c r="AB2109"/>
      <c r="AC2109"/>
      <c r="AD2109" s="4"/>
      <c r="AE2109"/>
      <c r="AF2109" s="2"/>
      <c r="AG2109" t="inlineStr">
        <is>
          <t>NzQyNTk5MTgyNzQ4MTg3MDM0MTozRThBMTg0RS1CRUMyLTRBMUItQTM5Ny02NzQ3MDdDRjFFOEItMzo3NWZjZDM0YTliMzkyM2ViZjZlM2FkMjA1ZTMyMGU1Mjox</t>
        </is>
      </c>
      <c r="AH2109"/>
      <c r="AI2109"/>
      <c r="AJ2109" t="inlineStr">
        <is>
          <t>LIQUIDITY PLAN (PAR # 202603150011 / 2026TEG-P0066)
MINDANAO LEG - MARCH 22, 2026 &gt; MARKETING COLLATERAL &amp; VENUE SKINNING &gt;
Booth Activities &gt; 
Platform Fabrication
Customized Balloon
RENTAL &amp; EQUIPMENT &gt; 
LED Wall &gt; 9ft x 12ft LED Wall
Audio, Sound and Lights Equipment &gt;
Basic Package
Total Budget = Php 71,800.00
Actual Cost = Php 36,700.00
Balance = Php 35,100.00</t>
        </is>
      </c>
      <c r="AK2109"/>
    </row>
    <row r="2110" ht="25.5" customHeight="1">
      <c r="A2110" s="2" t="str">
        <f>=HYPERLINK("https://applink.larksuite.com/client/mini_program/open?appId=cli_9c7cc8a9a9edd105&amp;mode=appCenter&amp;path_pc=pc/pages/requested/index?instanceId=7618521303414279899&amp;source=bitable&amp;path=pages/detail/index?instanceId=7618521303414279899&amp;source=bitable", "202603180051")</f>
        <v>202603180051</v>
      </c>
      <c r="B2110" t="inlineStr">
        <is>
          <t>Approved</t>
        </is>
      </c>
      <c r="C2110" t="inlineStr">
        <is>
          <t>Procurement Order</t>
        </is>
      </c>
      <c r="D2110" s="3">
        <v>46099.71780092592</v>
      </c>
      <c r="E2110" s="3">
        <v>46100.43616898148</v>
      </c>
      <c r="F2110" t="inlineStr">
        <is>
          <t>Fatima Kathleen M. FLores</t>
        </is>
      </c>
      <c r="G2110" t="inlineStr">
        <is>
          <t>Procurement</t>
        </is>
      </c>
      <c r="H2110"/>
      <c r="I2110"/>
      <c r="J2110" t="inlineStr">
        <is>
          <t>Project</t>
        </is>
      </c>
      <c r="K2110" t="inlineStr">
        <is>
          <t>GG - Event Service</t>
        </is>
      </c>
      <c r="L2110" t="inlineStr">
        <is>
          <t>PUBG Mobile 8th Anniversary Event</t>
        </is>
      </c>
      <c r="M2110" t="inlineStr">
        <is>
          <t>2026TEG-P0066</t>
        </is>
      </c>
      <c r="N2110" t="inlineStr">
        <is>
          <t>Randy Vince Fernandez Apura</t>
        </is>
      </c>
      <c r="O2110" t="inlineStr">
        <is>
          <t>202603180031-Randy Vince Fernandez Apura-费用报销 - 副本 - 副本 - 副本-2026-03-18 05:22:59;202603170032-Randy Vince Fernandez Apura-费用报销 - 副本 - 副本 - 副本-2026-03-17 02:01:36;202603170033-Randy Vince Fernandez Apura-费用报销 - 副本 - 副本 - 副本-2026-03-17 02:03:13</t>
        </is>
      </c>
      <c r="P2110" t="inlineStr">
        <is>
          <t>NO</t>
        </is>
      </c>
      <c r="Q2110"/>
      <c r="R2110" t="inlineStr">
        <is>
          <t>NO</t>
        </is>
      </c>
      <c r="S2110" t="inlineStr">
        <is>
          <t>Customized Balloon (4D Type with Print)</t>
        </is>
      </c>
      <c r="T2110">
        <v>15</v>
      </c>
      <c r="U2110">
        <v>100</v>
      </c>
      <c r="V2110" t="inlineStr">
        <is>
          <t>PHP</t>
        </is>
      </c>
      <c r="W2110">
        <v>1500</v>
      </c>
      <c r="X2110" s="2"/>
      <c r="Y2110"/>
      <c r="Z2110"/>
      <c r="AA2110"/>
      <c r="AB2110"/>
      <c r="AC2110"/>
      <c r="AD2110" s="4"/>
      <c r="AE2110"/>
      <c r="AF2110" s="2"/>
      <c r="AG2110" t="inlineStr">
        <is>
          <t>NzQyNTk5MTgyNzQ4MTg3MDM0MTozRThBMTg0RS1CRUMyLTRBMUItQTM5Ny02NzQ3MDdDRjFFOEItNDpiOWY4Mjc0YzA0ZGY4OGFlM2RhMjQ2Y2VjZDc0NTJmOTox</t>
        </is>
      </c>
      <c r="AH2110"/>
      <c r="AI2110"/>
      <c r="AJ2110" t="inlineStr">
        <is>
          <t>LIQUIDITY PLAN (PAR # 202603150011 / 2026TEG-P0066)
MINDANAO LEG - MARCH 22, 2026 &gt; MARKETING COLLATERAL &amp; VENUE SKINNING &gt;
Booth Activities &gt; 
Platform Fabrication
Customized Balloon
RENTAL &amp; EQUIPMENT &gt; 
LED Wall &gt; 9ft x 12ft LED Wall
Audio, Sound and Lights Equipment &gt;
Basic Package
Total Budget = Php 71,800.00
Actual Cost = Php 36,700.00
Balance = Php 35,100.00</t>
        </is>
      </c>
      <c r="AK2110"/>
    </row>
    <row r="2111" ht="25.5" customHeight="1">
      <c r="A2111" s="2" t="str">
        <f>=HYPERLINK("https://applink.larksuite.com/client/mini_program/open?appId=cli_9c7cc8a9a9edd105&amp;mode=appCenter&amp;path_pc=pc/pages/requested/index?instanceId=7618521303414279899&amp;source=bitable&amp;path=pages/detail/index?instanceId=7618521303414279899&amp;source=bitable", "202603180051")</f>
        <v>202603180051</v>
      </c>
      <c r="B2111" t="inlineStr">
        <is>
          <t>Approved</t>
        </is>
      </c>
      <c r="C2111" t="inlineStr">
        <is>
          <t>Procurement Order</t>
        </is>
      </c>
      <c r="D2111" s="3">
        <v>46099.71780092592</v>
      </c>
      <c r="E2111" s="3">
        <v>46100.43616898148</v>
      </c>
      <c r="F2111" t="inlineStr">
        <is>
          <t>Fatima Kathleen M. FLores</t>
        </is>
      </c>
      <c r="G2111" t="inlineStr">
        <is>
          <t>Procurement</t>
        </is>
      </c>
      <c r="H2111"/>
      <c r="I2111"/>
      <c r="J2111" t="inlineStr">
        <is>
          <t>Project</t>
        </is>
      </c>
      <c r="K2111" t="inlineStr">
        <is>
          <t>GG - Event Service</t>
        </is>
      </c>
      <c r="L2111" t="inlineStr">
        <is>
          <t>PUBG Mobile 8th Anniversary Event</t>
        </is>
      </c>
      <c r="M2111" t="inlineStr">
        <is>
          <t>2026TEG-P0066</t>
        </is>
      </c>
      <c r="N2111" t="inlineStr">
        <is>
          <t>Randy Vince Fernandez Apura</t>
        </is>
      </c>
      <c r="O2111" t="inlineStr">
        <is>
          <t>202603180031-Randy Vince Fernandez Apura-费用报销 - 副本 - 副本 - 副本-2026-03-18 05:22:59;202603170032-Randy Vince Fernandez Apura-费用报销 - 副本 - 副本 - 副本-2026-03-17 02:01:36;202603170033-Randy Vince Fernandez Apura-费用报销 - 副本 - 副本 - 副本-2026-03-17 02:03:13</t>
        </is>
      </c>
      <c r="P2111" t="inlineStr">
        <is>
          <t>NO</t>
        </is>
      </c>
      <c r="Q2111"/>
      <c r="R2111" t="inlineStr">
        <is>
          <t>NO</t>
        </is>
      </c>
      <c r="S2111" t="inlineStr">
        <is>
          <t>Delivery Fee</t>
        </is>
      </c>
      <c r="T2111">
        <v>1</v>
      </c>
      <c r="U2111">
        <v>200</v>
      </c>
      <c r="V2111" t="inlineStr">
        <is>
          <t>PHP</t>
        </is>
      </c>
      <c r="W2111">
        <v>200</v>
      </c>
      <c r="X2111" s="2" t="str">
        <f>=HYPERLINK("https://www.larksuite.com/approval/admin/previewAttachment?key=PMgxDsJADATAL3nt9dnLZ2hyipACNAio7u1IFGlnNGx0IoaMgsuwaqDTERYEvdTS8oUqWaEy13zs18M57289_diiv7k-t22fL6TK3SrIaDPD5fQoktKg_Z2_AAAA__8", "3 attachment(s)")</f>
        <v>3 attachment(s)</v>
      </c>
      <c r="Y2111"/>
      <c r="Z2111"/>
      <c r="AA2111"/>
      <c r="AB2111"/>
      <c r="AC2111"/>
      <c r="AD2111" s="4"/>
      <c r="AE2111"/>
      <c r="AF2111" s="2"/>
      <c r="AG2111" t="inlineStr">
        <is>
          <t>NzQyNTk5MTgyNzQ4MTg3MDM0MTozRThBMTg0RS1CRUMyLTRBMUItQTM5Ny02NzQ3MDdDRjFFOEItNTplZDMyNDhkN2ZmMWMyMTg1ZDA0MWVjN2ViNmE5YzUxMDox</t>
        </is>
      </c>
      <c r="AH2111"/>
      <c r="AI2111"/>
      <c r="AJ2111" t="inlineStr">
        <is>
          <t>LIQUIDITY PLAN (PAR # 202603150011 / 2026TEG-P0066)
MINDANAO LEG - MARCH 22, 2026 &gt; MARKETING COLLATERAL &amp; VENUE SKINNING &gt;
Booth Activities &gt; 
Platform Fabrication
Customized Balloon
RENTAL &amp; EQUIPMENT &gt; 
LED Wall &gt; 9ft x 12ft LED Wall
Audio, Sound and Lights Equipment &gt;
Basic Package
Total Budget = Php 71,800.00
Actual Cost = Php 36,700.00
Balance = Php 35,100.00</t>
        </is>
      </c>
      <c r="AK2111"/>
    </row>
    <row r="2112" ht="25.5" customHeight="1">
      <c r="A2112" s="2" t="str">
        <f>=HYPERLINK("https://applink.larksuite.com/client/mini_program/open?appId=cli_9c7cc8a9a9edd105&amp;mode=appCenter&amp;path_pc=pc/pages/requested/index?instanceId=7618532491699211995&amp;source=bitable&amp;path=pages/detail/index?instanceId=7618532491699211995&amp;source=bitable", "202603180054")</f>
        <v>202603180054</v>
      </c>
      <c r="B2112" t="inlineStr">
        <is>
          <t>Approved</t>
        </is>
      </c>
      <c r="C2112" t="inlineStr">
        <is>
          <t>Procurement Order</t>
        </is>
      </c>
      <c r="D2112" s="3">
        <v>46099.74795138889</v>
      </c>
      <c r="E2112" s="3">
        <v>46100.446388888886</v>
      </c>
      <c r="F2112" t="inlineStr">
        <is>
          <t>Fatima Kathleen M. FLores</t>
        </is>
      </c>
      <c r="G2112" t="inlineStr">
        <is>
          <t>Procurement</t>
        </is>
      </c>
      <c r="H2112"/>
      <c r="I2112"/>
      <c r="J2112" t="inlineStr">
        <is>
          <t>Project</t>
        </is>
      </c>
      <c r="K2112" t="inlineStr">
        <is>
          <t>GG - Event Service</t>
        </is>
      </c>
      <c r="L2112" t="inlineStr">
        <is>
          <t>PUBG Mobile 8th Anniversary Event</t>
        </is>
      </c>
      <c r="M2112" t="inlineStr">
        <is>
          <t>2026TEG-P0066</t>
        </is>
      </c>
      <c r="N2112" t="inlineStr">
        <is>
          <t>Randy Vince Fernandez Apura</t>
        </is>
      </c>
      <c r="O2112" t="inlineStr">
        <is>
          <t>202603160080-Randy Vince Fernandez Apura-费用报销 - 副本 - 副本 - 副本-2026-03-16 08:53:11;202603160076-Randy Vince Fernandez Apura-费用报销 - 副本 - 副本 - 副本-2026-03-16 08:48:09;202603160075-Randy Vince Fernandez Apura-费用报销 - 副本 - 副本 - 副本-2026-03-16 08:46:08;202603160063-Randy Vince Fernandez Apura-费用报销 - 副本 - 副本 - 副本-2026-03-16 07:37:34;202603160062-Randy Vince Fernandez Apura-费用报销 - 副本 - 副本 - 副本-2026-03-16 07:36:37;202603160061-Randy Vince Fernandez Apura-费用报销 - 副本 - 副本 - 副本-2026-03-16 07:34:42;202603160064-Randy Vince Fernandez Apura-费用报销 - 副本 - 副本 - 副本-2026-03-16 07:38:56</t>
        </is>
      </c>
      <c r="P2112" t="inlineStr">
        <is>
          <t>NO</t>
        </is>
      </c>
      <c r="Q2112"/>
      <c r="R2112" t="inlineStr">
        <is>
          <t>NO</t>
        </is>
      </c>
      <c r="S2112" t="inlineStr">
        <is>
          <t>DIY Merch Activity Booth</t>
        </is>
      </c>
      <c r="T2112">
        <v>1</v>
      </c>
      <c r="U2112">
        <v>25000</v>
      </c>
      <c r="V2112" t="inlineStr">
        <is>
          <t>PHP</t>
        </is>
      </c>
      <c r="W2112">
        <v>25000</v>
      </c>
      <c r="X2112" s="2"/>
      <c r="Y2112" t="inlineStr">
        <is>
          <t>Bank Transfer</t>
        </is>
      </c>
      <c r="Z2112" t="inlineStr">
        <is>
          <t>JW Repair Advertising Services</t>
        </is>
      </c>
      <c r="AA2112" t="inlineStr">
        <is>
          <t>303110169701</t>
        </is>
      </c>
      <c r="AB2112" t="inlineStr">
        <is>
          <t>PNB</t>
        </is>
      </c>
      <c r="AC2112" t="inlineStr">
        <is>
          <t>Danao City Terminal, Poblacion Danao City, Cebu</t>
        </is>
      </c>
      <c r="AD2112" s="4">
        <v>46100</v>
      </c>
      <c r="AE2112" t="inlineStr">
        <is>
          <t>50% Down Payment upon confirmation
50% Final Payment upon complete delivery</t>
        </is>
      </c>
      <c r="AF2112" s="2" t="str">
        <f>=HYPERLINK("https://www.larksuite.com/approval/admin/previewAttachment?key=TMgxDsIwDAXQK_2f2I4_l2EhqmAAVUIpLD47ElPXF0lEOnsIJjaBNYLpvZkYUiMlr1YcQxgc7jWf27UdWJ-5r-98rYftddxv23wzsgdMbkYB4OXkJJQ9-t_xCwAA__8", "2 attachment(s)")</f>
        <v>2 attachment(s)</v>
      </c>
      <c r="AG2112" t="inlineStr">
        <is>
          <t>NzQyNTk5MTgyNzQ4MTg3MDM0MTo0Q0E4MUVCMC0yODRELTQ4OTYtOENBMS1EMjJEQkQyNjI4N0YtMTo0NGQ1M2MyNjU4MTIzNTI2OGZmZTc1OGUxOTgzY2I0ZDox</t>
        </is>
      </c>
      <c r="AH2112" t="inlineStr">
        <is>
          <t>JW Repair Advertising Services</t>
        </is>
      </c>
      <c r="AI2112"/>
      <c r="AJ2112" t="inlineStr">
        <is>
          <t>LIQUIDITY PLAN (PAR # 202603150011 / 2026TEG-P0066)
VISAYAS LEG - MARCH 21, 2026 &gt;
MARKETING COLLATERAL &amp; VENUE SKINNING &gt; Booth Activities &gt;
Photo Booth w/ themed Jeepney Frame
Activity Booth - DIY Merch - Tote Bag and Shirt
Activity Booth - DIY Cyber-Mask
Pull Up Banners - w/ Mechanism
Character Standees
Customized Balloon
Total Budget = Php 97,800.00
Actual Cost = Php 73,600.00
Balance = Php 24,200.00</t>
        </is>
      </c>
      <c r="AK2112"/>
    </row>
    <row r="2113" ht="25.5" customHeight="1">
      <c r="A2113" s="2" t="str">
        <f>=HYPERLINK("https://applink.larksuite.com/client/mini_program/open?appId=cli_9c7cc8a9a9edd105&amp;mode=appCenter&amp;path_pc=pc/pages/requested/index?instanceId=7618532491699211995&amp;source=bitable&amp;path=pages/detail/index?instanceId=7618532491699211995&amp;source=bitable", "202603180054")</f>
        <v>202603180054</v>
      </c>
      <c r="B2113" t="inlineStr">
        <is>
          <t>Approved</t>
        </is>
      </c>
      <c r="C2113" t="inlineStr">
        <is>
          <t>Procurement Order</t>
        </is>
      </c>
      <c r="D2113" s="3">
        <v>46099.74795138889</v>
      </c>
      <c r="E2113" s="3">
        <v>46100.446388888886</v>
      </c>
      <c r="F2113" t="inlineStr">
        <is>
          <t>Fatima Kathleen M. FLores</t>
        </is>
      </c>
      <c r="G2113" t="inlineStr">
        <is>
          <t>Procurement</t>
        </is>
      </c>
      <c r="H2113"/>
      <c r="I2113"/>
      <c r="J2113" t="inlineStr">
        <is>
          <t>Project</t>
        </is>
      </c>
      <c r="K2113" t="inlineStr">
        <is>
          <t>GG - Event Service</t>
        </is>
      </c>
      <c r="L2113" t="inlineStr">
        <is>
          <t>PUBG Mobile 8th Anniversary Event</t>
        </is>
      </c>
      <c r="M2113" t="inlineStr">
        <is>
          <t>2026TEG-P0066</t>
        </is>
      </c>
      <c r="N2113" t="inlineStr">
        <is>
          <t>Randy Vince Fernandez Apura</t>
        </is>
      </c>
      <c r="O2113" t="inlineStr">
        <is>
          <t>202603160080-Randy Vince Fernandez Apura-费用报销 - 副本 - 副本 - 副本-2026-03-16 08:53:11;202603160076-Randy Vince Fernandez Apura-费用报销 - 副本 - 副本 - 副本-2026-03-16 08:48:09;202603160075-Randy Vince Fernandez Apura-费用报销 - 副本 - 副本 - 副本-2026-03-16 08:46:08;202603160063-Randy Vince Fernandez Apura-费用报销 - 副本 - 副本 - 副本-2026-03-16 07:37:34;202603160062-Randy Vince Fernandez Apura-费用报销 - 副本 - 副本 - 副本-2026-03-16 07:36:37;202603160061-Randy Vince Fernandez Apura-费用报销 - 副本 - 副本 - 副本-2026-03-16 07:34:42;202603160064-Randy Vince Fernandez Apura-费用报销 - 副本 - 副本 - 副本-2026-03-16 07:38:56</t>
        </is>
      </c>
      <c r="P2113" t="inlineStr">
        <is>
          <t>NO</t>
        </is>
      </c>
      <c r="Q2113"/>
      <c r="R2113" t="inlineStr">
        <is>
          <t>NO</t>
        </is>
      </c>
      <c r="S2113" t="inlineStr">
        <is>
          <t>DIY Mask &amp; Frying Pan Booth (with Coloring Materials)</t>
        </is>
      </c>
      <c r="T2113">
        <v>1</v>
      </c>
      <c r="U2113">
        <v>20000</v>
      </c>
      <c r="V2113" t="inlineStr">
        <is>
          <t>PHP</t>
        </is>
      </c>
      <c r="W2113">
        <v>20000</v>
      </c>
      <c r="X2113" s="2"/>
      <c r="Y2113"/>
      <c r="Z2113"/>
      <c r="AA2113"/>
      <c r="AB2113"/>
      <c r="AC2113"/>
      <c r="AD2113" s="4"/>
      <c r="AE2113"/>
      <c r="AF2113" s="2"/>
      <c r="AG2113" t="inlineStr">
        <is>
          <t>NzQyNTk5MTgyNzQ4MTg3MDM0MTo0Q0E4MUVCMC0yODRELTQ4OTYtOENBMS1EMjJEQkQyNjI4N0YtMjo3Y2NhZDQ3N2RiMDFiZWIwYzEyYjRjZDYxMDA4NjcxMzox</t>
        </is>
      </c>
      <c r="AH2113"/>
      <c r="AI2113"/>
      <c r="AJ2113" t="inlineStr">
        <is>
          <t>LIQUIDITY PLAN (PAR # 202603150011 / 2026TEG-P0066)
VISAYAS LEG - MARCH 21, 2026 &gt;
MARKETING COLLATERAL &amp; VENUE SKINNING &gt; Booth Activities &gt;
Photo Booth w/ themed Jeepney Frame
Activity Booth - DIY Merch - Tote Bag and Shirt
Activity Booth - DIY Cyber-Mask
Pull Up Banners - w/ Mechanism
Character Standees
Customized Balloon
Total Budget = Php 97,800.00
Actual Cost = Php 73,600.00
Balance = Php 24,200.00</t>
        </is>
      </c>
      <c r="AK2113"/>
    </row>
    <row r="2114" ht="25.5" customHeight="1">
      <c r="A2114" s="2" t="str">
        <f>=HYPERLINK("https://applink.larksuite.com/client/mini_program/open?appId=cli_9c7cc8a9a9edd105&amp;mode=appCenter&amp;path_pc=pc/pages/requested/index?instanceId=7618532491699211995&amp;source=bitable&amp;path=pages/detail/index?instanceId=7618532491699211995&amp;source=bitable", "202603180054")</f>
        <v>202603180054</v>
      </c>
      <c r="B2114" t="inlineStr">
        <is>
          <t>Approved</t>
        </is>
      </c>
      <c r="C2114" t="inlineStr">
        <is>
          <t>Procurement Order</t>
        </is>
      </c>
      <c r="D2114" s="3">
        <v>46099.74795138889</v>
      </c>
      <c r="E2114" s="3">
        <v>46100.446388888886</v>
      </c>
      <c r="F2114" t="inlineStr">
        <is>
          <t>Fatima Kathleen M. FLores</t>
        </is>
      </c>
      <c r="G2114" t="inlineStr">
        <is>
          <t>Procurement</t>
        </is>
      </c>
      <c r="H2114"/>
      <c r="I2114"/>
      <c r="J2114" t="inlineStr">
        <is>
          <t>Project</t>
        </is>
      </c>
      <c r="K2114" t="inlineStr">
        <is>
          <t>GG - Event Service</t>
        </is>
      </c>
      <c r="L2114" t="inlineStr">
        <is>
          <t>PUBG Mobile 8th Anniversary Event</t>
        </is>
      </c>
      <c r="M2114" t="inlineStr">
        <is>
          <t>2026TEG-P0066</t>
        </is>
      </c>
      <c r="N2114" t="inlineStr">
        <is>
          <t>Randy Vince Fernandez Apura</t>
        </is>
      </c>
      <c r="O2114" t="inlineStr">
        <is>
          <t>202603160080-Randy Vince Fernandez Apura-费用报销 - 副本 - 副本 - 副本-2026-03-16 08:53:11;202603160076-Randy Vince Fernandez Apura-费用报销 - 副本 - 副本 - 副本-2026-03-16 08:48:09;202603160075-Randy Vince Fernandez Apura-费用报销 - 副本 - 副本 - 副本-2026-03-16 08:46:08;202603160063-Randy Vince Fernandez Apura-费用报销 - 副本 - 副本 - 副本-2026-03-16 07:37:34;202603160062-Randy Vince Fernandez Apura-费用报销 - 副本 - 副本 - 副本-2026-03-16 07:36:37;202603160061-Randy Vince Fernandez Apura-费用报销 - 副本 - 副本 - 副本-2026-03-16 07:34:42;202603160064-Randy Vince Fernandez Apura-费用报销 - 副本 - 副本 - 副本-2026-03-16 07:38:56</t>
        </is>
      </c>
      <c r="P2114" t="inlineStr">
        <is>
          <t>NO</t>
        </is>
      </c>
      <c r="Q2114"/>
      <c r="R2114" t="inlineStr">
        <is>
          <t>NO</t>
        </is>
      </c>
      <c r="S2114" t="inlineStr">
        <is>
          <t>Table Toppers (Cardboard)</t>
        </is>
      </c>
      <c r="T2114">
        <v>20</v>
      </c>
      <c r="U2114">
        <v>30</v>
      </c>
      <c r="V2114" t="inlineStr">
        <is>
          <t>PHP</t>
        </is>
      </c>
      <c r="W2114">
        <v>600</v>
      </c>
      <c r="X2114" s="2"/>
      <c r="Y2114"/>
      <c r="Z2114"/>
      <c r="AA2114"/>
      <c r="AB2114"/>
      <c r="AC2114"/>
      <c r="AD2114" s="4"/>
      <c r="AE2114"/>
      <c r="AF2114" s="2"/>
      <c r="AG2114" t="inlineStr">
        <is>
          <t>NzQyNTk5MTgyNzQ4MTg3MDM0MTo0Q0E4MUVCMC0yODRELTQ4OTYtOENBMS1EMjJEQkQyNjI4N0YtMzo5MzMwM2ZmMDRlNDIwMmEyYjViZTAwODA0OTIxODA1NTox</t>
        </is>
      </c>
      <c r="AH2114"/>
      <c r="AI2114"/>
      <c r="AJ2114" t="inlineStr">
        <is>
          <t>LIQUIDITY PLAN (PAR # 202603150011 / 2026TEG-P0066)
VISAYAS LEG - MARCH 21, 2026 &gt;
MARKETING COLLATERAL &amp; VENUE SKINNING &gt; Booth Activities &gt;
Photo Booth w/ themed Jeepney Frame
Activity Booth - DIY Merch - Tote Bag and Shirt
Activity Booth - DIY Cyber-Mask
Pull Up Banners - w/ Mechanism
Character Standees
Customized Balloon
Total Budget = Php 97,800.00
Actual Cost = Php 73,600.00
Balance = Php 24,200.00</t>
        </is>
      </c>
      <c r="AK2114"/>
    </row>
    <row r="2115" ht="25.5" customHeight="1">
      <c r="A2115" s="2" t="str">
        <f>=HYPERLINK("https://applink.larksuite.com/client/mini_program/open?appId=cli_9c7cc8a9a9edd105&amp;mode=appCenter&amp;path_pc=pc/pages/requested/index?instanceId=7618532491699211995&amp;source=bitable&amp;path=pages/detail/index?instanceId=7618532491699211995&amp;source=bitable", "202603180054")</f>
        <v>202603180054</v>
      </c>
      <c r="B2115" t="inlineStr">
        <is>
          <t>Approved</t>
        </is>
      </c>
      <c r="C2115" t="inlineStr">
        <is>
          <t>Procurement Order</t>
        </is>
      </c>
      <c r="D2115" s="3">
        <v>46099.74795138889</v>
      </c>
      <c r="E2115" s="3">
        <v>46100.446388888886</v>
      </c>
      <c r="F2115" t="inlineStr">
        <is>
          <t>Fatima Kathleen M. FLores</t>
        </is>
      </c>
      <c r="G2115" t="inlineStr">
        <is>
          <t>Procurement</t>
        </is>
      </c>
      <c r="H2115"/>
      <c r="I2115"/>
      <c r="J2115" t="inlineStr">
        <is>
          <t>Project</t>
        </is>
      </c>
      <c r="K2115" t="inlineStr">
        <is>
          <t>GG - Event Service</t>
        </is>
      </c>
      <c r="L2115" t="inlineStr">
        <is>
          <t>PUBG Mobile 8th Anniversary Event</t>
        </is>
      </c>
      <c r="M2115" t="inlineStr">
        <is>
          <t>2026TEG-P0066</t>
        </is>
      </c>
      <c r="N2115" t="inlineStr">
        <is>
          <t>Randy Vince Fernandez Apura</t>
        </is>
      </c>
      <c r="O2115" t="inlineStr">
        <is>
          <t>202603160080-Randy Vince Fernandez Apura-费用报销 - 副本 - 副本 - 副本-2026-03-16 08:53:11;202603160076-Randy Vince Fernandez Apura-费用报销 - 副本 - 副本 - 副本-2026-03-16 08:48:09;202603160075-Randy Vince Fernandez Apura-费用报销 - 副本 - 副本 - 副本-2026-03-16 08:46:08;202603160063-Randy Vince Fernandez Apura-费用报销 - 副本 - 副本 - 副本-2026-03-16 07:37:34;202603160062-Randy Vince Fernandez Apura-费用报销 - 副本 - 副本 - 副本-2026-03-16 07:36:37;202603160061-Randy Vince Fernandez Apura-费用报销 - 副本 - 副本 - 副本-2026-03-16 07:34:42;202603160064-Randy Vince Fernandez Apura-费用报销 - 副本 - 副本 - 副本-2026-03-16 07:38:56</t>
        </is>
      </c>
      <c r="P2115" t="inlineStr">
        <is>
          <t>NO</t>
        </is>
      </c>
      <c r="Q2115"/>
      <c r="R2115" t="inlineStr">
        <is>
          <t>NO</t>
        </is>
      </c>
      <c r="S2115" t="inlineStr">
        <is>
          <t>Character Standees</t>
        </is>
      </c>
      <c r="T2115">
        <v>2</v>
      </c>
      <c r="U2115">
        <v>2000</v>
      </c>
      <c r="V2115" t="inlineStr">
        <is>
          <t>PHP</t>
        </is>
      </c>
      <c r="W2115">
        <v>4000</v>
      </c>
      <c r="X2115" s="2"/>
      <c r="Y2115"/>
      <c r="Z2115"/>
      <c r="AA2115"/>
      <c r="AB2115"/>
      <c r="AC2115"/>
      <c r="AD2115" s="4"/>
      <c r="AE2115"/>
      <c r="AF2115" s="2"/>
      <c r="AG2115" t="inlineStr">
        <is>
          <t>NzQyNTk5MTgyNzQ4MTg3MDM0MTo0Q0E4MUVCMC0yODRELTQ4OTYtOENBMS1EMjJEQkQyNjI4N0YtNDo3ZWNmZTI4YTQ5NTJjOTE0ZjQyZjFkODNiNmUwZWYzMjox</t>
        </is>
      </c>
      <c r="AH2115"/>
      <c r="AI2115"/>
      <c r="AJ2115" t="inlineStr">
        <is>
          <t>LIQUIDITY PLAN (PAR # 202603150011 / 2026TEG-P0066)
VISAYAS LEG - MARCH 21, 2026 &gt;
MARKETING COLLATERAL &amp; VENUE SKINNING &gt; Booth Activities &gt;
Photo Booth w/ themed Jeepney Frame
Activity Booth - DIY Merch - Tote Bag and Shirt
Activity Booth - DIY Cyber-Mask
Pull Up Banners - w/ Mechanism
Character Standees
Customized Balloon
Total Budget = Php 97,800.00
Actual Cost = Php 73,600.00
Balance = Php 24,200.00</t>
        </is>
      </c>
      <c r="AK2115"/>
    </row>
    <row r="2116" ht="25.5" customHeight="1">
      <c r="A2116" s="2" t="str">
        <f>=HYPERLINK("https://applink.larksuite.com/client/mini_program/open?appId=cli_9c7cc8a9a9edd105&amp;mode=appCenter&amp;path_pc=pc/pages/requested/index?instanceId=7618532491699211995&amp;source=bitable&amp;path=pages/detail/index?instanceId=7618532491699211995&amp;source=bitable", "202603180054")</f>
        <v>202603180054</v>
      </c>
      <c r="B2116" t="inlineStr">
        <is>
          <t>Approved</t>
        </is>
      </c>
      <c r="C2116" t="inlineStr">
        <is>
          <t>Procurement Order</t>
        </is>
      </c>
      <c r="D2116" s="3">
        <v>46099.74795138889</v>
      </c>
      <c r="E2116" s="3">
        <v>46100.446388888886</v>
      </c>
      <c r="F2116" t="inlineStr">
        <is>
          <t>Fatima Kathleen M. FLores</t>
        </is>
      </c>
      <c r="G2116" t="inlineStr">
        <is>
          <t>Procurement</t>
        </is>
      </c>
      <c r="H2116"/>
      <c r="I2116"/>
      <c r="J2116" t="inlineStr">
        <is>
          <t>Project</t>
        </is>
      </c>
      <c r="K2116" t="inlineStr">
        <is>
          <t>GG - Event Service</t>
        </is>
      </c>
      <c r="L2116" t="inlineStr">
        <is>
          <t>PUBG Mobile 8th Anniversary Event</t>
        </is>
      </c>
      <c r="M2116" t="inlineStr">
        <is>
          <t>2026TEG-P0066</t>
        </is>
      </c>
      <c r="N2116" t="inlineStr">
        <is>
          <t>Randy Vince Fernandez Apura</t>
        </is>
      </c>
      <c r="O2116" t="inlineStr">
        <is>
          <t>202603160080-Randy Vince Fernandez Apura-费用报销 - 副本 - 副本 - 副本-2026-03-16 08:53:11;202603160076-Randy Vince Fernandez Apura-费用报销 - 副本 - 副本 - 副本-2026-03-16 08:48:09;202603160075-Randy Vince Fernandez Apura-费用报销 - 副本 - 副本 - 副本-2026-03-16 08:46:08;202603160063-Randy Vince Fernandez Apura-费用报销 - 副本 - 副本 - 副本-2026-03-16 07:37:34;202603160062-Randy Vince Fernandez Apura-费用报销 - 副本 - 副本 - 副本-2026-03-16 07:36:37;202603160061-Randy Vince Fernandez Apura-费用报销 - 副本 - 副本 - 副本-2026-03-16 07:34:42;202603160064-Randy Vince Fernandez Apura-费用报销 - 副本 - 副本 - 副本-2026-03-16 07:38:56</t>
        </is>
      </c>
      <c r="P2116" t="inlineStr">
        <is>
          <t>NO</t>
        </is>
      </c>
      <c r="Q2116"/>
      <c r="R2116" t="inlineStr">
        <is>
          <t>NO</t>
        </is>
      </c>
      <c r="S2116" t="inlineStr">
        <is>
          <t>Pull-up Banner</t>
        </is>
      </c>
      <c r="T2116">
        <v>4</v>
      </c>
      <c r="U2116">
        <v>700</v>
      </c>
      <c r="V2116" t="inlineStr">
        <is>
          <t>PHP</t>
        </is>
      </c>
      <c r="W2116">
        <v>2800</v>
      </c>
      <c r="X2116" s="2"/>
      <c r="Y2116"/>
      <c r="Z2116"/>
      <c r="AA2116"/>
      <c r="AB2116"/>
      <c r="AC2116"/>
      <c r="AD2116" s="4"/>
      <c r="AE2116"/>
      <c r="AF2116" s="2"/>
      <c r="AG2116" t="inlineStr">
        <is>
          <t>NzQyNTk5MTgyNzQ4MTg3MDM0MTo0Q0E4MUVCMC0yODRELTQ4OTYtOENBMS1EMjJEQkQyNjI4N0YtNTo3OTNhNzAxNWMxYmIyNGRlYzU0ZjU3YzViZjJkMzZmYjox</t>
        </is>
      </c>
      <c r="AH2116"/>
      <c r="AI2116"/>
      <c r="AJ2116" t="inlineStr">
        <is>
          <t>LIQUIDITY PLAN (PAR # 202603150011 / 2026TEG-P0066)
VISAYAS LEG - MARCH 21, 2026 &gt;
MARKETING COLLATERAL &amp; VENUE SKINNING &gt; Booth Activities &gt;
Photo Booth w/ themed Jeepney Frame
Activity Booth - DIY Merch - Tote Bag and Shirt
Activity Booth - DIY Cyber-Mask
Pull Up Banners - w/ Mechanism
Character Standees
Customized Balloon
Total Budget = Php 97,800.00
Actual Cost = Php 73,600.00
Balance = Php 24,200.00</t>
        </is>
      </c>
      <c r="AK2116"/>
    </row>
    <row r="2117" ht="25.5" customHeight="1">
      <c r="A2117" s="2" t="str">
        <f>=HYPERLINK("https://applink.larksuite.com/client/mini_program/open?appId=cli_9c7cc8a9a9edd105&amp;mode=appCenter&amp;path_pc=pc/pages/requested/index?instanceId=7618532491699211995&amp;source=bitable&amp;path=pages/detail/index?instanceId=7618532491699211995&amp;source=bitable", "202603180054")</f>
        <v>202603180054</v>
      </c>
      <c r="B2117" t="inlineStr">
        <is>
          <t>Approved</t>
        </is>
      </c>
      <c r="C2117" t="inlineStr">
        <is>
          <t>Procurement Order</t>
        </is>
      </c>
      <c r="D2117" s="3">
        <v>46099.74795138889</v>
      </c>
      <c r="E2117" s="3">
        <v>46100.446388888886</v>
      </c>
      <c r="F2117" t="inlineStr">
        <is>
          <t>Fatima Kathleen M. FLores</t>
        </is>
      </c>
      <c r="G2117" t="inlineStr">
        <is>
          <t>Procurement</t>
        </is>
      </c>
      <c r="H2117"/>
      <c r="I2117"/>
      <c r="J2117" t="inlineStr">
        <is>
          <t>Project</t>
        </is>
      </c>
      <c r="K2117" t="inlineStr">
        <is>
          <t>GG - Event Service</t>
        </is>
      </c>
      <c r="L2117" t="inlineStr">
        <is>
          <t>PUBG Mobile 8th Anniversary Event</t>
        </is>
      </c>
      <c r="M2117" t="inlineStr">
        <is>
          <t>2026TEG-P0066</t>
        </is>
      </c>
      <c r="N2117" t="inlineStr">
        <is>
          <t>Randy Vince Fernandez Apura</t>
        </is>
      </c>
      <c r="O2117" t="inlineStr">
        <is>
          <t>202603160080-Randy Vince Fernandez Apura-费用报销 - 副本 - 副本 - 副本-2026-03-16 08:53:11;202603160076-Randy Vince Fernandez Apura-费用报销 - 副本 - 副本 - 副本-2026-03-16 08:48:09;202603160075-Randy Vince Fernandez Apura-费用报销 - 副本 - 副本 - 副本-2026-03-16 08:46:08;202603160063-Randy Vince Fernandez Apura-费用报销 - 副本 - 副本 - 副本-2026-03-16 07:37:34;202603160062-Randy Vince Fernandez Apura-费用报销 - 副本 - 副本 - 副本-2026-03-16 07:36:37;202603160061-Randy Vince Fernandez Apura-费用报销 - 副本 - 副本 - 副本-2026-03-16 07:34:42;202603160064-Randy Vince Fernandez Apura-费用报销 - 副本 - 副本 - 副本-2026-03-16 07:38:56</t>
        </is>
      </c>
      <c r="P2117" t="inlineStr">
        <is>
          <t>NO</t>
        </is>
      </c>
      <c r="Q2117"/>
      <c r="R2117" t="inlineStr">
        <is>
          <t>NO</t>
        </is>
      </c>
      <c r="S2117" t="inlineStr">
        <is>
          <t>Banderitas with Print (15 meters)</t>
        </is>
      </c>
      <c r="T2117">
        <v>1</v>
      </c>
      <c r="U2117">
        <v>5000</v>
      </c>
      <c r="V2117" t="inlineStr">
        <is>
          <t>PHP</t>
        </is>
      </c>
      <c r="W2117">
        <v>5000</v>
      </c>
      <c r="X2117" s="2"/>
      <c r="Y2117"/>
      <c r="Z2117"/>
      <c r="AA2117"/>
      <c r="AB2117"/>
      <c r="AC2117"/>
      <c r="AD2117" s="4"/>
      <c r="AE2117"/>
      <c r="AF2117" s="2"/>
      <c r="AG2117" t="inlineStr">
        <is>
          <t>NzQyNTk5MTgyNzQ4MTg3MDM0MTo0Q0E4MUVCMC0yODRELTQ4OTYtOENBMS1EMjJEQkQyNjI4N0YtNjpkODBlMzNjYTNiNDIwM2E5M2U5MmI3ODQ4M2JjOTMzMTox</t>
        </is>
      </c>
      <c r="AH2117"/>
      <c r="AI2117"/>
      <c r="AJ2117" t="inlineStr">
        <is>
          <t>LIQUIDITY PLAN (PAR # 202603150011 / 2026TEG-P0066)
VISAYAS LEG - MARCH 21, 2026 &gt;
MARKETING COLLATERAL &amp; VENUE SKINNING &gt; Booth Activities &gt;
Photo Booth w/ themed Jeepney Frame
Activity Booth - DIY Merch - Tote Bag and Shirt
Activity Booth - DIY Cyber-Mask
Pull Up Banners - w/ Mechanism
Character Standees
Customized Balloon
Total Budget = Php 97,800.00
Actual Cost = Php 73,600.00
Balance = Php 24,200.00</t>
        </is>
      </c>
      <c r="AK2117"/>
    </row>
    <row r="2118" ht="25.5" customHeight="1">
      <c r="A2118" s="2" t="str">
        <f>=HYPERLINK("https://applink.larksuite.com/client/mini_program/open?appId=cli_9c7cc8a9a9edd105&amp;mode=appCenter&amp;path_pc=pc/pages/requested/index?instanceId=7618532491699211995&amp;source=bitable&amp;path=pages/detail/index?instanceId=7618532491699211995&amp;source=bitable", "202603180054")</f>
        <v>202603180054</v>
      </c>
      <c r="B2118" t="inlineStr">
        <is>
          <t>Approved</t>
        </is>
      </c>
      <c r="C2118" t="inlineStr">
        <is>
          <t>Procurement Order</t>
        </is>
      </c>
      <c r="D2118" s="3">
        <v>46099.74795138889</v>
      </c>
      <c r="E2118" s="3">
        <v>46100.446388888886</v>
      </c>
      <c r="F2118" t="inlineStr">
        <is>
          <t>Fatima Kathleen M. FLores</t>
        </is>
      </c>
      <c r="G2118" t="inlineStr">
        <is>
          <t>Procurement</t>
        </is>
      </c>
      <c r="H2118"/>
      <c r="I2118"/>
      <c r="J2118" t="inlineStr">
        <is>
          <t>Project</t>
        </is>
      </c>
      <c r="K2118" t="inlineStr">
        <is>
          <t>GG - Event Service</t>
        </is>
      </c>
      <c r="L2118" t="inlineStr">
        <is>
          <t>PUBG Mobile 8th Anniversary Event</t>
        </is>
      </c>
      <c r="M2118" t="inlineStr">
        <is>
          <t>2026TEG-P0066</t>
        </is>
      </c>
      <c r="N2118" t="inlineStr">
        <is>
          <t>Randy Vince Fernandez Apura</t>
        </is>
      </c>
      <c r="O2118" t="inlineStr">
        <is>
          <t>202603160080-Randy Vince Fernandez Apura-费用报销 - 副本 - 副本 - 副本-2026-03-16 08:53:11;202603160076-Randy Vince Fernandez Apura-费用报销 - 副本 - 副本 - 副本-2026-03-16 08:48:09;202603160075-Randy Vince Fernandez Apura-费用报销 - 副本 - 副本 - 副本-2026-03-16 08:46:08;202603160063-Randy Vince Fernandez Apura-费用报销 - 副本 - 副本 - 副本-2026-03-16 07:37:34;202603160062-Randy Vince Fernandez Apura-费用报销 - 副本 - 副本 - 副本-2026-03-16 07:36:37;202603160061-Randy Vince Fernandez Apura-费用报销 - 副本 - 副本 - 副本-2026-03-16 07:34:42;202603160064-Randy Vince Fernandez Apura-费用报销 - 副本 - 副本 - 副本-2026-03-16 07:38:56</t>
        </is>
      </c>
      <c r="P2118" t="inlineStr">
        <is>
          <t>NO</t>
        </is>
      </c>
      <c r="Q2118"/>
      <c r="R2118" t="inlineStr">
        <is>
          <t>NO</t>
        </is>
      </c>
      <c r="S2118" t="inlineStr">
        <is>
          <t>Photobooth Tarpaulin (5x5) &amp; Photowall (10L x 8H)</t>
        </is>
      </c>
      <c r="T2118">
        <v>1</v>
      </c>
      <c r="U2118">
        <v>15000</v>
      </c>
      <c r="V2118" t="inlineStr">
        <is>
          <t>PHP</t>
        </is>
      </c>
      <c r="W2118">
        <v>15000</v>
      </c>
      <c r="X2118" s="2"/>
      <c r="Y2118"/>
      <c r="Z2118"/>
      <c r="AA2118"/>
      <c r="AB2118"/>
      <c r="AC2118"/>
      <c r="AD2118" s="4"/>
      <c r="AE2118"/>
      <c r="AF2118" s="2"/>
      <c r="AG2118" t="inlineStr">
        <is>
          <t>NzQyNTk5MTgyNzQ4MTg3MDM0MTo0Q0E4MUVCMC0yODRELTQ4OTYtOENBMS1EMjJEQkQyNjI4N0YtNzplMWY5NmI0MDJiYzk5NzFlOWIyYWQ0ZDQ1ZmYxYjNkYTox</t>
        </is>
      </c>
      <c r="AH2118"/>
      <c r="AI2118"/>
      <c r="AJ2118" t="inlineStr">
        <is>
          <t>LIQUIDITY PLAN (PAR # 202603150011 / 2026TEG-P0066)
VISAYAS LEG - MARCH 21, 2026 &gt;
MARKETING COLLATERAL &amp; VENUE SKINNING &gt; Booth Activities &gt;
Photo Booth w/ themed Jeepney Frame
Activity Booth - DIY Merch - Tote Bag and Shirt
Activity Booth - DIY Cyber-Mask
Pull Up Banners - w/ Mechanism
Character Standees
Customized Balloon
Total Budget = Php 97,800.00
Actual Cost = Php 73,600.00
Balance = Php 24,200.00</t>
        </is>
      </c>
      <c r="AK2118"/>
    </row>
    <row r="2119" ht="25.5" customHeight="1">
      <c r="A2119" s="2" t="str">
        <f>=HYPERLINK("https://applink.larksuite.com/client/mini_program/open?appId=cli_9c7cc8a9a9edd105&amp;mode=appCenter&amp;path_pc=pc/pages/requested/index?instanceId=7618532491699211995&amp;source=bitable&amp;path=pages/detail/index?instanceId=7618532491699211995&amp;source=bitable", "202603180054")</f>
        <v>202603180054</v>
      </c>
      <c r="B2119" t="inlineStr">
        <is>
          <t>Approved</t>
        </is>
      </c>
      <c r="C2119" t="inlineStr">
        <is>
          <t>Procurement Order</t>
        </is>
      </c>
      <c r="D2119" s="3">
        <v>46099.74795138889</v>
      </c>
      <c r="E2119" s="3">
        <v>46100.446388888886</v>
      </c>
      <c r="F2119" t="inlineStr">
        <is>
          <t>Fatima Kathleen M. FLores</t>
        </is>
      </c>
      <c r="G2119" t="inlineStr">
        <is>
          <t>Procurement</t>
        </is>
      </c>
      <c r="H2119"/>
      <c r="I2119"/>
      <c r="J2119" t="inlineStr">
        <is>
          <t>Project</t>
        </is>
      </c>
      <c r="K2119" t="inlineStr">
        <is>
          <t>GG - Event Service</t>
        </is>
      </c>
      <c r="L2119" t="inlineStr">
        <is>
          <t>PUBG Mobile 8th Anniversary Event</t>
        </is>
      </c>
      <c r="M2119" t="inlineStr">
        <is>
          <t>2026TEG-P0066</t>
        </is>
      </c>
      <c r="N2119" t="inlineStr">
        <is>
          <t>Randy Vince Fernandez Apura</t>
        </is>
      </c>
      <c r="O2119" t="inlineStr">
        <is>
          <t>202603160080-Randy Vince Fernandez Apura-费用报销 - 副本 - 副本 - 副本-2026-03-16 08:53:11;202603160076-Randy Vince Fernandez Apura-费用报销 - 副本 - 副本 - 副本-2026-03-16 08:48:09;202603160075-Randy Vince Fernandez Apura-费用报销 - 副本 - 副本 - 副本-2026-03-16 08:46:08;202603160063-Randy Vince Fernandez Apura-费用报销 - 副本 - 副本 - 副本-2026-03-16 07:37:34;202603160062-Randy Vince Fernandez Apura-费用报销 - 副本 - 副本 - 副本-2026-03-16 07:36:37;202603160061-Randy Vince Fernandez Apura-费用报销 - 副本 - 副本 - 副本-2026-03-16 07:34:42;202603160064-Randy Vince Fernandez Apura-费用报销 - 副本 - 副本 - 副本-2026-03-16 07:38:56</t>
        </is>
      </c>
      <c r="P2119" t="inlineStr">
        <is>
          <t>NO</t>
        </is>
      </c>
      <c r="Q2119"/>
      <c r="R2119" t="inlineStr">
        <is>
          <t>NO</t>
        </is>
      </c>
      <c r="S2119" t="inlineStr">
        <is>
          <t>Customized Balloon</t>
        </is>
      </c>
      <c r="T2119">
        <v>15</v>
      </c>
      <c r="U2119">
        <v>80</v>
      </c>
      <c r="V2119" t="inlineStr">
        <is>
          <t>PHP</t>
        </is>
      </c>
      <c r="W2119">
        <v>1200</v>
      </c>
      <c r="X2119" s="2" t="str">
        <f>=HYPERLINK("https://www.larksuite.com/approval/admin/previewAttachment?key=PMg9CgIxFATgK828vJ-Ml7ExLFooC5LVJmcXLLb9shPZgy0FF03gqmSPZi6mZKQUyxarhGJFrPHcrnZgfsY-v-M1H76v437bxpuhMkM199YB8HJ6K3eX0vH3-gUAAP__", "7 attachment(s)")</f>
        <v>7 attachment(s)</v>
      </c>
      <c r="Y2119"/>
      <c r="Z2119"/>
      <c r="AA2119"/>
      <c r="AB2119"/>
      <c r="AC2119"/>
      <c r="AD2119" s="4"/>
      <c r="AE2119"/>
      <c r="AF2119" s="2"/>
      <c r="AG2119" t="inlineStr">
        <is>
          <t>NzQyNTk5MTgyNzQ4MTg3MDM0MTo0Q0E4MUVCMC0yODRELTQ4OTYtOENBMS1EMjJEQkQyNjI4N0YtODo0ZmNkYzhkZDkwZDNlNmNhY2M1NjNjOThjMGY2ZTk0MDox</t>
        </is>
      </c>
      <c r="AH2119"/>
      <c r="AI2119"/>
      <c r="AJ2119" t="inlineStr">
        <is>
          <t>LIQUIDITY PLAN (PAR # 202603150011 / 2026TEG-P0066)
VISAYAS LEG - MARCH 21, 2026 &gt;
MARKETING COLLATERAL &amp; VENUE SKINNING &gt; Booth Activities &gt;
Photo Booth w/ themed Jeepney Frame
Activity Booth - DIY Merch - Tote Bag and Shirt
Activity Booth - DIY Cyber-Mask
Pull Up Banners - w/ Mechanism
Character Standees
Customized Balloon
Total Budget = Php 97,800.00
Actual Cost = Php 73,600.00
Balance = Php 24,200.00</t>
        </is>
      </c>
      <c r="AK2119"/>
    </row>
    <row r="2120" ht="25.5" customHeight="1">
      <c r="A2120" s="2" t="str">
        <f>=HYPERLINK("https://applink.larksuite.com/client/mini_program/open?appId=cli_9c7cc8a9a9edd105&amp;mode=appCenter&amp;path_pc=pc/pages/requested/index?instanceId=7618814131897913051&amp;source=bitable&amp;path=pages/detail/index?instanceId=7618814131897913051&amp;source=bitable", "202603190017")</f>
        <v>202603190017</v>
      </c>
      <c r="B2120" t="inlineStr">
        <is>
          <t>Approved</t>
        </is>
      </c>
      <c r="C2120" t="inlineStr">
        <is>
          <t>Procurement Order</t>
        </is>
      </c>
      <c r="D2120" s="3">
        <v>46100.5069212963</v>
      </c>
      <c r="E2120" s="3">
        <v>46100.6515162037</v>
      </c>
      <c r="F2120" t="inlineStr">
        <is>
          <t>Fatima Kathleen M. FLores</t>
        </is>
      </c>
      <c r="G2120" t="inlineStr">
        <is>
          <t>Procurement</t>
        </is>
      </c>
      <c r="H2120"/>
      <c r="I2120"/>
      <c r="J2120" t="inlineStr">
        <is>
          <t>Project</t>
        </is>
      </c>
      <c r="K2120" t="inlineStr">
        <is>
          <t>GG - Event Service</t>
        </is>
      </c>
      <c r="L2120" t="inlineStr">
        <is>
          <t>PUBG Mobile 8th Anniversary Event</t>
        </is>
      </c>
      <c r="M2120" t="inlineStr">
        <is>
          <t>2026TEG-P0066</t>
        </is>
      </c>
      <c r="N2120" t="inlineStr">
        <is>
          <t>Randy Vince Fernandez Apura</t>
        </is>
      </c>
      <c r="O2120" t="inlineStr">
        <is>
          <t>202603170027-Randy Vince Fernandez Apura-费用报销 - 副本 - 副本 - 副本-2026-03-17 01:56:05</t>
        </is>
      </c>
      <c r="P2120" t="inlineStr">
        <is>
          <t>NO</t>
        </is>
      </c>
      <c r="Q2120"/>
      <c r="R2120" t="inlineStr">
        <is>
          <t>NO</t>
        </is>
      </c>
      <c r="S2120" t="inlineStr">
        <is>
          <t>Customized Lanyard (Size: 1")</t>
        </is>
      </c>
      <c r="T2120">
        <v>50</v>
      </c>
      <c r="U2120">
        <v>168</v>
      </c>
      <c r="V2120" t="inlineStr">
        <is>
          <t>PHP</t>
        </is>
      </c>
      <c r="W2120">
        <v>8400</v>
      </c>
      <c r="X2120" s="2" t="str">
        <f>=HYPERLINK("https://www.larksuite.com/approval/admin/previewAttachment?key=PMhBCsJADAXQK_0_yST5XsZNhyK2giB0l7MLLty-KCJq0kJwcQjsDFbRaSylaJjs0cwUkjlnr9d-Lx_XZk-d6zzedvT12Pb14VSOgTR3KwC8_d3S3aVw_BzfAAAA__8", "2 attachment(s)")</f>
        <v>2 attachment(s)</v>
      </c>
      <c r="Y2120" t="inlineStr">
        <is>
          <t>Bank Transfer</t>
        </is>
      </c>
      <c r="Z2120" t="inlineStr">
        <is>
          <t>ADFOCUS GRAPHICS AND DESIGN</t>
        </is>
      </c>
      <c r="AA2120" t="inlineStr">
        <is>
          <t>011418001659</t>
        </is>
      </c>
      <c r="AB2120" t="inlineStr">
        <is>
          <t>BDO</t>
        </is>
      </c>
      <c r="AC2120" t="inlineStr">
        <is>
          <t>#27 Araullo-Mabini Sts.Brgy. 9-A Poblacion District, Davao City</t>
        </is>
      </c>
      <c r="AD2120" s="4">
        <v>46100</v>
      </c>
      <c r="AE2120" t="inlineStr">
        <is>
          <t>50% Down Payment upon confirmation
50% Final payment upon full delivery</t>
        </is>
      </c>
      <c r="AF2120" s="2"/>
      <c r="AG2120" t="inlineStr">
        <is>
          <t>NzQyNTk5MTgyNzQ4MTg3MDM0MTo2MTVBN0RDNi0xMzA3LTQwOTEtOTJDOS05RTZCMTFFRTQ3MUQtMTo3Y2Y0MThlODQ3MWRkNjc0YmE0NDVmMDM2MmFiZTI2ODox</t>
        </is>
      </c>
      <c r="AH2120" t="inlineStr">
        <is>
          <t>ADFOCUS GRAPHICS AND DESIGN</t>
        </is>
      </c>
      <c r="AI2120"/>
      <c r="AJ2120" t="inlineStr">
        <is>
          <t>LIQUIDITY PLAN (PAR # 202603150011 / 2026TEG-P0066)
MINDANAO LEG - MARCH 22, 2026 &gt; 
MARKETING COLLATERAL &amp; VENUE SKINNING &gt; 
Booth Activities &gt; 
Activity Booth - DIY Beadworks and Lanyard
"Activity Booth - DIY Merch 
-Tote Bag and Shirt
-Inclusive of items"
Total Remaining Budget = Php 29,000.00
Actual Cost = Php 8,400.00
Balance = Php 20,600.00</t>
        </is>
      </c>
      <c r="AK2120"/>
    </row>
    <row r="2121" ht="25.5" customHeight="1">
      <c r="A2121" s="2" t="str">
        <f>=HYPERLINK("https://applink.larksuite.com/client/mini_program/open?appId=cli_9c7cc8a9a9edd105&amp;mode=appCenter&amp;path_pc=pc/pages/requested/index?instanceId=7618861390232669925&amp;source=bitable&amp;path=pages/detail/index?instanceId=7618861390232669925&amp;source=bitable", "202603190027")</f>
        <v>202603190027</v>
      </c>
      <c r="B2121" t="inlineStr">
        <is>
          <t>Recalled</t>
        </is>
      </c>
      <c r="C2121" t="inlineStr">
        <is>
          <t>Procurement Order</t>
        </is>
      </c>
      <c r="D2121" s="3">
        <v>46100.63427083333</v>
      </c>
      <c r="E2121" s="3">
        <v>46100.67184027778</v>
      </c>
      <c r="F2121" t="inlineStr">
        <is>
          <t>Fatima Kathleen M. FLores</t>
        </is>
      </c>
      <c r="G2121" t="inlineStr">
        <is>
          <t>Procurement</t>
        </is>
      </c>
      <c r="H2121"/>
      <c r="I2121"/>
      <c r="J2121" t="inlineStr">
        <is>
          <t>Project</t>
        </is>
      </c>
      <c r="K2121" t="inlineStr">
        <is>
          <t>GG - Event Service</t>
        </is>
      </c>
      <c r="L2121" t="inlineStr">
        <is>
          <t>PUBG Mobile 8th Anniversary Event</t>
        </is>
      </c>
      <c r="M2121" t="inlineStr">
        <is>
          <t>2026TEG-P0066</t>
        </is>
      </c>
      <c r="N2121" t="inlineStr">
        <is>
          <t>Randy Vince Fernandez Apura</t>
        </is>
      </c>
      <c r="O2121" t="inlineStr">
        <is>
          <t>202603160102-Randy Vince Fernandez Apura-费用报销 - 副本 - 副本 - 副本-2026-03-16 09:42:04</t>
        </is>
      </c>
      <c r="P2121" t="inlineStr">
        <is>
          <t>NO</t>
        </is>
      </c>
      <c r="Q2121"/>
      <c r="R2121" t="inlineStr">
        <is>
          <t>NO</t>
        </is>
      </c>
      <c r="S2121" t="inlineStr">
        <is>
          <t>Stamp Cards (300GSM Cards)</t>
        </is>
      </c>
      <c r="T2121">
        <v>180</v>
      </c>
      <c r="U2121">
        <v>15</v>
      </c>
      <c r="V2121" t="inlineStr">
        <is>
          <t>PHP</t>
        </is>
      </c>
      <c r="W2121">
        <v>2700</v>
      </c>
      <c r="X2121" s="2" t="str">
        <f>=HYPERLINK("https://www.larksuite.com/approval/admin/previewAttachment?key=PMg7igJBGATgK1X979rLbDLDIIKR0GLQZxcMTL8aoibpJYRoAncXZ4oumFuVZLlts1toduY-H9c_-7i_F6ZJvXLtdTuu88lUm6E9wgcA_37uHRFSBb6OTwAAAP__", "2 attachment(s)")</f>
        <v>2 attachment(s)</v>
      </c>
      <c r="Y2121" t="inlineStr">
        <is>
          <t>Bank Transfer</t>
        </is>
      </c>
      <c r="Z2121" t="inlineStr">
        <is>
          <t>MICHAEL QUIJADA PRINTING SERVICES</t>
        </is>
      </c>
      <c r="AA2121" t="inlineStr">
        <is>
          <t>002760012214</t>
        </is>
      </c>
      <c r="AB2121" t="inlineStr">
        <is>
          <t>Unionbank</t>
        </is>
      </c>
      <c r="AC2121" t="inlineStr">
        <is>
          <t>427-1 V. Rama Street, Guadalupe, Cebu City</t>
        </is>
      </c>
      <c r="AD2121" s="4">
        <v>46100</v>
      </c>
      <c r="AE2121" t="inlineStr">
        <is>
          <t>100% Full Payment</t>
        </is>
      </c>
      <c r="AF2121" s="2" t="str">
        <f>=HYPERLINK("https://www.larksuite.com/approval/admin/previewAttachment?key=TMgxqgJBEATQK1VNT1d3_cv8ZJdFBCNhxGDOLhiZPjWhToaMaQ6Du8RuMYwRQ7JH7rFZZRQrc5-P65913N8LXaRfufa6Hdf5pDqE6ZyTBsC_HyfhDsXX8QkAAP__", "4 attachment(s)")</f>
        <v>4 attachment(s)</v>
      </c>
      <c r="AG2121" t="inlineStr">
        <is>
          <t>NzQyNTk5MTgyNzQ4MTg3MDM0MTo0ODRGMzQ5Qi01QjlGLTQ0QTItQjBGQy02NUY1QkYwNjBCM0EtMTo1YzJkMGNhMTVkOThjY2I3NTc4YWQyODJmOTk3MjQwMjox</t>
        </is>
      </c>
      <c r="AH2121" t="inlineStr">
        <is>
          <t>MQ Printing Services</t>
        </is>
      </c>
      <c r="AI2121"/>
      <c r="AJ2121" t="inlineStr">
        <is>
          <t>LIQUIDITY PLAN (PAR # 202603150011 / 2026TEG-P0066)
VISAYAS LEG - MARCH 21, 2026 &gt; MARKETING COLLATERAL &amp; VENUE SKINNING &gt;
Print &amp; Collaterals &gt; Stamp Cards
Total Budget = Php 9,000.00
Actual Cost = Php 2,700.00
Balance = Php 6,300.00</t>
        </is>
      </c>
      <c r="AK2121"/>
    </row>
    <row r="2122" ht="25.5" customHeight="1">
      <c r="A2122" s="2" t="str">
        <f>=HYPERLINK("https://applink.larksuite.com/client/mini_program/open?appId=cli_9c7cc8a9a9edd105&amp;mode=appCenter&amp;path_pc=pc/pages/requested/index?instanceId=7618916676939026141&amp;source=bitable&amp;path=pages/detail/index?instanceId=7618916676939026141&amp;source=bitable", "202603190039")</f>
        <v>202603190039</v>
      </c>
      <c r="B2122" t="inlineStr">
        <is>
          <t>Approved</t>
        </is>
      </c>
      <c r="C2122" t="inlineStr">
        <is>
          <t>Procurement Order</t>
        </is>
      </c>
      <c r="D2122" s="3">
        <v>46100.78326388889</v>
      </c>
      <c r="E2122" s="3">
        <v>46107.6883912037</v>
      </c>
      <c r="F2122" t="inlineStr">
        <is>
          <t>Fatima Kathleen M. FLores</t>
        </is>
      </c>
      <c r="G2122" t="inlineStr">
        <is>
          <t>Procurement</t>
        </is>
      </c>
      <c r="H2122"/>
      <c r="I2122"/>
      <c r="J2122" t="inlineStr">
        <is>
          <t>Project</t>
        </is>
      </c>
      <c r="K2122" t="inlineStr">
        <is>
          <t>GG - Event Service</t>
        </is>
      </c>
      <c r="L2122" t="inlineStr">
        <is>
          <t>Add-Ons - PUBG Mobile 8th Anniversary Event</t>
        </is>
      </c>
      <c r="M2122" t="inlineStr">
        <is>
          <t>2026TEG-P0080</t>
        </is>
      </c>
      <c r="N2122" t="inlineStr">
        <is>
          <t>Randy Vince Fernandez Apura</t>
        </is>
      </c>
      <c r="O2122" t="inlineStr">
        <is>
          <t>202603180038-Randy Vince Fernandez Apura-费用报销 - 副本 - 副本 - 副本-2026-03-18 05:59:38</t>
        </is>
      </c>
      <c r="P2122" t="inlineStr">
        <is>
          <t>NO</t>
        </is>
      </c>
      <c r="Q2122"/>
      <c r="R2122" t="inlineStr">
        <is>
          <t>YES</t>
        </is>
      </c>
      <c r="S2122" t="inlineStr">
        <is>
          <t>5mx3m OPEN WHITE TENT</t>
        </is>
      </c>
      <c r="T2122">
        <v>3</v>
      </c>
      <c r="U2122">
        <v>1120</v>
      </c>
      <c r="V2122" t="inlineStr">
        <is>
          <t>PHP</t>
        </is>
      </c>
      <c r="W2122">
        <v>3360</v>
      </c>
      <c r="X2122" s="2"/>
      <c r="Y2122" t="inlineStr">
        <is>
          <t>Bank Transfer</t>
        </is>
      </c>
      <c r="Z2122" t="inlineStr">
        <is>
          <t>MCLOVE PARTY NEEDS RENTAL</t>
        </is>
      </c>
      <c r="AA2122" t="inlineStr">
        <is>
          <t>216-3-21661406-3</t>
        </is>
      </c>
      <c r="AB2122" t="inlineStr">
        <is>
          <t>Metrobank</t>
        </is>
      </c>
      <c r="AC2122" t="inlineStr">
        <is>
          <t>Sitio Judas Belt, Naga Road, Babag, Lapu-Lapu City (Near Babag Gym)</t>
        </is>
      </c>
      <c r="AD2122" s="4">
        <v>46100</v>
      </c>
      <c r="AE2122" t="inlineStr">
        <is>
          <t>50% Down payment upon confirmation
50% Final Payment upon completion of services</t>
        </is>
      </c>
      <c r="AF2122" s="2" t="str">
        <f>=HYPERLINK("https://www.larksuite.com/approval/admin/previewAttachment?key=TMgxrsIwEATQK83Yu7Oef5nfxIpAhAoBSuGzI1HRPg1CI9llhNkMrhKHKZXcjSYGV1usMoqVueZ9_8-c2_me13nE-bwd63XZ9vmgRhfCGUED4N-Pk_Do6l_HJwAA__8", "3 attachment(s)")</f>
        <v>3 attachment(s)</v>
      </c>
      <c r="AG2122" t="inlineStr">
        <is>
          <t>NzQyNTk5MTgyNzQ4MTg3MDM0MTpCODYyRTcwRC0zMTkyLTRFNzItODJCQi1GNjYxMTNGNTQ3NEEtMToxZjJmZDFkZTE5ODk3MDI4ZGFjMGQ5YmRhN2NiNTgwMTox</t>
        </is>
      </c>
      <c r="AH2122" t="inlineStr">
        <is>
          <t>MCLOVE PARTY NEEDS RENTAL</t>
        </is>
      </c>
      <c r="AI2122"/>
      <c r="AJ2122" t="inlineStr">
        <is>
          <t>LIQUIDITY PLAN (PAR # 202603170065 / 2026TEG-P0080)
MINDANAO &gt; HOSPITALITY &gt;
Tent / Collapsible Divider
Total Budget = Php 10,000.00
Actual Cost = Php 10,416.00
Balance = (Php 416.00) OVER BUDGET</t>
        </is>
      </c>
      <c r="AK2122"/>
    </row>
    <row r="2123" ht="25.5" customHeight="1">
      <c r="A2123" s="2" t="str">
        <f>=HYPERLINK("https://applink.larksuite.com/client/mini_program/open?appId=cli_9c7cc8a9a9edd105&amp;mode=appCenter&amp;path_pc=pc/pages/requested/index?instanceId=7618916676939026141&amp;source=bitable&amp;path=pages/detail/index?instanceId=7618916676939026141&amp;source=bitable", "202603190039")</f>
        <v>202603190039</v>
      </c>
      <c r="B2123" t="inlineStr">
        <is>
          <t>Approved</t>
        </is>
      </c>
      <c r="C2123" t="inlineStr">
        <is>
          <t>Procurement Order</t>
        </is>
      </c>
      <c r="D2123" s="3">
        <v>46100.78326388889</v>
      </c>
      <c r="E2123" s="3">
        <v>46107.6883912037</v>
      </c>
      <c r="F2123" t="inlineStr">
        <is>
          <t>Fatima Kathleen M. FLores</t>
        </is>
      </c>
      <c r="G2123" t="inlineStr">
        <is>
          <t>Procurement</t>
        </is>
      </c>
      <c r="H2123"/>
      <c r="I2123"/>
      <c r="J2123" t="inlineStr">
        <is>
          <t>Project</t>
        </is>
      </c>
      <c r="K2123" t="inlineStr">
        <is>
          <t>GG - Event Service</t>
        </is>
      </c>
      <c r="L2123" t="inlineStr">
        <is>
          <t>Add-Ons - PUBG Mobile 8th Anniversary Event</t>
        </is>
      </c>
      <c r="M2123" t="inlineStr">
        <is>
          <t>2026TEG-P0080</t>
        </is>
      </c>
      <c r="N2123" t="inlineStr">
        <is>
          <t>Randy Vince Fernandez Apura</t>
        </is>
      </c>
      <c r="O2123" t="inlineStr">
        <is>
          <t>202603180038-Randy Vince Fernandez Apura-费用报销 - 副本 - 副本 - 副本-2026-03-18 05:59:38</t>
        </is>
      </c>
      <c r="P2123" t="inlineStr">
        <is>
          <t>NO</t>
        </is>
      </c>
      <c r="Q2123"/>
      <c r="R2123" t="inlineStr">
        <is>
          <t>YES</t>
        </is>
      </c>
      <c r="S2123" t="inlineStr">
        <is>
          <t>3mx4m CLOSE TENT</t>
        </is>
      </c>
      <c r="T2123">
        <v>1</v>
      </c>
      <c r="U2123">
        <v>3360</v>
      </c>
      <c r="V2123" t="inlineStr">
        <is>
          <t>PHP</t>
        </is>
      </c>
      <c r="W2123">
        <v>3360</v>
      </c>
      <c r="X2123" s="2"/>
      <c r="Y2123"/>
      <c r="Z2123"/>
      <c r="AA2123"/>
      <c r="AB2123"/>
      <c r="AC2123"/>
      <c r="AD2123" s="4"/>
      <c r="AE2123"/>
      <c r="AF2123" s="2"/>
      <c r="AG2123" t="inlineStr">
        <is>
          <t>NzQyNTk5MTgyNzQ4MTg3MDM0MTpCODYyRTcwRC0zMTkyLTRFNzItODJCQi1GNjYxMTNGNTQ3NEEtMjpiOGY4Mjk0NzdhYTUyZmE5OWNhN2FkYWNjMWIzMDY2ZTox</t>
        </is>
      </c>
      <c r="AH2123"/>
      <c r="AI2123"/>
      <c r="AJ2123" t="inlineStr">
        <is>
          <t>LIQUIDITY PLAN (PAR # 202603170065 / 2026TEG-P0080)
MINDANAO &gt; HOSPITALITY &gt;
Tent / Collapsible Divider
Total Budget = Php 10,000.00
Actual Cost = Php 10,416.00
Balance = (Php 416.00) OVER BUDGET</t>
        </is>
      </c>
      <c r="AK2123"/>
    </row>
    <row r="2124" ht="25.5" customHeight="1">
      <c r="A2124" s="2" t="str">
        <f>=HYPERLINK("https://applink.larksuite.com/client/mini_program/open?appId=cli_9c7cc8a9a9edd105&amp;mode=appCenter&amp;path_pc=pc/pages/requested/index?instanceId=7618916676939026141&amp;source=bitable&amp;path=pages/detail/index?instanceId=7618916676939026141&amp;source=bitable", "202603190039")</f>
        <v>202603190039</v>
      </c>
      <c r="B2124" t="inlineStr">
        <is>
          <t>Approved</t>
        </is>
      </c>
      <c r="C2124" t="inlineStr">
        <is>
          <t>Procurement Order</t>
        </is>
      </c>
      <c r="D2124" s="3">
        <v>46100.78326388889</v>
      </c>
      <c r="E2124" s="3">
        <v>46107.6883912037</v>
      </c>
      <c r="F2124" t="inlineStr">
        <is>
          <t>Fatima Kathleen M. FLores</t>
        </is>
      </c>
      <c r="G2124" t="inlineStr">
        <is>
          <t>Procurement</t>
        </is>
      </c>
      <c r="H2124"/>
      <c r="I2124"/>
      <c r="J2124" t="inlineStr">
        <is>
          <t>Project</t>
        </is>
      </c>
      <c r="K2124" t="inlineStr">
        <is>
          <t>GG - Event Service</t>
        </is>
      </c>
      <c r="L2124" t="inlineStr">
        <is>
          <t>Add-Ons - PUBG Mobile 8th Anniversary Event</t>
        </is>
      </c>
      <c r="M2124" t="inlineStr">
        <is>
          <t>2026TEG-P0080</t>
        </is>
      </c>
      <c r="N2124" t="inlineStr">
        <is>
          <t>Randy Vince Fernandez Apura</t>
        </is>
      </c>
      <c r="O2124" t="inlineStr">
        <is>
          <t>202603180038-Randy Vince Fernandez Apura-费用报销 - 副本 - 副本 - 副本-2026-03-18 05:59:38</t>
        </is>
      </c>
      <c r="P2124" t="inlineStr">
        <is>
          <t>NO</t>
        </is>
      </c>
      <c r="Q2124"/>
      <c r="R2124" t="inlineStr">
        <is>
          <t>YES</t>
        </is>
      </c>
      <c r="S2124" t="inlineStr">
        <is>
          <t>IWATA FAN</t>
        </is>
      </c>
      <c r="T2124">
        <v>1</v>
      </c>
      <c r="U2124">
        <v>2016</v>
      </c>
      <c r="V2124" t="inlineStr">
        <is>
          <t>PHP</t>
        </is>
      </c>
      <c r="W2124">
        <v>2016</v>
      </c>
      <c r="X2124" s="2"/>
      <c r="Y2124"/>
      <c r="Z2124"/>
      <c r="AA2124"/>
      <c r="AB2124"/>
      <c r="AC2124"/>
      <c r="AD2124" s="4"/>
      <c r="AE2124"/>
      <c r="AF2124" s="2"/>
      <c r="AG2124" t="inlineStr">
        <is>
          <t>NzQyNTk5MTgyNzQ4MTg3MDM0MTpCODYyRTcwRC0zMTkyLTRFNzItODJCQi1GNjYxMTNGNTQ3NEEtMzo0YjIyYmNmYmM4NGJiNzk3ZDM0YThjMTZiMjRjODQ4YTox</t>
        </is>
      </c>
      <c r="AH2124"/>
      <c r="AI2124"/>
      <c r="AJ2124" t="inlineStr">
        <is>
          <t>LIQUIDITY PLAN (PAR # 202603170065 / 2026TEG-P0080)
MINDANAO &gt; HOSPITALITY &gt;
Tent / Collapsible Divider
Total Budget = Php 10,000.00
Actual Cost = Php 10,416.00
Balance = (Php 416.00) OVER BUDGET</t>
        </is>
      </c>
      <c r="AK2124"/>
    </row>
    <row r="2125" ht="25.5" customHeight="1">
      <c r="A2125" s="2" t="str">
        <f>=HYPERLINK("https://applink.larksuite.com/client/mini_program/open?appId=cli_9c7cc8a9a9edd105&amp;mode=appCenter&amp;path_pc=pc/pages/requested/index?instanceId=7618916676939026141&amp;source=bitable&amp;path=pages/detail/index?instanceId=7618916676939026141&amp;source=bitable", "202603190039")</f>
        <v>202603190039</v>
      </c>
      <c r="B2125" t="inlineStr">
        <is>
          <t>Approved</t>
        </is>
      </c>
      <c r="C2125" t="inlineStr">
        <is>
          <t>Procurement Order</t>
        </is>
      </c>
      <c r="D2125" s="3">
        <v>46100.78326388889</v>
      </c>
      <c r="E2125" s="3">
        <v>46107.6883912037</v>
      </c>
      <c r="F2125" t="inlineStr">
        <is>
          <t>Fatima Kathleen M. FLores</t>
        </is>
      </c>
      <c r="G2125" t="inlineStr">
        <is>
          <t>Procurement</t>
        </is>
      </c>
      <c r="H2125"/>
      <c r="I2125"/>
      <c r="J2125" t="inlineStr">
        <is>
          <t>Project</t>
        </is>
      </c>
      <c r="K2125" t="inlineStr">
        <is>
          <t>GG - Event Service</t>
        </is>
      </c>
      <c r="L2125" t="inlineStr">
        <is>
          <t>Add-Ons - PUBG Mobile 8th Anniversary Event</t>
        </is>
      </c>
      <c r="M2125" t="inlineStr">
        <is>
          <t>2026TEG-P0080</t>
        </is>
      </c>
      <c r="N2125" t="inlineStr">
        <is>
          <t>Randy Vince Fernandez Apura</t>
        </is>
      </c>
      <c r="O2125" t="inlineStr">
        <is>
          <t>202603180038-Randy Vince Fernandez Apura-费用报销 - 副本 - 副本 - 副本-2026-03-18 05:59:38</t>
        </is>
      </c>
      <c r="P2125" t="inlineStr">
        <is>
          <t>NO</t>
        </is>
      </c>
      <c r="Q2125"/>
      <c r="R2125" t="inlineStr">
        <is>
          <t>YES</t>
        </is>
      </c>
      <c r="S2125" t="inlineStr">
        <is>
          <t>Delivery Fee</t>
        </is>
      </c>
      <c r="T2125">
        <v>1</v>
      </c>
      <c r="U2125">
        <v>1680</v>
      </c>
      <c r="V2125" t="inlineStr">
        <is>
          <t>PHP</t>
        </is>
      </c>
      <c r="W2125">
        <v>1680</v>
      </c>
      <c r="X2125" s="2" t="str">
        <f>=HYPERLINK("https://www.larksuite.com/approval/admin/previewAttachment?key=PMg7jsJAEATQK1VN_6b2Mpt4ZIEwEQLkoM-ORED6chI5g5aCi0NgV3KKmZUyYSSdPZpVQrEiet33_4i1ne91XYefz9vRr8u2rwdDNQbK3G0C4N_PrdxdSsfX7RMAAP__", "2 attachment(s)")</f>
        <v>2 attachment(s)</v>
      </c>
      <c r="Y2125"/>
      <c r="Z2125"/>
      <c r="AA2125"/>
      <c r="AB2125"/>
      <c r="AC2125"/>
      <c r="AD2125" s="4"/>
      <c r="AE2125"/>
      <c r="AF2125" s="2"/>
      <c r="AG2125" t="inlineStr">
        <is>
          <t>NzQyNTk5MTgyNzQ4MTg3MDM0MTpCODYyRTcwRC0zMTkyLTRFNzItODJCQi1GNjYxMTNGNTQ3NEEtNDo3ZDc2MjgxMTE2NjE3OGQ1YjAyMzExNjdiNzk4YjI5ZDox</t>
        </is>
      </c>
      <c r="AH2125"/>
      <c r="AI2125"/>
      <c r="AJ2125" t="inlineStr">
        <is>
          <t>LIQUIDITY PLAN (PAR # 202603170065 / 2026TEG-P0080)
MINDANAO &gt; HOSPITALITY &gt;
Tent / Collapsible Divider
Total Budget = Php 10,000.00
Actual Cost = Php 10,416.00
Balance = (Php 416.00) OVER BUDGET</t>
        </is>
      </c>
      <c r="AK2125"/>
    </row>
    <row r="2126" ht="25.5" customHeight="1">
      <c r="A2126" s="2" t="str">
        <f>=HYPERLINK("https://applink.larksuite.com/client/mini_program/open?appId=cli_9c7cc8a9a9edd105&amp;mode=appCenter&amp;path_pc=pc/pages/requested/index?instanceId=7619542331263356635&amp;source=bitable&amp;path=pages/detail/index?instanceId=7619542331263356635&amp;source=bitable", "202603210004")</f>
        <v>202603210004</v>
      </c>
      <c r="B2126" t="inlineStr">
        <is>
          <t>Approved</t>
        </is>
      </c>
      <c r="C2126" t="inlineStr">
        <is>
          <t>Procurement Order</t>
        </is>
      </c>
      <c r="D2126" s="3">
        <v>46102.46927083333</v>
      </c>
      <c r="E2126" s="3">
        <v>46107.678981481484</v>
      </c>
      <c r="F2126" t="inlineStr">
        <is>
          <t>Fatima Kathleen M. FLores</t>
        </is>
      </c>
      <c r="G2126" t="inlineStr">
        <is>
          <t>Procurement</t>
        </is>
      </c>
      <c r="H2126"/>
      <c r="I2126"/>
      <c r="J2126" t="inlineStr">
        <is>
          <t>Project</t>
        </is>
      </c>
      <c r="K2126" t="inlineStr">
        <is>
          <t>GG - Event Service</t>
        </is>
      </c>
      <c r="L2126" t="inlineStr">
        <is>
          <t>Add-Ons - PUBG Mobile 8th Anniversary Event</t>
        </is>
      </c>
      <c r="M2126" t="inlineStr">
        <is>
          <t>2026TEG-P0080</t>
        </is>
      </c>
      <c r="N2126" t="inlineStr">
        <is>
          <t>Randy Vince Fernandez Apura</t>
        </is>
      </c>
      <c r="O2126" t="inlineStr">
        <is>
          <t>202603200020-Randy Vince Fernandez Apura-费用报销 - 副本 - 副本 - 副本-2026-03-20 08:26:33</t>
        </is>
      </c>
      <c r="P2126" t="inlineStr">
        <is>
          <t>YES</t>
        </is>
      </c>
      <c r="Q2126"/>
      <c r="R2126" t="inlineStr">
        <is>
          <t>YES</t>
        </is>
      </c>
      <c r="S2126" t="inlineStr">
        <is>
          <t>Equipment Rental (inclusive of Support services)</t>
        </is>
      </c>
      <c r="T2126">
        <v>1</v>
      </c>
      <c r="U2126">
        <v>42200</v>
      </c>
      <c r="V2126" t="inlineStr">
        <is>
          <t>PHP</t>
        </is>
      </c>
      <c r="W2126">
        <v>42200</v>
      </c>
      <c r="X2126" s="2" t="str">
        <f>=HYPERLINK("https://www.larksuite.com/approval/admin/previewAttachment?key=PMg9CsJAFATgK828v9nnZWwSgmK2EkSLPbtgYfvVIGokvRrRtAaXip1h7rRyzyrPZYtSQ1Tm2udxFafJPvN93-Z5Ptbrth37k9kygzzCBwBe_u6KiO4K_BzfAAAA__8", "2 attachment(s)")</f>
        <v>2 attachment(s)</v>
      </c>
      <c r="Y2126" t="inlineStr">
        <is>
          <t>Bank Transfer</t>
        </is>
      </c>
      <c r="Z2126" t="inlineStr">
        <is>
          <t>Ivan Paul De Gracia</t>
        </is>
      </c>
      <c r="AA2126" t="inlineStr">
        <is>
          <t>09102375593</t>
        </is>
      </c>
      <c r="AB2126" t="inlineStr">
        <is>
          <t>GCash</t>
        </is>
      </c>
      <c r="AC2126" t="inlineStr">
        <is>
          <t>North Pob. Naga Cebu</t>
        </is>
      </c>
      <c r="AD2126" s="4">
        <v>46102</v>
      </c>
      <c r="AE2126" t="inlineStr">
        <is>
          <t>100% Full Payment - march 21, 2026</t>
        </is>
      </c>
      <c r="AF2126" s="2"/>
      <c r="AG2126" t="inlineStr">
        <is>
          <t>NzQyNTk5MTgyNzQ4MTg3MDM0MTpCNUU4RjA3Mi1CODRCLTQ0OUYtOEU4Ri0yRjUyQkYwMUY3MkQtMTo3ZTg5YzVlNzFmZGMyNDI2ZWM2MTE3ZjEwYzdmZmZlMTox</t>
        </is>
      </c>
      <c r="AH2126" t="inlineStr">
        <is>
          <t>Ivan Paul De Gracia</t>
        </is>
      </c>
      <c r="AI2126"/>
      <c r="AJ2126" t="inlineStr">
        <is>
          <t>LIQUIDITY PLAN (PAR # 202603170065 / 2026TEG-P0080)
VISAYAS &gt;
TECHNICAL EQUIPMENT &gt; Band Equipment 
Total Budget = Php 15,000.00
Actual Cost = Php 42,200.00
Balance = (Php 27,200.00) OVER BUDGET</t>
        </is>
      </c>
      <c r="AK2126"/>
    </row>
    <row r="2127" ht="25.5" customHeight="1">
      <c r="A2127" s="2" t="str">
        <f>=HYPERLINK("https://applink.larksuite.com/client/mini_program/open?appId=cli_9c7cc8a9a9edd105&amp;mode=appCenter&amp;path_pc=pc/pages/requested/index?instanceId=7619543220971671262&amp;source=bitable&amp;path=pages/detail/index?instanceId=7619543220971671262&amp;source=bitable", "202603210005")</f>
        <v>202603210005</v>
      </c>
      <c r="B2127" t="inlineStr">
        <is>
          <t>Approved</t>
        </is>
      </c>
      <c r="C2127" t="inlineStr">
        <is>
          <t>Procurement Order</t>
        </is>
      </c>
      <c r="D2127" s="3">
        <v>46102.471666666665</v>
      </c>
      <c r="E2127" s="3">
        <v>46102.4890625</v>
      </c>
      <c r="F2127" t="inlineStr">
        <is>
          <t>Fatima Kathleen M. FLores</t>
        </is>
      </c>
      <c r="G2127" t="inlineStr">
        <is>
          <t>Procurement</t>
        </is>
      </c>
      <c r="H2127"/>
      <c r="I2127"/>
      <c r="J2127" t="inlineStr">
        <is>
          <t>Project</t>
        </is>
      </c>
      <c r="K2127" t="inlineStr">
        <is>
          <t>GG - Event Service</t>
        </is>
      </c>
      <c r="L2127" t="inlineStr">
        <is>
          <t>Add-Ons - PUBG Mobile 8th Anniversary Event</t>
        </is>
      </c>
      <c r="M2127" t="inlineStr">
        <is>
          <t>2026TEG-P0080</t>
        </is>
      </c>
      <c r="N2127" t="inlineStr">
        <is>
          <t>Randy Vince Fernandez Apura</t>
        </is>
      </c>
      <c r="O2127" t="inlineStr">
        <is>
          <t>202603200020-Randy Vince Fernandez Apura-费用报销 - 副本 - 副本 - 副本-2026-03-20 08:26:33</t>
        </is>
      </c>
      <c r="P2127" t="inlineStr">
        <is>
          <t>YES</t>
        </is>
      </c>
      <c r="Q2127"/>
      <c r="R2127" t="inlineStr">
        <is>
          <t>NO</t>
        </is>
      </c>
      <c r="S2127" t="inlineStr">
        <is>
          <t>Outsourced Performer (Cebu)</t>
        </is>
      </c>
      <c r="T2127">
        <v>1</v>
      </c>
      <c r="U2127">
        <v>25000</v>
      </c>
      <c r="V2127" t="inlineStr">
        <is>
          <t>PHP</t>
        </is>
      </c>
      <c r="W2127">
        <v>25000</v>
      </c>
      <c r="X2127" s="2" t="str">
        <f>=HYPERLINK("https://www.larksuite.com/approval/admin/previewAttachment?key=PMhBqgJBDATQK1Wlk1TnX-ZvZhikQRGEGVzk7IILty8nkTM4suBFK7CVrPBhhhJTtLS2plQQFdH7_fintutxvbHwPNeafd62Y38xSmbQcB8TAP9-PuTuVen4Oj4BAAD__w", "2 attachment(s)")</f>
        <v>2 attachment(s)</v>
      </c>
      <c r="Y2127" t="inlineStr">
        <is>
          <t>Bank Transfer</t>
        </is>
      </c>
      <c r="Z2127" t="inlineStr">
        <is>
          <t>Laurent Lanmel Abastas</t>
        </is>
      </c>
      <c r="AA2127" t="inlineStr">
        <is>
          <t>09471791156</t>
        </is>
      </c>
      <c r="AB2127" t="inlineStr">
        <is>
          <t>GCash</t>
        </is>
      </c>
      <c r="AC2127" t="inlineStr">
        <is>
          <t>Purok Kauswagan, West Inayagan, City of Naga, Cebu</t>
        </is>
      </c>
      <c r="AD2127" s="4">
        <v>46102</v>
      </c>
      <c r="AE2127" t="inlineStr">
        <is>
          <t>100% Full Payment - march 21, 2026</t>
        </is>
      </c>
      <c r="AF2127" s="2"/>
      <c r="AG2127" t="inlineStr">
        <is>
          <t>NzQyNTk5MTgyNzQ4MTg3MDM0MTo4NEU1MjUwOS1GNzJGLTRENEQtODk5Mi05OEQxNjQ0MjY3MDMtMTphNTMzOTY5MGEzNjk4NGYxYzA1MDNiODg0OWQ3MTUwYTox</t>
        </is>
      </c>
      <c r="AH2127" t="inlineStr">
        <is>
          <t>Laurent Lanmel Abastas</t>
        </is>
      </c>
      <c r="AI2127"/>
      <c r="AJ2127" t="inlineStr">
        <is>
          <t>LIQUIDITY PLAN (PAR # 202603170065 / 2026TEG-P0080)
VISAYAS &gt;
TALENTS &gt; Local Band / Dancers / Singer
Total Budget = Php 35,000.00
Actual Cost = Php 25,000.00
Balance = Php 10,000.00</t>
        </is>
      </c>
      <c r="AK2127"/>
    </row>
    <row r="2128" ht="25.5" customHeight="1">
      <c r="A2128" s="2" t="str">
        <f>=HYPERLINK("https://applink.larksuite.com/client/mini_program/open?appId=cli_9c7cc8a9a9edd105&amp;mode=appCenter&amp;path_pc=pc/pages/requested/index?instanceId=7620290355228872411&amp;source=bitable&amp;path=pages/detail/index?instanceId=7620290355228872411&amp;source=bitable", "202603230020")</f>
        <v>202603230020</v>
      </c>
      <c r="B2128" t="inlineStr">
        <is>
          <t>Approved</t>
        </is>
      </c>
      <c r="C2128" t="inlineStr">
        <is>
          <t>Procurement Order</t>
        </is>
      </c>
      <c r="D2128" s="3">
        <v>46104.48504629629</v>
      </c>
      <c r="E2128" s="3">
        <v>46106.45869212963</v>
      </c>
      <c r="F2128" t="inlineStr">
        <is>
          <t>Fatima Kathleen M. FLores</t>
        </is>
      </c>
      <c r="G2128" t="inlineStr">
        <is>
          <t>Procurement</t>
        </is>
      </c>
      <c r="H2128"/>
      <c r="I2128"/>
      <c r="J2128" t="inlineStr">
        <is>
          <t>Project</t>
        </is>
      </c>
      <c r="K2128" t="inlineStr">
        <is>
          <t>GG - Event Service</t>
        </is>
      </c>
      <c r="L2128" t="inlineStr">
        <is>
          <t>Philippine Kings League Spring Season 2026 (PKL)</t>
        </is>
      </c>
      <c r="M2128" t="inlineStr">
        <is>
          <t>2026TEG-P0037</t>
        </is>
      </c>
      <c r="N2128" t="inlineStr">
        <is>
          <t>Juvie Anne Asis Castres</t>
        </is>
      </c>
      <c r="O2128" t="inlineStr">
        <is>
          <t>202603090086-Juvie Anne Asis Castres-费用报销 - 副本 - 副本 - 副本-2026-03-09 08:55:09</t>
        </is>
      </c>
      <c r="P2128" t="inlineStr">
        <is>
          <t>NO</t>
        </is>
      </c>
      <c r="Q2128"/>
      <c r="R2128" t="inlineStr">
        <is>
          <t>NO</t>
        </is>
      </c>
      <c r="S2128" t="inlineStr">
        <is>
          <t>Outsourced Technical Services (Lights, Sounds, Trusses &amp; Comsets)</t>
        </is>
      </c>
      <c r="T2128">
        <v>1</v>
      </c>
      <c r="U2128">
        <v>600000</v>
      </c>
      <c r="V2128" t="inlineStr">
        <is>
          <t>PHP</t>
        </is>
      </c>
      <c r="W2128">
        <v>600000</v>
      </c>
      <c r="X2128" s="2" t="str">
        <f>=HYPERLINK("https://www.larksuite.com/approval/admin/previewAttachment?key=PMgxDsIwFAPQK9nO_3E-l2FpVSEKEyJMOTsSA-vrg-gj2XohiipwuQsqtExpDCvIpUW7YDpz7c_jur2tE2bNuz6Pc83bduwvZlmCW0QbAHj5e3NEVPXAz_ENAAD__w", "2 attachment(s)")</f>
        <v>2 attachment(s)</v>
      </c>
      <c r="Y2128" t="inlineStr">
        <is>
          <t>Bank Transfer</t>
        </is>
      </c>
      <c r="Z2128" t="inlineStr">
        <is>
          <t>Gian Manuel B. Vergel or GDV Sounds and Lights Rental</t>
        </is>
      </c>
      <c r="AA2128" t="inlineStr">
        <is>
          <t>4429-1231-65</t>
        </is>
      </c>
      <c r="AB2128" t="inlineStr">
        <is>
          <t>BPI</t>
        </is>
      </c>
      <c r="AC2128" t="inlineStr">
        <is>
          <t>B9 L18 Christine St. Parkway Village, Q.C.</t>
        </is>
      </c>
      <c r="AD2128" s="4">
        <v>46105</v>
      </c>
      <c r="AE2128" t="inlineStr">
        <is>
          <t>50% down payment upon signing of contract; full payment after Walk through</t>
        </is>
      </c>
      <c r="AF2128" s="2" t="str">
        <f>=HYPERLINK("https://www.larksuite.com/approval/admin/previewAttachment?key=TMg7CsJgEATgK83se72MTUIQo5X4W-3ZBSvbL4qIcmo0rCkNToZAGuouUpVi5Mgws5FM99mfx3V7p5xI9rrL53HOum3H_mKUBqzdjA2Alz8n0aWhP8c3AAD__w", "2 attachment(s)")</f>
        <v>2 attachment(s)</v>
      </c>
      <c r="AG2128" t="inlineStr">
        <is>
          <t>NzQyNTk5MTgyNzQ4MTg3MDM0MTo1RTg1NTkzNi1GQ0VBLTQxODAtQjU2NS1FRTY2OUIzQzNBOTEtMTowZDViY2Y0MDIzZTMwMWVhYTJjNWY1ODc4ZGFhZmM4MDox</t>
        </is>
      </c>
      <c r="AH2128" t="inlineStr">
        <is>
          <t>Gian Manuel B. Vergel or GDV Sounds and Lights Rental</t>
        </is>
      </c>
      <c r="AI2128"/>
      <c r="AJ2128" t="inlineStr">
        <is>
          <t>LIQUIDITY PLAN (PAR # 202602120015 / 2026TEG-P0037) - MAR 9 VERSION
PLAYOFFS &gt; Technicals &gt;
LED (w/ riser)
Lights
Trussing
Commsets
Sounds
Genset
Total Budget = Php 602,500.00
Actual Cost = Php 600,000.00
Balance = Php 2,500.00</t>
        </is>
      </c>
      <c r="AK2128"/>
    </row>
    <row r="2129" ht="25.5" customHeight="1">
      <c r="A2129" s="2" t="str">
        <f>=HYPERLINK("https://applink.larksuite.com/client/mini_program/open?appId=cli_9c7cc8a9a9edd105&amp;mode=appCenter&amp;path_pc=pc/pages/requested/index?instanceId=7620296621342904031&amp;source=bitable&amp;path=pages/detail/index?instanceId=7620296621342904031&amp;source=bitable", "202603230029")</f>
        <v>202603230029</v>
      </c>
      <c r="B2129" t="inlineStr">
        <is>
          <t>Rejected</t>
        </is>
      </c>
      <c r="C2129" t="inlineStr">
        <is>
          <t>Procurement Order</t>
        </is>
      </c>
      <c r="D2129" s="3">
        <v>46104.50193287037</v>
      </c>
      <c r="E2129" s="3">
        <v>46105.67869212963</v>
      </c>
      <c r="F2129" t="inlineStr">
        <is>
          <t>Fatima Kathleen M. FLores</t>
        </is>
      </c>
      <c r="G2129" t="inlineStr">
        <is>
          <t>Procurement</t>
        </is>
      </c>
      <c r="H2129"/>
      <c r="I2129"/>
      <c r="J2129" t="inlineStr">
        <is>
          <t>Project</t>
        </is>
      </c>
      <c r="K2129" t="inlineStr">
        <is>
          <t>PDEI - Event Service</t>
        </is>
      </c>
      <c r="L2129" t="inlineStr">
        <is>
          <t>MPL PH S17</t>
        </is>
      </c>
      <c r="M2129" t="inlineStr">
        <is>
          <t>2026TEG-P0009</t>
        </is>
      </c>
      <c r="N2129" t="inlineStr">
        <is>
          <t>Katherine Denise Lee Sy</t>
        </is>
      </c>
      <c r="O2129" t="inlineStr">
        <is>
          <t>202603020068-Katherine Denise Lee Sy-费用报销 - 副本 - 副本 - 副本-2026-03-02 05:38:42</t>
        </is>
      </c>
      <c r="P2129" t="inlineStr">
        <is>
          <t>YES</t>
        </is>
      </c>
      <c r="Q2129"/>
      <c r="R2129" t="inlineStr">
        <is>
          <t>NO</t>
        </is>
      </c>
      <c r="S2129" t="inlineStr">
        <is>
          <t>Outsourced Assistant Staging Director (Ingress - RS &amp; PO)</t>
        </is>
      </c>
      <c r="T2129">
        <v>1</v>
      </c>
      <c r="U2129">
        <v>162000</v>
      </c>
      <c r="V2129" t="inlineStr">
        <is>
          <t>PHP</t>
        </is>
      </c>
      <c r="W2129">
        <v>162000</v>
      </c>
      <c r="X2129" s="2" t="str">
        <f>=HYPERLINK("https://www.larksuite.com/approval/admin/previewAttachment?key=PMhBCsJADAXQK_2fZJL5XsZNyyAFiyCIm5xdcNHty0nkHPQUQjSBXWkwZRo9TAg425pVQrHG6P257ifP74G1vdZREPrz2Nb-5lCZoTzCJwDeLveKCCkDf8cvAAD__w", "2 attachment(s)")</f>
        <v>2 attachment(s)</v>
      </c>
      <c r="Y2129" t="inlineStr">
        <is>
          <t>Bank Transfer</t>
        </is>
      </c>
      <c r="Z2129" t="inlineStr">
        <is>
          <t>John Martin Señorosa</t>
        </is>
      </c>
      <c r="AA2129" t="inlineStr">
        <is>
          <t>09458006005</t>
        </is>
      </c>
      <c r="AB2129" t="inlineStr">
        <is>
          <t>GCash</t>
        </is>
      </c>
      <c r="AC2129" t="inlineStr">
        <is>
          <t>45 calia II st. Bayan Bayanan Malabon City</t>
        </is>
      </c>
      <c r="AD2129" s="4">
        <v>46108</v>
      </c>
      <c r="AE2129" t="inlineStr">
        <is>
          <t>1st Payment - Mar. 27, 2026
2nd Payment - Apr. 17, 2026
3rd Payment - May 8, 2026
4th Payment - May 22, 2026
5th Payment - Jun. 12, 2026
Final Payment - Jun. 26, 2026</t>
        </is>
      </c>
      <c r="AF2129" s="2"/>
      <c r="AG2129" t="inlineStr">
        <is>
          <t>NzQyNTk5MTgyNzQ4MTg3MDM0MTpBNjgxNjRCNS03MzdELTREQTUtQjJEQi0zMDk3NDFGN0QyOEYtMToyY2I2Y2ZjZjZjYmNkYmQ5MmY1NWUxMDY1OTUwMWVmOTox</t>
        </is>
      </c>
      <c r="AH2129" t="inlineStr">
        <is>
          <t>John Martin Señorosa</t>
        </is>
      </c>
      <c r="AI2129"/>
      <c r="AJ2129" t="inlineStr">
        <is>
          <t>LIQUIDITY PLAN (PAR # 202602190021 / 2026TEG-P0009) - AS OF 031626
MANPOWER &gt; Broadcast &amp; Production &gt;
Assistant Techncial Director (Ingress)
PLAYOFFS SPECIFIC &gt; MANPOWER &gt;
Broadcast &amp; Production &gt; Assistant Techncial Director (Ingress)
Total Budget = Php 112,500.00
Actual Cost = Php 162,000.00
Balance = (Php 49,500.00) OVER BALANCE</t>
        </is>
      </c>
      <c r="AK2129"/>
    </row>
    <row r="2130" ht="25.5" customHeight="1">
      <c r="A2130" s="2" t="str">
        <f>=HYPERLINK("https://applink.larksuite.com/client/mini_program/open?appId=cli_9c7cc8a9a9edd105&amp;mode=appCenter&amp;path_pc=pc/pages/requested/index?instanceId=7620307403640147680&amp;source=bitable&amp;path=pages/detail/index?instanceId=7620307403640147680&amp;source=bitable", "202603230035")</f>
        <v>202603230035</v>
      </c>
      <c r="B2130" t="inlineStr">
        <is>
          <t>Approved</t>
        </is>
      </c>
      <c r="C2130" t="inlineStr">
        <is>
          <t>Procurement Order</t>
        </is>
      </c>
      <c r="D2130" s="3">
        <v>46104.53099537037</v>
      </c>
      <c r="E2130" s="3">
        <v>46105.679456018515</v>
      </c>
      <c r="F2130" t="inlineStr">
        <is>
          <t>Fatima Kathleen M. FLores</t>
        </is>
      </c>
      <c r="G2130" t="inlineStr">
        <is>
          <t>Procurement</t>
        </is>
      </c>
      <c r="H2130"/>
      <c r="I2130"/>
      <c r="J2130" t="inlineStr">
        <is>
          <t>Project</t>
        </is>
      </c>
      <c r="K2130" t="inlineStr">
        <is>
          <t>PDEI - Event Service</t>
        </is>
      </c>
      <c r="L2130" t="inlineStr">
        <is>
          <t>MPL PH S17</t>
        </is>
      </c>
      <c r="M2130" t="inlineStr">
        <is>
          <t>2026TEG-P0009</t>
        </is>
      </c>
      <c r="N2130" t="inlineStr">
        <is>
          <t>Katherine Denise Lee Sy</t>
        </is>
      </c>
      <c r="O2130" t="inlineStr">
        <is>
          <t>202603120109-Katherine Denise Lee Sy-费用报销 - 副本 - 副本 - 副本-2026-03-12 09:55:14</t>
        </is>
      </c>
      <c r="P2130" t="inlineStr">
        <is>
          <t>YES</t>
        </is>
      </c>
      <c r="Q2130"/>
      <c r="R2130" t="inlineStr">
        <is>
          <t>NO</t>
        </is>
      </c>
      <c r="S2130" t="inlineStr">
        <is>
          <t>Outsourced Cable Plotting Manpower</t>
        </is>
      </c>
      <c r="T2130">
        <v>1</v>
      </c>
      <c r="U2130">
        <v>4600</v>
      </c>
      <c r="V2130" t="inlineStr">
        <is>
          <t>PHP</t>
        </is>
      </c>
      <c r="W2130">
        <v>4600</v>
      </c>
      <c r="X2130" s="2" t="str">
        <f>=HYPERLINK("https://www.larksuite.com/approval/admin/previewAttachment?key=PMgxCgIxFATQK83kT_7kexkbl0WEbCNImpxdsLB9OYgcnZEFFVuB29kQsBApUM6B3Tbtgune9zHP-8VrvWrOFZPS2J_n4zze7OXW4JBiAODt72FJVSn8HN8AAAD__w", "2 attachment(s)")</f>
        <v>2 attachment(s)</v>
      </c>
      <c r="Y2130" t="inlineStr">
        <is>
          <t>Bank Transfer</t>
        </is>
      </c>
      <c r="Z2130" t="inlineStr">
        <is>
          <t>Nordan Burabo</t>
        </is>
      </c>
      <c r="AA2130" t="inlineStr">
        <is>
          <t>09636201512</t>
        </is>
      </c>
      <c r="AB2130" t="inlineStr">
        <is>
          <t>GCash</t>
        </is>
      </c>
      <c r="AC2130" t="inlineStr">
        <is>
          <t>Blk 1 Lot 23 Agoncillo St. Sta Lucia Novaliches, Quezon City</t>
        </is>
      </c>
      <c r="AD2130" s="4">
        <v>46108</v>
      </c>
      <c r="AE2130" t="inlineStr">
        <is>
          <t>100% Full Payment - Mar. 27, 2026</t>
        </is>
      </c>
      <c r="AF2130" s="2"/>
      <c r="AG2130" t="inlineStr">
        <is>
          <t>NzQyNTk5MTgyNzQ4MTg3MDM0MTo2MENCNTkyQy0xQzZDLTQ2MzUtOTEzQS1DNDg4QjM0NkUzMzYtMToyYjkyNGU2MmI2NzRhOWJiMDEwNDFlNTM2MmYxNWU0ODox</t>
        </is>
      </c>
      <c r="AH2130" t="inlineStr">
        <is>
          <t>Nordan Burabo</t>
        </is>
      </c>
      <c r="AI2130"/>
      <c r="AJ2130" t="inlineStr">
        <is>
          <t>LIQUIDITY PLAN (PAR # 202602190021 / 2026TEG-P0009) - AS OF 031626
BROADCAST &amp; TECHNICALS &gt; Hide From Client 1
Total Remaining Budget = Php 68,080.00
Actual Cost = Php 4,600.00
Balance = Php 63,480.00</t>
        </is>
      </c>
      <c r="AK2130"/>
    </row>
    <row r="2131" ht="25.5" customHeight="1">
      <c r="A2131" s="2" t="str">
        <f>=HYPERLINK("https://applink.larksuite.com/client/mini_program/open?appId=cli_9c7cc8a9a9edd105&amp;mode=appCenter&amp;path_pc=pc/pages/requested/index?instanceId=7620300538709561054&amp;source=bitable&amp;path=pages/detail/index?instanceId=7620300538709561054&amp;source=bitable", "202603230033")</f>
        <v>202603230033</v>
      </c>
      <c r="B2131" t="inlineStr">
        <is>
          <t>Approved</t>
        </is>
      </c>
      <c r="C2131" t="inlineStr">
        <is>
          <t>Procurement Order</t>
        </is>
      </c>
      <c r="D2131" s="3">
        <v>46104.51248842593</v>
      </c>
      <c r="E2131" s="3">
        <v>46106.50413194444</v>
      </c>
      <c r="F2131" t="inlineStr">
        <is>
          <t>Fatima Kathleen M. FLores</t>
        </is>
      </c>
      <c r="G2131" t="inlineStr">
        <is>
          <t>Procurement</t>
        </is>
      </c>
      <c r="H2131"/>
      <c r="I2131"/>
      <c r="J2131" t="inlineStr">
        <is>
          <t>Project</t>
        </is>
      </c>
      <c r="K2131" t="inlineStr">
        <is>
          <t>PDEI - Event Service</t>
        </is>
      </c>
      <c r="L2131" t="inlineStr">
        <is>
          <t>MPL PH S17</t>
        </is>
      </c>
      <c r="M2131" t="inlineStr">
        <is>
          <t>2026TEG-P0009</t>
        </is>
      </c>
      <c r="N2131" t="inlineStr">
        <is>
          <t>Katherine Denise Lee Sy</t>
        </is>
      </c>
      <c r="O2131" t="inlineStr">
        <is>
          <t>202603020068-Katherine Denise Lee Sy-费用报销 - 副本 - 副本 - 副本-2026-03-02 05:38:42</t>
        </is>
      </c>
      <c r="P2131" t="inlineStr">
        <is>
          <t>YES</t>
        </is>
      </c>
      <c r="Q2131"/>
      <c r="R2131" t="inlineStr">
        <is>
          <t>NO</t>
        </is>
      </c>
      <c r="S2131" t="inlineStr">
        <is>
          <t>Outsourced Assistant Staging Director (Event Days - RS &amp; PO)</t>
        </is>
      </c>
      <c r="T2131">
        <v>1</v>
      </c>
      <c r="U2131">
        <v>162000</v>
      </c>
      <c r="V2131" t="inlineStr">
        <is>
          <t>PHP</t>
        </is>
      </c>
      <c r="W2131">
        <v>162000</v>
      </c>
      <c r="X2131" s="2" t="str">
        <f>=HYPERLINK("https://www.larksuite.com/approval/admin/previewAttachment?key=PMgxCgJBDAXQK_1MfvInXsZml0FhFUFwq5xdsLB9OQ05wzwLLBsFa-WAA-FTqEhDsEebVJApovfHusKP887nxpedS0d_btva3xalMSAnfQKwy99dJKuS-Dm-AQAA__8", "2 attachment(s)")</f>
        <v>2 attachment(s)</v>
      </c>
      <c r="Y2131" t="inlineStr">
        <is>
          <t>Bank Transfer</t>
        </is>
      </c>
      <c r="Z2131" t="inlineStr">
        <is>
          <t>Allen Bert Araño</t>
        </is>
      </c>
      <c r="AA2131" t="inlineStr">
        <is>
          <t>109855637640</t>
        </is>
      </c>
      <c r="AB2131" t="inlineStr">
        <is>
          <t>Unionbank</t>
        </is>
      </c>
      <c r="AC2131" t="inlineStr">
        <is>
          <t>Marungko, Angat, Bulacan</t>
        </is>
      </c>
      <c r="AD2131" s="4">
        <v>46108</v>
      </c>
      <c r="AE2131" t="inlineStr">
        <is>
          <t>1st Payment - Mar. 27, 2026
2nd Payment - Apr. 17, 2026
3rd Payment - May 8, 2026
4th Payment - May 22, 2026
5th Payment - Jun. 12, 2026
Final Payment - Jun. 26, 2026</t>
        </is>
      </c>
      <c r="AF2131" s="2"/>
      <c r="AG2131" t="inlineStr">
        <is>
          <t>NzQyNTk5MTgyNzQ4MTg3MDM0MTpCQjQ4MkY3MS1DOENFLTQ1NUYtOTY1Ny0wODVDMzA1N0M1RDMtMToyNDJhOTdmMWY0NjZlYTFmODIyMGMyZDg0YmFlMDEzODox</t>
        </is>
      </c>
      <c r="AH2131" t="inlineStr">
        <is>
          <t>Allen Bert Araño</t>
        </is>
      </c>
      <c r="AI2131"/>
      <c r="AJ2131" t="inlineStr">
        <is>
          <t>LIQUIDITY PLAN (PAR # 202602190021 / 2026TEG-P0009) - AS OF 031626
MANPOWER &gt; Broadcast &amp; Production &gt;
Assistant Techncial Director (Ingress)
PLAYOFFS SPECIFIC &gt; MANPOWER &gt;
Broadcast &amp; Production &gt; Assistant Techncial Director (Ingress)
Total Budget = Php 217,500.00
Actual Cost = Php 162,000.00
Balance = Php 55,500.00</t>
        </is>
      </c>
      <c r="AK2131"/>
    </row>
    <row r="2132" ht="25.5" customHeight="1">
      <c r="A2132" s="2" t="str">
        <f>=HYPERLINK("https://applink.larksuite.com/client/mini_program/open?appId=cli_9c7cc8a9a9edd105&amp;mode=appCenter&amp;path_pc=pc/pages/requested/index?instanceId=7620335054341852893&amp;source=bitable&amp;path=pages/detail/index?instanceId=7620335054341852893&amp;source=bitable", "202603230043")</f>
        <v>202603230043</v>
      </c>
      <c r="B2132" t="inlineStr">
        <is>
          <t>Approved</t>
        </is>
      </c>
      <c r="C2132" t="inlineStr">
        <is>
          <t>Procurement Order</t>
        </is>
      </c>
      <c r="D2132" s="3">
        <v>46104.60549768519</v>
      </c>
      <c r="E2132" s="3">
        <v>46106.462118055555</v>
      </c>
      <c r="F2132" t="inlineStr">
        <is>
          <t>Fatima Kathleen M. FLores</t>
        </is>
      </c>
      <c r="G2132" t="inlineStr">
        <is>
          <t>Procurement</t>
        </is>
      </c>
      <c r="H2132"/>
      <c r="I2132"/>
      <c r="J2132" t="inlineStr">
        <is>
          <t>Project</t>
        </is>
      </c>
      <c r="K2132" t="inlineStr">
        <is>
          <t>GG - Event Service</t>
        </is>
      </c>
      <c r="L2132" t="inlineStr">
        <is>
          <t>Philippine Kings League Spring Season 2026 (PKL)</t>
        </is>
      </c>
      <c r="M2132" t="inlineStr">
        <is>
          <t>2026TEG-P0037</t>
        </is>
      </c>
      <c r="N2132" t="inlineStr">
        <is>
          <t>Juvie Anne Asis Castres</t>
        </is>
      </c>
      <c r="O2132" t="inlineStr">
        <is>
          <t>202603120094-Juvie Anne Asis Castres-费用报销 - 副本 - 副本 - 副本-2026-03-12 09:19:37</t>
        </is>
      </c>
      <c r="P2132" t="inlineStr">
        <is>
          <t>YES</t>
        </is>
      </c>
      <c r="Q2132"/>
      <c r="R2132" t="inlineStr">
        <is>
          <t>NO</t>
        </is>
      </c>
      <c r="S2132" t="inlineStr">
        <is>
          <t>Outsourced Photography and Videography Team</t>
        </is>
      </c>
      <c r="T2132">
        <v>1</v>
      </c>
      <c r="U2132">
        <v>248000</v>
      </c>
      <c r="V2132" t="inlineStr">
        <is>
          <t>PHP</t>
        </is>
      </c>
      <c r="W2132">
        <v>248000</v>
      </c>
      <c r="X2132" s="2" t="str">
        <f>=HYPERLINK("https://www.larksuite.com/approval/admin/previewAttachment?key=PMgxCgJBDAXQK_2fn0wSL2PjMNisCLJ2c3bBYts3ihgV1Gh40xrcOQxSIFzOCqvWts3MRjIj9jzWfeng-zXVOot27u_zseaH0WmGlLsKAG-XK929ezj-jl8AAAD__w", "2 attachment(s)")</f>
        <v>2 attachment(s)</v>
      </c>
      <c r="Y2132" t="inlineStr">
        <is>
          <t>Bank Transfer</t>
        </is>
      </c>
      <c r="Z2132" t="inlineStr">
        <is>
          <t>Harold Lance Pialda</t>
        </is>
      </c>
      <c r="AA2132" t="inlineStr">
        <is>
          <t>0000050859073</t>
        </is>
      </c>
      <c r="AB2132" t="inlineStr">
        <is>
          <t>Security Bank</t>
        </is>
      </c>
      <c r="AC2132" t="inlineStr">
        <is>
          <t>Unit 6 M Gabriel Compound Fairview Quezon City</t>
        </is>
      </c>
      <c r="AD2132" s="4">
        <v>46108</v>
      </c>
      <c r="AE2132" t="inlineStr">
        <is>
          <t>1st Payment - Mar. 27, 2026
2nd Payment - Apr. 10, 2026
3rd Payment - Apr. 24, 2026
Final Payment - May 1, 2026</t>
        </is>
      </c>
      <c r="AF2132" s="2"/>
      <c r="AG2132" t="inlineStr">
        <is>
          <t>NzQyNTk5MTgyNzQ4MTg3MDM0MTpCRDJDMEMyOS1EMDIwLTRENDQtOTI2Ri1DMkFGOTBBNjhCMTktMTo3MjRjMDA1ODYxNTEyNjEwN2U1YTRhNWExN2EwODEyMTox</t>
        </is>
      </c>
      <c r="AH2132" t="inlineStr">
        <is>
          <t>Harold Lance Pialda</t>
        </is>
      </c>
      <c r="AI2132"/>
      <c r="AJ2132" t="inlineStr">
        <is>
          <t>LIQUIDITY PLAN (PAR # 202602120015 / 2026TEG-P0037) - MAR 9 VERSION
PLAYOFFS &gt; LABOR COST &gt;
ADDITIONAL BROADCAST MANPOWER &gt; Ronin Operators (Gimbal)
VIDEO &amp; PRODUCTION &gt; Photo &amp; Video Team
Total Budget = Php 260,000.00
Actual Cost = Php 248,000.00
Balance = Php 12,000.00</t>
        </is>
      </c>
      <c r="AK2132"/>
    </row>
    <row r="2133" ht="25.5" customHeight="1">
      <c r="A2133" s="2" t="str">
        <f>=HYPERLINK("https://applink.larksuite.com/client/mini_program/open?appId=cli_9c7cc8a9a9edd105&amp;mode=appCenter&amp;path_pc=pc/pages/requested/index?instanceId=7620329583547584229&amp;source=bitable&amp;path=pages/detail/index?instanceId=7620329583547584229&amp;source=bitable", "202603230042")</f>
        <v>202603230042</v>
      </c>
      <c r="B2133" t="inlineStr">
        <is>
          <t>Approved</t>
        </is>
      </c>
      <c r="C2133" t="inlineStr">
        <is>
          <t>Procurement Order</t>
        </is>
      </c>
      <c r="D2133" s="3">
        <v>46104.59075231481</v>
      </c>
      <c r="E2133" s="3">
        <v>46106.47127314815</v>
      </c>
      <c r="F2133" t="inlineStr">
        <is>
          <t>Fatima Kathleen M. FLores</t>
        </is>
      </c>
      <c r="G2133" t="inlineStr">
        <is>
          <t>Procurement</t>
        </is>
      </c>
      <c r="H2133"/>
      <c r="I2133"/>
      <c r="J2133" t="inlineStr">
        <is>
          <t>Project</t>
        </is>
      </c>
      <c r="K2133" t="inlineStr">
        <is>
          <t>PDEI - Event Service</t>
        </is>
      </c>
      <c r="L2133" t="inlineStr">
        <is>
          <t>SM Cyberzone Trading Card Game (TCG) Activations</t>
        </is>
      </c>
      <c r="M2133" t="inlineStr">
        <is>
          <t>2025TEG-P0278</t>
        </is>
      </c>
      <c r="N2133" t="inlineStr">
        <is>
          <t>Alessandra Mae Villanueva Boado</t>
        </is>
      </c>
      <c r="O2133" t="inlineStr">
        <is>
          <t>202603120102-Alessandra Mae Villanueva Boado-费用报销 - 副本 - 副本 - 副本-2026-03-12 09:31:28</t>
        </is>
      </c>
      <c r="P2133" t="inlineStr">
        <is>
          <t>YES</t>
        </is>
      </c>
      <c r="Q2133"/>
      <c r="R2133" t="inlineStr">
        <is>
          <t>NO</t>
        </is>
      </c>
      <c r="S2133" t="inlineStr">
        <is>
          <t>Outsourced Digital Content Producer (Graphic Artist)</t>
        </is>
      </c>
      <c r="T2133">
        <v>1</v>
      </c>
      <c r="U2133">
        <v>15000</v>
      </c>
      <c r="V2133" t="inlineStr">
        <is>
          <t>PHP</t>
        </is>
      </c>
      <c r="W2133">
        <v>15000</v>
      </c>
      <c r="X2133" s="2" t="str">
        <f>=HYPERLINK("https://www.larksuite.com/approval/admin/previewAttachment?key=PMhBCsJADAXQK_0kP_MTL-PGMqhQEITSzZxdcNHtG2UYlRajwTZv2NJwhHdWJJVF916-TGrIlLm2fd5n7PbJ097H6yxqHc_H3L6WLXcoyCgAdrs8RLJ7EH_HLwAA__8", "2 attachment(s)")</f>
        <v>2 attachment(s)</v>
      </c>
      <c r="Y2133" t="inlineStr">
        <is>
          <t>Bank Transfer</t>
        </is>
      </c>
      <c r="Z2133" t="inlineStr">
        <is>
          <t>Ma. Kathrina Buhay</t>
        </is>
      </c>
      <c r="AA2133" t="inlineStr">
        <is>
          <t>0000049934198</t>
        </is>
      </c>
      <c r="AB2133" t="inlineStr">
        <is>
          <t>Security Bank</t>
        </is>
      </c>
      <c r="AC2133" t="inlineStr">
        <is>
          <t>1332 A.H. Lacson st., Sta Cruz, Manila</t>
        </is>
      </c>
      <c r="AD2133" s="4">
        <v>46108</v>
      </c>
      <c r="AE2133" t="inlineStr">
        <is>
          <t>1st Payment - Mar. 27, 2026
Final Payment - Apr. 17, 2026</t>
        </is>
      </c>
      <c r="AF2133" s="2"/>
      <c r="AG2133" t="inlineStr">
        <is>
          <t>NzQyNTk5MTgyNzQ4MTg3MDM0MTo1OUQwMTUyNi02REIwLTQxRTgtQUE5OS1DMkE2ODk3RDU5Q0QtMTpjNmNiNzk3MjJkODU0MzgzNTEwY2E1YjJiNjdiNGVjNjox</t>
        </is>
      </c>
      <c r="AH2133" t="inlineStr">
        <is>
          <t>Ma. Kathrina Buhay</t>
        </is>
      </c>
      <c r="AI2133"/>
      <c r="AJ2133" t="inlineStr">
        <is>
          <t>LIQUIDITY PLAN (PAR # 202602090082 / 2025TEG-P0278)
Project Planning &gt; Digital Content Producer
Total Budget = Php 15,000.00
Actual Cost = Php 15,000.00</t>
        </is>
      </c>
      <c r="AK2133"/>
    </row>
    <row r="2134" ht="25.5" customHeight="1">
      <c r="A2134" s="2" t="str">
        <f>=HYPERLINK("https://applink.larksuite.com/client/mini_program/open?appId=cli_9c7cc8a9a9edd105&amp;mode=appCenter&amp;path_pc=pc/pages/requested/index?instanceId=7620327789513674461&amp;source=bitable&amp;path=pages/detail/index?instanceId=7620327789513674461&amp;source=bitable", "202603230041")</f>
        <v>202603230041</v>
      </c>
      <c r="B2134" t="inlineStr">
        <is>
          <t>Approved</t>
        </is>
      </c>
      <c r="C2134" t="inlineStr">
        <is>
          <t>Procurement Order</t>
        </is>
      </c>
      <c r="D2134" s="3">
        <v>46104.58592592592</v>
      </c>
      <c r="E2134" s="3">
        <v>46106.75461805556</v>
      </c>
      <c r="F2134" t="inlineStr">
        <is>
          <t>Fatima Kathleen M. FLores</t>
        </is>
      </c>
      <c r="G2134" t="inlineStr">
        <is>
          <t>Procurement</t>
        </is>
      </c>
      <c r="H2134"/>
      <c r="I2134"/>
      <c r="J2134" t="inlineStr">
        <is>
          <t>Project</t>
        </is>
      </c>
      <c r="K2134" t="inlineStr">
        <is>
          <t>PDEI - Event Service</t>
        </is>
      </c>
      <c r="L2134" t="inlineStr">
        <is>
          <t>PESO Asian Games Broadcast</t>
        </is>
      </c>
      <c r="M2134" t="inlineStr">
        <is>
          <t>2026TEG-P0075</t>
        </is>
      </c>
      <c r="N2134" t="inlineStr">
        <is>
          <t>Maura Aurel Atilano Yap</t>
        </is>
      </c>
      <c r="O2134" t="inlineStr">
        <is>
          <t>202603110109-Maura Aurel Atilano Yap-费用报销 - 副本 - 副本 - 副本-2026-03-11 13:46:57</t>
        </is>
      </c>
      <c r="P2134" t="inlineStr">
        <is>
          <t>YES</t>
        </is>
      </c>
      <c r="Q2134"/>
      <c r="R2134" t="inlineStr">
        <is>
          <t>NO</t>
        </is>
      </c>
      <c r="S2134" t="inlineStr">
        <is>
          <t>Outsourced Broadcast Manpower</t>
        </is>
      </c>
      <c r="T2134">
        <v>1</v>
      </c>
      <c r="U2134">
        <v>56000</v>
      </c>
      <c r="V2134" t="inlineStr">
        <is>
          <t>PHP</t>
        </is>
      </c>
      <c r="W2134">
        <v>56000</v>
      </c>
      <c r="X2134" s="2" t="str">
        <f>=HYPERLINK("https://www.larksuite.com/approval/admin/previewAttachment?key=PMg7qoJBDAXgLZ08Jie5m7mNw6ADgiD4a5G1ixa2X6QgcohFwUu0IM1QmJJZH6d7SGsLWaBwjJ7X9f_c43LksSde-7asH-fTmncZRVXQ3C0ByN_Pje5eFY6v4x0AAP__", "2 attachment(s)")</f>
        <v>2 attachment(s)</v>
      </c>
      <c r="Y2134" t="inlineStr">
        <is>
          <t>Bank Transfer</t>
        </is>
      </c>
      <c r="Z2134" t="inlineStr">
        <is>
          <t>John Benigno R. Magat</t>
        </is>
      </c>
      <c r="AA2134" t="inlineStr">
        <is>
          <t>046110005388</t>
        </is>
      </c>
      <c r="AB2134" t="inlineStr">
        <is>
          <t>PSBank</t>
        </is>
      </c>
      <c r="AC2134" t="inlineStr">
        <is>
          <t>228 Grissom st. Brgy Moonwalk Paranaque Metro Manila</t>
        </is>
      </c>
      <c r="AD2134" s="4">
        <v>46108</v>
      </c>
      <c r="AE2134" t="inlineStr">
        <is>
          <t>1st Payment - Mar. 27, 2026
Final Payment - Apr. 17, 2026</t>
        </is>
      </c>
      <c r="AF2134" s="2"/>
      <c r="AG2134" t="inlineStr">
        <is>
          <t>NzQyNTk5MTgyNzQ4MTg3MDM0MTo0RUEwNDdEMC1CQUI4LTRBMDUtODZGNS1DNDY2RTdCNkZCRTAtMTo0ZGUwNjE0ZWEzM2ZhOTNjZGE3ZGNiZmY2YmU0NDBjNTox</t>
        </is>
      </c>
      <c r="AH2134" t="inlineStr">
        <is>
          <t>John Benigno R. Magat</t>
        </is>
      </c>
      <c r="AI2134"/>
      <c r="AJ2134" t="inlineStr">
        <is>
          <t>LIQUIDITY PLAN (PAR # 202603110079 / 2026TEG-P0075)
BROADCAST &gt; Manpower &gt;
Broadcast Team
Total Budget = Php 56,000.00
Actual Cost = Php 56,000.00</t>
        </is>
      </c>
      <c r="AK2134"/>
    </row>
    <row r="2135" ht="25.5" customHeight="1">
      <c r="A2135" s="2" t="str">
        <f>=HYPERLINK("https://applink.larksuite.com/client/mini_program/open?appId=cli_9c7cc8a9a9edd105&amp;mode=appCenter&amp;path_pc=pc/pages/requested/index?instanceId=7620326993237642974&amp;source=bitable&amp;path=pages/detail/index?instanceId=7620326993237642974&amp;source=bitable", "202603230040")</f>
        <v>202603230040</v>
      </c>
      <c r="B2135" t="inlineStr">
        <is>
          <t>Approved</t>
        </is>
      </c>
      <c r="C2135" t="inlineStr">
        <is>
          <t>Procurement Order</t>
        </is>
      </c>
      <c r="D2135" s="3">
        <v>46104.58377314815</v>
      </c>
      <c r="E2135" s="3">
        <v>46106.75236111111</v>
      </c>
      <c r="F2135" t="inlineStr">
        <is>
          <t>Fatima Kathleen M. FLores</t>
        </is>
      </c>
      <c r="G2135" t="inlineStr">
        <is>
          <t>Procurement</t>
        </is>
      </c>
      <c r="H2135"/>
      <c r="I2135"/>
      <c r="J2135" t="inlineStr">
        <is>
          <t>Project</t>
        </is>
      </c>
      <c r="K2135" t="inlineStr">
        <is>
          <t>PDEI - Event Service</t>
        </is>
      </c>
      <c r="L2135" t="inlineStr">
        <is>
          <t>PESO Asian Games Broadcast</t>
        </is>
      </c>
      <c r="M2135" t="inlineStr">
        <is>
          <t>2026TEG-P0075</t>
        </is>
      </c>
      <c r="N2135" t="inlineStr">
        <is>
          <t>Maura Aurel Atilano Yap</t>
        </is>
      </c>
      <c r="O2135" t="inlineStr">
        <is>
          <t>202603110106-Maura Aurel Atilano Yap-费用报销 - 副本 - 副本 - 副本-2026-03-11 13:20:23</t>
        </is>
      </c>
      <c r="P2135" t="inlineStr">
        <is>
          <t>YES</t>
        </is>
      </c>
      <c r="Q2135"/>
      <c r="R2135" t="inlineStr">
        <is>
          <t>NO</t>
        </is>
      </c>
      <c r="S2135" t="inlineStr">
        <is>
          <t>Outsourced Broadcast Graphic Artist</t>
        </is>
      </c>
      <c r="T2135">
        <v>1</v>
      </c>
      <c r="U2135">
        <v>19000</v>
      </c>
      <c r="V2135" t="inlineStr">
        <is>
          <t>PHP</t>
        </is>
      </c>
      <c r="W2135">
        <v>19000</v>
      </c>
      <c r="X2135" s="2" t="str">
        <f>=HYPERLINK("https://www.larksuite.com/approval/admin/previewAttachment?key=PMg7DsIwEATQK81-vOPhMjSOIoRDhUCh8NmRKGhfdUP1ZlFCylywxXKElxQerHQxly8jBRpbW9tjvx7t_vr0Y2qeY5xzvW9j357WRHcwMqMDsMvfg5kpVeLn-AYAAP__", "2 attachment(s)")</f>
        <v>2 attachment(s)</v>
      </c>
      <c r="Y2135" t="inlineStr">
        <is>
          <t>Bank Transfer</t>
        </is>
      </c>
      <c r="Z2135" t="inlineStr">
        <is>
          <t>Ma. Kathrina Buhay</t>
        </is>
      </c>
      <c r="AA2135" t="inlineStr">
        <is>
          <t>0000049934198</t>
        </is>
      </c>
      <c r="AB2135" t="inlineStr">
        <is>
          <t>Security Bank</t>
        </is>
      </c>
      <c r="AC2135" t="inlineStr">
        <is>
          <t>1332 A.H. Lacson st., Sta Cruz, Manila</t>
        </is>
      </c>
      <c r="AD2135" s="4">
        <v>46108</v>
      </c>
      <c r="AE2135" t="inlineStr">
        <is>
          <t>100% Full Payment - Mar. 27, 2026</t>
        </is>
      </c>
      <c r="AF2135" s="2"/>
      <c r="AG2135" t="inlineStr">
        <is>
          <t>NzQyNTk5MTgyNzQ4MTg3MDM0MTo1NjJCNUEzNi1DODEwLTQyNjMtOThBNi0zQkRBNEY1QkJBOUItMTphNjk3ZmYyNmNhNjI1ODhjZDYwMmEyMGViOGJlMzZmNzox</t>
        </is>
      </c>
      <c r="AH2135" t="inlineStr">
        <is>
          <t>Ma. Kathrina Buhay</t>
        </is>
      </c>
      <c r="AI2135"/>
      <c r="AJ2135" t="inlineStr">
        <is>
          <t>LIQUIDITY PLAN (PAR # 202603110079 / 2026TEG-P0075)
BROADCAST &gt; Manpower &gt;
Broadcast Graphic Artist
Total Budget = Php 19,000.00
Actual Cost = Php 19,000.00</t>
        </is>
      </c>
      <c r="AK2135"/>
    </row>
    <row r="2136" ht="25.5" customHeight="1">
      <c r="A2136" s="2" t="str">
        <f>=HYPERLINK("https://applink.larksuite.com/client/mini_program/open?appId=cli_9c7cc8a9a9edd105&amp;mode=appCenter&amp;path_pc=pc/pages/requested/index?instanceId=7620341597931720413&amp;source=bitable&amp;path=pages/detail/index?instanceId=7620341597931720413&amp;source=bitable", "202603230045")</f>
        <v>202603230045</v>
      </c>
      <c r="B2136" t="inlineStr">
        <is>
          <t>Approved</t>
        </is>
      </c>
      <c r="C2136" t="inlineStr">
        <is>
          <t>Procurement Order</t>
        </is>
      </c>
      <c r="D2136" s="3">
        <v>46104.623136574075</v>
      </c>
      <c r="E2136" s="3">
        <v>46106.68528935185</v>
      </c>
      <c r="F2136" t="inlineStr">
        <is>
          <t>Fatima Kathleen M. FLores</t>
        </is>
      </c>
      <c r="G2136" t="inlineStr">
        <is>
          <t>Procurement</t>
        </is>
      </c>
      <c r="H2136"/>
      <c r="I2136"/>
      <c r="J2136" t="inlineStr">
        <is>
          <t>Project</t>
        </is>
      </c>
      <c r="K2136" t="inlineStr">
        <is>
          <t>GG - Event Service</t>
        </is>
      </c>
      <c r="L2136" t="inlineStr">
        <is>
          <t>PUBG Mobile 8th Anniversary Event</t>
        </is>
      </c>
      <c r="M2136" t="inlineStr">
        <is>
          <t>2026TEG-P0066</t>
        </is>
      </c>
      <c r="N2136" t="inlineStr">
        <is>
          <t>Randy Vince Fernandez Apura</t>
        </is>
      </c>
      <c r="O2136" t="inlineStr">
        <is>
          <t>202603170037-Randy Vince Fernandez Apura-费用报销 - 副本 - 副本 - 副本-2026-03-17 02:20:55</t>
        </is>
      </c>
      <c r="P2136" t="inlineStr">
        <is>
          <t>YES</t>
        </is>
      </c>
      <c r="Q2136"/>
      <c r="R2136" t="inlineStr">
        <is>
          <t>NO</t>
        </is>
      </c>
      <c r="S2136" t="inlineStr">
        <is>
          <t>Outsourced Props Maker (Helmet)</t>
        </is>
      </c>
      <c r="T2136">
        <v>1</v>
      </c>
      <c r="U2136">
        <v>10000</v>
      </c>
      <c r="V2136" t="inlineStr">
        <is>
          <t>PHP</t>
        </is>
      </c>
      <c r="W2136">
        <v>10000</v>
      </c>
      <c r="X2136" s="2" t="str">
        <f>=HYPERLINK("https://www.larksuite.com/approval/admin/previewAttachment?key=PMtBqgJBDATQK1UllU7nX-ZvHBplZkAQZpeziy7cPnhjEmMGfRRUtAI7h8HFqCxnGkRva2YWkhnR27n-d9MR53PF8Zh27X3db2t7fZIZ0iWfAPj3c09JVUP4Ot4BAAD__w", "2 attachment(s)")</f>
        <v>2 attachment(s)</v>
      </c>
      <c r="Y2136" t="inlineStr">
        <is>
          <t>Bank Transfer</t>
        </is>
      </c>
      <c r="Z2136" t="inlineStr">
        <is>
          <t>Benjie David</t>
        </is>
      </c>
      <c r="AA2136" t="inlineStr">
        <is>
          <t>4049252758</t>
        </is>
      </c>
      <c r="AB2136" t="inlineStr">
        <is>
          <t>BPI</t>
        </is>
      </c>
      <c r="AC2136" t="inlineStr">
        <is>
          <t>Blk 68 Lot 20 Fiesta Communities Sabanilla Mexico Pampanga</t>
        </is>
      </c>
      <c r="AD2136" s="4">
        <v>46108</v>
      </c>
      <c r="AE2136" t="inlineStr">
        <is>
          <t>100% Full Payment - Mar. 27, 2026</t>
        </is>
      </c>
      <c r="AF2136" s="2"/>
      <c r="AG2136" t="inlineStr">
        <is>
          <t>NzQyNTk5MTgyNzQ4MTg3MDM0MTozNDRCN0QxNC1FOTBBLTRFQkMtQTdGQy1DNUQ1MUE3NkQ4NkYtMTplNWMxNzQyZjRhZjNkMzQwMTRiYTc4ZmJjOWNlNmY1ODox</t>
        </is>
      </c>
      <c r="AH2136" t="inlineStr">
        <is>
          <t>Benjie David</t>
        </is>
      </c>
      <c r="AI2136"/>
      <c r="AJ2136" t="inlineStr">
        <is>
          <t>LIQUIDITY PLAN (PAR # 202603150011 / 2026TEG-P0066)
MINDANAO LEG - MARCH 22, 2026 &gt; MANPOWER &gt;
Talents &gt; Host / Caster
Total Budget = Php 10,000.00
Actual Cost = Php 10,000.00</t>
        </is>
      </c>
      <c r="AK2136"/>
    </row>
    <row r="2137" ht="25.5" customHeight="1">
      <c r="A2137" s="2" t="str">
        <f>=HYPERLINK("https://applink.larksuite.com/client/mini_program/open?appId=cli_9c7cc8a9a9edd105&amp;mode=appCenter&amp;path_pc=pc/pages/requested/index?instanceId=7620339461523508965&amp;source=bitable&amp;path=pages/detail/index?instanceId=7620339461523508965&amp;source=bitable", "202603230044")</f>
        <v>202603230044</v>
      </c>
      <c r="B2137" t="inlineStr">
        <is>
          <t>Approved</t>
        </is>
      </c>
      <c r="C2137" t="inlineStr">
        <is>
          <t>Procurement Order</t>
        </is>
      </c>
      <c r="D2137" s="3">
        <v>46104.617372685185</v>
      </c>
      <c r="E2137" s="3">
        <v>46104.71611111111</v>
      </c>
      <c r="F2137" t="inlineStr">
        <is>
          <t>Fatima Kathleen M. FLores</t>
        </is>
      </c>
      <c r="G2137" t="inlineStr">
        <is>
          <t>Procurement</t>
        </is>
      </c>
      <c r="H2137"/>
      <c r="I2137"/>
      <c r="J2137" t="inlineStr">
        <is>
          <t>Project</t>
        </is>
      </c>
      <c r="K2137" t="inlineStr">
        <is>
          <t>GG - Event Service</t>
        </is>
      </c>
      <c r="L2137" t="inlineStr">
        <is>
          <t>PUBG Mobile 8th Anniversary Event</t>
        </is>
      </c>
      <c r="M2137" t="inlineStr">
        <is>
          <t>2026TEG-P0066</t>
        </is>
      </c>
      <c r="N2137" t="inlineStr">
        <is>
          <t>Randy Vince Fernandez Apura</t>
        </is>
      </c>
      <c r="O2137" t="inlineStr">
        <is>
          <t>202603190035-Randy Vince Fernandez Apura-费用报销 - 副本 - 副本 - 副本-2026-03-19 09:54:30</t>
        </is>
      </c>
      <c r="P2137" t="inlineStr">
        <is>
          <t>NO</t>
        </is>
      </c>
      <c r="Q2137"/>
      <c r="R2137" t="inlineStr">
        <is>
          <t>YES</t>
        </is>
      </c>
      <c r="S2137" t="inlineStr">
        <is>
          <t>Outsourced Electrical Layout Plan Services</t>
        </is>
      </c>
      <c r="T2137">
        <v>1</v>
      </c>
      <c r="U2137">
        <v>25000</v>
      </c>
      <c r="V2137" t="inlineStr">
        <is>
          <t>PHP</t>
        </is>
      </c>
      <c r="W2137">
        <v>25000</v>
      </c>
      <c r="X2137" s="2" t="str">
        <f>=HYPERLINK("https://www.larksuite.com/approval/admin/previewAttachment?key=PMgrDgIxGATgK838zw6XwWyzAYEiBdWzkyDWfjWIGkkvIUQTuLsM7opimieGKrdtdgvNztzzdd6P1TbF9e3n4rD9eRznfDPVZmiP8AGAt8u9I0KqwN_xCwAA__8", "2 attachment(s)")</f>
        <v>2 attachment(s)</v>
      </c>
      <c r="Y2137" t="inlineStr">
        <is>
          <t>Bank Transfer</t>
        </is>
      </c>
      <c r="Z2137" t="inlineStr">
        <is>
          <t>JEANES FALCON BONTILAO DBA / JY BONTILAO CONSTRUCTION AND ENTERPRISES</t>
        </is>
      </c>
      <c r="AA2137" t="inlineStr">
        <is>
          <t>2195-0087-55</t>
        </is>
      </c>
      <c r="AB2137" t="inlineStr">
        <is>
          <t>BPI</t>
        </is>
      </c>
      <c r="AC2137" t="inlineStr">
        <is>
          <t>Block 9 Lot 5, P-3 Middle Alta Tierra Subdivision, Tiguma, Pagadian City</t>
        </is>
      </c>
      <c r="AD2137" s="4">
        <v>46104</v>
      </c>
      <c r="AE2137" t="inlineStr">
        <is>
          <t>100% Full Payment - March 23, 2026</t>
        </is>
      </c>
      <c r="AF2137" s="2" t="str">
        <f>=HYPERLINK("https://www.larksuite.com/approval/admin/previewAttachment?key=TMi7DQIxEATQlmZ2vZ-hGZKzThAQIUPk2pGILn3ZRHbQUxiiCdyVBneNZJgHWhnbNquEYkXs-Trvxyqb4vrWc7Ftfx7HOd_M9sRQjEEB4O3iJNSe_nf8AgAA__8", "1 attachment(s)")</f>
        <v>1 attachment(s)</v>
      </c>
      <c r="AG2137" t="inlineStr">
        <is>
          <t>NzQyNTk5MTgyNzQ4MTg3MDM0MTpEQTJEQjIxMy1GRDg0LTQ5MTQtODMwNi1CRTA5REQwNDY0NkItMTowOWZiMzIzNWI5Njc5MWU0NTk3ZjZkNWM2OWE5YmI4ZTox</t>
        </is>
      </c>
      <c r="AH2137" t="inlineStr">
        <is>
          <t>JY BONTILAO CONSTRUCTION &amp; ENT.</t>
        </is>
      </c>
      <c r="AI2137"/>
      <c r="AJ2137" t="inlineStr">
        <is>
          <t>LIQUIDITY PLAN (PAR # 202603150011 / 2026TEG-P0066)
VISAYAS LEG - MARCH 21, 2026 &gt; OTHERS &gt;
Permits &gt; Event Permits and Compliance
Total Budget = Php 15,000.00
Actual Cost = Php 25,000.00
Balance = (Php 10,000.00) OVER BUDGET</t>
        </is>
      </c>
      <c r="AK2137"/>
    </row>
    <row r="2138" ht="25.5" customHeight="1">
      <c r="A2138" s="2" t="str">
        <f>=HYPERLINK("https://applink.larksuite.com/client/mini_program/open?appId=cli_9c7cc8a9a9edd105&amp;mode=appCenter&amp;path_pc=pc/pages/requested/index?instanceId=7620358291146723045&amp;source=bitable&amp;path=pages/detail/index?instanceId=7620358291146723045&amp;source=bitable", "202603230050")</f>
        <v>202603230050</v>
      </c>
      <c r="B2138" t="inlineStr">
        <is>
          <t>Approved</t>
        </is>
      </c>
      <c r="C2138" t="inlineStr">
        <is>
          <t>Procurement Order</t>
        </is>
      </c>
      <c r="D2138" s="3">
        <v>46104.66811342593</v>
      </c>
      <c r="E2138" s="3">
        <v>46106.464224537034</v>
      </c>
      <c r="F2138" t="inlineStr">
        <is>
          <t>Fatima Kathleen M. FLores</t>
        </is>
      </c>
      <c r="G2138" t="inlineStr">
        <is>
          <t>Procurement</t>
        </is>
      </c>
      <c r="H2138"/>
      <c r="I2138"/>
      <c r="J2138" t="inlineStr">
        <is>
          <t>Project</t>
        </is>
      </c>
      <c r="K2138" t="inlineStr">
        <is>
          <t>GG - Event Service</t>
        </is>
      </c>
      <c r="L2138" t="inlineStr">
        <is>
          <t>Philippine Kings League Spring Season 2026 (PKL)</t>
        </is>
      </c>
      <c r="M2138" t="inlineStr">
        <is>
          <t>2026TEG-P0037</t>
        </is>
      </c>
      <c r="N2138" t="inlineStr">
        <is>
          <t>Juvie Anne Asis Castres</t>
        </is>
      </c>
      <c r="O2138" t="inlineStr">
        <is>
          <t>202603120106-Juvie Anne Asis Castres-费用报销 - 副本 - 副本 - 副本-2026-03-12 09:43:04</t>
        </is>
      </c>
      <c r="P2138" t="inlineStr">
        <is>
          <t>NO</t>
        </is>
      </c>
      <c r="Q2138"/>
      <c r="R2138" t="inlineStr">
        <is>
          <t>NO</t>
        </is>
      </c>
      <c r="S2138" t="inlineStr">
        <is>
          <t>Outsourced Event Security Marshals (Mar. 22 to 29, 2026)</t>
        </is>
      </c>
      <c r="T2138">
        <v>1</v>
      </c>
      <c r="U2138">
        <v>64100</v>
      </c>
      <c r="V2138" t="inlineStr">
        <is>
          <t>PHP</t>
        </is>
      </c>
      <c r="W2138">
        <v>64100</v>
      </c>
      <c r="X2138" s="2" t="str">
        <f>=HYPERLINK("https://www.larksuite.com/approval/admin/previewAttachment?key=PMg9igJBFATgK1W9v-q3l9mkm0EYjWTEpM8uGJh-NYgaSa9GNK3BrTJ4DmsySuaI3LYpNURl7vU4_uclW-8J3C-t89yv2zzWk9kygzzCBwD-_dwVEd0V-Do-AQAA__8", "2 attachment(s)")</f>
        <v>2 attachment(s)</v>
      </c>
      <c r="Y2138" t="inlineStr">
        <is>
          <t>Bank Transfer</t>
        </is>
      </c>
      <c r="Z2138" t="inlineStr">
        <is>
          <t>Juanito T. Acedo Jr.</t>
        </is>
      </c>
      <c r="AA2138" t="inlineStr">
        <is>
          <t>010670126934</t>
        </is>
      </c>
      <c r="AB2138" t="inlineStr">
        <is>
          <t>BDO</t>
        </is>
      </c>
      <c r="AC2138" t="inlineStr">
        <is>
          <t>127-68 Bronze St., Tugatog District II, Malabon City</t>
        </is>
      </c>
      <c r="AD2138" s="4">
        <v>46108</v>
      </c>
      <c r="AE2138" t="inlineStr">
        <is>
          <t>50% Down Payment - Mar. 27, 2026
50% Final Payment - Apr. 10, 2026</t>
        </is>
      </c>
      <c r="AF2138" s="2"/>
      <c r="AG2138" t="inlineStr">
        <is>
          <t>NzQyNTk5MTgyNzQ4MTg3MDM0MTo1QzJDMjUxQS1CRTZBLTRBMEYtQjY5Qi04RkRDRjNEODU0RTAtMToxNDVmOWZmNzA3NDFiM2E2NGNmOTBmNjU0ZDQxYTkxOTox</t>
        </is>
      </c>
      <c r="AH2138" t="inlineStr">
        <is>
          <t>ACE88 Event Security Management</t>
        </is>
      </c>
      <c r="AI2138"/>
      <c r="AJ2138" t="inlineStr">
        <is>
          <t>LIQUIDITY PLAN (PAR # 202602120015 / 2026TEG-P0037)
REGULAR SEASON &gt; LABOR COST &gt;
SAFETY &amp; SECURITY TEAM &gt; Event Marshals (RS) = Php 4,300.00
LIQUIDITY PLAN (PAR # 202602120015 / 2026TEG-P0037) - MAR 9 VERSION
PLAYOFFS &gt; SAFETY &amp; SECURITY TEAM &gt; 
Safety Officer (starting ingress)
Medic Team
Event Marshals (PO)
Total Remaining Budget = Php 65,300.00
Actual Cost = Php 64,100.00
Balance = Php 1,200.00</t>
        </is>
      </c>
      <c r="AK2138"/>
    </row>
    <row r="2139" ht="25.5" customHeight="1">
      <c r="A2139" s="2" t="str">
        <f>=HYPERLINK("https://applink.larksuite.com/client/mini_program/open?appId=cli_9c7cc8a9a9edd105&amp;mode=appCenter&amp;path_pc=pc/pages/requested/index?instanceId=7620351696024751835&amp;source=bitable&amp;path=pages/detail/index?instanceId=7620351696024751835&amp;source=bitable", "202603230048")</f>
        <v>202603230048</v>
      </c>
      <c r="B2139" t="inlineStr">
        <is>
          <t>Approved</t>
        </is>
      </c>
      <c r="C2139" t="inlineStr">
        <is>
          <t>Procurement Order</t>
        </is>
      </c>
      <c r="D2139" s="3">
        <v>46104.650347222225</v>
      </c>
      <c r="E2139" s="3">
        <v>46106.72100694444</v>
      </c>
      <c r="F2139" t="inlineStr">
        <is>
          <t>Fatima Kathleen M. FLores</t>
        </is>
      </c>
      <c r="G2139" t="inlineStr">
        <is>
          <t>Procurement</t>
        </is>
      </c>
      <c r="H2139"/>
      <c r="I2139"/>
      <c r="J2139" t="inlineStr">
        <is>
          <t>Project</t>
        </is>
      </c>
      <c r="K2139" t="inlineStr">
        <is>
          <t>GG - Event Service</t>
        </is>
      </c>
      <c r="L2139" t="inlineStr">
        <is>
          <t>Addendum - Philippine Kings League Spring Season 2026 (PKL)</t>
        </is>
      </c>
      <c r="M2139" t="inlineStr">
        <is>
          <t>2026TEG-P0046</t>
        </is>
      </c>
      <c r="N2139" t="inlineStr">
        <is>
          <t>Juvie Anne Asis Castres</t>
        </is>
      </c>
      <c r="O2139" t="inlineStr">
        <is>
          <t>202603200032-Juvie Anne Asis Castres-费用报销 - 副本 - 副本 - 副本-2026-03-20 13:52:44</t>
        </is>
      </c>
      <c r="P2139" t="inlineStr">
        <is>
          <t>NO</t>
        </is>
      </c>
      <c r="Q2139"/>
      <c r="R2139" t="inlineStr">
        <is>
          <t>NO</t>
        </is>
      </c>
      <c r="S2139" t="inlineStr">
        <is>
          <t>Venue Rental - VIP Holding Room (Packaged with Food &amp; Beverate) / 3 Days</t>
        </is>
      </c>
      <c r="T2139">
        <v>1</v>
      </c>
      <c r="U2139">
        <v>200000</v>
      </c>
      <c r="V2139" t="inlineStr">
        <is>
          <t>PHP</t>
        </is>
      </c>
      <c r="W2139">
        <v>200000</v>
      </c>
      <c r="X2139" s="2" t="str">
        <f>=HYPERLINK("https://www.larksuite.com/approval/admin/previewAttachment?key=PMg7jsJAEATQK1X1d3ovs4lHFlhyhMZA0GdHIiB9MYgYTo2CFaXAzhCoMyogls6h3tLMLCTTvee5_6_3dX-d6zi2-VzT-7pt-3zQK0WQaqYDAP9-rmlmVWH4Oj4BAAD__w", "2 attachment(s)")</f>
        <v>2 attachment(s)</v>
      </c>
      <c r="Y2139" t="inlineStr">
        <is>
          <t>Bank Transfer</t>
        </is>
      </c>
      <c r="Z2139" t="inlineStr">
        <is>
          <t>JBSY FOOD AND BEVERAGES CORPORATION</t>
        </is>
      </c>
      <c r="AA2139" t="inlineStr">
        <is>
          <t>000228033399</t>
        </is>
      </c>
      <c r="AB2139" t="inlineStr">
        <is>
          <t>BDO</t>
        </is>
      </c>
      <c r="AC2139" t="inlineStr">
        <is>
          <t>40 Felix Manalo St., Brgy. Pinagkaisahan, QC</t>
        </is>
      </c>
      <c r="AD2139" s="4">
        <v>46106</v>
      </c>
      <c r="AE2139" t="inlineStr">
        <is>
          <t>50% Down Payment - 3 days before event date
50% Final Payment on event date</t>
        </is>
      </c>
      <c r="AF2139" s="2" t="str">
        <f>=HYPERLINK("https://www.larksuite.com/approval/admin/previewAttachment?key=TMg7jsJAEATQK1VN__cym3hkgSVHaAwEfXYkItLnSXgaxQtaHAV2-IAYvRxDw5hiPZoRhWCY9Tz3__W-7q9zHcc2n2taX7dtnw96ikPLVFkA-PfjJCrF5ev4BAAA__8", "3 attachment(s)")</f>
        <v>3 attachment(s)</v>
      </c>
      <c r="AG2139" t="inlineStr">
        <is>
          <t>NzQyNTk5MTgyNzQ4MTg3MDM0MTpFNTQ3ODBFNS1EN0JBLTRBMjEtODg4Qi1CRUVGRjk0QkNENEQtMTpkYmQ5NmQ2ZGEwZWNkZGY2YmVmOTVkNjcxYzg3MTk0ZTox</t>
        </is>
      </c>
      <c r="AH2139" t="inlineStr">
        <is>
          <t>CONG CAPHE PH</t>
        </is>
      </c>
      <c r="AI2139"/>
      <c r="AJ2139" t="inlineStr">
        <is>
          <t>LIQUIDITY PLAN (PAR # 202602160036 / 2026TEG-P0046) - AS OF 03/20
PLAYOFFS &gt; VENUE &gt;
VIP Holding Room
Total Budget = Php 200,000.00
Actual Cost = Php 200,000.00</t>
        </is>
      </c>
      <c r="AK2139"/>
    </row>
    <row r="2140" ht="25.5" customHeight="1">
      <c r="A2140" s="2" t="str">
        <f>=HYPERLINK("https://applink.larksuite.com/client/mini_program/open?appId=cli_9c7cc8a9a9edd105&amp;mode=appCenter&amp;path_pc=pc/pages/requested/index?instanceId=7620381441121128162&amp;source=bitable&amp;path=pages/detail/index?instanceId=7620381441121128162&amp;source=bitable", "202603230063")</f>
        <v>202603230063</v>
      </c>
      <c r="B2140" t="inlineStr">
        <is>
          <t>Approved</t>
        </is>
      </c>
      <c r="C2140" t="inlineStr">
        <is>
          <t>Procurement Order</t>
        </is>
      </c>
      <c r="D2140" s="3">
        <v>46104.73050925926</v>
      </c>
      <c r="E2140" s="3">
        <v>46106.677094907405</v>
      </c>
      <c r="F2140" t="inlineStr">
        <is>
          <t>Fatima Kathleen M. FLores</t>
        </is>
      </c>
      <c r="G2140" t="inlineStr">
        <is>
          <t>Procurement</t>
        </is>
      </c>
      <c r="H2140"/>
      <c r="I2140"/>
      <c r="J2140" t="inlineStr">
        <is>
          <t>Project</t>
        </is>
      </c>
      <c r="K2140" t="inlineStr">
        <is>
          <t>PDEI - Event Service</t>
        </is>
      </c>
      <c r="L2140" t="inlineStr">
        <is>
          <t>MPL PH S17</t>
        </is>
      </c>
      <c r="M2140" t="inlineStr">
        <is>
          <t>2026TEG-P0009</t>
        </is>
      </c>
      <c r="N2140" t="inlineStr">
        <is>
          <t>Katherine Denise Lee Sy</t>
        </is>
      </c>
      <c r="O2140" t="inlineStr">
        <is>
          <t>202603060029-Katherine Denise Lee Sy-费用报销 - 副本 - 副本 - 副本-2026-03-06 05:23:28</t>
        </is>
      </c>
      <c r="P2140" t="inlineStr">
        <is>
          <t>YES</t>
        </is>
      </c>
      <c r="Q2140"/>
      <c r="R2140" t="inlineStr">
        <is>
          <t>NO</t>
        </is>
      </c>
      <c r="S2140" t="inlineStr">
        <is>
          <t>Outsourced Audio Engineer</t>
        </is>
      </c>
      <c r="T2140">
        <v>1</v>
      </c>
      <c r="U2140">
        <v>78000</v>
      </c>
      <c r="V2140" t="inlineStr">
        <is>
          <t>PHP</t>
        </is>
      </c>
      <c r="W2140">
        <v>78000</v>
      </c>
      <c r="X2140" s="2" t="str">
        <f>=HYPERLINK("https://www.larksuite.com/approval/admin/previewAttachment?key=PMg9CsJQEATgK83sm7c_XsbGEDSSNGKw2bMLFrafJ-E5ObygohXY4YaRlEgjLenW1owoBGPOXvb1evD46LHX871tp7LP-21dXpwVZoghjQTAy99HSKpy4ef4BgAA__8", "2 attachment(s)")</f>
        <v>2 attachment(s)</v>
      </c>
      <c r="Y2140" t="inlineStr">
        <is>
          <t>Bank Transfer</t>
        </is>
      </c>
      <c r="Z2140" t="inlineStr">
        <is>
          <t>James Alvin Christian P. Romero</t>
        </is>
      </c>
      <c r="AA2140" t="inlineStr">
        <is>
          <t>09274449760</t>
        </is>
      </c>
      <c r="AB2140" t="inlineStr">
        <is>
          <t>Gcash</t>
        </is>
      </c>
      <c r="AC2140" t="inlineStr">
        <is>
          <t>Block 28 Lot 6 Brgy Nicolasa Virata G.M.A., Cavite</t>
        </is>
      </c>
      <c r="AD2140" s="4">
        <v>46122</v>
      </c>
      <c r="AE2140" t="inlineStr">
        <is>
          <t>1st payment - Apr. 10, 2026
2nd Payment - Apr. 24, 2026
3rd Payment - May 8, 2026
4th Payment - May 29, 2026
Final Payment - Jun. 19, 2026</t>
        </is>
      </c>
      <c r="AF2140" s="2"/>
      <c r="AG2140" t="inlineStr">
        <is>
          <t>NzQyNTk5MTgyNzQ4MTg3MDM0MTo1MjRFNEUwOC1DRUZBLTQ5NkQtOTgxRS0xMUY5OTU0MUEyOTUtMTpiNjJmODU5YTVjMmYwNjBhZDU1MDRiNGJkODZkZjA3NTox</t>
        </is>
      </c>
      <c r="AH2140" t="inlineStr">
        <is>
          <t>James Alvin Christian P. Romero</t>
        </is>
      </c>
      <c r="AI2140"/>
      <c r="AJ2140" t="inlineStr">
        <is>
          <t>LIQUIDITY PLAN (PAR # 202602190021 / 2026TEG-P0009) - AS OF 031626
MANPOWER &gt; Broadcast &amp; Production &gt;
Audio Engineer
PLAYOFFS SPECIFIC &gt; MANPOWER &gt;
Audio Engineer
Total Budget = Php 81,400.00
Actual Cost = Php 78,000.00
Balance = Php 3,400.00</t>
        </is>
      </c>
      <c r="AK2140"/>
    </row>
    <row r="2141" ht="25.5" customHeight="1">
      <c r="A2141" s="2" t="str">
        <f>=HYPERLINK("https://applink.larksuite.com/client/mini_program/open?appId=cli_9c7cc8a9a9edd105&amp;mode=appCenter&amp;path_pc=pc/pages/requested/index?instanceId=7620379200066768605&amp;source=bitable&amp;path=pages/detail/index?instanceId=7620379200066768605&amp;source=bitable", "202603230062")</f>
        <v>202603230062</v>
      </c>
      <c r="B2141" t="inlineStr">
        <is>
          <t>Approved</t>
        </is>
      </c>
      <c r="C2141" t="inlineStr">
        <is>
          <t>Procurement Order</t>
        </is>
      </c>
      <c r="D2141" s="3">
        <v>46104.72446759259</v>
      </c>
      <c r="E2141" s="3">
        <v>46106.671585648146</v>
      </c>
      <c r="F2141" t="inlineStr">
        <is>
          <t>Fatima Kathleen M. FLores</t>
        </is>
      </c>
      <c r="G2141" t="inlineStr">
        <is>
          <t>Procurement</t>
        </is>
      </c>
      <c r="H2141"/>
      <c r="I2141"/>
      <c r="J2141" t="inlineStr">
        <is>
          <t>Project</t>
        </is>
      </c>
      <c r="K2141" t="inlineStr">
        <is>
          <t>PDEI - Event Service</t>
        </is>
      </c>
      <c r="L2141" t="inlineStr">
        <is>
          <t>MPL PH S17</t>
        </is>
      </c>
      <c r="M2141" t="inlineStr">
        <is>
          <t>2026TEG-P0009</t>
        </is>
      </c>
      <c r="N2141" t="inlineStr">
        <is>
          <t>Katherine Denise Lee Sy</t>
        </is>
      </c>
      <c r="O2141" t="inlineStr">
        <is>
          <t>202602190066-Katherine Denise Lee Sy-费用报销 - 副本 - 副本 - 副本-2026-02-19 08:01:14</t>
        </is>
      </c>
      <c r="P2141" t="inlineStr">
        <is>
          <t>YES</t>
        </is>
      </c>
      <c r="Q2141"/>
      <c r="R2141" t="inlineStr">
        <is>
          <t>NO</t>
        </is>
      </c>
      <c r="S2141" t="inlineStr">
        <is>
          <t>Outsourced Broadcast Manpower</t>
        </is>
      </c>
      <c r="T2141">
        <v>1</v>
      </c>
      <c r="U2141">
        <v>140000</v>
      </c>
      <c r="V2141" t="inlineStr">
        <is>
          <t>PHP</t>
        </is>
      </c>
      <c r="W2141">
        <v>140000</v>
      </c>
      <c r="X2141" s="2" t="str">
        <f>=HYPERLINK("https://www.larksuite.com/approval/admin/previewAttachment?key=PMg7CgJhDATgK02e88fL2LgEFRRBcLXI2QUL2y-XIFeIZcFLtCDDVBhLAWQyVyJGR8gChRGz3fr4vsZl3_3zaFr3fV7nU29PiaIqaO62AMjh70Z3r0rHz_ENAAD__w", "4 attachment(s)")</f>
        <v>4 attachment(s)</v>
      </c>
      <c r="Y2141" t="inlineStr">
        <is>
          <t>Bank Transfer</t>
        </is>
      </c>
      <c r="Z2141" t="inlineStr">
        <is>
          <t>John Benigno R. Magat</t>
        </is>
      </c>
      <c r="AA2141" t="inlineStr">
        <is>
          <t>046110005388</t>
        </is>
      </c>
      <c r="AB2141" t="inlineStr">
        <is>
          <t>PSBank</t>
        </is>
      </c>
      <c r="AC2141" t="inlineStr">
        <is>
          <t>228 Grissom st. Brgy Moonwalk Paranaque Metro Manila</t>
        </is>
      </c>
      <c r="AD2141" s="4">
        <v>46122</v>
      </c>
      <c r="AE2141" t="inlineStr">
        <is>
          <t>1st payment - Apr. 10, 2026
2nd Payment - Apr. 24
3rd Payment - May 8, 2026
4th Payment - May 29, 2026
Final Payment - Jun. 19, 2026</t>
        </is>
      </c>
      <c r="AF2141" s="2"/>
      <c r="AG2141" t="inlineStr">
        <is>
          <t>NzQyNTk5MTgyNzQ4MTg3MDM0MTo5Q0E3QkEwMi1FMjZCLTQ2MDktQUUyQy0yREJFOTkzQUEzRDMtMTphNWJlMzY2ZmZiZDM1MzQyMWIwOWYxZDY4OGI2MDAyZjox</t>
        </is>
      </c>
      <c r="AH2141" t="inlineStr">
        <is>
          <t>John Benigno R. Magat</t>
        </is>
      </c>
      <c r="AI2141"/>
      <c r="AJ2141" t="inlineStr">
        <is>
          <t>LIQUIDITY PLAN (PAR # 202602190021 / 2026TEG-P0009) - AS OF 031626
MANPOWER &gt; Broadcast &amp; Production &gt;
Broadcast Ingress Team 
Broadcast Associate (Runner)
Teleprompter
PLAYOFFS SPECIFIC &gt; MANPOWER &gt;
Broadcast &amp; Production &gt;
Broadcast Ingress Team 
Broadcast Associate
Teleprompter
Total Budget = Php 157,150.00
Actual Cost = Php 140,000.00
Balance = Php 17,150.00</t>
        </is>
      </c>
      <c r="AK2141"/>
    </row>
    <row r="2142" ht="25.5" customHeight="1">
      <c r="A2142" s="2" t="str">
        <f>=HYPERLINK("https://applink.larksuite.com/client/mini_program/open?appId=cli_9c7cc8a9a9edd105&amp;mode=appCenter&amp;path_pc=pc/pages/requested/index?instanceId=7620374249173159650&amp;source=bitable&amp;path=pages/detail/index?instanceId=7620374249173159650&amp;source=bitable", "202603230058")</f>
        <v>202603230058</v>
      </c>
      <c r="B2142" t="inlineStr">
        <is>
          <t>Approved</t>
        </is>
      </c>
      <c r="C2142" t="inlineStr">
        <is>
          <t>Procurement Order</t>
        </is>
      </c>
      <c r="D2142" s="3">
        <v>46104.711122685185</v>
      </c>
      <c r="E2142" s="3">
        <v>46106.67387731482</v>
      </c>
      <c r="F2142" t="inlineStr">
        <is>
          <t>Fatima Kathleen M. FLores</t>
        </is>
      </c>
      <c r="G2142" t="inlineStr">
        <is>
          <t>Procurement</t>
        </is>
      </c>
      <c r="H2142"/>
      <c r="I2142"/>
      <c r="J2142" t="inlineStr">
        <is>
          <t>Project</t>
        </is>
      </c>
      <c r="K2142" t="inlineStr">
        <is>
          <t>PDEI - Event Service</t>
        </is>
      </c>
      <c r="L2142" t="inlineStr">
        <is>
          <t>MPL PH S17</t>
        </is>
      </c>
      <c r="M2142" t="inlineStr">
        <is>
          <t>2026TEG-P0009</t>
        </is>
      </c>
      <c r="N2142" t="inlineStr">
        <is>
          <t>Katherine Denise Lee Sy</t>
        </is>
      </c>
      <c r="O2142" t="inlineStr">
        <is>
          <t>202602190066-Katherine Denise Lee Sy-费用报销 - 副本 - 副本 - 副本-2026-02-19 08:01:14</t>
        </is>
      </c>
      <c r="P2142" t="inlineStr">
        <is>
          <t>YES</t>
        </is>
      </c>
      <c r="Q2142"/>
      <c r="R2142" t="inlineStr">
        <is>
          <t>NO</t>
        </is>
      </c>
      <c r="S2142" t="inlineStr">
        <is>
          <t>Outsourced Motion Graphics Artist</t>
        </is>
      </c>
      <c r="T2142">
        <v>1</v>
      </c>
      <c r="U2142">
        <v>20000</v>
      </c>
      <c r="V2142" t="inlineStr">
        <is>
          <t>PHP</t>
        </is>
      </c>
      <c r="W2142">
        <v>20000</v>
      </c>
      <c r="X2142" s="2" t="str">
        <f>=HYPERLINK("https://www.larksuite.com/approval/admin/previewAttachment?key=PMg9CsJgGAPgKyXvXxov42IpLgVBEDp8ZxccXJ_ZiNmaOUaZYXBpAqmKMpVsT2PFomSI6l77edzPy-D5iroIh9bn-Tj2N9uKgLIqNwC8_T1VVfYUfo5vAAAA__8", "2 attachment(s)")</f>
        <v>2 attachment(s)</v>
      </c>
      <c r="Y2142" t="inlineStr">
        <is>
          <t>Bank Transfer</t>
        </is>
      </c>
      <c r="Z2142" t="inlineStr">
        <is>
          <t>Marlon John Dorado</t>
        </is>
      </c>
      <c r="AA2142" t="inlineStr">
        <is>
          <t>0000055648141</t>
        </is>
      </c>
      <c r="AB2142" t="inlineStr">
        <is>
          <t>Security bank</t>
        </is>
      </c>
      <c r="AC2142" t="inlineStr">
        <is>
          <t>9 Taipei St., Eastville, San Isidro, Cainta Rizal</t>
        </is>
      </c>
      <c r="AD2142" s="4">
        <v>46122</v>
      </c>
      <c r="AE2142" t="inlineStr">
        <is>
          <t>1st payment - Apr. 10, 2026
2nd Payment - May 8, 2026
3rd Payment - May 29, 2026
Final Payment - Jun. 19, 2026</t>
        </is>
      </c>
      <c r="AF2142" s="2"/>
      <c r="AG2142" t="inlineStr">
        <is>
          <t>NzQyNTk5MTgyNzQ4MTg3MDM0MToyMjEwREU4Qi02OTBFLTQ2MUQtODE5QS1BMTM3QUVCMkEyNTAtMTpiM2Y0YTZiODJmZjQxZDQ4ZmM3MDU5ZDM1MzJmMTRkZTox</t>
        </is>
      </c>
      <c r="AH2142" t="inlineStr">
        <is>
          <t>Marlon John Dorado</t>
        </is>
      </c>
      <c r="AI2142"/>
      <c r="AJ2142" t="inlineStr">
        <is>
          <t>LIQUIDITY PLAN (PAR # 202602190021 / 2026TEG-P0009) - AS OF 031626
CREATIVES DELIVERABLES &gt; Regular Season &gt; 
Broadcast Assets Motion - Lowerthirds
Broadcast Assets Motion - Lowerthirds Sponsor Segment
Broadcast Assets Motion - Sponsor Loop TV
Broadcast Assets Motion - Kill Events
Broadcast Assets Motion - Main Stinger
Broadcast Assets Motion - Sponsored Segment Stinger
Broadcast Assets Motion - Replay Stinger
Broadcast Assets Motion - Highlights Stinger
Broadcast Assets Motion - MVP Stinger
Broadcast Assets Motion - Special Intro Stinger
Total Budget = Php 50,600.00
Actual Cost = Php 20,000.00
Balance = Php 30,600.00</t>
        </is>
      </c>
      <c r="AK2142"/>
    </row>
    <row r="2143" ht="25.5" customHeight="1">
      <c r="A2143" s="2" t="str">
        <f>=HYPERLINK("https://applink.larksuite.com/client/mini_program/open?appId=cli_9c7cc8a9a9edd105&amp;mode=appCenter&amp;path_pc=pc/pages/requested/index?instanceId=7620371690538716895&amp;source=bitable&amp;path=pages/detail/index?instanceId=7620371690538716895&amp;source=bitable", "202603230057")</f>
        <v>202603230057</v>
      </c>
      <c r="B2143" t="inlineStr">
        <is>
          <t>Approved</t>
        </is>
      </c>
      <c r="C2143" t="inlineStr">
        <is>
          <t>Procurement Order</t>
        </is>
      </c>
      <c r="D2143" s="3">
        <v>46104.70422453704</v>
      </c>
      <c r="E2143" s="3">
        <v>46106.675891203704</v>
      </c>
      <c r="F2143" t="inlineStr">
        <is>
          <t>Fatima Kathleen M. FLores</t>
        </is>
      </c>
      <c r="G2143" t="inlineStr">
        <is>
          <t>Procurement</t>
        </is>
      </c>
      <c r="H2143"/>
      <c r="I2143"/>
      <c r="J2143" t="inlineStr">
        <is>
          <t>Project</t>
        </is>
      </c>
      <c r="K2143" t="inlineStr">
        <is>
          <t>PDEI - Event Service</t>
        </is>
      </c>
      <c r="L2143" t="inlineStr">
        <is>
          <t>MPL PH S17</t>
        </is>
      </c>
      <c r="M2143" t="inlineStr">
        <is>
          <t>2026TEG-P0009</t>
        </is>
      </c>
      <c r="N2143" t="inlineStr">
        <is>
          <t>Katherine Denise Lee Sy</t>
        </is>
      </c>
      <c r="O2143" t="inlineStr">
        <is>
          <t>202602190047-Katherine Denise Lee Sy-费用报销 - 副本 - 副本 - 副本-2026-02-19 06:58:43</t>
        </is>
      </c>
      <c r="P2143" t="inlineStr">
        <is>
          <t>YES</t>
        </is>
      </c>
      <c r="Q2143"/>
      <c r="R2143" t="inlineStr">
        <is>
          <t>NO</t>
        </is>
      </c>
      <c r="S2143" t="inlineStr">
        <is>
          <t>Outsourced LED Operator</t>
        </is>
      </c>
      <c r="T2143">
        <v>1</v>
      </c>
      <c r="U2143">
        <v>102500</v>
      </c>
      <c r="V2143" t="inlineStr">
        <is>
          <t>PHP</t>
        </is>
      </c>
      <c r="W2143">
        <v>102500</v>
      </c>
      <c r="X2143" s="2" t="str">
        <f>=HYPERLINK("https://www.larksuite.com/approval/admin/previewAttachment?key=PMi5DcJAFATQlmb-NftphgTLAnMkSIZka0cicPpqEDWSXo1oWoNTZXCxGulDrNE5bVJqiMqcy3M93y0eye3z-u4333Lu18u6vJktM8gjfADg6XBXRHRX4O_4BQAA__8", "2 attachment(s)")</f>
        <v>2 attachment(s)</v>
      </c>
      <c r="Y2143" t="inlineStr">
        <is>
          <t>Bank Transfer</t>
        </is>
      </c>
      <c r="Z2143" t="inlineStr">
        <is>
          <t>YVAN LAURENCE BALATBAT</t>
        </is>
      </c>
      <c r="AA2143" t="inlineStr">
        <is>
          <t>000004 9934 132</t>
        </is>
      </c>
      <c r="AB2143" t="inlineStr">
        <is>
          <t>Security bank</t>
        </is>
      </c>
      <c r="AC2143" t="inlineStr">
        <is>
          <t>4 Gordon Brgy Mariblo SFDM Quezon City</t>
        </is>
      </c>
      <c r="AD2143" s="4">
        <v>46122</v>
      </c>
      <c r="AE2143" t="inlineStr">
        <is>
          <t>1st payment - Apr. 10, 2026
2nd Payment - Apr. 24, 2026
3rd Payment - May 8, 2026
4th Payment - May 29, 2026
Final Payment - Jun. 19, 2026</t>
        </is>
      </c>
      <c r="AF2143" s="2"/>
      <c r="AG2143" t="inlineStr">
        <is>
          <t>NzQyNTk5MTgyNzQ4MTg3MDM0MTpBQkZDMzUxNS0wRDFCLTQ3ODUtODlENS1BQTY3QUYyNzYxRTktMTo2NTc0ZjdjMmI1ODM5ZDk1MTA0YzUyYjM3ZGNmM2Y1OTox</t>
        </is>
      </c>
      <c r="AH2143" t="inlineStr">
        <is>
          <t>YVAN LAURENCE BALATBAT</t>
        </is>
      </c>
      <c r="AI2143"/>
      <c r="AJ2143" t="inlineStr">
        <is>
          <t>LIQUIDITY PLAN (PAR # 202602190021 / 2026TEG-P0009) - AS OF 031626
MANPOWER &gt; Broadcast &amp; Production &gt; LED Operator
PLAYOFFS SPECIFIC &gt; MANPOWER &gt; Broadcast &amp; Production &gt;
LED Director / Operator
Total Budget = Php 102,500.00
Actual Cost = Php 102,500.00</t>
        </is>
      </c>
      <c r="AK2143"/>
    </row>
    <row r="2144" ht="25.5" customHeight="1">
      <c r="A2144" s="2" t="str">
        <f>=HYPERLINK("https://applink.larksuite.com/client/mini_program/open?appId=cli_9c7cc8a9a9edd105&amp;mode=appCenter&amp;path_pc=pc/pages/requested/index?instanceId=7620384421601890012&amp;source=bitable&amp;path=pages/detail/index?instanceId=7620384421601890012&amp;source=bitable", "202603230064")</f>
        <v>202603230064</v>
      </c>
      <c r="B2144" t="inlineStr">
        <is>
          <t>Approved</t>
        </is>
      </c>
      <c r="C2144" t="inlineStr">
        <is>
          <t>Procurement Order</t>
        </is>
      </c>
      <c r="D2144" s="3">
        <v>46104.738530092596</v>
      </c>
      <c r="E2144" s="3">
        <v>46105.614652777775</v>
      </c>
      <c r="F2144" t="inlineStr">
        <is>
          <t>Fatima Kathleen M. FLores</t>
        </is>
      </c>
      <c r="G2144" t="inlineStr">
        <is>
          <t>Procurement</t>
        </is>
      </c>
      <c r="H2144"/>
      <c r="I2144"/>
      <c r="J2144" t="inlineStr">
        <is>
          <t>Project</t>
        </is>
      </c>
      <c r="K2144" t="inlineStr">
        <is>
          <t>GG - Event Service</t>
        </is>
      </c>
      <c r="L2144" t="inlineStr">
        <is>
          <t>Philippine Kings League Spring Season 2026 (PKL)</t>
        </is>
      </c>
      <c r="M2144" t="inlineStr">
        <is>
          <t>2026TEG-P0037</t>
        </is>
      </c>
      <c r="N2144" t="inlineStr">
        <is>
          <t>Juvie Anne Asis Castres</t>
        </is>
      </c>
      <c r="O2144" t="inlineStr">
        <is>
          <t>202603090081-Juvie Anne Asis Castres-费用报销 - 副本 - 副本 - 副本-2026-03-09 08:46:21</t>
        </is>
      </c>
      <c r="P2144" t="inlineStr">
        <is>
          <t>NO</t>
        </is>
      </c>
      <c r="Q2144"/>
      <c r="R2144" t="inlineStr">
        <is>
          <t>NO</t>
        </is>
      </c>
      <c r="S2144" t="inlineStr">
        <is>
          <t>Booth &amp; Players' Area Rental / Fabrication - Option 1 (Mar. 27 to 29, 2026)</t>
        </is>
      </c>
      <c r="T2144">
        <v>1</v>
      </c>
      <c r="U2144">
        <v>628368</v>
      </c>
      <c r="V2144" t="inlineStr">
        <is>
          <t>PHP</t>
        </is>
      </c>
      <c r="W2144">
        <v>628368</v>
      </c>
      <c r="X2144" s="2" t="str">
        <f>=HYPERLINK("https://www.larksuite.com/approval/admin/previewAttachment?key=PMg9CsJQEATgK83sm7c_XsYmIYgYEYSIxZ5dsEj7eRKek8MLKlqBHW4YKRkdzAJobc2IQjDm7HXfrvedT_sc86t66LX0cVu29c1ZYYYY0kgAvJw-QlKVC3_HLwAA__8", "2 attachment(s)")</f>
        <v>2 attachment(s)</v>
      </c>
      <c r="Y2144" t="inlineStr">
        <is>
          <t>Bank Transfer</t>
        </is>
      </c>
      <c r="Z2144" t="inlineStr">
        <is>
          <t>Mangotree Marketing Solutions Corp</t>
        </is>
      </c>
      <c r="AA2144" t="inlineStr">
        <is>
          <t>1037-0000-9622</t>
        </is>
      </c>
      <c r="AB2144" t="inlineStr">
        <is>
          <t>CHINA BANKING CORPORATION</t>
        </is>
      </c>
      <c r="AC2144" t="inlineStr">
        <is>
          <t>107 Diamond St., CVS Homes, Imelda Ave., Brgy. Sto. Domingo, Cainta Rizal</t>
        </is>
      </c>
      <c r="AD2144" s="4">
        <v>46106</v>
      </c>
      <c r="AE2144" t="inlineStr">
        <is>
          <t>50% down payment upon signing of contract; full payment after Walk through</t>
        </is>
      </c>
      <c r="AF2144" s="2" t="str">
        <f>=HYPERLINK("https://www.larksuite.com/approval/admin/previewAttachment?key=TMg7CsIAEATQK83sf72MTUIQMSIIEYs9u2CV9kURUU6NhjWlwckQaJkJA6wGKCPDzEYy3Wfdt-t951M-h3-tH_Za5rgt2_pmlAas3YwNgJeTk-jS0L_jFwAA__8", "3 attachment(s)")</f>
        <v>3 attachment(s)</v>
      </c>
      <c r="AG2144" t="inlineStr">
        <is>
          <t>NzQyNTk5MTgyNzQ4MTg3MDM0MTpBMDRGMzNGMC1DODRFLTQ2QjQtQkJEOC05NjFDN0M4QzU5NzMtMTpmNmU1MzJkOTIwYWY5NjIwNzZhZTM3NTQ2ODk3MWY4Nzox</t>
        </is>
      </c>
      <c r="AH2144" t="inlineStr">
        <is>
          <t>Mangotree Marketing Solutions Corp.</t>
        </is>
      </c>
      <c r="AI2144"/>
      <c r="AJ2144" t="inlineStr">
        <is>
          <t>LIQUIDITY PLAN (PAR # 202602120015 / 2026TEG-P0037) - MAR 9 VERSION
PLAYOFFS &gt; STAGING &amp; STUDIO &gt;
Main Stage
Off Stage Fabrication
Total Budget = Php 713,000.00
Actual Cost = Php 628,368.00
Balance = Php 84,632.00</t>
        </is>
      </c>
      <c r="AK2144"/>
    </row>
    <row r="2145" ht="25.5" customHeight="1">
      <c r="A2145" s="2" t="str">
        <f>=HYPERLINK("https://applink.larksuite.com/client/mini_program/open?appId=cli_9c7cc8a9a9edd105&amp;mode=appCenter&amp;path_pc=pc/pages/requested/index?instanceId=7620686137677483740&amp;source=bitable&amp;path=pages/detail/index?instanceId=7620686137677483740&amp;source=bitable", "202603240022")</f>
        <v>202603240022</v>
      </c>
      <c r="B2145" t="inlineStr">
        <is>
          <t>Approved</t>
        </is>
      </c>
      <c r="C2145" t="inlineStr">
        <is>
          <t>Procurement Order</t>
        </is>
      </c>
      <c r="D2145" s="3">
        <v>46105.55159722222</v>
      </c>
      <c r="E2145" s="3">
        <v>46106.70832175926</v>
      </c>
      <c r="F2145" t="inlineStr">
        <is>
          <t>Fatima Kathleen M. FLores</t>
        </is>
      </c>
      <c r="G2145" t="inlineStr">
        <is>
          <t>Procurement</t>
        </is>
      </c>
      <c r="H2145"/>
      <c r="I2145"/>
      <c r="J2145" t="inlineStr">
        <is>
          <t>Project</t>
        </is>
      </c>
      <c r="K2145" t="inlineStr">
        <is>
          <t>GG - Event Service</t>
        </is>
      </c>
      <c r="L2145" t="inlineStr">
        <is>
          <t>Philippine Kings League Spring Season 2026 (PKL)</t>
        </is>
      </c>
      <c r="M2145" t="inlineStr">
        <is>
          <t>2026TEG-P0037</t>
        </is>
      </c>
      <c r="N2145" t="inlineStr">
        <is>
          <t>Juvie Anne Asis Castres</t>
        </is>
      </c>
      <c r="O2145" t="inlineStr">
        <is>
          <t>202603230061-Juvie Anne Asis Castres-费用报销 - 副本 - 副本 - 副本-2026-03-23 09:20:57</t>
        </is>
      </c>
      <c r="P2145" t="inlineStr">
        <is>
          <t>NO</t>
        </is>
      </c>
      <c r="Q2145"/>
      <c r="R2145" t="inlineStr">
        <is>
          <t>YES</t>
        </is>
      </c>
      <c r="S2145" t="inlineStr">
        <is>
          <t>Rental of LED Controller Extension with 100 meters Signal Cable (with Technician)</t>
        </is>
      </c>
      <c r="T2145">
        <v>1</v>
      </c>
      <c r="U2145">
        <v>58000</v>
      </c>
      <c r="V2145" t="inlineStr">
        <is>
          <t>PHP</t>
        </is>
      </c>
      <c r="W2145">
        <v>58000</v>
      </c>
      <c r="X2145" s="2" t="str">
        <f>=HYPERLINK("https://www.larksuite.com/approval/admin/previewAttachment?key=PMgxjkIxDATQK83Ejifey2zDV4S-wA0CKp8diYL2xSJiTVokPDkSbMVArKApJF8mR4-mlBA1Zx_3_V-s2nU7a7-f50a_rpd9PDhTY0DmbgsA_35ucvfMcHwdnwAAAP__", "2 attachment(s)")</f>
        <v>2 attachment(s)</v>
      </c>
      <c r="Y2145" t="inlineStr">
        <is>
          <t>Bank Transfer</t>
        </is>
      </c>
      <c r="Z2145" t="inlineStr">
        <is>
          <t>The Brain Computer Corp</t>
        </is>
      </c>
      <c r="AA2145" t="inlineStr">
        <is>
          <t>4753475209100</t>
        </is>
      </c>
      <c r="AB2145" t="inlineStr">
        <is>
          <t>Metrobank</t>
        </is>
      </c>
      <c r="AC2145" t="inlineStr">
        <is>
          <t>F. Blumentritt St., Batis, San Juan City</t>
        </is>
      </c>
      <c r="AD2145" s="4">
        <v>46106</v>
      </c>
      <c r="AE2145" t="inlineStr">
        <is>
          <t>50% Down Payment upon confirmation
50% Final Payment upon completion of services</t>
        </is>
      </c>
      <c r="AF2145" s="2" t="str">
        <f>=HYPERLINK("https://www.larksuite.com/approval/admin/previewAttachment?key=TMgxjkIxDATQK83Eztjey2zDV4S-IA0CKp8diYr2KQnlpKngxVFghwaUooUiPC0cPZoRhWDM2cd9_W_uvfbt3Ov9PBf6db2s40GlCV7TnQWAfz9OotJkX8cnAAD__w", "2 attachment(s)")</f>
        <v>2 attachment(s)</v>
      </c>
      <c r="AG2145" t="inlineStr">
        <is>
          <t>NzQyNTk5MTgyNzQ4MTg3MDM0MTowOEMzMEJDMC1GN0RELTQ2RUItQkRFQy05RDJCOUE4RTI0MDYtMToxMDQ5MWFhMjUzYTU5MWU0OTVhNjdjMzRjOTY1ZDVlMzox</t>
        </is>
      </c>
      <c r="AH2145" t="inlineStr">
        <is>
          <t>The Brain Computer Corp</t>
        </is>
      </c>
      <c r="AI2145"/>
      <c r="AJ2145" t="inlineStr">
        <is>
          <t>No line item in internal CE. Unbudgeted.</t>
        </is>
      </c>
      <c r="AK2145"/>
    </row>
    <row r="2146" ht="25.5" customHeight="1">
      <c r="A2146" s="2" t="str">
        <f>=HYPERLINK("https://applink.larksuite.com/client/mini_program/open?appId=cli_9c7cc8a9a9edd105&amp;mode=appCenter&amp;path_pc=pc/pages/requested/index?instanceId=7620732068720348901&amp;source=bitable&amp;path=pages/detail/index?instanceId=7620732068720348901&amp;source=bitable", "202603240033")</f>
        <v>202603240033</v>
      </c>
      <c r="B2146" t="inlineStr">
        <is>
          <t>Approved</t>
        </is>
      </c>
      <c r="C2146" t="inlineStr">
        <is>
          <t>Procurement Order</t>
        </is>
      </c>
      <c r="D2146" s="3">
        <v>46105.67537037037</v>
      </c>
      <c r="E2146" s="3">
        <v>46106.67885416667</v>
      </c>
      <c r="F2146" t="inlineStr">
        <is>
          <t>Fatima Kathleen M. FLores</t>
        </is>
      </c>
      <c r="G2146" t="inlineStr">
        <is>
          <t>Procurement</t>
        </is>
      </c>
      <c r="H2146"/>
      <c r="I2146"/>
      <c r="J2146" t="inlineStr">
        <is>
          <t>Project</t>
        </is>
      </c>
      <c r="K2146" t="inlineStr">
        <is>
          <t>PDEI - Event Service</t>
        </is>
      </c>
      <c r="L2146" t="inlineStr">
        <is>
          <t>MPL PH S17</t>
        </is>
      </c>
      <c r="M2146" t="inlineStr">
        <is>
          <t>2026TEG-P0009</t>
        </is>
      </c>
      <c r="N2146" t="inlineStr">
        <is>
          <t>Katherine Denise Lee Sy</t>
        </is>
      </c>
      <c r="O2146" t="inlineStr">
        <is>
          <t>202603060031-Katherine Denise Lee Sy-费用报销 - 副本 - 副本 - 副本-2026-03-06 05:35:27</t>
        </is>
      </c>
      <c r="P2146" t="inlineStr">
        <is>
          <t>YES</t>
        </is>
      </c>
      <c r="Q2146"/>
      <c r="R2146" t="inlineStr">
        <is>
          <t>NO</t>
        </is>
      </c>
      <c r="S2146" t="inlineStr">
        <is>
          <t>Outsourced Stream Moderator</t>
        </is>
      </c>
      <c r="T2146">
        <v>1</v>
      </c>
      <c r="U2146">
        <v>49500</v>
      </c>
      <c r="V2146" t="inlineStr">
        <is>
          <t>PHP</t>
        </is>
      </c>
      <c r="W2146">
        <v>49500</v>
      </c>
      <c r="X2146" s="2" t="str">
        <f>=HYPERLINK("https://www.larksuite.com/approval/admin/previewAttachment?key=PMtBCgIxDAXQK_2kv_mJl3HTYVBBKIi66tllXMz2wYs0RHZrUWCZF2wpHGqOSDka8zBfJhVk6n1tz_063tIc9zm9OB_f9bmNfXtZL_mxyZYA7HJ6E8mqIP6OXwAAAP__", "2 attachment(s)")</f>
        <v>2 attachment(s)</v>
      </c>
      <c r="Y2146" t="inlineStr">
        <is>
          <t>Bank Transfer</t>
        </is>
      </c>
      <c r="Z2146" t="inlineStr">
        <is>
          <t>Michael Angelo Domasig</t>
        </is>
      </c>
      <c r="AA2146" t="inlineStr">
        <is>
          <t>17536020612</t>
        </is>
      </c>
      <c r="AB2146" t="inlineStr">
        <is>
          <t>Maribank</t>
        </is>
      </c>
      <c r="AC2146" t="inlineStr">
        <is>
          <t>249 Reparo St. Baesa Caloocan City</t>
        </is>
      </c>
      <c r="AD2146" s="4">
        <v>46122</v>
      </c>
      <c r="AE2146" t="inlineStr">
        <is>
          <t>1st payment - Apr. 10, 2026
2nd Payment - Apr. 24, 2026
3rd Payment - May 8, 2026
4th Payment - May 29, 2026
Final Payment - Jun. 19, 2026</t>
        </is>
      </c>
      <c r="AF2146" s="2"/>
      <c r="AG2146" t="inlineStr">
        <is>
          <t>NzQyNTk5MTgyNzQ4MTg3MDM0MTo0RTBBNzI1NS0xNUY1LTQxQjQtOUYyMS00QkIzNzFDNUI2MzctMTphNTdjNzQ3MTliNjZhYjU0NzQxNDQ4MjM3OWRkN2RlMTox</t>
        </is>
      </c>
      <c r="AH2146" t="inlineStr">
        <is>
          <t>Michael Angelo Domasig</t>
        </is>
      </c>
      <c r="AI2146"/>
      <c r="AJ2146" t="inlineStr">
        <is>
          <t>LIQUIDITY PLAN (PAR # 202602190021 / 2026TEG-P0009) - AS OF 031626
MANPOWER &gt; Broadcast &amp; Production &gt;
Stream Moderator
PLAYOFFS SPECIFIC &gt; MANPOWER &gt;
Stream Moderator
Total Budget = Php 49,500.00
Actual Cost = Php 49,500.00</t>
        </is>
      </c>
      <c r="AK2146"/>
    </row>
    <row r="2147" ht="25.5" customHeight="1">
      <c r="A2147" s="2" t="str">
        <f>=HYPERLINK("https://applink.larksuite.com/client/mini_program/open?appId=cli_9c7cc8a9a9edd105&amp;mode=appCenter&amp;path_pc=pc/pages/requested/index?instanceId=7620730674898603739&amp;source=bitable&amp;path=pages/detail/index?instanceId=7620730674898603739&amp;source=bitable", "202603240032")</f>
        <v>202603240032</v>
      </c>
      <c r="B2147" t="inlineStr">
        <is>
          <t>Approved</t>
        </is>
      </c>
      <c r="C2147" t="inlineStr">
        <is>
          <t>Procurement Order</t>
        </is>
      </c>
      <c r="D2147" s="3">
        <v>46105.67162037037</v>
      </c>
      <c r="E2147" s="3">
        <v>46106.680439814816</v>
      </c>
      <c r="F2147" t="inlineStr">
        <is>
          <t>Fatima Kathleen M. FLores</t>
        </is>
      </c>
      <c r="G2147" t="inlineStr">
        <is>
          <t>Procurement</t>
        </is>
      </c>
      <c r="H2147"/>
      <c r="I2147"/>
      <c r="J2147" t="inlineStr">
        <is>
          <t>Project</t>
        </is>
      </c>
      <c r="K2147" t="inlineStr">
        <is>
          <t>PDEI - Event Service</t>
        </is>
      </c>
      <c r="L2147" t="inlineStr">
        <is>
          <t>MPL PH S17</t>
        </is>
      </c>
      <c r="M2147" t="inlineStr">
        <is>
          <t>2026TEG-P0009</t>
        </is>
      </c>
      <c r="N2147" t="inlineStr">
        <is>
          <t>Katherine Denise Lee Sy</t>
        </is>
      </c>
      <c r="O2147" t="inlineStr">
        <is>
          <t>202603060030-Katherine Denise Lee Sy-费用报销 - 副本 - 副本 - 副本-2026-03-06 05:32:30</t>
        </is>
      </c>
      <c r="P2147" t="inlineStr">
        <is>
          <t>YES</t>
        </is>
      </c>
      <c r="Q2147"/>
      <c r="R2147" t="inlineStr">
        <is>
          <t>NO</t>
        </is>
      </c>
      <c r="S2147" t="inlineStr">
        <is>
          <t>Outsourced Mic Check / POV Operator</t>
        </is>
      </c>
      <c r="T2147">
        <v>1</v>
      </c>
      <c r="U2147">
        <v>94500</v>
      </c>
      <c r="V2147" t="inlineStr">
        <is>
          <t>PHP</t>
        </is>
      </c>
      <c r="W2147">
        <v>94500</v>
      </c>
      <c r="X2147" s="2" t="str">
        <f>=HYPERLINK("https://www.larksuite.com/approval/admin/previewAttachment?key=PMtBqsMwDATQK40sWeP5l_mbhFBoDYUSQxY6e2kX3T54OQw5unkKIWuCFbOBjmQMjYTTVa2MFGjsvfZ5_J_XWprX8-HnvG-91m079pd1sX12hA8A9vdzZ0RIGfg63gEAAP__", "2 attachment(s)")</f>
        <v>2 attachment(s)</v>
      </c>
      <c r="Y2147" t="inlineStr">
        <is>
          <t>Bank Transfer</t>
        </is>
      </c>
      <c r="Z2147" t="inlineStr">
        <is>
          <t>Kenneth Bayona</t>
        </is>
      </c>
      <c r="AA2147" t="inlineStr">
        <is>
          <t>09484380719</t>
        </is>
      </c>
      <c r="AB2147" t="inlineStr">
        <is>
          <t>Gcash</t>
        </is>
      </c>
      <c r="AC2147" t="inlineStr">
        <is>
          <t>San Nicolas 2nd, Magalang, Pampanga</t>
        </is>
      </c>
      <c r="AD2147" s="4">
        <v>46122</v>
      </c>
      <c r="AE2147" t="inlineStr">
        <is>
          <t>1st payment - Apr. 10, 2026
2nd Payment - Apr. 24, 2026
3rd Payment - May 8, 2026
4th Payment - May 29, 2026
Final Payment - Jun. 19, 2026</t>
        </is>
      </c>
      <c r="AF2147" s="2"/>
      <c r="AG2147" t="inlineStr">
        <is>
          <t>NzQyNTk5MTgyNzQ4MTg3MDM0MTo2QzVFQTU0RC0zMkM5LTRFN0QtQTA3Ri1GMjQ4NkIwRUJENEUtMTo3MzA2OWU1ZDQ1MmEyM2I5YTE4NWQ2ZWNmZTgyNDg1Nzox</t>
        </is>
      </c>
      <c r="AH2147" t="inlineStr">
        <is>
          <t>Kenneth Bayona</t>
        </is>
      </c>
      <c r="AI2147"/>
      <c r="AJ2147" t="inlineStr">
        <is>
          <t>LIQUIDITY PLAN (PAR # 202602190021 / 2026TEG-P0009) - AS OF 031626
MANPOWER &gt; Broadcast &amp; Production &gt;
"Mic Check" / POV Operator
PLAYOFFS SPECIFIC &gt; MANPOWER &gt;
Mic Check / POV Operator
Total Budget = Php 103,600.00
Actual Cost = Php 94,500.00
Balance = Php 9,100.00</t>
        </is>
      </c>
      <c r="AK2147"/>
    </row>
    <row r="2148" ht="25.5" customHeight="1">
      <c r="A2148" s="2" t="str">
        <f>=HYPERLINK("https://applink.larksuite.com/client/mini_program/open?appId=cli_9c7cc8a9a9edd105&amp;mode=appCenter&amp;path_pc=pc/pages/requested/index?instanceId=7620747780096577246&amp;source=bitable&amp;path=pages/detail/index?instanceId=7620747780096577246&amp;source=bitable", "202603240043")</f>
        <v>202603240043</v>
      </c>
      <c r="B2148" t="inlineStr">
        <is>
          <t>Approved</t>
        </is>
      </c>
      <c r="C2148" t="inlineStr">
        <is>
          <t>Procurement Order</t>
        </is>
      </c>
      <c r="D2148" s="3">
        <v>46105.71770833333</v>
      </c>
      <c r="E2148" s="3">
        <v>46106.5233912037</v>
      </c>
      <c r="F2148" t="inlineStr">
        <is>
          <t>Fatima Kathleen M. FLores</t>
        </is>
      </c>
      <c r="G2148" t="inlineStr">
        <is>
          <t>Procurement</t>
        </is>
      </c>
      <c r="H2148"/>
      <c r="I2148"/>
      <c r="J2148" t="inlineStr">
        <is>
          <t>Project</t>
        </is>
      </c>
      <c r="K2148" t="inlineStr">
        <is>
          <t>PDEI - Event Service</t>
        </is>
      </c>
      <c r="L2148" t="inlineStr">
        <is>
          <t>MPL PH S17</t>
        </is>
      </c>
      <c r="M2148" t="inlineStr">
        <is>
          <t>2026TEG-P0009</t>
        </is>
      </c>
      <c r="N2148" t="inlineStr">
        <is>
          <t>Katherine Denise Lee Sy</t>
        </is>
      </c>
      <c r="O2148" t="inlineStr">
        <is>
          <t>202603060035-Katherine Denise Lee Sy-费用报销 - 副本 - 副本 - 副本-2026-03-06 05:52:10</t>
        </is>
      </c>
      <c r="P2148" t="inlineStr">
        <is>
          <t>YES</t>
        </is>
      </c>
      <c r="Q2148"/>
      <c r="R2148" t="inlineStr">
        <is>
          <t>NO</t>
        </is>
      </c>
      <c r="S2148" t="inlineStr">
        <is>
          <t>Outsourced Asst. GFX Dynamic Designer</t>
        </is>
      </c>
      <c r="T2148">
        <v>1</v>
      </c>
      <c r="U2148">
        <v>73000</v>
      </c>
      <c r="V2148" t="inlineStr">
        <is>
          <t>PHP</t>
        </is>
      </c>
      <c r="W2148">
        <v>73000</v>
      </c>
      <c r="X2148" s="2" t="str">
        <f>=HYPERLINK("https://www.larksuite.com/approval/admin/previewAttachment?key=PMgxDgIxDATAL62djdfmMzR3OkFBhZSIwm9HoqCdSEPktBEFlnnBWuEQpQQqpuSM9japINOcfb6u-6b757n3MbhzodfjuM63zZI7NMiRAOz29yGSVUH8HN8AAAD__w", "2 attachment(s)")</f>
        <v>2 attachment(s)</v>
      </c>
      <c r="Y2148" t="inlineStr">
        <is>
          <t>Bank Transfer</t>
        </is>
      </c>
      <c r="Z2148" t="inlineStr">
        <is>
          <t>Clinton Pradilla Magbalon</t>
        </is>
      </c>
      <c r="AA2148" t="inlineStr">
        <is>
          <t>109431454823</t>
        </is>
      </c>
      <c r="AB2148" t="inlineStr">
        <is>
          <t>Union Bank</t>
        </is>
      </c>
      <c r="AC2148" t="inlineStr">
        <is>
          <t>#53 J. Bugallon, Proj. 4, Quezon City</t>
        </is>
      </c>
      <c r="AD2148" s="4">
        <v>46122</v>
      </c>
      <c r="AE2148" t="inlineStr">
        <is>
          <t>1st payment - Apr. 10, 2026
2nd Payment - Apr. 24, 2026
3rd Payment - May 8, 2026
4th Payment - May 29, 2026
Final Payment - Jun. 19, 2026</t>
        </is>
      </c>
      <c r="AF2148" s="2"/>
      <c r="AG2148" t="inlineStr">
        <is>
          <t>NzQyNTk5MTgyNzQ4MTg3MDM0MToyRDgwMEJFOC0yMzZELTQ0RDYtOTBEQy0yRjQ0MzVGNTNCNjMtMTphODk3YmMyMzE2OTRkYmJiZmE0YWYyNjU5NzY5YTI2Yjox</t>
        </is>
      </c>
      <c r="AH2148" t="inlineStr">
        <is>
          <t>Clinton Pradilla Magbalon</t>
        </is>
      </c>
      <c r="AI2148"/>
      <c r="AJ2148" t="inlineStr">
        <is>
          <t>LIQUIDITY PLAN (PAR # 202602190021 / 2026TEG-P0009) - AS OF 031626
MANPOWER &gt; Broadcast &amp; Production &gt;
Asst GFX Dynamic Designer
PLAYOFFS SPECIFIC &gt; MANPOWER &gt;
Asst GFX Dynamic Designer
CREATIVES DELIVERABLES &gt;
LED Motion - Victory Team Logo (Mainled and backled)
LED Motion - Team Intro Per Team (8 teams)
Total Budget = Php 100,800.00
Actual Cost = Php 73,000.00
Balance = Php 27,800.00</t>
        </is>
      </c>
      <c r="AK2148"/>
    </row>
    <row r="2149" ht="25.5" customHeight="1">
      <c r="A2149" s="2" t="str">
        <f>=HYPERLINK("https://applink.larksuite.com/client/mini_program/open?appId=cli_9c7cc8a9a9edd105&amp;mode=appCenter&amp;path_pc=pc/pages/requested/index?instanceId=7620744747217964773&amp;source=bitable&amp;path=pages/detail/index?instanceId=7620744747217964773&amp;source=bitable", "202603240041")</f>
        <v>202603240041</v>
      </c>
      <c r="B2149" t="inlineStr">
        <is>
          <t>Approved</t>
        </is>
      </c>
      <c r="C2149" t="inlineStr">
        <is>
          <t>Procurement Order</t>
        </is>
      </c>
      <c r="D2149" s="3">
        <v>46105.70953703704</v>
      </c>
      <c r="E2149" s="3">
        <v>46106.52049768518</v>
      </c>
      <c r="F2149" t="inlineStr">
        <is>
          <t>Fatima Kathleen M. FLores</t>
        </is>
      </c>
      <c r="G2149" t="inlineStr">
        <is>
          <t>Procurement</t>
        </is>
      </c>
      <c r="H2149"/>
      <c r="I2149"/>
      <c r="J2149" t="inlineStr">
        <is>
          <t>Project</t>
        </is>
      </c>
      <c r="K2149" t="inlineStr">
        <is>
          <t>PDEI - Event Service</t>
        </is>
      </c>
      <c r="L2149" t="inlineStr">
        <is>
          <t>MPL PH S17</t>
        </is>
      </c>
      <c r="M2149" t="inlineStr">
        <is>
          <t>2026TEG-P0009</t>
        </is>
      </c>
      <c r="N2149" t="inlineStr">
        <is>
          <t>Katherine Denise Lee Sy</t>
        </is>
      </c>
      <c r="O2149" t="inlineStr">
        <is>
          <t>202603060035-Katherine Denise Lee Sy-费用报销 - 副本 - 副本 - 副本-2026-03-06 05:52:10</t>
        </is>
      </c>
      <c r="P2149" t="inlineStr">
        <is>
          <t>YES</t>
        </is>
      </c>
      <c r="Q2149"/>
      <c r="R2149" t="inlineStr">
        <is>
          <t>NO</t>
        </is>
      </c>
      <c r="S2149" t="inlineStr">
        <is>
          <t>Outsourced GFX Dynamic Designer</t>
        </is>
      </c>
      <c r="T2149">
        <v>1</v>
      </c>
      <c r="U2149">
        <v>75000</v>
      </c>
      <c r="V2149" t="inlineStr">
        <is>
          <t>PHP</t>
        </is>
      </c>
      <c r="W2149">
        <v>75000</v>
      </c>
      <c r="X2149" s="2" t="str">
        <f>=HYPERLINK("https://www.larksuite.com/approval/admin/previewAttachment?key=PMgxCkIxEATQK81sJju7XsYmn48oVoLY5OyChe3LIrImRzbUjAa3M2DJctCdsseOTbthes59PM8rvVbf12d2FR-137d1Hi_OdgQ8pFEAePn7sKTuFH6ObwAAAP__", "2 attachment(s)")</f>
        <v>2 attachment(s)</v>
      </c>
      <c r="Y2149" t="inlineStr">
        <is>
          <t>Bank Transfer</t>
        </is>
      </c>
      <c r="Z2149" t="inlineStr">
        <is>
          <t>Adrian Navarro</t>
        </is>
      </c>
      <c r="AA2149" t="inlineStr">
        <is>
          <t>2086 0800 5832 45</t>
        </is>
      </c>
      <c r="AB2149" t="inlineStr">
        <is>
          <t>CIMB Philippines, Inc.</t>
        </is>
      </c>
      <c r="AC2149" t="inlineStr">
        <is>
          <t>Unit 1116, University Tower 2, Galicia Street, Brgy. 397, Sampaloc, Manila1008For</t>
        </is>
      </c>
      <c r="AD2149" s="4">
        <v>46122</v>
      </c>
      <c r="AE2149" t="inlineStr">
        <is>
          <t>1st payment - Apr. 10, 2026
2nd Payment - Apr. 24, 2026
3rd Payment - May 8, 2026
4th Payment - May 29, 2026
Final Payment - Jun. 19, 2026</t>
        </is>
      </c>
      <c r="AF2149" s="2"/>
      <c r="AG2149" t="inlineStr">
        <is>
          <t>NzQyNTk5MTgyNzQ4MTg3MDM0MTowODE0QUQxMC05RUQ0LTQzMEQtOENERS1FNTA3NTM3RTkyOEQtMToxZTRjZTJiNmM5YTNlYzAxM2FjZmViYWUzYTQwZTUxYzox</t>
        </is>
      </c>
      <c r="AH2149" t="inlineStr">
        <is>
          <t>Adrian Navarro</t>
        </is>
      </c>
      <c r="AI2149"/>
      <c r="AJ2149" t="inlineStr">
        <is>
          <t>LIQUIDITY PLAN (PAR # 202602190021 / 2026TEG-P0009) - AS OF 031626
MANPOWER &gt; Broadcast &amp; Production &gt;
Main GFX Dynamic Designer
PLAYOFFS SPECIFIC &gt; MANPOWER &gt;
Main GFX Dynamic Designer
CREATIVES DELIVERABLES &gt;
LED Motion - Lord Slain
LED Motion - Turtle Slain
LED Motion - First Blood
Total Budget = Php 75,000.00
Actual Cost = Php 75,000.00</t>
        </is>
      </c>
      <c r="AK2149"/>
    </row>
    <row r="2150" ht="25.5" customHeight="1">
      <c r="A2150" s="2" t="str">
        <f>=HYPERLINK("https://applink.larksuite.com/client/mini_program/open?appId=cli_9c7cc8a9a9edd105&amp;mode=appCenter&amp;path_pc=pc/pages/requested/index?instanceId=7620751813486120668&amp;source=bitable&amp;path=pages/detail/index?instanceId=7620751813486120668&amp;source=bitable", "202603240045")</f>
        <v>202603240045</v>
      </c>
      <c r="B2150" t="inlineStr">
        <is>
          <t>Approved</t>
        </is>
      </c>
      <c r="C2150" t="inlineStr">
        <is>
          <t>Procurement Order</t>
        </is>
      </c>
      <c r="D2150" s="3">
        <v>46105.72858796296</v>
      </c>
      <c r="E2150" s="3">
        <v>46106.517800925925</v>
      </c>
      <c r="F2150" t="inlineStr">
        <is>
          <t>Fatima Kathleen M. FLores</t>
        </is>
      </c>
      <c r="G2150" t="inlineStr">
        <is>
          <t>Procurement</t>
        </is>
      </c>
      <c r="H2150"/>
      <c r="I2150"/>
      <c r="J2150" t="inlineStr">
        <is>
          <t>Project</t>
        </is>
      </c>
      <c r="K2150" t="inlineStr">
        <is>
          <t>PDEI - Event Service</t>
        </is>
      </c>
      <c r="L2150" t="inlineStr">
        <is>
          <t>MPL PH S17</t>
        </is>
      </c>
      <c r="M2150" t="inlineStr">
        <is>
          <t>2026TEG-P0009</t>
        </is>
      </c>
      <c r="N2150" t="inlineStr">
        <is>
          <t>Katherine Denise Lee Sy</t>
        </is>
      </c>
      <c r="O2150" t="inlineStr">
        <is>
          <t>202603060036-Katherine Denise Lee Sy-费用报销 - 副本 - 副本 - 副本-2026-03-06 05:54:22</t>
        </is>
      </c>
      <c r="P2150" t="inlineStr">
        <is>
          <t>YES</t>
        </is>
      </c>
      <c r="Q2150"/>
      <c r="R2150" t="inlineStr">
        <is>
          <t>NO</t>
        </is>
      </c>
      <c r="S2150" t="inlineStr">
        <is>
          <t>Outsourced Highlights Operator</t>
        </is>
      </c>
      <c r="T2150">
        <v>1</v>
      </c>
      <c r="U2150">
        <v>82500</v>
      </c>
      <c r="V2150" t="inlineStr">
        <is>
          <t>PHP</t>
        </is>
      </c>
      <c r="W2150">
        <v>82500</v>
      </c>
      <c r="X2150" s="2" t="str">
        <f>=HYPERLINK("https://www.larksuite.com/approval/admin/previewAttachment?key=PMi7jQJBEATQlKr6V92XzDk7WuFgIVZgTOxIGLivmqhOeg1iaANulUHJpkcXDVW9bVMaiMrc637-U8cxrny-ifW69nU7zvVgjswgj_AGwL-fuyJipgJfxycAAP__", "2 attachment(s)")</f>
        <v>2 attachment(s)</v>
      </c>
      <c r="Y2150" t="inlineStr">
        <is>
          <t>Bank Transfer</t>
        </is>
      </c>
      <c r="Z2150" t="inlineStr">
        <is>
          <t>Ian Israel Galope</t>
        </is>
      </c>
      <c r="AA2150" t="inlineStr">
        <is>
          <t>09760580016</t>
        </is>
      </c>
      <c r="AB2150" t="inlineStr">
        <is>
          <t>GCash</t>
        </is>
      </c>
      <c r="AC2150" t="inlineStr">
        <is>
          <t>30 Robert Street, Pleasant View Subdivision, Tandang Sora Quezon City</t>
        </is>
      </c>
      <c r="AD2150" s="4">
        <v>46122</v>
      </c>
      <c r="AE2150" t="inlineStr">
        <is>
          <t>1st payment - Apr. 10, 2026
2nd Payment - Apr. 24, 2026
3rd Payment - May 8, 2026
4th Payment - May 29, 2026
Final Payment - Jun. 19, 2026</t>
        </is>
      </c>
      <c r="AF2150" s="2"/>
      <c r="AG2150" t="inlineStr">
        <is>
          <t>NzQyNTk5MTgyNzQ4MTg3MDM0MTpENkRCMzdDNC1EQkVBLTQyMDktODBCNi1FREUyOTVDNjA3QzctMTpiMmQ4NzBjMWI4YjI3ODUyZWYxYTg4OWQxNzMwNzk0ZDox</t>
        </is>
      </c>
      <c r="AH2150" t="inlineStr">
        <is>
          <t>Ian Israel Galope</t>
        </is>
      </c>
      <c r="AI2150"/>
      <c r="AJ2150" t="inlineStr">
        <is>
          <t>LIQUIDITY PLAN (PAR # 202602190021 / 2026TEG-P0009) - AS OF 031626
MANPOWER &gt; Broadcast &amp; Production &gt;
Highlights Operator
PLAYOFFS SPECIFIC &gt; MANPOWER &gt;
Highlights Operator / EVS
Total Budget = Php 82,500.00
Actual Cost = Php 82,500.00</t>
        </is>
      </c>
      <c r="AK2150"/>
    </row>
    <row r="2151" ht="25.5" customHeight="1">
      <c r="A2151" s="2" t="str">
        <f>=HYPERLINK("https://applink.larksuite.com/client/mini_program/open?appId=cli_9c7cc8a9a9edd105&amp;mode=appCenter&amp;path_pc=pc/pages/requested/index?instanceId=7620756112513437410&amp;source=bitable&amp;path=pages/detail/index?instanceId=7620756112513437410&amp;source=bitable", "202603240049")</f>
        <v>202603240049</v>
      </c>
      <c r="B2151" t="inlineStr">
        <is>
          <t>Approved</t>
        </is>
      </c>
      <c r="C2151" t="inlineStr">
        <is>
          <t>Procurement Order</t>
        </is>
      </c>
      <c r="D2151" s="3">
        <v>46105.74016203704</v>
      </c>
      <c r="E2151" s="3">
        <v>46106.49946759259</v>
      </c>
      <c r="F2151" t="inlineStr">
        <is>
          <t>Fatima Kathleen M. FLores</t>
        </is>
      </c>
      <c r="G2151" t="inlineStr">
        <is>
          <t>Procurement</t>
        </is>
      </c>
      <c r="H2151"/>
      <c r="I2151"/>
      <c r="J2151" t="inlineStr">
        <is>
          <t>Project</t>
        </is>
      </c>
      <c r="K2151" t="inlineStr">
        <is>
          <t>PDEI - Event Service</t>
        </is>
      </c>
      <c r="L2151" t="inlineStr">
        <is>
          <t>MPL PH S17</t>
        </is>
      </c>
      <c r="M2151" t="inlineStr">
        <is>
          <t>2026TEG-P0009</t>
        </is>
      </c>
      <c r="N2151" t="inlineStr">
        <is>
          <t>Katherine Denise Lee Sy</t>
        </is>
      </c>
      <c r="O2151" t="inlineStr">
        <is>
          <t>202603060040-Katherine Denise Lee Sy-费用报销 - 副本 - 副本 - 副本-2026-03-06 06:05:30</t>
        </is>
      </c>
      <c r="P2151" t="inlineStr">
        <is>
          <t>YES</t>
        </is>
      </c>
      <c r="Q2151"/>
      <c r="R2151" t="inlineStr">
        <is>
          <t>NO</t>
        </is>
      </c>
      <c r="S2151" t="inlineStr">
        <is>
          <t>Outsourced IT Associate (RS - Ingress)</t>
        </is>
      </c>
      <c r="T2151">
        <v>1</v>
      </c>
      <c r="U2151">
        <v>8000</v>
      </c>
      <c r="V2151" t="inlineStr">
        <is>
          <t>PHP</t>
        </is>
      </c>
      <c r="W2151">
        <v>8000</v>
      </c>
      <c r="X2151" s="2" t="str">
        <f>=HYPERLINK("https://www.larksuite.com/approval/admin/previewAttachment?key=PMgxDsIwDAXQK_1vO_4xl2FpFIFEuyCqLjk7EgPry05kb_QsRNEKXEqDWpLW6OEKYtmiVBDVco193n2_LvjrnM_PNo5jnY9tjjdbyQzyCO8AePu7KyKqMvBzfAMAAP__", "2 attachment(s)")</f>
        <v>2 attachment(s)</v>
      </c>
      <c r="Y2151" t="inlineStr">
        <is>
          <t>Bank Transfer</t>
        </is>
      </c>
      <c r="Z2151" t="inlineStr">
        <is>
          <t>Jose Andrew A. Mazaredo</t>
        </is>
      </c>
      <c r="AA2151" t="inlineStr">
        <is>
          <t>09166309613</t>
        </is>
      </c>
      <c r="AB2151" t="inlineStr">
        <is>
          <t>GCash</t>
        </is>
      </c>
      <c r="AC2151" t="inlineStr">
        <is>
          <t>20 P. Ladia St. Proj 4. Quezon City</t>
        </is>
      </c>
      <c r="AD2151" s="4">
        <v>46122</v>
      </c>
      <c r="AE2151" t="inlineStr">
        <is>
          <t>100% Full Payment - Apr. 10, 2026</t>
        </is>
      </c>
      <c r="AF2151" s="2"/>
      <c r="AG2151" t="inlineStr">
        <is>
          <t>NzQyNTk5MTgyNzQ4MTg3MDM0MTpBNDdBQzA0MC02MURCLTRCNTMtQkVGQy03MkI5RTNEODc5QTktMTowMmY4MzhhYjEzOTk5MDY1MjcxNjRjM2E3NmQ4OTljNTox</t>
        </is>
      </c>
      <c r="AH2151" t="inlineStr">
        <is>
          <t>Jose Andrew A. Mazaredo</t>
        </is>
      </c>
      <c r="AI2151"/>
      <c r="AJ2151" t="inlineStr">
        <is>
          <t>LIQUIDITY PLAN (PAR # 202602190021 / 2026TEG-P0009) - AS OF 031626
MANPOWER &gt; IT &gt;
IT Associate
IT Associate
Total Remaining Budget = Php 30,400.00
Actual Cost = Php 8,000.00
Balance = Php 22,400.00</t>
        </is>
      </c>
      <c r="AK2151"/>
    </row>
    <row r="2152" ht="25.5" customHeight="1">
      <c r="A2152" s="2" t="str">
        <f>=HYPERLINK("https://applink.larksuite.com/client/mini_program/open?appId=cli_9c7cc8a9a9edd105&amp;mode=appCenter&amp;path_pc=pc/pages/requested/index?instanceId=7620757563499384541&amp;source=bitable&amp;path=pages/detail/index?instanceId=7620757563499384541&amp;source=bitable", "202603240050")</f>
        <v>202603240050</v>
      </c>
      <c r="B2152" t="inlineStr">
        <is>
          <t>Approved</t>
        </is>
      </c>
      <c r="C2152" t="inlineStr">
        <is>
          <t>Procurement Order</t>
        </is>
      </c>
      <c r="D2152" s="3">
        <v>46105.74407407407</v>
      </c>
      <c r="E2152" s="3">
        <v>46106.499918981484</v>
      </c>
      <c r="F2152" t="inlineStr">
        <is>
          <t>Fatima Kathleen M. FLores</t>
        </is>
      </c>
      <c r="G2152" t="inlineStr">
        <is>
          <t>Procurement</t>
        </is>
      </c>
      <c r="H2152"/>
      <c r="I2152"/>
      <c r="J2152" t="inlineStr">
        <is>
          <t>Project</t>
        </is>
      </c>
      <c r="K2152" t="inlineStr">
        <is>
          <t>PDEI - Event Service</t>
        </is>
      </c>
      <c r="L2152" t="inlineStr">
        <is>
          <t>MPL PH S17</t>
        </is>
      </c>
      <c r="M2152" t="inlineStr">
        <is>
          <t>2026TEG-P0009</t>
        </is>
      </c>
      <c r="N2152" t="inlineStr">
        <is>
          <t>Katherine Denise Lee Sy</t>
        </is>
      </c>
      <c r="O2152" t="inlineStr">
        <is>
          <t>202603060040-Katherine Denise Lee Sy-费用报销 - 副本 - 副本 - 副本-2026-03-06 06:05:30</t>
        </is>
      </c>
      <c r="P2152" t="inlineStr">
        <is>
          <t>YES</t>
        </is>
      </c>
      <c r="Q2152"/>
      <c r="R2152" t="inlineStr">
        <is>
          <t>NO</t>
        </is>
      </c>
      <c r="S2152" t="inlineStr">
        <is>
          <t>Outsourced IT Associate (RS - Ingress)</t>
        </is>
      </c>
      <c r="T2152">
        <v>1</v>
      </c>
      <c r="U2152">
        <v>8000</v>
      </c>
      <c r="V2152" t="inlineStr">
        <is>
          <t>PHP</t>
        </is>
      </c>
      <c r="W2152">
        <v>8000</v>
      </c>
      <c r="X2152" s="2" t="str">
        <f>=HYPERLINK("https://www.larksuite.com/approval/admin/previewAttachment?key=PMg7CgIxGATgK83_nIyXsckSFLUSFixydsHC9uth6FEWLaTMBdtsB4vVkVKMrLTt20iBxup9vNbVOKfuz_lZDy8_93mb63hbie5gZMYAYJe_BzNT6sTP8Q0AAP__", "2 attachment(s)")</f>
        <v>2 attachment(s)</v>
      </c>
      <c r="Y2152" t="inlineStr">
        <is>
          <t>Bank Transfer</t>
        </is>
      </c>
      <c r="Z2152" t="inlineStr">
        <is>
          <t>Lawrence Yaco</t>
        </is>
      </c>
      <c r="AA2152" t="inlineStr">
        <is>
          <t>09062522647</t>
        </is>
      </c>
      <c r="AB2152" t="inlineStr">
        <is>
          <t>GCash</t>
        </is>
      </c>
      <c r="AC2152" t="inlineStr">
        <is>
          <t>B4 L10 J Abad Santos st Liamson Subdivision Guitnang Bayan 1 San Mateo Rizal</t>
        </is>
      </c>
      <c r="AD2152" s="4">
        <v>46122</v>
      </c>
      <c r="AE2152" t="inlineStr">
        <is>
          <t>100% Full Payment - Apr. 10, 2026</t>
        </is>
      </c>
      <c r="AF2152" s="2"/>
      <c r="AG2152" t="inlineStr">
        <is>
          <t>NzQyNTk5MTgyNzQ4MTg3MDM0MToxMjNERUJBQS02NjJBLTRENkItQkQ0NS1EMzVFM0VCOEJDQ0QtMTphMWI2N2I0ZjA3ZWI5ZmIyMjNkOGUzYWM4ZTRiNTU1MDox</t>
        </is>
      </c>
      <c r="AH2152" t="inlineStr">
        <is>
          <t>Lawrence Yaco</t>
        </is>
      </c>
      <c r="AI2152"/>
      <c r="AJ2152" t="inlineStr">
        <is>
          <t>LIQUIDITY PLAN (PAR # 202602190021 / 2026TEG-P0009) - AS OF 031626
MANPOWER &gt; IT &gt;
IT Associate
IT Associate
Total Remaining Budget = Php 22,400.00
Actual Cost = Php 8,000.00
Balance = Php 14,400.00</t>
        </is>
      </c>
      <c r="AK2152"/>
    </row>
    <row r="2153" ht="25.5" customHeight="1">
      <c r="A2153" s="2" t="str">
        <f>=HYPERLINK("https://applink.larksuite.com/client/mini_program/open?appId=cli_9c7cc8a9a9edd105&amp;mode=appCenter&amp;path_pc=pc/pages/requested/index?instanceId=7616306484334300896&amp;source=bitable&amp;path=pages/detail/index?instanceId=7616306484334300896&amp;source=bitable", "202603120111")</f>
        <v>202603120111</v>
      </c>
      <c r="B2153" t="inlineStr">
        <is>
          <t>Approved</t>
        </is>
      </c>
      <c r="C2153" t="inlineStr">
        <is>
          <t>Procurement Order</t>
        </is>
      </c>
      <c r="D2153" s="3">
        <v>46093.74931712963</v>
      </c>
      <c r="E2153" s="3">
        <v>46107.69101851852</v>
      </c>
      <c r="F2153" t="inlineStr">
        <is>
          <t>Fatima Kathleen M. FLores</t>
        </is>
      </c>
      <c r="G2153" t="inlineStr">
        <is>
          <t>Procurement</t>
        </is>
      </c>
      <c r="H2153"/>
      <c r="I2153"/>
      <c r="J2153" t="inlineStr">
        <is>
          <t>Project</t>
        </is>
      </c>
      <c r="K2153" t="inlineStr">
        <is>
          <t>PDEI - Event Service</t>
        </is>
      </c>
      <c r="L2153" t="inlineStr">
        <is>
          <t>MPL PH S17</t>
        </is>
      </c>
      <c r="M2153" t="inlineStr">
        <is>
          <t>2026TEG-P0009</t>
        </is>
      </c>
      <c r="N2153" t="inlineStr">
        <is>
          <t>Katherine Denise Lee Sy</t>
        </is>
      </c>
      <c r="O2153" t="inlineStr">
        <is>
          <t>202603020065-Katherine Denise Lee Sy-费用报销 - 副本 - 副本 - 副本-2026-03-02 05:16:23</t>
        </is>
      </c>
      <c r="P2153" t="inlineStr">
        <is>
          <t>YES</t>
        </is>
      </c>
      <c r="Q2153"/>
      <c r="R2153" t="inlineStr">
        <is>
          <t>YES</t>
        </is>
      </c>
      <c r="S2153" t="inlineStr">
        <is>
          <t>Outsourced Staging Technical Director (RS &amp; PO)</t>
        </is>
      </c>
      <c r="T2153">
        <v>1</v>
      </c>
      <c r="U2153">
        <v>140000</v>
      </c>
      <c r="V2153" t="inlineStr">
        <is>
          <t>PHP</t>
        </is>
      </c>
      <c r="W2153">
        <v>140000</v>
      </c>
      <c r="X2153" s="2" t="str">
        <f>=HYPERLINK("https://www.larksuite.com/approval/admin/previewAttachment?key=PMhNCsJADAXgK70kb_LjZdy0FBEqBbHOJmcXXHT7eQo8h5gXWKIF6XBxgzNpRgOyvLUlohASY_S6b3fbZ35ec_keTz1O9PlYtvUto0IVYaQlALldbkGyyom_4xcAAP__", "2 attachment(s)")</f>
        <v>2 attachment(s)</v>
      </c>
      <c r="Y2153" t="inlineStr">
        <is>
          <t>Bank Transfer</t>
        </is>
      </c>
      <c r="Z2153" t="inlineStr">
        <is>
          <t>Jordan Swing</t>
        </is>
      </c>
      <c r="AA2153" t="inlineStr">
        <is>
          <t>001560339452</t>
        </is>
      </c>
      <c r="AB2153" t="inlineStr">
        <is>
          <t>BDO</t>
        </is>
      </c>
      <c r="AC2153" t="inlineStr">
        <is>
          <t>24 St. Anthony Street Brgy. Holy Spirit Quezon City</t>
        </is>
      </c>
      <c r="AD2153" s="4">
        <v>46108</v>
      </c>
      <c r="AE2153" t="inlineStr">
        <is>
          <t>1st Payment - Mar. 27, 2026
2nd Payment - Apr. 10, 2026
3rd Payment - May 8, 2026
4th Payment - May 29, 2026
Final Payment - Jun 19, 2026</t>
        </is>
      </c>
      <c r="AF2153" s="2"/>
      <c r="AG2153" t="inlineStr">
        <is>
          <t>NzQyNTk5MTgyNzQ4MTg3MDM0MTo3RDM1OTMyQi1CQjA4LTRENzktQjZEMi1GOUJDRDc0MDQ4RUEtMTo5M2VhNmViZTgyNDcxOTk2NjNiMjE1MTc5MTNlYjczODox</t>
        </is>
      </c>
      <c r="AH2153" t="inlineStr">
        <is>
          <t>Jordan Swing</t>
        </is>
      </c>
      <c r="AI2153"/>
      <c r="AJ2153" t="inlineStr">
        <is>
          <t>LIQUIDITY PLAN (PAR # 202602190021 / 2026TEG-P0009)
v7 RAM S17 Main CE  Security TAB &gt; 
MANPOWER &gt; Broadcast &amp; Production &gt;
Staging Technical Director
PLAYOFFS SPECIFIC &gt; MANPOWER &gt;
Broadcast &amp; Production &gt; Staging Technical Director (INTERNAL)
Total Budget = Php 175,000.00
Actual Cost = Php 140,000.00
Balance = Php 35,000.00</t>
        </is>
      </c>
      <c r="AK2153"/>
    </row>
    <row r="2154" ht="25.5" customHeight="1">
      <c r="A2154" s="2" t="str">
        <f>=HYPERLINK("https://applink.larksuite.com/client/mini_program/open?appId=cli_9c7cc8a9a9edd105&amp;mode=appCenter&amp;path_pc=pc/pages/requested/index?instanceId=7620761743735721694&amp;source=bitable&amp;path=pages/detail/index?instanceId=7620761743735721694&amp;source=bitable", "202603240054")</f>
        <v>202603240054</v>
      </c>
      <c r="B2154" t="inlineStr">
        <is>
          <t>Approved</t>
        </is>
      </c>
      <c r="C2154" t="inlineStr">
        <is>
          <t>Procurement Order</t>
        </is>
      </c>
      <c r="D2154" s="3">
        <v>46105.75534722222</v>
      </c>
      <c r="E2154" s="3">
        <v>46106.51428240741</v>
      </c>
      <c r="F2154" t="inlineStr">
        <is>
          <t>Fatima Kathleen M. FLores</t>
        </is>
      </c>
      <c r="G2154" t="inlineStr">
        <is>
          <t>Procurement</t>
        </is>
      </c>
      <c r="H2154"/>
      <c r="I2154"/>
      <c r="J2154" t="inlineStr">
        <is>
          <t>Project</t>
        </is>
      </c>
      <c r="K2154" t="inlineStr">
        <is>
          <t>PDEI - Event Service</t>
        </is>
      </c>
      <c r="L2154" t="inlineStr">
        <is>
          <t>MPL PH S17</t>
        </is>
      </c>
      <c r="M2154" t="inlineStr">
        <is>
          <t>2026TEG-P0009</t>
        </is>
      </c>
      <c r="N2154" t="inlineStr">
        <is>
          <t>Katherine Denise Lee Sy</t>
        </is>
      </c>
      <c r="O2154" t="inlineStr">
        <is>
          <t>202603060048-Katherine Denise Lee Sy-费用报销 - 副本 - 副本 - 副本-2026-03-06 07:01:00</t>
        </is>
      </c>
      <c r="P2154" t="inlineStr">
        <is>
          <t>YES</t>
        </is>
      </c>
      <c r="Q2154"/>
      <c r="R2154" t="inlineStr">
        <is>
          <t>NO</t>
        </is>
      </c>
      <c r="S2154" t="inlineStr">
        <is>
          <t>Outsourced Logistics Associate (RS - Ingress)</t>
        </is>
      </c>
      <c r="T2154">
        <v>1</v>
      </c>
      <c r="U2154">
        <v>40250</v>
      </c>
      <c r="V2154" t="inlineStr">
        <is>
          <t>PHP</t>
        </is>
      </c>
      <c r="W2154">
        <v>40250</v>
      </c>
      <c r="X2154" s="2" t="str">
        <f>=HYPERLINK("https://www.larksuite.com/approval/admin/previewAttachment?key=PMg9CgIxEAXgK735fRkvY5OwiLAgCEGLObtgse2XQ5AjxLLgJVqQZiqYQjdaUCXLW1vIAoURvc7j_nrOGWfMtT_4cvd-zGO9JYqqoLnbACC3y43uXpWOv-MXAAD__w", "2 attachment(s)")</f>
        <v>2 attachment(s)</v>
      </c>
      <c r="Y2154" t="inlineStr">
        <is>
          <t>Bank Transfer</t>
        </is>
      </c>
      <c r="Z2154" t="inlineStr">
        <is>
          <t>Christian Jay Arellano</t>
        </is>
      </c>
      <c r="AA2154" t="inlineStr">
        <is>
          <t>09694831828</t>
        </is>
      </c>
      <c r="AB2154" t="inlineStr">
        <is>
          <t>GCash</t>
        </is>
      </c>
      <c r="AC2154" t="inlineStr">
        <is>
          <t>Blk 1 J Lot 18 Phase 3 E1 Dagat-dagatan Caloocam City</t>
        </is>
      </c>
      <c r="AD2154" s="4">
        <v>46122</v>
      </c>
      <c r="AE2154" t="inlineStr">
        <is>
          <t>Particulars 1 &amp; 2:
100% Full Payment - Apr. 10, 2026
Particular 3:
1st Payment - Apr. 10, 2026
2nd Payment - Apr. 24, 2026
3rd Payment - May 15, 2026
4th Payment - May 29, 2026
Final Payment - Jun. 19, 2026</t>
        </is>
      </c>
      <c r="AF2154" s="2"/>
      <c r="AG2154" t="inlineStr">
        <is>
          <t>NzQyNTk5MTgyNzQ4MTg3MDM0MTpCNDFDQTZCRS0zODEwLTQyQTAtQjFFOC1DOUU5MjkxMTFGODktMTo1ZWNhNzQ3MTc4MjQ1NDc4YWU1OTEwZWUxZjI0YTk0Nzox</t>
        </is>
      </c>
      <c r="AH2154" t="inlineStr">
        <is>
          <t>Christian Jay Arellano</t>
        </is>
      </c>
      <c r="AI2154"/>
      <c r="AJ2154" t="inlineStr">
        <is>
          <t>LIQUIDITY PLAN (PAR # 202602190021 / 2026TEG-P0009) - AS OF 031626
MANPOWER &gt; Logistics &gt;
Ingress Manpower
Egress Manpower
Event Logistics Manpower
Total Budget = Php 280,600.00
Actual Cost = Php 197,800.00
Balance = Php 82,800.00</t>
        </is>
      </c>
      <c r="AK2154"/>
    </row>
    <row r="2155" ht="25.5" customHeight="1">
      <c r="A2155" s="2" t="str">
        <f>=HYPERLINK("https://applink.larksuite.com/client/mini_program/open?appId=cli_9c7cc8a9a9edd105&amp;mode=appCenter&amp;path_pc=pc/pages/requested/index?instanceId=7620761743735721694&amp;source=bitable&amp;path=pages/detail/index?instanceId=7620761743735721694&amp;source=bitable", "202603240054")</f>
        <v>202603240054</v>
      </c>
      <c r="B2155" t="inlineStr">
        <is>
          <t>Approved</t>
        </is>
      </c>
      <c r="C2155" t="inlineStr">
        <is>
          <t>Procurement Order</t>
        </is>
      </c>
      <c r="D2155" s="3">
        <v>46105.75534722222</v>
      </c>
      <c r="E2155" s="3">
        <v>46106.51428240741</v>
      </c>
      <c r="F2155" t="inlineStr">
        <is>
          <t>Fatima Kathleen M. FLores</t>
        </is>
      </c>
      <c r="G2155" t="inlineStr">
        <is>
          <t>Procurement</t>
        </is>
      </c>
      <c r="H2155"/>
      <c r="I2155"/>
      <c r="J2155" t="inlineStr">
        <is>
          <t>Project</t>
        </is>
      </c>
      <c r="K2155" t="inlineStr">
        <is>
          <t>PDEI - Event Service</t>
        </is>
      </c>
      <c r="L2155" t="inlineStr">
        <is>
          <t>MPL PH S17</t>
        </is>
      </c>
      <c r="M2155" t="inlineStr">
        <is>
          <t>2026TEG-P0009</t>
        </is>
      </c>
      <c r="N2155" t="inlineStr">
        <is>
          <t>Katherine Denise Lee Sy</t>
        </is>
      </c>
      <c r="O2155" t="inlineStr">
        <is>
          <t>202603060048-Katherine Denise Lee Sy-费用报销 - 副本 - 副本 - 副本-2026-03-06 07:01:00</t>
        </is>
      </c>
      <c r="P2155" t="inlineStr">
        <is>
          <t>YES</t>
        </is>
      </c>
      <c r="Q2155"/>
      <c r="R2155" t="inlineStr">
        <is>
          <t>NO</t>
        </is>
      </c>
      <c r="S2155" t="inlineStr">
        <is>
          <t>Outsourced Logistics Associate - Addtl (RS - Ingress)</t>
        </is>
      </c>
      <c r="T2155">
        <v>1</v>
      </c>
      <c r="U2155">
        <v>8050</v>
      </c>
      <c r="V2155" t="inlineStr">
        <is>
          <t>PHP</t>
        </is>
      </c>
      <c r="W2155">
        <v>8050</v>
      </c>
      <c r="X2155" s="2" t="str">
        <f>=HYPERLINK("https://www.larksuite.com/approval/admin/previewAttachment?key=PMg9igJBFATgK1W9v5q3l9mkm0GEAUFoNOizCwamXx1EHUmvRjStwa0yqKhwecpYHds2pYaozD2v8_9xHyOvHHO98Nba6zbO-WS2zCCP8AMA_37uiojuCnydnwAAAP__", "1 attachment(s)")</f>
        <v>1 attachment(s)</v>
      </c>
      <c r="Y2155"/>
      <c r="Z2155"/>
      <c r="AA2155"/>
      <c r="AB2155"/>
      <c r="AC2155"/>
      <c r="AD2155" s="4"/>
      <c r="AE2155"/>
      <c r="AF2155" s="2"/>
      <c r="AG2155" t="inlineStr">
        <is>
          <t>NzQyNTk5MTgyNzQ4MTg3MDM0MTpCNDFDQTZCRS0zODEwLTQyQTAtQjFFOC1DOUU5MjkxMTFGODktMjpiZmE2NzE3MGMyZjEzMjZkYjBhNTAxYmYyZjdjMGQ1Mzox</t>
        </is>
      </c>
      <c r="AH2155"/>
      <c r="AI2155"/>
      <c r="AJ2155" t="inlineStr">
        <is>
          <t>LIQUIDITY PLAN (PAR # 202602190021 / 2026TEG-P0009) - AS OF 031626
MANPOWER &gt; Logistics &gt;
Ingress Manpower
Egress Manpower
Event Logistics Manpower
Total Budget = Php 280,600.00
Actual Cost = Php 197,800.00
Balance = Php 82,800.00</t>
        </is>
      </c>
      <c r="AK2155"/>
    </row>
    <row r="2156" ht="25.5" customHeight="1">
      <c r="A2156" s="2" t="str">
        <f>=HYPERLINK("https://applink.larksuite.com/client/mini_program/open?appId=cli_9c7cc8a9a9edd105&amp;mode=appCenter&amp;path_pc=pc/pages/requested/index?instanceId=7620761743735721694&amp;source=bitable&amp;path=pages/detail/index?instanceId=7620761743735721694&amp;source=bitable", "202603240054")</f>
        <v>202603240054</v>
      </c>
      <c r="B2156" t="inlineStr">
        <is>
          <t>Approved</t>
        </is>
      </c>
      <c r="C2156" t="inlineStr">
        <is>
          <t>Procurement Order</t>
        </is>
      </c>
      <c r="D2156" s="3">
        <v>46105.75534722222</v>
      </c>
      <c r="E2156" s="3">
        <v>46106.51428240741</v>
      </c>
      <c r="F2156" t="inlineStr">
        <is>
          <t>Fatima Kathleen M. FLores</t>
        </is>
      </c>
      <c r="G2156" t="inlineStr">
        <is>
          <t>Procurement</t>
        </is>
      </c>
      <c r="H2156"/>
      <c r="I2156"/>
      <c r="J2156" t="inlineStr">
        <is>
          <t>Project</t>
        </is>
      </c>
      <c r="K2156" t="inlineStr">
        <is>
          <t>PDEI - Event Service</t>
        </is>
      </c>
      <c r="L2156" t="inlineStr">
        <is>
          <t>MPL PH S17</t>
        </is>
      </c>
      <c r="M2156" t="inlineStr">
        <is>
          <t>2026TEG-P0009</t>
        </is>
      </c>
      <c r="N2156" t="inlineStr">
        <is>
          <t>Katherine Denise Lee Sy</t>
        </is>
      </c>
      <c r="O2156" t="inlineStr">
        <is>
          <t>202603060048-Katherine Denise Lee Sy-费用报销 - 副本 - 副本 - 副本-2026-03-06 07:01:00</t>
        </is>
      </c>
      <c r="P2156" t="inlineStr">
        <is>
          <t>YES</t>
        </is>
      </c>
      <c r="Q2156"/>
      <c r="R2156" t="inlineStr">
        <is>
          <t>NO</t>
        </is>
      </c>
      <c r="S2156" t="inlineStr">
        <is>
          <t>Outsourced Logistics Associate - (RS - Event Days)</t>
        </is>
      </c>
      <c r="T2156">
        <v>1</v>
      </c>
      <c r="U2156">
        <v>149500</v>
      </c>
      <c r="V2156" t="inlineStr">
        <is>
          <t>PHP</t>
        </is>
      </c>
      <c r="W2156">
        <v>149500</v>
      </c>
      <c r="X2156" s="2" t="str">
        <f>=HYPERLINK("https://www.larksuite.com/approval/admin/previewAttachment?key=PMg9CgIxEAXgK735fRkvY5OwiLAgCEGLObtgse2XQ5AjxLLgJVqQZiqYQjdaUCXLW1vIAoURvc7j_nrOGWfMtT_4cvd-zGO9JYqqoLnbACC3y43uXpWOv-svAAD__w", "1 attachment(s)")</f>
        <v>1 attachment(s)</v>
      </c>
      <c r="Y2156"/>
      <c r="Z2156"/>
      <c r="AA2156"/>
      <c r="AB2156"/>
      <c r="AC2156"/>
      <c r="AD2156" s="4"/>
      <c r="AE2156"/>
      <c r="AF2156" s="2"/>
      <c r="AG2156" t="inlineStr">
        <is>
          <t>NzQyNTk5MTgyNzQ4MTg3MDM0MTpCNDFDQTZCRS0zODEwLTQyQTAtQjFFOC1DOUU5MjkxMTFGODktMzo3NDA1YzViZDFiMDM2YmQ1ODQ3Mjg3ZDVmOTY5MTc3OTox</t>
        </is>
      </c>
      <c r="AH2156"/>
      <c r="AI2156"/>
      <c r="AJ2156" t="inlineStr">
        <is>
          <t>LIQUIDITY PLAN (PAR # 202602190021 / 2026TEG-P0009) - AS OF 031626
MANPOWER &gt; Logistics &gt;
Ingress Manpower
Egress Manpower
Event Logistics Manpower
Total Budget = Php 280,600.00
Actual Cost = Php 197,800.00
Balance = Php 82,800.00</t>
        </is>
      </c>
      <c r="AK2156"/>
    </row>
    <row r="2157" ht="25.5" customHeight="1">
      <c r="A2157" s="2" t="str">
        <f>=HYPERLINK("https://applink.larksuite.com/client/mini_program/open?appId=cli_9c7cc8a9a9edd105&amp;mode=appCenter&amp;path_pc=pc/pages/requested/index?instanceId=7620766581965999840&amp;source=bitable&amp;path=pages/detail/index?instanceId=7620766581965999840&amp;source=bitable", "202603240055")</f>
        <v>202603240055</v>
      </c>
      <c r="B2157" t="inlineStr">
        <is>
          <t>Approved</t>
        </is>
      </c>
      <c r="C2157" t="inlineStr">
        <is>
          <t>Procurement Order</t>
        </is>
      </c>
      <c r="D2157" s="3">
        <v>46105.768379629626</v>
      </c>
      <c r="E2157" s="3">
        <v>46106.516284722224</v>
      </c>
      <c r="F2157" t="inlineStr">
        <is>
          <t>Fatima Kathleen M. FLores</t>
        </is>
      </c>
      <c r="G2157" t="inlineStr">
        <is>
          <t>Procurement</t>
        </is>
      </c>
      <c r="H2157"/>
      <c r="I2157"/>
      <c r="J2157" t="inlineStr">
        <is>
          <t>Project</t>
        </is>
      </c>
      <c r="K2157" t="inlineStr">
        <is>
          <t>PDEI - Event Service</t>
        </is>
      </c>
      <c r="L2157" t="inlineStr">
        <is>
          <t>MPL PH S17</t>
        </is>
      </c>
      <c r="M2157" t="inlineStr">
        <is>
          <t>2026TEG-P0009</t>
        </is>
      </c>
      <c r="N2157" t="inlineStr">
        <is>
          <t>Katherine Denise Lee Sy</t>
        </is>
      </c>
      <c r="O2157" t="inlineStr">
        <is>
          <t>202603020068-Katherine Denise Lee Sy-费用报销 - 副本 - 副本 - 副本-2026-03-02 05:38:42</t>
        </is>
      </c>
      <c r="P2157" t="inlineStr">
        <is>
          <t>YES</t>
        </is>
      </c>
      <c r="Q2157"/>
      <c r="R2157" t="inlineStr">
        <is>
          <t>NO</t>
        </is>
      </c>
      <c r="S2157" t="inlineStr">
        <is>
          <t>Outsourced Assistant Staging Director (Ingress - RS &amp; PO)</t>
        </is>
      </c>
      <c r="T2157">
        <v>1</v>
      </c>
      <c r="U2157">
        <v>162000</v>
      </c>
      <c r="V2157" t="inlineStr">
        <is>
          <t>PHP</t>
        </is>
      </c>
      <c r="W2157">
        <v>162000</v>
      </c>
      <c r="X2157" s="2" t="str">
        <f>=HYPERLINK("https://www.larksuite.com/approval/admin/previewAttachment?key=PMg7CgMxDATQK41sSePJZdLYLPlCIOBOZw-k2PblMOQI6ym4rAlWzAZmxjBlSBqOamWkQGNErfdx_TzmjL3vTwv6a9W-zWN9LcTWwO7eBwC7nN7p7lI6_o5fAAAA__8", "2 attachment(s)")</f>
        <v>2 attachment(s)</v>
      </c>
      <c r="Y2157" t="inlineStr">
        <is>
          <t>Bank Transfer</t>
        </is>
      </c>
      <c r="Z2157" t="inlineStr">
        <is>
          <t>John Martin Señorosa</t>
        </is>
      </c>
      <c r="AA2157" t="inlineStr">
        <is>
          <t>09458006005</t>
        </is>
      </c>
      <c r="AB2157" t="inlineStr">
        <is>
          <t>GCash</t>
        </is>
      </c>
      <c r="AC2157" t="inlineStr">
        <is>
          <t>45 calia II st. Bayan Bayanan Malabon City</t>
        </is>
      </c>
      <c r="AD2157" s="4">
        <v>46108</v>
      </c>
      <c r="AE2157" t="inlineStr">
        <is>
          <t>1st Payment - Mar. 27, 2026
2nd Payment - Apr. 17, 2026
3rd Payment - May 8, 2026
4th Payment - May 22, 2026
5th Payment - Jun. 12, 2026
Final Payment - Jun. 26, 2026</t>
        </is>
      </c>
      <c r="AF2157" s="2"/>
      <c r="AG2157" t="inlineStr">
        <is>
          <t>NzQyNTk5MTgyNzQ4MTg3MDM0MTo2RUY2NjcwNy1FRTNELTQyRjQtQkFBMS1GMTRDMUE5QTZFNzMtMTpjNTU3NzVhZjkwYWZmODE1ZGUzZjA5OTIyMTlkYmQwZjox</t>
        </is>
      </c>
      <c r="AH2157" t="inlineStr">
        <is>
          <t>John Martin Señorosa</t>
        </is>
      </c>
      <c r="AI2157"/>
      <c r="AJ2157" t="inlineStr">
        <is>
          <t>LIQUIDITY PLAN (PAR # 202602190021 / 2026TEG-P0009) - AS OF 031626
MANPOWER &gt; Broadcast &amp; Production &gt;
Assistant Techncial Director (Ingress)
Assistant Techncial Director (Event Day)
PLAYOFFS SPECIFIC &gt; MANPOWER &gt;
Broadcast &amp; Production &gt; 
Assistant Techncial Director (Ingress)
Assistant Techncial Director (Event Day)
Total Remaining Budget = Php 168,000.00
Actual Cost = Php 162,000.00
Balance = Php 6,000.00</t>
        </is>
      </c>
      <c r="AK2157"/>
    </row>
    <row r="2158" ht="25.5" customHeight="1">
      <c r="A2158" s="2" t="str">
        <f>=HYPERLINK("https://applink.larksuite.com/client/mini_program/open?appId=cli_9c7cc8a9a9edd105&amp;mode=appCenter&amp;path_pc=pc/pages/requested/index?instanceId=7620754154432007906&amp;source=bitable&amp;path=pages/detail/index?instanceId=7620754154432007906&amp;source=bitable", "202603240047")</f>
        <v>202603240047</v>
      </c>
      <c r="B2158" t="inlineStr">
        <is>
          <t>Approved</t>
        </is>
      </c>
      <c r="C2158" t="inlineStr">
        <is>
          <t>Procurement Order</t>
        </is>
      </c>
      <c r="D2158" s="3">
        <v>46105.73489583333</v>
      </c>
      <c r="E2158" s="3">
        <v>46106.501863425925</v>
      </c>
      <c r="F2158" t="inlineStr">
        <is>
          <t>Fatima Kathleen M. FLores</t>
        </is>
      </c>
      <c r="G2158" t="inlineStr">
        <is>
          <t>Procurement</t>
        </is>
      </c>
      <c r="H2158"/>
      <c r="I2158"/>
      <c r="J2158" t="inlineStr">
        <is>
          <t>Project</t>
        </is>
      </c>
      <c r="K2158" t="inlineStr">
        <is>
          <t>PDEI - Event Service</t>
        </is>
      </c>
      <c r="L2158" t="inlineStr">
        <is>
          <t>MPL PH S17</t>
        </is>
      </c>
      <c r="M2158" t="inlineStr">
        <is>
          <t>2026TEG-P0009</t>
        </is>
      </c>
      <c r="N2158" t="inlineStr">
        <is>
          <t>Katherine Denise Lee Sy</t>
        </is>
      </c>
      <c r="O2158" t="inlineStr">
        <is>
          <t>202603060040-Katherine Denise Lee Sy-费用报销 - 副本 - 副本 - 副本-2026-03-06 06:05:30</t>
        </is>
      </c>
      <c r="P2158" t="inlineStr">
        <is>
          <t>YES</t>
        </is>
      </c>
      <c r="Q2158"/>
      <c r="R2158" t="inlineStr">
        <is>
          <t>NO</t>
        </is>
      </c>
      <c r="S2158" t="inlineStr">
        <is>
          <t>Outsourced IT Associate</t>
        </is>
      </c>
      <c r="T2158">
        <v>1</v>
      </c>
      <c r="U2158">
        <v>62400</v>
      </c>
      <c r="V2158" t="inlineStr">
        <is>
          <t>PHP</t>
        </is>
      </c>
      <c r="W2158">
        <v>62400</v>
      </c>
      <c r="X2158" s="2" t="str">
        <f>=HYPERLINK("https://www.larksuite.com/approval/admin/previewAttachment?key=PMhBikJBDATQK1Wlk1RnLjMbm0aED4L40UXOLrhw-3ISOYMjC160AltpUDjDfRigQrY1pYKoiF7H_r8d5Nx6v9Y84_7s83rZ68EomUHDfUwA_Pv5kLtXpePr-AQAAP__", "2 attachment(s)")</f>
        <v>2 attachment(s)</v>
      </c>
      <c r="Y2158" t="inlineStr">
        <is>
          <t>Bank Transfer</t>
        </is>
      </c>
      <c r="Z2158" t="inlineStr">
        <is>
          <t>Wilson Mazaredo</t>
        </is>
      </c>
      <c r="AA2158" t="inlineStr">
        <is>
          <t>09662375484</t>
        </is>
      </c>
      <c r="AB2158" t="inlineStr">
        <is>
          <t>GCash</t>
        </is>
      </c>
      <c r="AC2158" t="inlineStr">
        <is>
          <t>20 P. Ladia St. Proj 4. Quezon City</t>
        </is>
      </c>
      <c r="AD2158" s="4">
        <v>46122</v>
      </c>
      <c r="AE2158" t="inlineStr">
        <is>
          <t>1st payment - Apr. 10, 2026
2nd Payment - Apr. 24, 2026
3rd Payment - May 8, 2026
4th Payment - May 29, 2026
Final Payment - Jun. 19, 2026</t>
        </is>
      </c>
      <c r="AF2158" s="2"/>
      <c r="AG2158" t="inlineStr">
        <is>
          <t>NzQyNTk5MTgyNzQ4MTg3MDM0MToxRTk2QjNDOC03QUQ1LTQ4ODYtODc5Ni05OTA2QkUyNUI2NEEtMTo3NmRiZTBkNjA0ZjEzMWMyZTEyMjI1ZmQ4YWNmODFhYTox</t>
        </is>
      </c>
      <c r="AH2158" t="inlineStr">
        <is>
          <t>Wilson Mazaredo</t>
        </is>
      </c>
      <c r="AI2158"/>
      <c r="AJ2158" t="inlineStr">
        <is>
          <t>LIQUIDITY PLAN (PAR # 202602190021 / 2026TEG-P0009) - AS OF 031626
MANPOWER &gt; IT &gt;
IT Associate
IT Associate
Total Budget = Php 92,800.00
Actual Cost = Php 62,400.00
Balance = Php 30,400.00</t>
        </is>
      </c>
      <c r="AK2158"/>
    </row>
    <row r="2159" ht="25.5" customHeight="1">
      <c r="A2159" s="2" t="str">
        <f>=HYPERLINK("https://applink.larksuite.com/client/mini_program/open?appId=cli_9c7cc8a9a9edd105&amp;mode=appCenter&amp;path_pc=pc/pages/requested/index?instanceId=7620776801089933029&amp;source=bitable&amp;path=pages/detail/index?instanceId=7620776801089933029&amp;source=bitable", "202603240059")</f>
        <v>202603240059</v>
      </c>
      <c r="B2159" t="inlineStr">
        <is>
          <t>Approved</t>
        </is>
      </c>
      <c r="C2159" t="inlineStr">
        <is>
          <t>Procurement Order</t>
        </is>
      </c>
      <c r="D2159" s="3">
        <v>46105.79591435185</v>
      </c>
      <c r="E2159" s="3">
        <v>46106.46533564815</v>
      </c>
      <c r="F2159" t="inlineStr">
        <is>
          <t>Fatima Kathleen M. FLores</t>
        </is>
      </c>
      <c r="G2159" t="inlineStr">
        <is>
          <t>Procurement</t>
        </is>
      </c>
      <c r="H2159"/>
      <c r="I2159"/>
      <c r="J2159" t="inlineStr">
        <is>
          <t>Project</t>
        </is>
      </c>
      <c r="K2159" t="inlineStr">
        <is>
          <t>GG - Event Service</t>
        </is>
      </c>
      <c r="L2159" t="inlineStr">
        <is>
          <t>Philippine Kings League Spring Season 2026 (PKL)</t>
        </is>
      </c>
      <c r="M2159" t="inlineStr">
        <is>
          <t>2026TEG-P0037</t>
        </is>
      </c>
      <c r="N2159" t="inlineStr">
        <is>
          <t>Juvie Anne Asis Castres</t>
        </is>
      </c>
      <c r="O2159" t="inlineStr">
        <is>
          <t>202603140017-Juvie Anne Asis Castres-费用报销 - 副本 - 副本 - 副本-2026-03-14 11:58:02</t>
        </is>
      </c>
      <c r="P2159" t="inlineStr">
        <is>
          <t>NO</t>
        </is>
      </c>
      <c r="Q2159"/>
      <c r="R2159" t="inlineStr">
        <is>
          <t>YES</t>
        </is>
      </c>
      <c r="S2159" t="inlineStr">
        <is>
          <t>Mock Checks - back to back print / Sticker on Sintra (3mm)</t>
        </is>
      </c>
      <c r="T2159">
        <v>3</v>
      </c>
      <c r="U2159">
        <v>2838.523</v>
      </c>
      <c r="V2159" t="inlineStr">
        <is>
          <t>PHP</t>
        </is>
      </c>
      <c r="W2159">
        <v>8515.569</v>
      </c>
      <c r="X2159" s="2"/>
      <c r="Y2159" t="inlineStr">
        <is>
          <t>Bank Transfer</t>
        </is>
      </c>
      <c r="Z2159" t="inlineStr">
        <is>
          <t>ILIGHT PRODUCTION</t>
        </is>
      </c>
      <c r="AA2159" t="inlineStr">
        <is>
          <t>007960010274</t>
        </is>
      </c>
      <c r="AB2159" t="inlineStr">
        <is>
          <t>BDO</t>
        </is>
      </c>
      <c r="AC2159" t="inlineStr">
        <is>
          <t>3791 Mascardo St. Brgy, Sta Cruz, Makati City</t>
        </is>
      </c>
      <c r="AD2159" s="4">
        <v>46108</v>
      </c>
      <c r="AE2159" t="inlineStr">
        <is>
          <t>100% Full Payment upon complete delivery</t>
        </is>
      </c>
      <c r="AF2159" s="2"/>
      <c r="AG2159" t="inlineStr">
        <is>
          <t>NzQyNTk5MTgyNzQ4MTg3MDM0MTpBNkNDNTYzNC1ERTIzLTRDRDctOTIzMy0yMjE3NTZEQjU4RUYtMTpmMTIzZWI0MDdlNWJlMjZmZjYxN2MxMmUwOTgxYTlkZjox</t>
        </is>
      </c>
      <c r="AH2159" t="inlineStr">
        <is>
          <t>ILIGHT PRODUCTION</t>
        </is>
      </c>
      <c r="AI2159"/>
      <c r="AJ2159" t="inlineStr">
        <is>
          <t>LIQUIDITY PLAN (PAR # 202602120015 / 2026TEG-P0037) - MAR 9 VERSION
PLAYOFFS &gt; STAGING &amp; STUDIO &gt;
Awarding &gt; Certificates &amp; Mock Check
Total Budget = Php 8,000.00
Actual Cost = Php 10,838.00
Balance = (Php 2,838.00) OVER BUDGET</t>
        </is>
      </c>
      <c r="AK2159"/>
    </row>
    <row r="2160" ht="25.5" customHeight="1">
      <c r="A2160" s="2" t="str">
        <f>=HYPERLINK("https://applink.larksuite.com/client/mini_program/open?appId=cli_9c7cc8a9a9edd105&amp;mode=appCenter&amp;path_pc=pc/pages/requested/index?instanceId=7620776801089933029&amp;source=bitable&amp;path=pages/detail/index?instanceId=7620776801089933029&amp;source=bitable", "202603240059")</f>
        <v>202603240059</v>
      </c>
      <c r="B2160" t="inlineStr">
        <is>
          <t>Approved</t>
        </is>
      </c>
      <c r="C2160" t="inlineStr">
        <is>
          <t>Procurement Order</t>
        </is>
      </c>
      <c r="D2160" s="3">
        <v>46105.79591435185</v>
      </c>
      <c r="E2160" s="3">
        <v>46106.46533564815</v>
      </c>
      <c r="F2160" t="inlineStr">
        <is>
          <t>Fatima Kathleen M. FLores</t>
        </is>
      </c>
      <c r="G2160" t="inlineStr">
        <is>
          <t>Procurement</t>
        </is>
      </c>
      <c r="H2160"/>
      <c r="I2160"/>
      <c r="J2160" t="inlineStr">
        <is>
          <t>Project</t>
        </is>
      </c>
      <c r="K2160" t="inlineStr">
        <is>
          <t>GG - Event Service</t>
        </is>
      </c>
      <c r="L2160" t="inlineStr">
        <is>
          <t>Philippine Kings League Spring Season 2026 (PKL)</t>
        </is>
      </c>
      <c r="M2160" t="inlineStr">
        <is>
          <t>2026TEG-P0037</t>
        </is>
      </c>
      <c r="N2160" t="inlineStr">
        <is>
          <t>Juvie Anne Asis Castres</t>
        </is>
      </c>
      <c r="O2160" t="inlineStr">
        <is>
          <t>202603140017-Juvie Anne Asis Castres-费用报销 - 副本 - 副本 - 副本-2026-03-14 11:58:02</t>
        </is>
      </c>
      <c r="P2160" t="inlineStr">
        <is>
          <t>NO</t>
        </is>
      </c>
      <c r="Q2160"/>
      <c r="R2160" t="inlineStr">
        <is>
          <t>YES</t>
        </is>
      </c>
      <c r="S2160" t="inlineStr">
        <is>
          <t>Mock Checks - one side print / Sticker on Sintra (3mm)</t>
        </is>
      </c>
      <c r="T2160">
        <v>1</v>
      </c>
      <c r="U2160">
        <v>2322.432</v>
      </c>
      <c r="V2160" t="inlineStr">
        <is>
          <t>PHP</t>
        </is>
      </c>
      <c r="W2160">
        <v>2322.432</v>
      </c>
      <c r="X2160" s="2" t="str">
        <f>=HYPERLINK("https://www.larksuite.com/approval/admin/previewAttachment?key=PMgxDgIxDATAL-3ajjfmMzScIuAUGgSCIm9Horh2shPZGz0LUbQCl9IgZQfRq9xhtWxRKohqubY5zuKceN0e--c-7Luv9_UytidbyQzyCO8AeDrcFRFVGfg7fwEAAP__", "2 attachment(s)")</f>
        <v>2 attachment(s)</v>
      </c>
      <c r="Y2160"/>
      <c r="Z2160"/>
      <c r="AA2160"/>
      <c r="AB2160"/>
      <c r="AC2160"/>
      <c r="AD2160" s="4"/>
      <c r="AE2160"/>
      <c r="AF2160" s="2"/>
      <c r="AG2160" t="inlineStr">
        <is>
          <t>NzQyNTk5MTgyNzQ4MTg3MDM0MTpBNkNDNTYzNC1ERTIzLTRDRDctOTIzMy0yMjE3NTZEQjU4RUYtMjo2MTdjMTUzYWEyZjJjODM5N2JlN2I5NWNjZDIzODkyMTox</t>
        </is>
      </c>
      <c r="AH2160"/>
      <c r="AI2160"/>
      <c r="AJ2160" t="inlineStr">
        <is>
          <t>LIQUIDITY PLAN (PAR # 202602120015 / 2026TEG-P0037) - MAR 9 VERSION
PLAYOFFS &gt; STAGING &amp; STUDIO &gt;
Awarding &gt; Certificates &amp; Mock Check
Total Budget = Php 8,000.00
Actual Cost = Php 10,838.00
Balance = (Php 2,838.00) OVER BUDGET</t>
        </is>
      </c>
      <c r="AK2160"/>
    </row>
    <row r="2161" ht="25.5" customHeight="1">
      <c r="A2161" s="2" t="str">
        <f>=HYPERLINK("https://applink.larksuite.com/client/mini_program/open?appId=cli_9c7cc8a9a9edd105&amp;mode=appCenter&amp;path_pc=pc/pages/requested/index?instanceId=7621026484999851743&amp;source=bitable&amp;path=pages/detail/index?instanceId=7621026484999851743&amp;source=bitable", "202603250018")</f>
        <v>202603250018</v>
      </c>
      <c r="B2161" t="inlineStr">
        <is>
          <t>Approved</t>
        </is>
      </c>
      <c r="C2161" t="inlineStr">
        <is>
          <t>Procurement Order</t>
        </is>
      </c>
      <c r="D2161" s="3">
        <v>46106.46876157408</v>
      </c>
      <c r="E2161" s="3">
        <v>46106.47782407407</v>
      </c>
      <c r="F2161" t="inlineStr">
        <is>
          <t>Fatima Kathleen M. FLores</t>
        </is>
      </c>
      <c r="G2161" t="inlineStr">
        <is>
          <t>Procurement</t>
        </is>
      </c>
      <c r="H2161"/>
      <c r="I2161"/>
      <c r="J2161" t="inlineStr">
        <is>
          <t>Project</t>
        </is>
      </c>
      <c r="K2161" t="inlineStr">
        <is>
          <t>GG - Event Service</t>
        </is>
      </c>
      <c r="L2161" t="inlineStr">
        <is>
          <t>Philippine Kings League Spring Season 2026 (PKL)</t>
        </is>
      </c>
      <c r="M2161" t="inlineStr">
        <is>
          <t>2026TEG-P0037</t>
        </is>
      </c>
      <c r="N2161" t="inlineStr">
        <is>
          <t>Juvie Anne Asis Castres</t>
        </is>
      </c>
      <c r="O2161" t="inlineStr">
        <is>
          <t>202603140017-Juvie Anne Asis Castres-费用报销 - 副本 - 副本 - 副本-2026-03-14 11:58:02</t>
        </is>
      </c>
      <c r="P2161" t="inlineStr">
        <is>
          <t>NO</t>
        </is>
      </c>
      <c r="Q2161"/>
      <c r="R2161" t="inlineStr">
        <is>
          <t>NO</t>
        </is>
      </c>
      <c r="S2161" t="inlineStr">
        <is>
          <t>Confetti Blizzard (Loose Metallic Gold &amp; Black)</t>
        </is>
      </c>
      <c r="T2161">
        <v>2</v>
      </c>
      <c r="U2161">
        <v>8000</v>
      </c>
      <c r="V2161" t="inlineStr">
        <is>
          <t>PHP</t>
        </is>
      </c>
      <c r="W2161">
        <v>16000</v>
      </c>
      <c r="X2161" s="2"/>
      <c r="Y2161" t="inlineStr">
        <is>
          <t>Bank Transfer</t>
        </is>
      </c>
      <c r="Z2161" t="inlineStr">
        <is>
          <t>Confetti Effects, Inc.</t>
        </is>
      </c>
      <c r="AA2161" t="inlineStr">
        <is>
          <t>3221-0180-78</t>
        </is>
      </c>
      <c r="AB2161" t="inlineStr">
        <is>
          <t>BPI</t>
        </is>
      </c>
      <c r="AC2161" t="inlineStr">
        <is>
          <t>2550 New Panaderos St., Brgy. 885 Zone 097, Sta. Ana, Manila</t>
        </is>
      </c>
      <c r="AD2161" s="4">
        <v>46107</v>
      </c>
      <c r="AE2161" t="inlineStr">
        <is>
          <t>50% Down Payment upon confirmation
50% Final Payment upon completion of services</t>
        </is>
      </c>
      <c r="AF2161" s="2"/>
      <c r="AG2161" t="inlineStr">
        <is>
          <t>NzQyNTk5MTgyNzQ4MTg3MDM0MTpGNjk4RjM2Ny0xMTg2LTRGRUItQTNCQS1EODQwOEZBQjNGNTYtMTo4Y2U1YjM5YmFhZTI1NzdjMGM3MWNjZjdlYjA5NjIyNTox</t>
        </is>
      </c>
      <c r="AH2161" t="inlineStr">
        <is>
          <t>Confetti Effects, Inc.</t>
        </is>
      </c>
      <c r="AI2161"/>
      <c r="AJ2161" t="inlineStr">
        <is>
          <t>LIQUIDITY PLAN (PAR # 202602120015 / 2026TEG-P0037) - MAR 9 VERSION
PLAYOFFS &gt; STAGING &amp; STUDIO &gt;
Awarding &gt; 
Cryo
Confetti
Total Budget = Php 27,200.00
Actual Cost = Php 27,000.00
Balance = Php 200.00</t>
        </is>
      </c>
      <c r="AK2161"/>
    </row>
    <row r="2162" ht="25.5" customHeight="1">
      <c r="A2162" s="2" t="str">
        <f>=HYPERLINK("https://applink.larksuite.com/client/mini_program/open?appId=cli_9c7cc8a9a9edd105&amp;mode=appCenter&amp;path_pc=pc/pages/requested/index?instanceId=7621026484999851743&amp;source=bitable&amp;path=pages/detail/index?instanceId=7621026484999851743&amp;source=bitable", "202603250018")</f>
        <v>202603250018</v>
      </c>
      <c r="B2162" t="inlineStr">
        <is>
          <t>Approved</t>
        </is>
      </c>
      <c r="C2162" t="inlineStr">
        <is>
          <t>Procurement Order</t>
        </is>
      </c>
      <c r="D2162" s="3">
        <v>46106.46876157408</v>
      </c>
      <c r="E2162" s="3">
        <v>46106.47782407407</v>
      </c>
      <c r="F2162" t="inlineStr">
        <is>
          <t>Fatima Kathleen M. FLores</t>
        </is>
      </c>
      <c r="G2162" t="inlineStr">
        <is>
          <t>Procurement</t>
        </is>
      </c>
      <c r="H2162"/>
      <c r="I2162"/>
      <c r="J2162" t="inlineStr">
        <is>
          <t>Project</t>
        </is>
      </c>
      <c r="K2162" t="inlineStr">
        <is>
          <t>GG - Event Service</t>
        </is>
      </c>
      <c r="L2162" t="inlineStr">
        <is>
          <t>Philippine Kings League Spring Season 2026 (PKL)</t>
        </is>
      </c>
      <c r="M2162" t="inlineStr">
        <is>
          <t>2026TEG-P0037</t>
        </is>
      </c>
      <c r="N2162" t="inlineStr">
        <is>
          <t>Juvie Anne Asis Castres</t>
        </is>
      </c>
      <c r="O2162" t="inlineStr">
        <is>
          <t>202603140017-Juvie Anne Asis Castres-费用报销 - 副本 - 副本 - 副本-2026-03-14 11:58:02</t>
        </is>
      </c>
      <c r="P2162" t="inlineStr">
        <is>
          <t>NO</t>
        </is>
      </c>
      <c r="Q2162"/>
      <c r="R2162" t="inlineStr">
        <is>
          <t>NO</t>
        </is>
      </c>
      <c r="S2162" t="inlineStr">
        <is>
          <t>Cryo Jets Floor Mount</t>
        </is>
      </c>
      <c r="T2162">
        <v>2</v>
      </c>
      <c r="U2162">
        <v>4800</v>
      </c>
      <c r="V2162" t="inlineStr">
        <is>
          <t>PHP</t>
        </is>
      </c>
      <c r="W2162">
        <v>9600</v>
      </c>
      <c r="X2162" s="2"/>
      <c r="Y2162"/>
      <c r="Z2162"/>
      <c r="AA2162"/>
      <c r="AB2162"/>
      <c r="AC2162"/>
      <c r="AD2162" s="4"/>
      <c r="AE2162"/>
      <c r="AF2162" s="2"/>
      <c r="AG2162" t="inlineStr">
        <is>
          <t>NzQyNTk5MTgyNzQ4MTg3MDM0MTpGNjk4RjM2Ny0xMTg2LTRGRUItQTNCQS1EODQwOEZBQjNGNTYtMjplZTVlZTVlNGUyODZmMGE4NjVjN2VkMDJiYWJhY2UyMDox</t>
        </is>
      </c>
      <c r="AH2162"/>
      <c r="AI2162"/>
      <c r="AJ2162" t="inlineStr">
        <is>
          <t>LIQUIDITY PLAN (PAR # 202602120015 / 2026TEG-P0037) - MAR 9 VERSION
PLAYOFFS &gt; STAGING &amp; STUDIO &gt;
Awarding &gt; 
Cryo
Confetti
Total Budget = Php 27,200.00
Actual Cost = Php 27,000.00
Balance = Php 200.00</t>
        </is>
      </c>
      <c r="AK2162"/>
    </row>
    <row r="2163" ht="25.5" customHeight="1">
      <c r="A2163" s="2" t="str">
        <f>=HYPERLINK("https://applink.larksuite.com/client/mini_program/open?appId=cli_9c7cc8a9a9edd105&amp;mode=appCenter&amp;path_pc=pc/pages/requested/index?instanceId=7621026484999851743&amp;source=bitable&amp;path=pages/detail/index?instanceId=7621026484999851743&amp;source=bitable", "202603250018")</f>
        <v>202603250018</v>
      </c>
      <c r="B2163" t="inlineStr">
        <is>
          <t>Approved</t>
        </is>
      </c>
      <c r="C2163" t="inlineStr">
        <is>
          <t>Procurement Order</t>
        </is>
      </c>
      <c r="D2163" s="3">
        <v>46106.46876157408</v>
      </c>
      <c r="E2163" s="3">
        <v>46106.47782407407</v>
      </c>
      <c r="F2163" t="inlineStr">
        <is>
          <t>Fatima Kathleen M. FLores</t>
        </is>
      </c>
      <c r="G2163" t="inlineStr">
        <is>
          <t>Procurement</t>
        </is>
      </c>
      <c r="H2163"/>
      <c r="I2163"/>
      <c r="J2163" t="inlineStr">
        <is>
          <t>Project</t>
        </is>
      </c>
      <c r="K2163" t="inlineStr">
        <is>
          <t>GG - Event Service</t>
        </is>
      </c>
      <c r="L2163" t="inlineStr">
        <is>
          <t>Philippine Kings League Spring Season 2026 (PKL)</t>
        </is>
      </c>
      <c r="M2163" t="inlineStr">
        <is>
          <t>2026TEG-P0037</t>
        </is>
      </c>
      <c r="N2163" t="inlineStr">
        <is>
          <t>Juvie Anne Asis Castres</t>
        </is>
      </c>
      <c r="O2163" t="inlineStr">
        <is>
          <t>202603140017-Juvie Anne Asis Castres-费用报销 - 副本 - 副本 - 副本-2026-03-14 11:58:02</t>
        </is>
      </c>
      <c r="P2163" t="inlineStr">
        <is>
          <t>NO</t>
        </is>
      </c>
      <c r="Q2163"/>
      <c r="R2163" t="inlineStr">
        <is>
          <t>NO</t>
        </is>
      </c>
      <c r="S2163" t="inlineStr">
        <is>
          <t>Delivery and Installation</t>
        </is>
      </c>
      <c r="T2163">
        <v>1</v>
      </c>
      <c r="U2163">
        <v>1400</v>
      </c>
      <c r="V2163" t="inlineStr">
        <is>
          <t>PHP</t>
        </is>
      </c>
      <c r="W2163">
        <v>1400</v>
      </c>
      <c r="X2163" s="2" t="str">
        <f>=HYPERLINK("https://www.larksuite.com/approval/admin/previewAttachment?key=PMg9CgJBDAXgK-XnJZnnZWx2WGwUQWbAImcXLLb9cqjkCPWkgGoU7UpTscQAyRFa8LbWKkppRfZ8nvf13TuOeL3d1prR-3Gc86PBMpNywIeI6O1yLwBkQv5uvwAAAP__", "2 attachment(s)")</f>
        <v>2 attachment(s)</v>
      </c>
      <c r="Y2163"/>
      <c r="Z2163"/>
      <c r="AA2163"/>
      <c r="AB2163"/>
      <c r="AC2163"/>
      <c r="AD2163" s="4"/>
      <c r="AE2163"/>
      <c r="AF2163" s="2"/>
      <c r="AG2163" t="inlineStr">
        <is>
          <t>NzQyNTk5MTgyNzQ4MTg3MDM0MTpGNjk4RjM2Ny0xMTg2LTRGRUItQTNCQS1EODQwOEZBQjNGNTYtMzo1ZjBlMjFhYTBmYzIyMGIxNzFlMWE5NTI5NGFiYTEyNzox</t>
        </is>
      </c>
      <c r="AH2163"/>
      <c r="AI2163"/>
      <c r="AJ2163" t="inlineStr">
        <is>
          <t>LIQUIDITY PLAN (PAR # 202602120015 / 2026TEG-P0037) - MAR 9 VERSION
PLAYOFFS &gt; STAGING &amp; STUDIO &gt;
Awarding &gt; 
Cryo
Confetti
Total Budget = Php 27,200.00
Actual Cost = Php 27,000.00
Balance = Php 200.00</t>
        </is>
      </c>
      <c r="AK2163"/>
    </row>
    <row r="2164" ht="25.5" customHeight="1">
      <c r="A2164" s="2" t="str">
        <f>=HYPERLINK("https://applink.larksuite.com/client/mini_program/open?appId=cli_9c7cc8a9a9edd105&amp;mode=appCenter&amp;path_pc=pc/pages/requested/index?instanceId=7621115110837817053&amp;source=bitable&amp;path=pages/detail/index?instanceId=7621115110837817053&amp;source=bitable", "202603250111")</f>
        <v>202603250111</v>
      </c>
      <c r="B2164" t="inlineStr">
        <is>
          <t>Approved</t>
        </is>
      </c>
      <c r="C2164" t="inlineStr">
        <is>
          <t>Procurement Order</t>
        </is>
      </c>
      <c r="D2164" s="3">
        <v>46106.70759259259</v>
      </c>
      <c r="E2164" s="3">
        <v>46106.72493055555</v>
      </c>
      <c r="F2164" t="inlineStr">
        <is>
          <t>Fatima Kathleen M. FLores</t>
        </is>
      </c>
      <c r="G2164" t="inlineStr">
        <is>
          <t>Procurement</t>
        </is>
      </c>
      <c r="H2164"/>
      <c r="I2164"/>
      <c r="J2164" t="inlineStr">
        <is>
          <t>Project</t>
        </is>
      </c>
      <c r="K2164" t="inlineStr">
        <is>
          <t>GG - Event Service</t>
        </is>
      </c>
      <c r="L2164" t="inlineStr">
        <is>
          <t>PUBG Mobile 8th Anniversary Event</t>
        </is>
      </c>
      <c r="M2164" t="inlineStr">
        <is>
          <t>2026TEG-P0066</t>
        </is>
      </c>
      <c r="N2164" t="inlineStr">
        <is>
          <t>Randy Vince Fernandez Apura</t>
        </is>
      </c>
      <c r="O2164" t="inlineStr">
        <is>
          <t>202603250011-Randy Vince Fernandez Apura-费用报销 - 副本 - 副本 - 副本-2026-03-25 02:46:11</t>
        </is>
      </c>
      <c r="P2164" t="inlineStr">
        <is>
          <t>NO</t>
        </is>
      </c>
      <c r="Q2164"/>
      <c r="R2164" t="inlineStr">
        <is>
          <t>NO</t>
        </is>
      </c>
      <c r="S2164" t="inlineStr">
        <is>
          <t>Rental of Arcade Machines (Basketball, Mini Claw, Catch Stick)</t>
        </is>
      </c>
      <c r="T2164">
        <v>1</v>
      </c>
      <c r="U2164">
        <v>9500</v>
      </c>
      <c r="V2164" t="inlineStr">
        <is>
          <t>PHP</t>
        </is>
      </c>
      <c r="W2164">
        <v>9500</v>
      </c>
      <c r="X2164" s="2" t="str">
        <f>=HYPERLINK("https://www.larksuite.com/approval/admin/previewAttachment?key=PMgxDsJADATAL-3aPu-Zz9DkFEGRCkFo_HYkirSTk8g56FmIohXYSiM5SEzXpDC8rSkVRI3sdez3M8ziWHXyvT2_qz-PbV8vjpIZ5BE-AfB2uSsiqjLwd_wCAAD__w", "2 attachment(s)")</f>
        <v>2 attachment(s)</v>
      </c>
      <c r="Y2164" t="inlineStr">
        <is>
          <t>Bank Transfer</t>
        </is>
      </c>
      <c r="Z2164" t="inlineStr">
        <is>
          <t>Mirasol Yubia</t>
        </is>
      </c>
      <c r="AA2164" t="inlineStr">
        <is>
          <t>001571161951</t>
        </is>
      </c>
      <c r="AB2164" t="inlineStr">
        <is>
          <t>BDO</t>
        </is>
      </c>
      <c r="AC2164" t="inlineStr">
        <is>
          <t>1730 Santiago St., Quiricada, Manila</t>
        </is>
      </c>
      <c r="AD2164" s="4">
        <v>46107</v>
      </c>
      <c r="AE2164" t="inlineStr">
        <is>
          <t>50% Down Payment upon confirmation
50% Final Payment upon delivery of machines</t>
        </is>
      </c>
      <c r="AF2164" s="2" t="str">
        <f>=HYPERLINK("https://www.larksuite.com/approval/admin/previewAttachment?key=TMgrDsJgEATgK83se7kMpn8aEFUEitmzk6BqvygiyqnRsKY0OBlC0kmUZjHhOjLMbCTTY9ax308TsWP1yff2_K75PLZ9vRilAWs3YwPg7eIkujT07_gFAAD__w", "4 attachment(s)")</f>
        <v>4 attachment(s)</v>
      </c>
      <c r="AG2164" t="inlineStr">
        <is>
          <t>NzQyNTk5MTgyNzQ4MTg3MDM0MTo2QTMzRjA3OS1GRDQ1LTRDQ0MtQjlCRi1EMzRCOEJGNTc3RkItMTpiNTQzNmQwMTM4MTk4MzFlODZjZTZjNzFkZGI5MWZlYzox</t>
        </is>
      </c>
      <c r="AH2164" t="inlineStr">
        <is>
          <t>ARCADE RENTALS PHILIPPINES</t>
        </is>
      </c>
      <c r="AI2164"/>
      <c r="AJ2164" t="inlineStr">
        <is>
          <t>LIQUIDITY PLAN (PAR # 202603150011 / 202603150011) - AS OF 03/24/26
METRO MANILA LEG - MARCH 29, 2026 &gt;
MARKETING COLLATERAL &amp; VENUE SKINNING &gt;
Booth Activities &gt; Activity Booth - Arcade
Total Budget = Php 10,000.00
Actual Cost = Php 9,500.00
Balance = Php 500.00</t>
        </is>
      </c>
      <c r="AK2164"/>
    </row>
    <row r="2165" ht="25.5" customHeight="1">
      <c r="A2165" s="2" t="str">
        <f>=HYPERLINK("https://applink.larksuite.com/client/mini_program/open?appId=cli_9c7cc8a9a9edd105&amp;mode=appCenter&amp;path_pc=pc/pages/requested/index?instanceId=7621118496201510622&amp;source=bitable&amp;path=pages/detail/index?instanceId=7621118496201510622&amp;source=bitable", "202603250115")</f>
        <v>202603250115</v>
      </c>
      <c r="B2165" t="inlineStr">
        <is>
          <t>Approved</t>
        </is>
      </c>
      <c r="C2165" t="inlineStr">
        <is>
          <t>Procurement Order</t>
        </is>
      </c>
      <c r="D2165" s="3">
        <v>46106.71671296296</v>
      </c>
      <c r="E2165" s="3">
        <v>46107.669583333336</v>
      </c>
      <c r="F2165" t="inlineStr">
        <is>
          <t>Fatima Kathleen M. FLores</t>
        </is>
      </c>
      <c r="G2165" t="inlineStr">
        <is>
          <t>Procurement</t>
        </is>
      </c>
      <c r="H2165"/>
      <c r="I2165"/>
      <c r="J2165" t="inlineStr">
        <is>
          <t>Project</t>
        </is>
      </c>
      <c r="K2165" t="inlineStr">
        <is>
          <t>GG - Event Service</t>
        </is>
      </c>
      <c r="L2165" t="inlineStr">
        <is>
          <t>PUBG Mobile 8th Anniversary Event</t>
        </is>
      </c>
      <c r="M2165" t="inlineStr">
        <is>
          <t>2026TEG-P0066</t>
        </is>
      </c>
      <c r="N2165" t="inlineStr">
        <is>
          <t>Randy Vince Fernandez Apura</t>
        </is>
      </c>
      <c r="O2165" t="inlineStr">
        <is>
          <t>202603170022-Randy Vince Fernandez Apura-费用报销 - 副本 - 副本 - 副本-2026-03-17 01:47:06</t>
        </is>
      </c>
      <c r="P2165" t="inlineStr">
        <is>
          <t>YES</t>
        </is>
      </c>
      <c r="Q2165"/>
      <c r="R2165" t="inlineStr">
        <is>
          <t>YES</t>
        </is>
      </c>
      <c r="S2165" t="inlineStr">
        <is>
          <t>Outsourced Host / Caster (Davao)</t>
        </is>
      </c>
      <c r="T2165">
        <v>1</v>
      </c>
      <c r="U2165">
        <v>10900</v>
      </c>
      <c r="V2165" t="inlineStr">
        <is>
          <t>PHP</t>
        </is>
      </c>
      <c r="W2165">
        <v>10900</v>
      </c>
      <c r="X2165" s="2" t="str">
        <f>=HYPERLINK("https://www.larksuite.com/approval/admin/previewAttachment?key=PMg7DgIxEAPQK9kTZ5zhMjREKwpSIfEpcnYkim1fDiJHZ8uCilHgdgbJocoAO5EROzbtgumee67jaq7FL0KPN-dH-3W_HfPJXo6Am9QGAF5Ob5ZUlcLf8QsAAP__", "2 attachment(s)")</f>
        <v>2 attachment(s)</v>
      </c>
      <c r="Y2165" t="inlineStr">
        <is>
          <t>Bank Transfer</t>
        </is>
      </c>
      <c r="Z2165" t="inlineStr">
        <is>
          <t>Stephen Paul C. Flores</t>
        </is>
      </c>
      <c r="AA2165" t="inlineStr">
        <is>
          <t>2019118234</t>
        </is>
      </c>
      <c r="AB2165" t="inlineStr">
        <is>
          <t>BPI</t>
        </is>
      </c>
      <c r="AC2165" t="inlineStr">
        <is>
          <t>#455 Adela Subdivision, Camaman.an, CDOC</t>
        </is>
      </c>
      <c r="AD2165" s="4">
        <v>46108</v>
      </c>
      <c r="AE2165" t="inlineStr">
        <is>
          <t>LIQUIDITY PLAN (PAR # 202603150011 / 2026TEG-P0066)
MINDANAO LEG - MARCH 22, 2026 &gt; 
MARKETING COLLATERAL &amp; VENUE SKINNING &gt;
Cosplayer &gt; Cosplayer
Total Budget = Php 10,000.00
Actual Cost = Php 10,900.00
Balance = (Php 900.00) OVER BUDGET</t>
        </is>
      </c>
      <c r="AF2165" s="2"/>
      <c r="AG2165" t="inlineStr">
        <is>
          <t>NzQyNTk5MTgyNzQ4MTg3MDM0MTo3MTU2NzlFRS0yQTc4LTRCQzUtQTM3RC05OUE1Nzc5MDM0MjUtMToxNWNkYWMyZTQyZGFjMGMzMzM4YWQ1N2JjZDYwMzI1Nzox</t>
        </is>
      </c>
      <c r="AH2165" t="inlineStr">
        <is>
          <t>Stephen Paul C. Flores</t>
        </is>
      </c>
      <c r="AI2165"/>
      <c r="AJ2165" t="inlineStr">
        <is>
          <t>LIQUIDITY PLAN (PAR # 202603150011 / 2026TEG-P0066)
MINDANAO LEG - MARCH 22, 2026 &gt; 
MARKETING COLLATERAL &amp; VENUE SKINNING &gt;
Cosplayer &gt; Cosplayer
Total Budget = Php 10,000.00
Actual Cost = Php 10,900.00
Balance = (Php 900.00) OVER BUDGET</t>
        </is>
      </c>
      <c r="AK2165"/>
    </row>
    <row r="2166" ht="25.5" customHeight="1">
      <c r="A2166" s="2" t="str">
        <f>=HYPERLINK("https://applink.larksuite.com/client/mini_program/open?appId=cli_9c7cc8a9a9edd105&amp;mode=appCenter&amp;path_pc=pc/pages/requested/index?instanceId=7621126366280306396&amp;source=bitable&amp;path=pages/detail/index?instanceId=7621126366280306396&amp;source=bitable", "202603250129")</f>
        <v>202603250129</v>
      </c>
      <c r="B2166" t="inlineStr">
        <is>
          <t>Approved</t>
        </is>
      </c>
      <c r="C2166" t="inlineStr">
        <is>
          <t>Procurement Order</t>
        </is>
      </c>
      <c r="D2166" s="3">
        <v>46106.73792824074</v>
      </c>
      <c r="E2166" s="3">
        <v>46106.74883101852</v>
      </c>
      <c r="F2166" t="inlineStr">
        <is>
          <t>Fatima Kathleen M. FLores</t>
        </is>
      </c>
      <c r="G2166" t="inlineStr">
        <is>
          <t>Procurement</t>
        </is>
      </c>
      <c r="H2166"/>
      <c r="I2166"/>
      <c r="J2166" t="inlineStr">
        <is>
          <t>Project</t>
        </is>
      </c>
      <c r="K2166" t="inlineStr">
        <is>
          <t>GG - Event Service</t>
        </is>
      </c>
      <c r="L2166" t="inlineStr">
        <is>
          <t>PUBG Mobile 8th Anniversary Event</t>
        </is>
      </c>
      <c r="M2166" t="inlineStr">
        <is>
          <t>2026TEG-P0066</t>
        </is>
      </c>
      <c r="N2166" t="inlineStr">
        <is>
          <t>Randy Vince Fernandez Apura</t>
        </is>
      </c>
      <c r="O2166" t="inlineStr">
        <is>
          <t>202603160102-Randy Vince Fernandez Apura-费用报销 - 副本 - 副本 - 副本-2026-03-16 09:42:04</t>
        </is>
      </c>
      <c r="P2166" t="inlineStr">
        <is>
          <t>NO</t>
        </is>
      </c>
      <c r="Q2166"/>
      <c r="R2166" t="inlineStr">
        <is>
          <t>NO</t>
        </is>
      </c>
      <c r="S2166" t="inlineStr">
        <is>
          <t>Stamp Cards (300GSM Cards)</t>
        </is>
      </c>
      <c r="T2166">
        <v>180</v>
      </c>
      <c r="U2166">
        <v>15</v>
      </c>
      <c r="V2166" t="inlineStr">
        <is>
          <t>PHP</t>
        </is>
      </c>
      <c r="W2166">
        <v>2700</v>
      </c>
      <c r="X2166" s="2" t="str">
        <f>=HYPERLINK("https://www.larksuite.com/approval/admin/previewAttachment?key=PMg7CgJBEATQK1V_pnrKy5i4LAozkbBGfXbBwPRxGjiHBYWUuWBddDNnkD4RYIjtbVVCWQ32sc87Yq34SK-6tu_V1_NxHm8bKndUZMYEYLe_R2WmxMTP8Q0AAP__", "2 attachment(s)")</f>
        <v>2 attachment(s)</v>
      </c>
      <c r="Y2166" t="inlineStr">
        <is>
          <t>Bank Transfer</t>
        </is>
      </c>
      <c r="Z2166" t="inlineStr">
        <is>
          <t>MICHAEL QUIJADA PRINTING SERVICES</t>
        </is>
      </c>
      <c r="AA2166" t="inlineStr">
        <is>
          <t>002760012214</t>
        </is>
      </c>
      <c r="AB2166" t="inlineStr">
        <is>
          <t>Unionbank</t>
        </is>
      </c>
      <c r="AC2166" t="inlineStr">
        <is>
          <t>427-1 V. Rama Street, Guadalupe, Cebu City</t>
        </is>
      </c>
      <c r="AD2166" s="4">
        <v>46107</v>
      </c>
      <c r="AE2166" t="inlineStr">
        <is>
          <t>100% Full Payment</t>
        </is>
      </c>
      <c r="AF2166" s="2" t="str">
        <f>=HYPERLINK("https://www.larksuite.com/approval/admin/previewAttachment?key=TMgxCgIxFATQK838n8zPeBkbl0UhqYS1ytkFK9unQWh0poxmhsFdCjKUUgwklNaOzSqjWF37WOcdOWd-7FddK9bc1_NxHm9qpNDcW6MB8PbnJDxS-XN8AwAA__8", "4 attachment(s)")</f>
        <v>4 attachment(s)</v>
      </c>
      <c r="AG2166" t="inlineStr">
        <is>
          <t>NzQyNTk5MTgyNzQ4MTg3MDM0MTpCQzdEM0Q2OS02MjM0LTRBRkItQTcwRi1FQjlERDkzQTRGQzUtMTo0ZjhmOTYzNGJiYTU4ZDQyYWNlNjg0ODc5NzM1YzRiZTox</t>
        </is>
      </c>
      <c r="AH2166" t="inlineStr">
        <is>
          <t>MQ Printing Services</t>
        </is>
      </c>
      <c r="AI2166"/>
      <c r="AJ2166" t="inlineStr">
        <is>
          <t>LIQUIDITY PLAN (PAR # 202603150011 / 2026TEG-P0066)
VISAYAS LEG - MARCH 21, 2026 &gt; MARKETING COLLATERAL &amp; VENUE SKINNING &gt;
Print &amp; Collaterals &gt; Stamp Cards
Total Budget = Php 9,000.00
Actual Cost = Php 3,510.00
Balance = Php 5,490.00</t>
        </is>
      </c>
      <c r="AK2166"/>
    </row>
    <row r="2167" ht="25.5" customHeight="1">
      <c r="A2167" s="2" t="str">
        <f>=HYPERLINK("https://applink.larksuite.com/client/mini_program/open?appId=cli_9c7cc8a9a9edd105&amp;mode=appCenter&amp;path_pc=pc/pages/requested/index?instanceId=7621126366280306396&amp;source=bitable&amp;path=pages/detail/index?instanceId=7621126366280306396&amp;source=bitable", "202603250129")</f>
        <v>202603250129</v>
      </c>
      <c r="B2167" t="inlineStr">
        <is>
          <t>Approved</t>
        </is>
      </c>
      <c r="C2167" t="inlineStr">
        <is>
          <t>Procurement Order</t>
        </is>
      </c>
      <c r="D2167" s="3">
        <v>46106.73792824074</v>
      </c>
      <c r="E2167" s="3">
        <v>46106.74883101852</v>
      </c>
      <c r="F2167" t="inlineStr">
        <is>
          <t>Fatima Kathleen M. FLores</t>
        </is>
      </c>
      <c r="G2167" t="inlineStr">
        <is>
          <t>Procurement</t>
        </is>
      </c>
      <c r="H2167"/>
      <c r="I2167"/>
      <c r="J2167" t="inlineStr">
        <is>
          <t>Project</t>
        </is>
      </c>
      <c r="K2167" t="inlineStr">
        <is>
          <t>GG - Event Service</t>
        </is>
      </c>
      <c r="L2167" t="inlineStr">
        <is>
          <t>PUBG Mobile 8th Anniversary Event</t>
        </is>
      </c>
      <c r="M2167" t="inlineStr">
        <is>
          <t>2026TEG-P0066</t>
        </is>
      </c>
      <c r="N2167" t="inlineStr">
        <is>
          <t>Randy Vince Fernandez Apura</t>
        </is>
      </c>
      <c r="O2167" t="inlineStr">
        <is>
          <t>202603160102-Randy Vince Fernandez Apura-费用报销 - 副本 - 副本 - 副本-2026-03-16 09:42:04</t>
        </is>
      </c>
      <c r="P2167" t="inlineStr">
        <is>
          <t>NO</t>
        </is>
      </c>
      <c r="Q2167"/>
      <c r="R2167" t="inlineStr">
        <is>
          <t>NO</t>
        </is>
      </c>
      <c r="S2167" t="inlineStr">
        <is>
          <t>Rush Fee</t>
        </is>
      </c>
      <c r="T2167">
        <v>1</v>
      </c>
      <c r="U2167">
        <v>810</v>
      </c>
      <c r="V2167" t="inlineStr">
        <is>
          <t>PHP</t>
        </is>
      </c>
      <c r="W2167">
        <v>810</v>
      </c>
      <c r="X2167" s="2"/>
      <c r="Y2167"/>
      <c r="Z2167"/>
      <c r="AA2167"/>
      <c r="AB2167"/>
      <c r="AC2167"/>
      <c r="AD2167" s="4"/>
      <c r="AE2167"/>
      <c r="AF2167" s="2"/>
      <c r="AG2167" t="inlineStr">
        <is>
          <t>NzQyNTk5MTgyNzQ4MTg3MDM0MTpCQzdEM0Q2OS02MjM0LTRBRkItQTcwRi1FQjlERDkzQTRGQzUtMjozNDY0YTczYjIyNzY0OGM0MTk0N2Q3YzliNzcxMTE2ODox</t>
        </is>
      </c>
      <c r="AH2167"/>
      <c r="AI2167"/>
      <c r="AJ2167" t="inlineStr">
        <is>
          <t>LIQUIDITY PLAN (PAR # 202603150011 / 2026TEG-P0066)
VISAYAS LEG - MARCH 21, 2026 &gt; MARKETING COLLATERAL &amp; VENUE SKINNING &gt;
Print &amp; Collaterals &gt; Stamp Cards
Total Budget = Php 9,000.00
Actual Cost = Php 3,510.00
Balance = Php 5,490.00</t>
        </is>
      </c>
      <c r="AK2167"/>
    </row>
    <row r="2168" ht="25.5" customHeight="1">
      <c r="A2168" s="2" t="str">
        <f>=HYPERLINK("https://applink.larksuite.com/client/mini_program/open?appId=cli_9c7cc8a9a9edd105&amp;mode=appCenter&amp;path_pc=pc/pages/requested/index?instanceId=7621406777004347103&amp;source=bitable&amp;path=pages/detail/index?instanceId=7621406777004347103&amp;source=bitable", "202603260023")</f>
        <v>202603260023</v>
      </c>
      <c r="B2168" t="inlineStr">
        <is>
          <t>Approved</t>
        </is>
      </c>
      <c r="C2168" t="inlineStr">
        <is>
          <t>Procurement Order</t>
        </is>
      </c>
      <c r="D2168" s="3">
        <v>46107.493576388886</v>
      </c>
      <c r="E2168" s="3">
        <v>46107.68666666667</v>
      </c>
      <c r="F2168" t="inlineStr">
        <is>
          <t>Fatima Kathleen M. FLores</t>
        </is>
      </c>
      <c r="G2168" t="inlineStr">
        <is>
          <t>Procurement</t>
        </is>
      </c>
      <c r="H2168"/>
      <c r="I2168"/>
      <c r="J2168" t="inlineStr">
        <is>
          <t>Project</t>
        </is>
      </c>
      <c r="K2168" t="inlineStr">
        <is>
          <t>GG - Event Service</t>
        </is>
      </c>
      <c r="L2168" t="inlineStr">
        <is>
          <t>PUBG Mobile 8th Anniversary Event</t>
        </is>
      </c>
      <c r="M2168" t="inlineStr">
        <is>
          <t>2026TEG-P0066</t>
        </is>
      </c>
      <c r="N2168" t="inlineStr">
        <is>
          <t>Randy Vince Fernandez Apura</t>
        </is>
      </c>
      <c r="O2168" t="inlineStr">
        <is>
          <t>202603180028-Randy Vince Fernandez Apura-费用报销 - 副本 - 副本 - 副本-2026-03-18 05:12:22</t>
        </is>
      </c>
      <c r="P2168" t="inlineStr">
        <is>
          <t>NO</t>
        </is>
      </c>
      <c r="Q2168"/>
      <c r="R2168" t="inlineStr">
        <is>
          <t>YES</t>
        </is>
      </c>
      <c r="S2168" t="inlineStr">
        <is>
          <t>Venue Rental - Activity Center (Mar. 28, 2026)</t>
        </is>
      </c>
      <c r="T2168">
        <v>1</v>
      </c>
      <c r="U2168">
        <v>81900</v>
      </c>
      <c r="V2168" t="inlineStr">
        <is>
          <t>PHP</t>
        </is>
      </c>
      <c r="W2168">
        <v>81900</v>
      </c>
      <c r="X2168" s="2"/>
      <c r="Y2168" t="inlineStr">
        <is>
          <t>Bank Transfer</t>
        </is>
      </c>
      <c r="Z2168" t="inlineStr">
        <is>
          <t>ACCENDO COMMERCIAL CORP.</t>
        </is>
      </c>
      <c r="AA2168" t="inlineStr">
        <is>
          <t>8091-0069-88</t>
        </is>
      </c>
      <c r="AB2168" t="inlineStr">
        <is>
          <t>BPI</t>
        </is>
      </c>
      <c r="AC2168" t="inlineStr">
        <is>
          <t>Poblacion West, Bajada Brgy. 20-B, Davao City</t>
        </is>
      </c>
      <c r="AD2168" s="4">
        <v>46108</v>
      </c>
      <c r="AE2168" t="inlineStr">
        <is>
          <t>50% Down Payment upon confirmation
50% Final Payment upon end of event</t>
        </is>
      </c>
      <c r="AF2168" s="2" t="str">
        <f>=HYPERLINK("https://www.larksuite.com/approval/admin/previewAttachment?key=TMg9CgJRDATgK81sfibxMjY-HiosCIJdzi5Y2X5ZRFbQsuHNo8FRHnSkJMDNRdgcQ6khKnLWua_9jKjXOv0h34b53G97vZllCe9wZwPg5c9JdFnaz_ENAAD__w", "3 attachment(s)")</f>
        <v>3 attachment(s)</v>
      </c>
      <c r="AG2168" t="inlineStr">
        <is>
          <t>NzQyNTk5MTgyNzQ4MTg3MDM0MTpFODFCRDVFRi05RDYxLTRDRUEtODlCNS0xMzk2OEUzMDUyOTYtMTplYjdiMGMzZGZjNzVlN2RkMjBjY2M1YTI0YzE2NmMxMzox</t>
        </is>
      </c>
      <c r="AH2168" t="inlineStr">
        <is>
          <t>Ayala Malls Abreeza</t>
        </is>
      </c>
      <c r="AI2168"/>
      <c r="AJ2168" t="inlineStr">
        <is>
          <t>LIQUIDITY PLAN (PAR # 202603150011 / 2026TEG-P0066)
MINDANAO LEG - MARCH 22, 2026 &gt; 
RENTAL &amp; EQUIPMENT &gt; Venue Rental &amp; Utilities &gt;
Venue Rental - Ayala Malls Abreeza
LED Wall &gt; 9ft x 12ft LED Wall
Audio, Sound and Lights Equipment &gt; Basic Package 
Total Budget = Php 124,000.00
Actual Cost = Php 157,724.00
Balance = (Php 33,724.00) OVER BUDGET</t>
        </is>
      </c>
      <c r="AK2168"/>
    </row>
    <row r="2169" ht="25.5" customHeight="1">
      <c r="A2169" s="2" t="str">
        <f>=HYPERLINK("https://applink.larksuite.com/client/mini_program/open?appId=cli_9c7cc8a9a9edd105&amp;mode=appCenter&amp;path_pc=pc/pages/requested/index?instanceId=7621406777004347103&amp;source=bitable&amp;path=pages/detail/index?instanceId=7621406777004347103&amp;source=bitable", "202603260023")</f>
        <v>202603260023</v>
      </c>
      <c r="B2169" t="inlineStr">
        <is>
          <t>Approved</t>
        </is>
      </c>
      <c r="C2169" t="inlineStr">
        <is>
          <t>Procurement Order</t>
        </is>
      </c>
      <c r="D2169" s="3">
        <v>46107.493576388886</v>
      </c>
      <c r="E2169" s="3">
        <v>46107.68666666667</v>
      </c>
      <c r="F2169" t="inlineStr">
        <is>
          <t>Fatima Kathleen M. FLores</t>
        </is>
      </c>
      <c r="G2169" t="inlineStr">
        <is>
          <t>Procurement</t>
        </is>
      </c>
      <c r="H2169"/>
      <c r="I2169"/>
      <c r="J2169" t="inlineStr">
        <is>
          <t>Project</t>
        </is>
      </c>
      <c r="K2169" t="inlineStr">
        <is>
          <t>GG - Event Service</t>
        </is>
      </c>
      <c r="L2169" t="inlineStr">
        <is>
          <t>PUBG Mobile 8th Anniversary Event</t>
        </is>
      </c>
      <c r="M2169" t="inlineStr">
        <is>
          <t>2026TEG-P0066</t>
        </is>
      </c>
      <c r="N2169" t="inlineStr">
        <is>
          <t>Randy Vince Fernandez Apura</t>
        </is>
      </c>
      <c r="O2169" t="inlineStr">
        <is>
          <t>202603180028-Randy Vince Fernandez Apura-费用报销 - 副本 - 副本 - 副本-2026-03-18 05:12:22</t>
        </is>
      </c>
      <c r="P2169" t="inlineStr">
        <is>
          <t>NO</t>
        </is>
      </c>
      <c r="Q2169"/>
      <c r="R2169" t="inlineStr">
        <is>
          <t>YES</t>
        </is>
      </c>
      <c r="S2169" t="inlineStr">
        <is>
          <t>Incidental Fees (inclusive of LED Wall, Lights &amp; Sounds, Ingress &amp; Egress, Dressing Room)</t>
        </is>
      </c>
      <c r="T2169">
        <v>1</v>
      </c>
      <c r="U2169">
        <v>60032</v>
      </c>
      <c r="V2169" t="inlineStr">
        <is>
          <t>PHP</t>
        </is>
      </c>
      <c r="W2169">
        <v>60032</v>
      </c>
      <c r="X2169" s="2"/>
      <c r="Y2169"/>
      <c r="Z2169"/>
      <c r="AA2169"/>
      <c r="AB2169"/>
      <c r="AC2169"/>
      <c r="AD2169" s="4"/>
      <c r="AE2169"/>
      <c r="AF2169" s="2"/>
      <c r="AG2169" t="inlineStr">
        <is>
          <t>NzQyNTk5MTgyNzQ4MTg3MDM0MTpFODFCRDVFRi05RDYxLTRDRUEtODlCNS0xMzk2OEUzMDUyOTYtMjpmYWZiMmY1MjNlNTkyMTkzMGI0MThhNGU5NGUzYTVkMTox</t>
        </is>
      </c>
      <c r="AH2169"/>
      <c r="AI2169"/>
      <c r="AJ2169" t="inlineStr">
        <is>
          <t>LIQUIDITY PLAN (PAR # 202603150011 / 2026TEG-P0066)
MINDANAO LEG - MARCH 22, 2026 &gt; 
RENTAL &amp; EQUIPMENT &gt; Venue Rental &amp; Utilities &gt;
Venue Rental - Ayala Malls Abreeza
LED Wall &gt; 9ft x 12ft LED Wall
Audio, Sound and Lights Equipment &gt; Basic Package 
Total Budget = Php 124,000.00
Actual Cost = Php 157,724.00
Balance = (Php 33,724.00) OVER BUDGET</t>
        </is>
      </c>
      <c r="AK2169"/>
    </row>
    <row r="2170" ht="25.5" customHeight="1">
      <c r="A2170" s="2" t="str">
        <f>=HYPERLINK("https://applink.larksuite.com/client/mini_program/open?appId=cli_9c7cc8a9a9edd105&amp;mode=appCenter&amp;path_pc=pc/pages/requested/index?instanceId=7621406777004347103&amp;source=bitable&amp;path=pages/detail/index?instanceId=7621406777004347103&amp;source=bitable", "202603260023")</f>
        <v>202603260023</v>
      </c>
      <c r="B2170" t="inlineStr">
        <is>
          <t>Approved</t>
        </is>
      </c>
      <c r="C2170" t="inlineStr">
        <is>
          <t>Procurement Order</t>
        </is>
      </c>
      <c r="D2170" s="3">
        <v>46107.493576388886</v>
      </c>
      <c r="E2170" s="3">
        <v>46107.68666666667</v>
      </c>
      <c r="F2170" t="inlineStr">
        <is>
          <t>Fatima Kathleen M. FLores</t>
        </is>
      </c>
      <c r="G2170" t="inlineStr">
        <is>
          <t>Procurement</t>
        </is>
      </c>
      <c r="H2170"/>
      <c r="I2170"/>
      <c r="J2170" t="inlineStr">
        <is>
          <t>Project</t>
        </is>
      </c>
      <c r="K2170" t="inlineStr">
        <is>
          <t>GG - Event Service</t>
        </is>
      </c>
      <c r="L2170" t="inlineStr">
        <is>
          <t>PUBG Mobile 8th Anniversary Event</t>
        </is>
      </c>
      <c r="M2170" t="inlineStr">
        <is>
          <t>2026TEG-P0066</t>
        </is>
      </c>
      <c r="N2170" t="inlineStr">
        <is>
          <t>Randy Vince Fernandez Apura</t>
        </is>
      </c>
      <c r="O2170" t="inlineStr">
        <is>
          <t>202603180028-Randy Vince Fernandez Apura-费用报销 - 副本 - 副本 - 副本-2026-03-18 05:12:22</t>
        </is>
      </c>
      <c r="P2170" t="inlineStr">
        <is>
          <t>NO</t>
        </is>
      </c>
      <c r="Q2170"/>
      <c r="R2170" t="inlineStr">
        <is>
          <t>YES</t>
        </is>
      </c>
      <c r="S2170" t="inlineStr">
        <is>
          <t>Manpower (Security &amp; Janitorial) &amp; Electricity</t>
        </is>
      </c>
      <c r="T2170">
        <v>1</v>
      </c>
      <c r="U2170">
        <v>15792</v>
      </c>
      <c r="V2170" t="inlineStr">
        <is>
          <t>PHP</t>
        </is>
      </c>
      <c r="W2170">
        <v>15792</v>
      </c>
      <c r="X2170" s="2" t="str">
        <f>=HYPERLINK("https://www.larksuite.com/approval/admin/previewAttachment?key=PMgxCkIxEATQK83sTnayXsbGT1DhgyDY5eyChe2rSdQczGqoGQ1uV1Ao24BSJnLHpt0wPWof57r2c4z5Ok49rJXYn_ttHW-OdgScUk4AvPw9Lam7hJ_HNwAA__8", "2 attachment(s)")</f>
        <v>2 attachment(s)</v>
      </c>
      <c r="Y2170"/>
      <c r="Z2170"/>
      <c r="AA2170"/>
      <c r="AB2170"/>
      <c r="AC2170"/>
      <c r="AD2170" s="4"/>
      <c r="AE2170"/>
      <c r="AF2170" s="2"/>
      <c r="AG2170" t="inlineStr">
        <is>
          <t>NzQyNTk5MTgyNzQ4MTg3MDM0MTpFODFCRDVFRi05RDYxLTRDRUEtODlCNS0xMzk2OEUzMDUyOTYtMzozMjQwODZlNTliMzU3YjcwYjllOWJjNDZhNTJlMjY5Mzox</t>
        </is>
      </c>
      <c r="AH2170"/>
      <c r="AI2170"/>
      <c r="AJ2170" t="inlineStr">
        <is>
          <t>LIQUIDITY PLAN (PAR # 202603150011 / 2026TEG-P0066)
MINDANAO LEG - MARCH 22, 2026 &gt; 
RENTAL &amp; EQUIPMENT &gt; Venue Rental &amp; Utilities &gt;
Venue Rental - Ayala Malls Abreeza
LED Wall &gt; 9ft x 12ft LED Wall
Audio, Sound and Lights Equipment &gt; Basic Package 
Total Budget = Php 124,000.00
Actual Cost = Php 157,724.00
Balance = (Php 33,724.00) OVER BUDGET</t>
        </is>
      </c>
      <c r="AK2170"/>
    </row>
    <row r="2171" ht="25.5" customHeight="1">
      <c r="A2171" s="2" t="str">
        <f>=HYPERLINK("https://applink.larksuite.com/client/mini_program/open?appId=cli_9c7cc8a9a9edd105&amp;mode=appCenter&amp;path_pc=pc/pages/requested/index?instanceId=7621413382739578591&amp;source=bitable&amp;path=pages/detail/index?instanceId=7621413382739578591&amp;source=bitable", "202603260027")</f>
        <v>202603260027</v>
      </c>
      <c r="B2171" t="inlineStr">
        <is>
          <t>Approved</t>
        </is>
      </c>
      <c r="C2171" t="inlineStr">
        <is>
          <t>Procurement Order</t>
        </is>
      </c>
      <c r="D2171" s="3">
        <v>46107.51137731481</v>
      </c>
      <c r="E2171" s="3">
        <v>46111.607766203706</v>
      </c>
      <c r="F2171" t="inlineStr">
        <is>
          <t>Fatima Kathleen M. FLores</t>
        </is>
      </c>
      <c r="G2171" t="inlineStr">
        <is>
          <t>Procurement</t>
        </is>
      </c>
      <c r="H2171"/>
      <c r="I2171"/>
      <c r="J2171" t="inlineStr">
        <is>
          <t>GAE</t>
        </is>
      </c>
      <c r="K2171"/>
      <c r="L2171"/>
      <c r="M2171"/>
      <c r="N2171"/>
      <c r="O2171" t="inlineStr">
        <is>
          <t>202603240001-Bernadeth Español Villaflor-费用报销 - 副本 - 副本 - 副本-2026-03-24 00:12:15</t>
        </is>
      </c>
      <c r="P2171"/>
      <c r="Q2171" t="inlineStr">
        <is>
          <t>Mineski PH</t>
        </is>
      </c>
      <c r="R2171"/>
      <c r="S2171" t="inlineStr">
        <is>
          <t>Battery Replacement of APC BVX1200 (12V Battery)</t>
        </is>
      </c>
      <c r="T2171">
        <v>18</v>
      </c>
      <c r="U2171">
        <v>1300</v>
      </c>
      <c r="V2171" t="inlineStr">
        <is>
          <t>PHP</t>
        </is>
      </c>
      <c r="W2171">
        <v>23400</v>
      </c>
      <c r="X2171" s="2"/>
      <c r="Y2171" t="inlineStr">
        <is>
          <t>Bank Transfer</t>
        </is>
      </c>
      <c r="Z2171" t="inlineStr">
        <is>
          <t>JESJS INFORMATION TECHNOLOGY SERVICES</t>
        </is>
      </c>
      <c r="AA2171" t="inlineStr">
        <is>
          <t>3303-2050-03</t>
        </is>
      </c>
      <c r="AB2171" t="inlineStr">
        <is>
          <t>BPI</t>
        </is>
      </c>
      <c r="AC2171" t="inlineStr">
        <is>
          <t>#29 Acacia St., Feria Road, Brgy. Matandang Balara, Quezon City</t>
        </is>
      </c>
      <c r="AD2171" s="4">
        <v>46108</v>
      </c>
      <c r="AE2171" t="inlineStr">
        <is>
          <t>100% Full Payment upon completion of services</t>
        </is>
      </c>
      <c r="AF2171" s="2"/>
      <c r="AG2171" t="inlineStr">
        <is>
          <t>NzQyNTk5MTgyNzQ4MTg3MDM0MTpGQzc0RTYwNi0yQUFGLTQ1NzUtQjYzQy0xODRDQjVGNDE1MDItMTpiZWFmOTZkMjAyOWI1YTNiZGVmYzliZTY3NmVhMjg2ODox</t>
        </is>
      </c>
      <c r="AH2171" t="inlineStr">
        <is>
          <t>JESJS INFORMATION TECHNOLOGY SERVICES</t>
        </is>
      </c>
      <c r="AI2171"/>
      <c r="AJ2171"/>
      <c r="AK2171" t="inlineStr">
        <is>
          <t>Bernadeth Español Villaflor</t>
        </is>
      </c>
    </row>
    <row r="2172" ht="25.5" customHeight="1">
      <c r="A2172" s="2" t="str">
        <f>=HYPERLINK("https://applink.larksuite.com/client/mini_program/open?appId=cli_9c7cc8a9a9edd105&amp;mode=appCenter&amp;path_pc=pc/pages/requested/index?instanceId=7621413382739578591&amp;source=bitable&amp;path=pages/detail/index?instanceId=7621413382739578591&amp;source=bitable", "202603260027")</f>
        <v>202603260027</v>
      </c>
      <c r="B2172" t="inlineStr">
        <is>
          <t>Approved</t>
        </is>
      </c>
      <c r="C2172" t="inlineStr">
        <is>
          <t>Procurement Order</t>
        </is>
      </c>
      <c r="D2172" s="3">
        <v>46107.51137731481</v>
      </c>
      <c r="E2172" s="3">
        <v>46111.607766203706</v>
      </c>
      <c r="F2172" t="inlineStr">
        <is>
          <t>Fatima Kathleen M. FLores</t>
        </is>
      </c>
      <c r="G2172" t="inlineStr">
        <is>
          <t>Procurement</t>
        </is>
      </c>
      <c r="H2172"/>
      <c r="I2172"/>
      <c r="J2172" t="inlineStr">
        <is>
          <t>GAE</t>
        </is>
      </c>
      <c r="K2172"/>
      <c r="L2172"/>
      <c r="M2172"/>
      <c r="N2172"/>
      <c r="O2172" t="inlineStr">
        <is>
          <t>202603240001-Bernadeth Español Villaflor-费用报销 - 副本 - 副本 - 副本-2026-03-24 00:12:15</t>
        </is>
      </c>
      <c r="P2172"/>
      <c r="Q2172" t="inlineStr">
        <is>
          <t>Mineski PH</t>
        </is>
      </c>
      <c r="R2172"/>
      <c r="S2172" t="inlineStr">
        <is>
          <t>Labor Charges (Battery installation, checking and testing)</t>
        </is>
      </c>
      <c r="T2172">
        <v>18</v>
      </c>
      <c r="U2172">
        <v>900</v>
      </c>
      <c r="V2172" t="inlineStr">
        <is>
          <t>PHP</t>
        </is>
      </c>
      <c r="W2172">
        <v>16200</v>
      </c>
      <c r="X2172" s="2"/>
      <c r="Y2172"/>
      <c r="Z2172"/>
      <c r="AA2172"/>
      <c r="AB2172"/>
      <c r="AC2172"/>
      <c r="AD2172" s="4"/>
      <c r="AE2172"/>
      <c r="AF2172" s="2"/>
      <c r="AG2172" t="inlineStr">
        <is>
          <t>NzQyNTk5MTgyNzQ4MTg3MDM0MTpGQzc0RTYwNi0yQUFGLTQ1NzUtQjYzQy0xODRDQjVGNDE1MDItMjo2NjUyODk2NzY5NjYzZGI5ZWQ4NGMxMGIwOGJlYjc1ZDox</t>
        </is>
      </c>
      <c r="AH2172"/>
      <c r="AI2172"/>
      <c r="AJ2172"/>
      <c r="AK2172" t="inlineStr">
        <is>
          <t>Bernadeth Español Villaflor</t>
        </is>
      </c>
    </row>
    <row r="2173" ht="25.5" customHeight="1">
      <c r="A2173" s="2" t="str">
        <f>=HYPERLINK("https://applink.larksuite.com/client/mini_program/open?appId=cli_9c7cc8a9a9edd105&amp;mode=appCenter&amp;path_pc=pc/pages/requested/index?instanceId=7621413382739578591&amp;source=bitable&amp;path=pages/detail/index?instanceId=7621413382739578591&amp;source=bitable", "202603260027")</f>
        <v>202603260027</v>
      </c>
      <c r="B2173" t="inlineStr">
        <is>
          <t>Approved</t>
        </is>
      </c>
      <c r="C2173" t="inlineStr">
        <is>
          <t>Procurement Order</t>
        </is>
      </c>
      <c r="D2173" s="3">
        <v>46107.51137731481</v>
      </c>
      <c r="E2173" s="3">
        <v>46111.607766203706</v>
      </c>
      <c r="F2173" t="inlineStr">
        <is>
          <t>Fatima Kathleen M. FLores</t>
        </is>
      </c>
      <c r="G2173" t="inlineStr">
        <is>
          <t>Procurement</t>
        </is>
      </c>
      <c r="H2173"/>
      <c r="I2173"/>
      <c r="J2173" t="inlineStr">
        <is>
          <t>GAE</t>
        </is>
      </c>
      <c r="K2173"/>
      <c r="L2173"/>
      <c r="M2173"/>
      <c r="N2173"/>
      <c r="O2173" t="inlineStr">
        <is>
          <t>202603240001-Bernadeth Español Villaflor-费用报销 - 副本 - 副本 - 副本-2026-03-24 00:12:15</t>
        </is>
      </c>
      <c r="P2173"/>
      <c r="Q2173" t="inlineStr">
        <is>
          <t>Mineski PH</t>
        </is>
      </c>
      <c r="R2173"/>
      <c r="S2173" t="inlineStr">
        <is>
          <t>Battery Replacement APC BX1100CI (2units) - 12V Battery</t>
        </is>
      </c>
      <c r="T2173">
        <v>4</v>
      </c>
      <c r="U2173">
        <v>1300</v>
      </c>
      <c r="V2173" t="inlineStr">
        <is>
          <t>PHP</t>
        </is>
      </c>
      <c r="W2173">
        <v>5200</v>
      </c>
      <c r="X2173" s="2"/>
      <c r="Y2173"/>
      <c r="Z2173"/>
      <c r="AA2173"/>
      <c r="AB2173"/>
      <c r="AC2173"/>
      <c r="AD2173" s="4"/>
      <c r="AE2173"/>
      <c r="AF2173" s="2"/>
      <c r="AG2173" t="inlineStr">
        <is>
          <t>NzQyNTk5MTgyNzQ4MTg3MDM0MTpGQzc0RTYwNi0yQUFGLTQ1NzUtQjYzQy0xODRDQjVGNDE1MDItMzo2YzU5MGQ0YTNhMDIzNWI5MjlhNmE4NDBmMDI5MjcxYjox</t>
        </is>
      </c>
      <c r="AH2173"/>
      <c r="AI2173"/>
      <c r="AJ2173"/>
      <c r="AK2173" t="inlineStr">
        <is>
          <t>Bernadeth Español Villaflor</t>
        </is>
      </c>
    </row>
    <row r="2174" ht="25.5" customHeight="1">
      <c r="A2174" s="2" t="str">
        <f>=HYPERLINK("https://applink.larksuite.com/client/mini_program/open?appId=cli_9c7cc8a9a9edd105&amp;mode=appCenter&amp;path_pc=pc/pages/requested/index?instanceId=7621413382739578591&amp;source=bitable&amp;path=pages/detail/index?instanceId=7621413382739578591&amp;source=bitable", "202603260027")</f>
        <v>202603260027</v>
      </c>
      <c r="B2174" t="inlineStr">
        <is>
          <t>Approved</t>
        </is>
      </c>
      <c r="C2174" t="inlineStr">
        <is>
          <t>Procurement Order</t>
        </is>
      </c>
      <c r="D2174" s="3">
        <v>46107.51137731481</v>
      </c>
      <c r="E2174" s="3">
        <v>46111.607766203706</v>
      </c>
      <c r="F2174" t="inlineStr">
        <is>
          <t>Fatima Kathleen M. FLores</t>
        </is>
      </c>
      <c r="G2174" t="inlineStr">
        <is>
          <t>Procurement</t>
        </is>
      </c>
      <c r="H2174"/>
      <c r="I2174"/>
      <c r="J2174" t="inlineStr">
        <is>
          <t>GAE</t>
        </is>
      </c>
      <c r="K2174"/>
      <c r="L2174"/>
      <c r="M2174"/>
      <c r="N2174"/>
      <c r="O2174" t="inlineStr">
        <is>
          <t>202603240001-Bernadeth Español Villaflor-费用报销 - 副本 - 副本 - 副本-2026-03-24 00:12:15</t>
        </is>
      </c>
      <c r="P2174"/>
      <c r="Q2174" t="inlineStr">
        <is>
          <t>Mineski PH</t>
        </is>
      </c>
      <c r="R2174"/>
      <c r="S2174" t="inlineStr">
        <is>
          <t>Labor Charges (Battery installation, checking and testing)</t>
        </is>
      </c>
      <c r="T2174">
        <v>2</v>
      </c>
      <c r="U2174">
        <v>900</v>
      </c>
      <c r="V2174" t="inlineStr">
        <is>
          <t>PHP</t>
        </is>
      </c>
      <c r="W2174">
        <v>1800</v>
      </c>
      <c r="X2174" s="2"/>
      <c r="Y2174"/>
      <c r="Z2174"/>
      <c r="AA2174"/>
      <c r="AB2174"/>
      <c r="AC2174"/>
      <c r="AD2174" s="4"/>
      <c r="AE2174"/>
      <c r="AF2174" s="2"/>
      <c r="AG2174" t="inlineStr">
        <is>
          <t>NzQyNTk5MTgyNzQ4MTg3MDM0MTpGQzc0RTYwNi0yQUFGLTQ1NzUtQjYzQy0xODRDQjVGNDE1MDItNDozZTJiNWRjNmM4MTgzZmU4NWM2ZTQwOGEyMDMxYjU3Yjox</t>
        </is>
      </c>
      <c r="AH2174"/>
      <c r="AI2174"/>
      <c r="AJ2174"/>
      <c r="AK2174" t="inlineStr">
        <is>
          <t>Bernadeth Español Villaflor</t>
        </is>
      </c>
    </row>
    <row r="2175" ht="25.5" customHeight="1">
      <c r="A2175" s="2" t="str">
        <f>=HYPERLINK("https://applink.larksuite.com/client/mini_program/open?appId=cli_9c7cc8a9a9edd105&amp;mode=appCenter&amp;path_pc=pc/pages/requested/index?instanceId=7621413382739578591&amp;source=bitable&amp;path=pages/detail/index?instanceId=7621413382739578591&amp;source=bitable", "202603260027")</f>
        <v>202603260027</v>
      </c>
      <c r="B2175" t="inlineStr">
        <is>
          <t>Approved</t>
        </is>
      </c>
      <c r="C2175" t="inlineStr">
        <is>
          <t>Procurement Order</t>
        </is>
      </c>
      <c r="D2175" s="3">
        <v>46107.51137731481</v>
      </c>
      <c r="E2175" s="3">
        <v>46111.607766203706</v>
      </c>
      <c r="F2175" t="inlineStr">
        <is>
          <t>Fatima Kathleen M. FLores</t>
        </is>
      </c>
      <c r="G2175" t="inlineStr">
        <is>
          <t>Procurement</t>
        </is>
      </c>
      <c r="H2175"/>
      <c r="I2175"/>
      <c r="J2175" t="inlineStr">
        <is>
          <t>GAE</t>
        </is>
      </c>
      <c r="K2175"/>
      <c r="L2175"/>
      <c r="M2175"/>
      <c r="N2175"/>
      <c r="O2175" t="inlineStr">
        <is>
          <t>202603240001-Bernadeth Español Villaflor-费用报销 - 副本 - 副本 - 副本-2026-03-24 00:12:15</t>
        </is>
      </c>
      <c r="P2175"/>
      <c r="Q2175" t="inlineStr">
        <is>
          <t>Mineski PH</t>
        </is>
      </c>
      <c r="R2175"/>
      <c r="S2175" t="inlineStr">
        <is>
          <t>Transportation Fee</t>
        </is>
      </c>
      <c r="T2175">
        <v>1</v>
      </c>
      <c r="U2175">
        <v>250</v>
      </c>
      <c r="V2175" t="inlineStr">
        <is>
          <t>PHP</t>
        </is>
      </c>
      <c r="W2175">
        <v>250</v>
      </c>
      <c r="X2175" s="2" t="str">
        <f>=HYPERLINK("https://www.larksuite.com/approval/admin/previewAttachment?key=PMi7DQJBDATQljz2-EczJJxOEOwmiMtcOxIB6YuCRDksWtjQFkyGgjArTWvP8sboILMlkR5zrPO-sbcs_dBf62LN9XycxxveqSpppJWI4PZ3S5LdQfk5vwEAAP__", "2 attachment(s)")</f>
        <v>2 attachment(s)</v>
      </c>
      <c r="Y2175"/>
      <c r="Z2175"/>
      <c r="AA2175"/>
      <c r="AB2175"/>
      <c r="AC2175"/>
      <c r="AD2175" s="4"/>
      <c r="AE2175"/>
      <c r="AF2175" s="2"/>
      <c r="AG2175" t="inlineStr">
        <is>
          <t>NzQyNTk5MTgyNzQ4MTg3MDM0MTpGQzc0RTYwNi0yQUFGLTQ1NzUtQjYzQy0xODRDQjVGNDE1MDItNTpiMmRmODZjMjk0OWY2ZTIwYTdmOTZjMDNlNDM2YzE5Njox</t>
        </is>
      </c>
      <c r="AH2175"/>
      <c r="AI2175"/>
      <c r="AJ2175"/>
      <c r="AK2175" t="inlineStr">
        <is>
          <t>Bernadeth Español Villaflor</t>
        </is>
      </c>
    </row>
    <row r="2176" ht="25.5" customHeight="1">
      <c r="A2176" s="2" t="str">
        <f>=HYPERLINK("https://applink.larksuite.com/client/mini_program/open?appId=cli_9c7cc8a9a9edd105&amp;mode=appCenter&amp;path_pc=pc/pages/requested/index?instanceId=7621459894608187101&amp;source=bitable&amp;path=pages/detail/index?instanceId=7621459894608187101&amp;source=bitable", "202603260080")</f>
        <v>202603260080</v>
      </c>
      <c r="B2176" t="inlineStr">
        <is>
          <t>Approved</t>
        </is>
      </c>
      <c r="C2176" t="inlineStr">
        <is>
          <t>Procurement Order</t>
        </is>
      </c>
      <c r="D2176" s="3">
        <v>46107.636724537035</v>
      </c>
      <c r="E2176" s="3">
        <v>46107.67592592593</v>
      </c>
      <c r="F2176" t="inlineStr">
        <is>
          <t>Fatima Kathleen M. FLores</t>
        </is>
      </c>
      <c r="G2176" t="inlineStr">
        <is>
          <t>Procurement</t>
        </is>
      </c>
      <c r="H2176"/>
      <c r="I2176"/>
      <c r="J2176" t="inlineStr">
        <is>
          <t>Project</t>
        </is>
      </c>
      <c r="K2176" t="inlineStr">
        <is>
          <t>GG - Event Service</t>
        </is>
      </c>
      <c r="L2176" t="inlineStr">
        <is>
          <t>PUBG Mobile 8th Anniversary Event</t>
        </is>
      </c>
      <c r="M2176" t="inlineStr">
        <is>
          <t>2026TEG-P0066</t>
        </is>
      </c>
      <c r="N2176" t="inlineStr">
        <is>
          <t>Randy Vince Fernandez Apura</t>
        </is>
      </c>
      <c r="O2176" t="inlineStr">
        <is>
          <t>202603240046-Randy Vince Fernandez Apura-费用报销 - 副本 - 副本 - 副本-2026-03-24 09:36:41</t>
        </is>
      </c>
      <c r="P2176" t="inlineStr">
        <is>
          <t>NO</t>
        </is>
      </c>
      <c r="Q2176"/>
      <c r="R2176" t="inlineStr">
        <is>
          <t>NO</t>
        </is>
      </c>
      <c r="S2176" t="inlineStr">
        <is>
          <t>Table Toppers | 5x7 inches, Base is 2 inches | Print, cut, and assemble</t>
        </is>
      </c>
      <c r="T2176">
        <v>30</v>
      </c>
      <c r="U2176">
        <v>45</v>
      </c>
      <c r="V2176" t="inlineStr">
        <is>
          <t>PHP</t>
        </is>
      </c>
      <c r="W2176">
        <v>1350</v>
      </c>
      <c r="X2176" s="2"/>
      <c r="Y2176" t="inlineStr">
        <is>
          <t>Bank Transfer</t>
        </is>
      </c>
      <c r="Z2176" t="inlineStr">
        <is>
          <t>Queen Yedda Mari Santos</t>
        </is>
      </c>
      <c r="AA2176" t="inlineStr">
        <is>
          <t>906 178 2295</t>
        </is>
      </c>
      <c r="AB2176" t="inlineStr">
        <is>
          <t>RCBC</t>
        </is>
      </c>
      <c r="AC2176" t="inlineStr">
        <is>
          <t>B13 L7 Peace St., Good Family Homes Subd., Anabu I-A, Imus, Cavite</t>
        </is>
      </c>
      <c r="AD2176" s="4">
        <v>46107</v>
      </c>
      <c r="AE2176" t="inlineStr">
        <is>
          <t>50% Down payment upon confirmation
50% Final Payment upon complete delivery</t>
        </is>
      </c>
      <c r="AF2176" s="2" t="str">
        <f>=HYPERLINK("https://www.larksuite.com/approval/admin/previewAttachment?key=TMg7CsJgEATgK838-xwvY2MIIgkIglZ7dsHK9ssmsoOWgotL4FQueqjliWYXwVnDKqFYUbOd-1WPiNbHjv25jtPnfb_t24vZlnCFOwWAlz8noba0n-MbAAD__w", "1 attachment(s)")</f>
        <v>1 attachment(s)</v>
      </c>
      <c r="AG2176" t="inlineStr">
        <is>
          <t>NzQyNTk5MTgyNzQ4MTg3MDM0MTo0QkVCRkQwQS03QUUxLTRDMkQtOTNFRS00QjE5QzczODcwMEEtMTpjZjkxNTYyYjZjMjllMzJmZGExZDIzMWYxMDAwOGQzZDox</t>
        </is>
      </c>
      <c r="AH2176" t="inlineStr">
        <is>
          <t>PRINTINGBEE DIGITAL PRINTING SERVICES</t>
        </is>
      </c>
      <c r="AI2176"/>
      <c r="AJ2176" t="inlineStr">
        <is>
          <t>LIQUIDITY PLAN (PAR # 202603150011 / 202603150011) - AS OF 03/24/26
SOUTH LUZON LEG - MARCH 28, 2026 &gt;
MARKETING COLLATERAL &amp; VENUE SKINNING &gt;
Booth Activities &gt;
"Pull Up Banners
- w/ Mechanism"
"Miscellaneous Props
- Crates, Skillet, Toy Rifle, etc"
Print &amp; Collaterals &gt; Stamp Cards
Total Budget = Php 23,500.00
Actual Cost = Php 14,410.00
Balance = Php 9,090.00</t>
        </is>
      </c>
      <c r="AK2176"/>
    </row>
    <row r="2177" ht="25.5" customHeight="1">
      <c r="A2177" s="2" t="str">
        <f>=HYPERLINK("https://applink.larksuite.com/client/mini_program/open?appId=cli_9c7cc8a9a9edd105&amp;mode=appCenter&amp;path_pc=pc/pages/requested/index?instanceId=7621459894608187101&amp;source=bitable&amp;path=pages/detail/index?instanceId=7621459894608187101&amp;source=bitable", "202603260080")</f>
        <v>202603260080</v>
      </c>
      <c r="B2177" t="inlineStr">
        <is>
          <t>Approved</t>
        </is>
      </c>
      <c r="C2177" t="inlineStr">
        <is>
          <t>Procurement Order</t>
        </is>
      </c>
      <c r="D2177" s="3">
        <v>46107.636724537035</v>
      </c>
      <c r="E2177" s="3">
        <v>46107.67592592593</v>
      </c>
      <c r="F2177" t="inlineStr">
        <is>
          <t>Fatima Kathleen M. FLores</t>
        </is>
      </c>
      <c r="G2177" t="inlineStr">
        <is>
          <t>Procurement</t>
        </is>
      </c>
      <c r="H2177"/>
      <c r="I2177"/>
      <c r="J2177" t="inlineStr">
        <is>
          <t>Project</t>
        </is>
      </c>
      <c r="K2177" t="inlineStr">
        <is>
          <t>GG - Event Service</t>
        </is>
      </c>
      <c r="L2177" t="inlineStr">
        <is>
          <t>PUBG Mobile 8th Anniversary Event</t>
        </is>
      </c>
      <c r="M2177" t="inlineStr">
        <is>
          <t>2026TEG-P0066</t>
        </is>
      </c>
      <c r="N2177" t="inlineStr">
        <is>
          <t>Randy Vince Fernandez Apura</t>
        </is>
      </c>
      <c r="O2177" t="inlineStr">
        <is>
          <t>202603240046-Randy Vince Fernandez Apura-费用报销 - 副本 - 副本 - 副本-2026-03-24 09:36:41</t>
        </is>
      </c>
      <c r="P2177" t="inlineStr">
        <is>
          <t>NO</t>
        </is>
      </c>
      <c r="Q2177"/>
      <c r="R2177" t="inlineStr">
        <is>
          <t>NO</t>
        </is>
      </c>
      <c r="S2177" t="inlineStr">
        <is>
          <t>Pull Up Banner | 2.5 ft x 6.5 ft | Aluminum pull up with tarpaulin set</t>
        </is>
      </c>
      <c r="T2177">
        <v>4</v>
      </c>
      <c r="U2177">
        <v>1700</v>
      </c>
      <c r="V2177" t="inlineStr">
        <is>
          <t>PHP</t>
        </is>
      </c>
      <c r="W2177">
        <v>6800</v>
      </c>
      <c r="X2177" s="2"/>
      <c r="Y2177"/>
      <c r="Z2177"/>
      <c r="AA2177"/>
      <c r="AB2177"/>
      <c r="AC2177"/>
      <c r="AD2177" s="4"/>
      <c r="AE2177"/>
      <c r="AF2177" s="2"/>
      <c r="AG2177" t="inlineStr">
        <is>
          <t>NzQyNTk5MTgyNzQ4MTg3MDM0MTo0QkVCRkQwQS03QUUxLTRDMkQtOTNFRS00QjE5QzczODcwMEEtMjpjNDJhODQ2OWM1MzljNDU5YWI5YmZmOGZmMzdhMWRkNTox</t>
        </is>
      </c>
      <c r="AH2177"/>
      <c r="AI2177"/>
      <c r="AJ2177" t="inlineStr">
        <is>
          <t>LIQUIDITY PLAN (PAR # 202603150011 / 202603150011) - AS OF 03/24/26
SOUTH LUZON LEG - MARCH 28, 2026 &gt;
MARKETING COLLATERAL &amp; VENUE SKINNING &gt;
Booth Activities &gt;
"Pull Up Banners
- w/ Mechanism"
"Miscellaneous Props
- Crates, Skillet, Toy Rifle, etc"
Print &amp; Collaterals &gt; Stamp Cards
Total Budget = Php 23,500.00
Actual Cost = Php 14,410.00
Balance = Php 9,090.00</t>
        </is>
      </c>
      <c r="AK2177"/>
    </row>
    <row r="2178" ht="25.5" customHeight="1">
      <c r="A2178" s="2" t="str">
        <f>=HYPERLINK("https://applink.larksuite.com/client/mini_program/open?appId=cli_9c7cc8a9a9edd105&amp;mode=appCenter&amp;path_pc=pc/pages/requested/index?instanceId=7621459894608187101&amp;source=bitable&amp;path=pages/detail/index?instanceId=7621459894608187101&amp;source=bitable", "202603260080")</f>
        <v>202603260080</v>
      </c>
      <c r="B2178" t="inlineStr">
        <is>
          <t>Approved</t>
        </is>
      </c>
      <c r="C2178" t="inlineStr">
        <is>
          <t>Procurement Order</t>
        </is>
      </c>
      <c r="D2178" s="3">
        <v>46107.636724537035</v>
      </c>
      <c r="E2178" s="3">
        <v>46107.67592592593</v>
      </c>
      <c r="F2178" t="inlineStr">
        <is>
          <t>Fatima Kathleen M. FLores</t>
        </is>
      </c>
      <c r="G2178" t="inlineStr">
        <is>
          <t>Procurement</t>
        </is>
      </c>
      <c r="H2178"/>
      <c r="I2178"/>
      <c r="J2178" t="inlineStr">
        <is>
          <t>Project</t>
        </is>
      </c>
      <c r="K2178" t="inlineStr">
        <is>
          <t>GG - Event Service</t>
        </is>
      </c>
      <c r="L2178" t="inlineStr">
        <is>
          <t>PUBG Mobile 8th Anniversary Event</t>
        </is>
      </c>
      <c r="M2178" t="inlineStr">
        <is>
          <t>2026TEG-P0066</t>
        </is>
      </c>
      <c r="N2178" t="inlineStr">
        <is>
          <t>Randy Vince Fernandez Apura</t>
        </is>
      </c>
      <c r="O2178" t="inlineStr">
        <is>
          <t>202603240046-Randy Vince Fernandez Apura-费用报销 - 副本 - 副本 - 副本-2026-03-24 09:36:41</t>
        </is>
      </c>
      <c r="P2178" t="inlineStr">
        <is>
          <t>NO</t>
        </is>
      </c>
      <c r="Q2178"/>
      <c r="R2178" t="inlineStr">
        <is>
          <t>NO</t>
        </is>
      </c>
      <c r="S2178" t="inlineStr">
        <is>
          <t>Stamp Cards | 4x6 inches back to back print | Matte 250gsm paper</t>
        </is>
      </c>
      <c r="T2178">
        <v>215</v>
      </c>
      <c r="U2178">
        <v>24</v>
      </c>
      <c r="V2178" t="inlineStr">
        <is>
          <t>PHP</t>
        </is>
      </c>
      <c r="W2178">
        <v>5160</v>
      </c>
      <c r="X2178" s="2"/>
      <c r="Y2178"/>
      <c r="Z2178"/>
      <c r="AA2178"/>
      <c r="AB2178"/>
      <c r="AC2178"/>
      <c r="AD2178" s="4"/>
      <c r="AE2178"/>
      <c r="AF2178" s="2"/>
      <c r="AG2178" t="inlineStr">
        <is>
          <t>NzQyNTk5MTgyNzQ4MTg3MDM0MTo0QkVCRkQwQS03QUUxLTRDMkQtOTNFRS00QjE5QzczODcwMEEtMzpmOWY0NWE4MjJlMWUyNzgzMTdjODU0OTA0NjUxOTkxZDox</t>
        </is>
      </c>
      <c r="AH2178"/>
      <c r="AI2178"/>
      <c r="AJ2178" t="inlineStr">
        <is>
          <t>LIQUIDITY PLAN (PAR # 202603150011 / 202603150011) - AS OF 03/24/26
SOUTH LUZON LEG - MARCH 28, 2026 &gt;
MARKETING COLLATERAL &amp; VENUE SKINNING &gt;
Booth Activities &gt;
"Pull Up Banners
- w/ Mechanism"
"Miscellaneous Props
- Crates, Skillet, Toy Rifle, etc"
Print &amp; Collaterals &gt; Stamp Cards
Total Budget = Php 23,500.00
Actual Cost = Php 14,410.00
Balance = Php 9,090.00</t>
        </is>
      </c>
      <c r="AK2178"/>
    </row>
    <row r="2179" ht="25.5" customHeight="1">
      <c r="A2179" s="2" t="str">
        <f>=HYPERLINK("https://applink.larksuite.com/client/mini_program/open?appId=cli_9c7cc8a9a9edd105&amp;mode=appCenter&amp;path_pc=pc/pages/requested/index?instanceId=7621459894608187101&amp;source=bitable&amp;path=pages/detail/index?instanceId=7621459894608187101&amp;source=bitable", "202603260080")</f>
        <v>202603260080</v>
      </c>
      <c r="B2179" t="inlineStr">
        <is>
          <t>Approved</t>
        </is>
      </c>
      <c r="C2179" t="inlineStr">
        <is>
          <t>Procurement Order</t>
        </is>
      </c>
      <c r="D2179" s="3">
        <v>46107.636724537035</v>
      </c>
      <c r="E2179" s="3">
        <v>46107.67592592593</v>
      </c>
      <c r="F2179" t="inlineStr">
        <is>
          <t>Fatima Kathleen M. FLores</t>
        </is>
      </c>
      <c r="G2179" t="inlineStr">
        <is>
          <t>Procurement</t>
        </is>
      </c>
      <c r="H2179"/>
      <c r="I2179"/>
      <c r="J2179" t="inlineStr">
        <is>
          <t>Project</t>
        </is>
      </c>
      <c r="K2179" t="inlineStr">
        <is>
          <t>GG - Event Service</t>
        </is>
      </c>
      <c r="L2179" t="inlineStr">
        <is>
          <t>PUBG Mobile 8th Anniversary Event</t>
        </is>
      </c>
      <c r="M2179" t="inlineStr">
        <is>
          <t>2026TEG-P0066</t>
        </is>
      </c>
      <c r="N2179" t="inlineStr">
        <is>
          <t>Randy Vince Fernandez Apura</t>
        </is>
      </c>
      <c r="O2179" t="inlineStr">
        <is>
          <t>202603240046-Randy Vince Fernandez Apura-费用报销 - 副本 - 副本 - 副本-2026-03-24 09:36:41</t>
        </is>
      </c>
      <c r="P2179" t="inlineStr">
        <is>
          <t>NO</t>
        </is>
      </c>
      <c r="Q2179"/>
      <c r="R2179" t="inlineStr">
        <is>
          <t>NO</t>
        </is>
      </c>
      <c r="S2179" t="inlineStr">
        <is>
          <t>Tarpaulin 3x4ft | Thick glossy tarpaulin</t>
        </is>
      </c>
      <c r="T2179">
        <v>2</v>
      </c>
      <c r="U2179">
        <v>300</v>
      </c>
      <c r="V2179" t="inlineStr">
        <is>
          <t>PHP</t>
        </is>
      </c>
      <c r="W2179">
        <v>600</v>
      </c>
      <c r="X2179" s="2"/>
      <c r="Y2179"/>
      <c r="Z2179"/>
      <c r="AA2179"/>
      <c r="AB2179"/>
      <c r="AC2179"/>
      <c r="AD2179" s="4"/>
      <c r="AE2179"/>
      <c r="AF2179" s="2"/>
      <c r="AG2179" t="inlineStr">
        <is>
          <t>NzQyNTk5MTgyNzQ4MTg3MDM0MTo0QkVCRkQwQS03QUUxLTRDMkQtOTNFRS00QjE5QzczODcwMEEtNDo3MzYzZTAxMDJjM2YzZGQ5ZTkwNGZkNGM2ZjZkMzg3ODox</t>
        </is>
      </c>
      <c r="AH2179"/>
      <c r="AI2179"/>
      <c r="AJ2179" t="inlineStr">
        <is>
          <t>LIQUIDITY PLAN (PAR # 202603150011 / 202603150011) - AS OF 03/24/26
SOUTH LUZON LEG - MARCH 28, 2026 &gt;
MARKETING COLLATERAL &amp; VENUE SKINNING &gt;
Booth Activities &gt;
"Pull Up Banners
- w/ Mechanism"
"Miscellaneous Props
- Crates, Skillet, Toy Rifle, etc"
Print &amp; Collaterals &gt; Stamp Cards
Total Budget = Php 23,500.00
Actual Cost = Php 14,410.00
Balance = Php 9,090.00</t>
        </is>
      </c>
      <c r="AK2179"/>
    </row>
    <row r="2180" ht="25.5" customHeight="1">
      <c r="A2180" s="2" t="str">
        <f>=HYPERLINK("https://applink.larksuite.com/client/mini_program/open?appId=cli_9c7cc8a9a9edd105&amp;mode=appCenter&amp;path_pc=pc/pages/requested/index?instanceId=7621459894608187101&amp;source=bitable&amp;path=pages/detail/index?instanceId=7621459894608187101&amp;source=bitable", "202603260080")</f>
        <v>202603260080</v>
      </c>
      <c r="B2180" t="inlineStr">
        <is>
          <t>Approved</t>
        </is>
      </c>
      <c r="C2180" t="inlineStr">
        <is>
          <t>Procurement Order</t>
        </is>
      </c>
      <c r="D2180" s="3">
        <v>46107.636724537035</v>
      </c>
      <c r="E2180" s="3">
        <v>46107.67592592593</v>
      </c>
      <c r="F2180" t="inlineStr">
        <is>
          <t>Fatima Kathleen M. FLores</t>
        </is>
      </c>
      <c r="G2180" t="inlineStr">
        <is>
          <t>Procurement</t>
        </is>
      </c>
      <c r="H2180"/>
      <c r="I2180"/>
      <c r="J2180" t="inlineStr">
        <is>
          <t>Project</t>
        </is>
      </c>
      <c r="K2180" t="inlineStr">
        <is>
          <t>GG - Event Service</t>
        </is>
      </c>
      <c r="L2180" t="inlineStr">
        <is>
          <t>PUBG Mobile 8th Anniversary Event</t>
        </is>
      </c>
      <c r="M2180" t="inlineStr">
        <is>
          <t>2026TEG-P0066</t>
        </is>
      </c>
      <c r="N2180" t="inlineStr">
        <is>
          <t>Randy Vince Fernandez Apura</t>
        </is>
      </c>
      <c r="O2180" t="inlineStr">
        <is>
          <t>202603240046-Randy Vince Fernandez Apura-费用报销 - 副本 - 副本 - 副本-2026-03-24 09:36:41</t>
        </is>
      </c>
      <c r="P2180" t="inlineStr">
        <is>
          <t>NO</t>
        </is>
      </c>
      <c r="Q2180"/>
      <c r="R2180" t="inlineStr">
        <is>
          <t>NO</t>
        </is>
      </c>
      <c r="S2180" t="inlineStr">
        <is>
          <t>Rush Fee</t>
        </is>
      </c>
      <c r="T2180">
        <v>1</v>
      </c>
      <c r="U2180">
        <v>500</v>
      </c>
      <c r="V2180" t="inlineStr">
        <is>
          <t>PHP</t>
        </is>
      </c>
      <c r="W2180">
        <v>500</v>
      </c>
      <c r="X2180" s="2" t="str">
        <f>=HYPERLINK("https://www.larksuite.com/approval/admin/previewAttachment?key=PMg7CsJAGATgK83szv8YL2NjCCIJCIJWe3bBwvbLJrKDMw2Zw-CqHFS4rUSzi-Aai1VGsaLWdu5XPyLan3nsz3GcWu_7bd9eDNcYqCnNBsDL32dJslP4ub4BAAD__w", "2 attachment(s)")</f>
        <v>2 attachment(s)</v>
      </c>
      <c r="Y2180"/>
      <c r="Z2180"/>
      <c r="AA2180"/>
      <c r="AB2180"/>
      <c r="AC2180"/>
      <c r="AD2180" s="4"/>
      <c r="AE2180"/>
      <c r="AF2180" s="2"/>
      <c r="AG2180" t="inlineStr">
        <is>
          <t>NzQyNTk5MTgyNzQ4MTg3MDM0MTo0QkVCRkQwQS03QUUxLTRDMkQtOTNFRS00QjE5QzczODcwMEEtNTo5ZmI3MmVkMDE1OTk1NWY1Y2RiMGVhMTQxZWY1ZmM5Zjox</t>
        </is>
      </c>
      <c r="AH2180"/>
      <c r="AI2180"/>
      <c r="AJ2180" t="inlineStr">
        <is>
          <t>LIQUIDITY PLAN (PAR # 202603150011 / 202603150011) - AS OF 03/24/26
SOUTH LUZON LEG - MARCH 28, 2026 &gt;
MARKETING COLLATERAL &amp; VENUE SKINNING &gt;
Booth Activities &gt;
"Pull Up Banners
- w/ Mechanism"
"Miscellaneous Props
- Crates, Skillet, Toy Rifle, etc"
Print &amp; Collaterals &gt; Stamp Cards
Total Budget = Php 23,500.00
Actual Cost = Php 14,410.00
Balance = Php 9,090.00</t>
        </is>
      </c>
      <c r="AK2180"/>
    </row>
    <row r="2181" ht="25.5" customHeight="1">
      <c r="A2181" s="2" t="str">
        <f>=HYPERLINK("https://applink.larksuite.com/client/mini_program/open?appId=cli_9c7cc8a9a9edd105&amp;mode=appCenter&amp;path_pc=pc/pages/requested/index?instanceId=7621454917059743461&amp;source=bitable&amp;path=pages/detail/index?instanceId=7621454917059743461&amp;source=bitable", "202603260076")</f>
        <v>202603260076</v>
      </c>
      <c r="B2181" t="inlineStr">
        <is>
          <t>Approved</t>
        </is>
      </c>
      <c r="C2181" t="inlineStr">
        <is>
          <t>Procurement Order</t>
        </is>
      </c>
      <c r="D2181" s="3">
        <v>46107.62331018518</v>
      </c>
      <c r="E2181" s="3">
        <v>46108.7078125</v>
      </c>
      <c r="F2181" t="inlineStr">
        <is>
          <t>Fatima Kathleen M. FLores</t>
        </is>
      </c>
      <c r="G2181" t="inlineStr">
        <is>
          <t>Procurement</t>
        </is>
      </c>
      <c r="H2181"/>
      <c r="I2181"/>
      <c r="J2181" t="inlineStr">
        <is>
          <t>Project</t>
        </is>
      </c>
      <c r="K2181" t="inlineStr">
        <is>
          <t>GG - Event Service</t>
        </is>
      </c>
      <c r="L2181" t="inlineStr">
        <is>
          <t>PUBG Mobile 8th Anniversary Event</t>
        </is>
      </c>
      <c r="M2181" t="inlineStr">
        <is>
          <t>2026TEG-P0066</t>
        </is>
      </c>
      <c r="N2181" t="inlineStr">
        <is>
          <t>Randy Vince Fernandez Apura</t>
        </is>
      </c>
      <c r="O2181" t="inlineStr">
        <is>
          <t>202603250006-Randy Vince Fernandez Apura-费用报销 - 副本 - 副本 - 副本-2026-03-25 01:54:27;202603260001-Randy Vince Fernandez Apura-费用报销 - 副本 - 副本 - 副本-2026-03-26 01:07:12</t>
        </is>
      </c>
      <c r="P2181" t="inlineStr">
        <is>
          <t>NO</t>
        </is>
      </c>
      <c r="Q2181"/>
      <c r="R2181" t="inlineStr">
        <is>
          <t>YES</t>
        </is>
      </c>
      <c r="S2181" t="inlineStr">
        <is>
          <t>Rental of 4x8 Heavy Duty Tent</t>
        </is>
      </c>
      <c r="T2181">
        <v>2</v>
      </c>
      <c r="U2181">
        <v>4500</v>
      </c>
      <c r="V2181" t="inlineStr">
        <is>
          <t>PHP</t>
        </is>
      </c>
      <c r="W2181">
        <v>9000</v>
      </c>
      <c r="X2181" s="2"/>
      <c r="Y2181" t="inlineStr">
        <is>
          <t>Bank Transfer</t>
        </is>
      </c>
      <c r="Z2181" t="inlineStr">
        <is>
          <t>Arjey Conchada</t>
        </is>
      </c>
      <c r="AA2181" t="inlineStr">
        <is>
          <t>09663263525</t>
        </is>
      </c>
      <c r="AB2181" t="inlineStr">
        <is>
          <t>GCash</t>
        </is>
      </c>
      <c r="AC2181" t="inlineStr">
        <is>
          <t>#3 Narra St., Paradise Extension, Malanday, Marikina</t>
        </is>
      </c>
      <c r="AD2181" s="4">
        <v>46107</v>
      </c>
      <c r="AE2181" t="inlineStr">
        <is>
          <t>50% Down Payment upon confirmation
50% Final Payment upon complete delivery</t>
        </is>
      </c>
      <c r="AF2181" s="2" t="str">
        <f>=HYPERLINK("https://www.larksuite.com/approval/admin/previewAttachment?key=TMg7CsJgEATgK83se72MjSEo_KYRFIs9u2CV9osiopwaDWtKg5MhNLdmwjtNLTgyzGwk03O2534tE6nHOuSzvnqsed9v-_ZilAas3YwNgJeTk-jS0L_jFwAA__8", "5 attachment(s)")</f>
        <v>5 attachment(s)</v>
      </c>
      <c r="AG2181" t="inlineStr">
        <is>
          <t>NzQyNTk5MTgyNzQ4MTg3MDM0MToyQUUxQ0E4NS1DRTE0LTQ0MzctQTg2MS02RTEzNjM3RjMwRDQtMTo5YWU5MGY5NzZlYzhmMDdmMDYzYzMwZjJkZmMzZmQ4MDox</t>
        </is>
      </c>
      <c r="AH2181" t="inlineStr">
        <is>
          <t>JEMM TENT RENTAL</t>
        </is>
      </c>
      <c r="AI2181"/>
      <c r="AJ2181" t="inlineStr">
        <is>
          <t>LIQUIDITY PLAN (PAR # 202603150011 / 202603150011) - AS OF 03/24/26
SOUTH LUZON LEG - MARCH 28, 2026 &gt;
LOGISTICS &gt;
Lifetime Tables
Table Cover
Collapsible Divider/ Black Cloth
Total Budget = Php 17,000.00
Actual Cost = Php 26,000.00
Balance = (Php 9,000.00) OVER BUDGET</t>
        </is>
      </c>
      <c r="AK2181"/>
    </row>
    <row r="2182" ht="25.5" customHeight="1">
      <c r="A2182" s="2" t="str">
        <f>=HYPERLINK("https://applink.larksuite.com/client/mini_program/open?appId=cli_9c7cc8a9a9edd105&amp;mode=appCenter&amp;path_pc=pc/pages/requested/index?instanceId=7621454917059743461&amp;source=bitable&amp;path=pages/detail/index?instanceId=7621454917059743461&amp;source=bitable", "202603260076")</f>
        <v>202603260076</v>
      </c>
      <c r="B2182" t="inlineStr">
        <is>
          <t>Approved</t>
        </is>
      </c>
      <c r="C2182" t="inlineStr">
        <is>
          <t>Procurement Order</t>
        </is>
      </c>
      <c r="D2182" s="3">
        <v>46107.62331018518</v>
      </c>
      <c r="E2182" s="3">
        <v>46108.7078125</v>
      </c>
      <c r="F2182" t="inlineStr">
        <is>
          <t>Fatima Kathleen M. FLores</t>
        </is>
      </c>
      <c r="G2182" t="inlineStr">
        <is>
          <t>Procurement</t>
        </is>
      </c>
      <c r="H2182"/>
      <c r="I2182"/>
      <c r="J2182" t="inlineStr">
        <is>
          <t>Project</t>
        </is>
      </c>
      <c r="K2182" t="inlineStr">
        <is>
          <t>GG - Event Service</t>
        </is>
      </c>
      <c r="L2182" t="inlineStr">
        <is>
          <t>PUBG Mobile 8th Anniversary Event</t>
        </is>
      </c>
      <c r="M2182" t="inlineStr">
        <is>
          <t>2026TEG-P0066</t>
        </is>
      </c>
      <c r="N2182" t="inlineStr">
        <is>
          <t>Randy Vince Fernandez Apura</t>
        </is>
      </c>
      <c r="O2182" t="inlineStr">
        <is>
          <t>202603250006-Randy Vince Fernandez Apura-费用报销 - 副本 - 副本 - 副本-2026-03-25 01:54:27;202603260001-Randy Vince Fernandez Apura-费用报销 - 副本 - 副本 - 副本-2026-03-26 01:07:12</t>
        </is>
      </c>
      <c r="P2182" t="inlineStr">
        <is>
          <t>NO</t>
        </is>
      </c>
      <c r="Q2182"/>
      <c r="R2182" t="inlineStr">
        <is>
          <t>YES</t>
        </is>
      </c>
      <c r="S2182" t="inlineStr">
        <is>
          <t>Rental of 3x3 Heavy Duty Tent</t>
        </is>
      </c>
      <c r="T2182">
        <v>1</v>
      </c>
      <c r="U2182">
        <v>1500</v>
      </c>
      <c r="V2182" t="inlineStr">
        <is>
          <t>PHP</t>
        </is>
      </c>
      <c r="W2182">
        <v>1500</v>
      </c>
      <c r="X2182" s="2"/>
      <c r="Y2182"/>
      <c r="Z2182"/>
      <c r="AA2182"/>
      <c r="AB2182"/>
      <c r="AC2182"/>
      <c r="AD2182" s="4"/>
      <c r="AE2182"/>
      <c r="AF2182" s="2"/>
      <c r="AG2182" t="inlineStr">
        <is>
          <t>NzQyNTk5MTgyNzQ4MTg3MDM0MToyQUUxQ0E4NS1DRTE0LTQ0MzctQTg2MS02RTEzNjM3RjMwRDQtMjpiOTMwYWM4MDcwODVkOWNjYTViZjg3MzdlNjMwNzI1Nzox</t>
        </is>
      </c>
      <c r="AH2182"/>
      <c r="AI2182"/>
      <c r="AJ2182" t="inlineStr">
        <is>
          <t>LIQUIDITY PLAN (PAR # 202603150011 / 202603150011) - AS OF 03/24/26
SOUTH LUZON LEG - MARCH 28, 2026 &gt;
LOGISTICS &gt;
Lifetime Tables
Table Cover
Collapsible Divider/ Black Cloth
Total Budget = Php 17,000.00
Actual Cost = Php 26,000.00
Balance = (Php 9,000.00) OVER BUDGET</t>
        </is>
      </c>
      <c r="AK2182"/>
    </row>
    <row r="2183" ht="25.5" customHeight="1">
      <c r="A2183" s="2" t="str">
        <f>=HYPERLINK("https://applink.larksuite.com/client/mini_program/open?appId=cli_9c7cc8a9a9edd105&amp;mode=appCenter&amp;path_pc=pc/pages/requested/index?instanceId=7621454917059743461&amp;source=bitable&amp;path=pages/detail/index?instanceId=7621454917059743461&amp;source=bitable", "202603260076")</f>
        <v>202603260076</v>
      </c>
      <c r="B2183" t="inlineStr">
        <is>
          <t>Approved</t>
        </is>
      </c>
      <c r="C2183" t="inlineStr">
        <is>
          <t>Procurement Order</t>
        </is>
      </c>
      <c r="D2183" s="3">
        <v>46107.62331018518</v>
      </c>
      <c r="E2183" s="3">
        <v>46108.7078125</v>
      </c>
      <c r="F2183" t="inlineStr">
        <is>
          <t>Fatima Kathleen M. FLores</t>
        </is>
      </c>
      <c r="G2183" t="inlineStr">
        <is>
          <t>Procurement</t>
        </is>
      </c>
      <c r="H2183"/>
      <c r="I2183"/>
      <c r="J2183" t="inlineStr">
        <is>
          <t>Project</t>
        </is>
      </c>
      <c r="K2183" t="inlineStr">
        <is>
          <t>GG - Event Service</t>
        </is>
      </c>
      <c r="L2183" t="inlineStr">
        <is>
          <t>PUBG Mobile 8th Anniversary Event</t>
        </is>
      </c>
      <c r="M2183" t="inlineStr">
        <is>
          <t>2026TEG-P0066</t>
        </is>
      </c>
      <c r="N2183" t="inlineStr">
        <is>
          <t>Randy Vince Fernandez Apura</t>
        </is>
      </c>
      <c r="O2183" t="inlineStr">
        <is>
          <t>202603250006-Randy Vince Fernandez Apura-费用报销 - 副本 - 副本 - 副本-2026-03-25 01:54:27;202603260001-Randy Vince Fernandez Apura-费用报销 - 副本 - 副本 - 副本-2026-03-26 01:07:12</t>
        </is>
      </c>
      <c r="P2183" t="inlineStr">
        <is>
          <t>NO</t>
        </is>
      </c>
      <c r="Q2183"/>
      <c r="R2183" t="inlineStr">
        <is>
          <t>YES</t>
        </is>
      </c>
      <c r="S2183" t="inlineStr">
        <is>
          <t>Rental of 3x3 Airconditioned Tent</t>
        </is>
      </c>
      <c r="T2183">
        <v>1</v>
      </c>
      <c r="U2183">
        <v>6000</v>
      </c>
      <c r="V2183" t="inlineStr">
        <is>
          <t>PHP</t>
        </is>
      </c>
      <c r="W2183">
        <v>6000</v>
      </c>
      <c r="X2183" s="2"/>
      <c r="Y2183"/>
      <c r="Z2183"/>
      <c r="AA2183"/>
      <c r="AB2183"/>
      <c r="AC2183"/>
      <c r="AD2183" s="4"/>
      <c r="AE2183"/>
      <c r="AF2183" s="2"/>
      <c r="AG2183" t="inlineStr">
        <is>
          <t>NzQyNTk5MTgyNzQ4MTg3MDM0MToyQUUxQ0E4NS1DRTE0LTQ0MzctQTg2MS02RTEzNjM3RjMwRDQtMzoyNGM3NGVjZGU0YThhYmYwNmZiNzBmMjdiMGMyNDkyYjox</t>
        </is>
      </c>
      <c r="AH2183"/>
      <c r="AI2183"/>
      <c r="AJ2183" t="inlineStr">
        <is>
          <t>LIQUIDITY PLAN (PAR # 202603150011 / 202603150011) - AS OF 03/24/26
SOUTH LUZON LEG - MARCH 28, 2026 &gt;
LOGISTICS &gt;
Lifetime Tables
Table Cover
Collapsible Divider/ Black Cloth
Total Budget = Php 17,000.00
Actual Cost = Php 26,000.00
Balance = (Php 9,000.00) OVER BUDGET</t>
        </is>
      </c>
      <c r="AK2183"/>
    </row>
    <row r="2184" ht="25.5" customHeight="1">
      <c r="A2184" s="2" t="str">
        <f>=HYPERLINK("https://applink.larksuite.com/client/mini_program/open?appId=cli_9c7cc8a9a9edd105&amp;mode=appCenter&amp;path_pc=pc/pages/requested/index?instanceId=7621454917059743461&amp;source=bitable&amp;path=pages/detail/index?instanceId=7621454917059743461&amp;source=bitable", "202603260076")</f>
        <v>202603260076</v>
      </c>
      <c r="B2184" t="inlineStr">
        <is>
          <t>Approved</t>
        </is>
      </c>
      <c r="C2184" t="inlineStr">
        <is>
          <t>Procurement Order</t>
        </is>
      </c>
      <c r="D2184" s="3">
        <v>46107.62331018518</v>
      </c>
      <c r="E2184" s="3">
        <v>46108.7078125</v>
      </c>
      <c r="F2184" t="inlineStr">
        <is>
          <t>Fatima Kathleen M. FLores</t>
        </is>
      </c>
      <c r="G2184" t="inlineStr">
        <is>
          <t>Procurement</t>
        </is>
      </c>
      <c r="H2184"/>
      <c r="I2184"/>
      <c r="J2184" t="inlineStr">
        <is>
          <t>Project</t>
        </is>
      </c>
      <c r="K2184" t="inlineStr">
        <is>
          <t>GG - Event Service</t>
        </is>
      </c>
      <c r="L2184" t="inlineStr">
        <is>
          <t>PUBG Mobile 8th Anniversary Event</t>
        </is>
      </c>
      <c r="M2184" t="inlineStr">
        <is>
          <t>2026TEG-P0066</t>
        </is>
      </c>
      <c r="N2184" t="inlineStr">
        <is>
          <t>Randy Vince Fernandez Apura</t>
        </is>
      </c>
      <c r="O2184" t="inlineStr">
        <is>
          <t>202603250006-Randy Vince Fernandez Apura-费用报销 - 副本 - 副本 - 副本-2026-03-25 01:54:27;202603260001-Randy Vince Fernandez Apura-费用报销 - 副本 - 副本 - 副本-2026-03-26 01:07:12</t>
        </is>
      </c>
      <c r="P2184" t="inlineStr">
        <is>
          <t>NO</t>
        </is>
      </c>
      <c r="Q2184"/>
      <c r="R2184" t="inlineStr">
        <is>
          <t>YES</t>
        </is>
      </c>
      <c r="S2184" t="inlineStr">
        <is>
          <t>Rental of Lifetime Tables - 6ft with cover</t>
        </is>
      </c>
      <c r="T2184">
        <v>20</v>
      </c>
      <c r="U2184">
        <v>200</v>
      </c>
      <c r="V2184" t="inlineStr">
        <is>
          <t>PHP</t>
        </is>
      </c>
      <c r="W2184">
        <v>4000</v>
      </c>
      <c r="X2184" s="2"/>
      <c r="Y2184"/>
      <c r="Z2184"/>
      <c r="AA2184"/>
      <c r="AB2184"/>
      <c r="AC2184"/>
      <c r="AD2184" s="4"/>
      <c r="AE2184"/>
      <c r="AF2184" s="2"/>
      <c r="AG2184" t="inlineStr">
        <is>
          <t>NzQyNTk5MTgyNzQ4MTg3MDM0MToyQUUxQ0E4NS1DRTE0LTQ0MzctQTg2MS02RTEzNjM3RjMwRDQtNDowOWIyOGY2YjVjODhlMzJhZDAyMjIxZWY0MWJkYzViYzox</t>
        </is>
      </c>
      <c r="AH2184"/>
      <c r="AI2184"/>
      <c r="AJ2184" t="inlineStr">
        <is>
          <t>LIQUIDITY PLAN (PAR # 202603150011 / 202603150011) - AS OF 03/24/26
SOUTH LUZON LEG - MARCH 28, 2026 &gt;
LOGISTICS &gt;
Lifetime Tables
Table Cover
Collapsible Divider/ Black Cloth
Total Budget = Php 17,000.00
Actual Cost = Php 26,000.00
Balance = (Php 9,000.00) OVER BUDGET</t>
        </is>
      </c>
      <c r="AK2184"/>
    </row>
    <row r="2185" ht="25.5" customHeight="1">
      <c r="A2185" s="2" t="str">
        <f>=HYPERLINK("https://applink.larksuite.com/client/mini_program/open?appId=cli_9c7cc8a9a9edd105&amp;mode=appCenter&amp;path_pc=pc/pages/requested/index?instanceId=7621454917059743461&amp;source=bitable&amp;path=pages/detail/index?instanceId=7621454917059743461&amp;source=bitable", "202603260076")</f>
        <v>202603260076</v>
      </c>
      <c r="B2185" t="inlineStr">
        <is>
          <t>Approved</t>
        </is>
      </c>
      <c r="C2185" t="inlineStr">
        <is>
          <t>Procurement Order</t>
        </is>
      </c>
      <c r="D2185" s="3">
        <v>46107.62331018518</v>
      </c>
      <c r="E2185" s="3">
        <v>46108.7078125</v>
      </c>
      <c r="F2185" t="inlineStr">
        <is>
          <t>Fatima Kathleen M. FLores</t>
        </is>
      </c>
      <c r="G2185" t="inlineStr">
        <is>
          <t>Procurement</t>
        </is>
      </c>
      <c r="H2185"/>
      <c r="I2185"/>
      <c r="J2185" t="inlineStr">
        <is>
          <t>Project</t>
        </is>
      </c>
      <c r="K2185" t="inlineStr">
        <is>
          <t>GG - Event Service</t>
        </is>
      </c>
      <c r="L2185" t="inlineStr">
        <is>
          <t>PUBG Mobile 8th Anniversary Event</t>
        </is>
      </c>
      <c r="M2185" t="inlineStr">
        <is>
          <t>2026TEG-P0066</t>
        </is>
      </c>
      <c r="N2185" t="inlineStr">
        <is>
          <t>Randy Vince Fernandez Apura</t>
        </is>
      </c>
      <c r="O2185" t="inlineStr">
        <is>
          <t>202603250006-Randy Vince Fernandez Apura-费用报销 - 副本 - 副本 - 副本-2026-03-25 01:54:27;202603260001-Randy Vince Fernandez Apura-费用报销 - 副本 - 副本 - 副本-2026-03-26 01:07:12</t>
        </is>
      </c>
      <c r="P2185" t="inlineStr">
        <is>
          <t>NO</t>
        </is>
      </c>
      <c r="Q2185"/>
      <c r="R2185" t="inlineStr">
        <is>
          <t>YES</t>
        </is>
      </c>
      <c r="S2185" t="inlineStr">
        <is>
          <t>Rental of Light (for tent)</t>
        </is>
      </c>
      <c r="T2185">
        <v>1</v>
      </c>
      <c r="U2185">
        <v>1500</v>
      </c>
      <c r="V2185" t="inlineStr">
        <is>
          <t>PHP</t>
        </is>
      </c>
      <c r="W2185">
        <v>1500</v>
      </c>
      <c r="X2185" s="2"/>
      <c r="Y2185"/>
      <c r="Z2185"/>
      <c r="AA2185"/>
      <c r="AB2185"/>
      <c r="AC2185"/>
      <c r="AD2185" s="4"/>
      <c r="AE2185"/>
      <c r="AF2185" s="2"/>
      <c r="AG2185" t="inlineStr">
        <is>
          <t>NzQyNTk5MTgyNzQ4MTg3MDM0MToyQUUxQ0E4NS1DRTE0LTQ0MzctQTg2MS02RTEzNjM3RjMwRDQtNTo3NjRmNDA0NjM1Mjc0Mjk1ZTgyOWFjOWMxNDMzMDZmMDox</t>
        </is>
      </c>
      <c r="AH2185"/>
      <c r="AI2185"/>
      <c r="AJ2185" t="inlineStr">
        <is>
          <t>LIQUIDITY PLAN (PAR # 202603150011 / 202603150011) - AS OF 03/24/26
SOUTH LUZON LEG - MARCH 28, 2026 &gt;
LOGISTICS &gt;
Lifetime Tables
Table Cover
Collapsible Divider/ Black Cloth
Total Budget = Php 17,000.00
Actual Cost = Php 26,000.00
Balance = (Php 9,000.00) OVER BUDGET</t>
        </is>
      </c>
      <c r="AK2185"/>
    </row>
    <row r="2186" ht="25.5" customHeight="1">
      <c r="A2186" s="2" t="str">
        <f>=HYPERLINK("https://applink.larksuite.com/client/mini_program/open?appId=cli_9c7cc8a9a9edd105&amp;mode=appCenter&amp;path_pc=pc/pages/requested/index?instanceId=7621454917059743461&amp;source=bitable&amp;path=pages/detail/index?instanceId=7621454917059743461&amp;source=bitable", "202603260076")</f>
        <v>202603260076</v>
      </c>
      <c r="B2186" t="inlineStr">
        <is>
          <t>Approved</t>
        </is>
      </c>
      <c r="C2186" t="inlineStr">
        <is>
          <t>Procurement Order</t>
        </is>
      </c>
      <c r="D2186" s="3">
        <v>46107.62331018518</v>
      </c>
      <c r="E2186" s="3">
        <v>46108.7078125</v>
      </c>
      <c r="F2186" t="inlineStr">
        <is>
          <t>Fatima Kathleen M. FLores</t>
        </is>
      </c>
      <c r="G2186" t="inlineStr">
        <is>
          <t>Procurement</t>
        </is>
      </c>
      <c r="H2186"/>
      <c r="I2186"/>
      <c r="J2186" t="inlineStr">
        <is>
          <t>Project</t>
        </is>
      </c>
      <c r="K2186" t="inlineStr">
        <is>
          <t>GG - Event Service</t>
        </is>
      </c>
      <c r="L2186" t="inlineStr">
        <is>
          <t>PUBG Mobile 8th Anniversary Event</t>
        </is>
      </c>
      <c r="M2186" t="inlineStr">
        <is>
          <t>2026TEG-P0066</t>
        </is>
      </c>
      <c r="N2186" t="inlineStr">
        <is>
          <t>Randy Vince Fernandez Apura</t>
        </is>
      </c>
      <c r="O2186" t="inlineStr">
        <is>
          <t>202603250006-Randy Vince Fernandez Apura-费用报销 - 副本 - 副本 - 副本-2026-03-25 01:54:27;202603260001-Randy Vince Fernandez Apura-费用报销 - 副本 - 副本 - 副本-2026-03-26 01:07:12</t>
        </is>
      </c>
      <c r="P2186" t="inlineStr">
        <is>
          <t>NO</t>
        </is>
      </c>
      <c r="Q2186"/>
      <c r="R2186" t="inlineStr">
        <is>
          <t>YES</t>
        </is>
      </c>
      <c r="S2186" t="inlineStr">
        <is>
          <t>Mobilization, Installation and Delivery Fee</t>
        </is>
      </c>
      <c r="T2186">
        <v>1</v>
      </c>
      <c r="U2186">
        <v>4000</v>
      </c>
      <c r="V2186" t="inlineStr">
        <is>
          <t>PHP</t>
        </is>
      </c>
      <c r="W2186">
        <v>4000</v>
      </c>
      <c r="X2186" s="2" t="str">
        <f>=HYPERLINK("https://www.larksuite.com/approval/admin/previewAttachment?key=PMgxCgJBDAXQK-UnP_kTL2PjsiiM2wiKxZxdsNj21YDVSES1seFtWCoHkw1ZthgsLF-Q2gSl1vbcr4Pu4zEP_8xvHHO977d9eyFb7qYgY5gZLqeHSHYX7e_5CwAA__8", "3 attachment(s)")</f>
        <v>3 attachment(s)</v>
      </c>
      <c r="Y2186"/>
      <c r="Z2186"/>
      <c r="AA2186"/>
      <c r="AB2186"/>
      <c r="AC2186"/>
      <c r="AD2186" s="4"/>
      <c r="AE2186"/>
      <c r="AF2186" s="2"/>
      <c r="AG2186" t="inlineStr">
        <is>
          <t>NzQyNTk5MTgyNzQ4MTg3MDM0MToyQUUxQ0E4NS1DRTE0LTQ0MzctQTg2MS02RTEzNjM3RjMwRDQtNjo2ZmM1ODZjYWM2NTVlMjk3MWZiZWQ0ZjYxZTg5ZGI0ZTox</t>
        </is>
      </c>
      <c r="AH2186"/>
      <c r="AI2186"/>
      <c r="AJ2186" t="inlineStr">
        <is>
          <t>LIQUIDITY PLAN (PAR # 202603150011 / 202603150011) - AS OF 03/24/26
SOUTH LUZON LEG - MARCH 28, 2026 &gt;
LOGISTICS &gt;
Lifetime Tables
Table Cover
Collapsible Divider/ Black Cloth
Total Budget = Php 17,000.00
Actual Cost = Php 26,000.00
Balance = (Php 9,000.00) OVER BUDGET</t>
        </is>
      </c>
      <c r="AK2186"/>
    </row>
    <row r="2187" ht="25.5" customHeight="1">
      <c r="A2187" s="2" t="str">
        <f>=HYPERLINK("https://applink.larksuite.com/client/mini_program/open?appId=cli_9c7cc8a9a9edd105&amp;mode=appCenter&amp;path_pc=pc/pages/requested/index?instanceId=7621449585092824797&amp;source=bitable&amp;path=pages/detail/index?instanceId=7621449585092824797&amp;source=bitable", "202603260071")</f>
        <v>202603260071</v>
      </c>
      <c r="B2187" t="inlineStr">
        <is>
          <t>Approved</t>
        </is>
      </c>
      <c r="C2187" t="inlineStr">
        <is>
          <t>Procurement Order</t>
        </is>
      </c>
      <c r="D2187" s="3">
        <v>46107.608935185184</v>
      </c>
      <c r="E2187" s="3">
        <v>46107.674155092594</v>
      </c>
      <c r="F2187" t="inlineStr">
        <is>
          <t>Fatima Kathleen M. FLores</t>
        </is>
      </c>
      <c r="G2187" t="inlineStr">
        <is>
          <t>Procurement</t>
        </is>
      </c>
      <c r="H2187"/>
      <c r="I2187"/>
      <c r="J2187" t="inlineStr">
        <is>
          <t>Project</t>
        </is>
      </c>
      <c r="K2187" t="inlineStr">
        <is>
          <t>GG - Event Service</t>
        </is>
      </c>
      <c r="L2187" t="inlineStr">
        <is>
          <t>PUBG Mobile 8th Anniversary Event</t>
        </is>
      </c>
      <c r="M2187" t="inlineStr">
        <is>
          <t>2026TEG-P0066</t>
        </is>
      </c>
      <c r="N2187" t="inlineStr">
        <is>
          <t>Randy Vince Fernandez Apura</t>
        </is>
      </c>
      <c r="O2187" t="inlineStr">
        <is>
          <t>202603250019-Randy Vince Fernandez Apura-费用报销 - 副本 - 副本 - 副本-2026-03-25 03:20:40</t>
        </is>
      </c>
      <c r="P2187" t="inlineStr">
        <is>
          <t>NO</t>
        </is>
      </c>
      <c r="Q2187"/>
      <c r="R2187" t="inlineStr">
        <is>
          <t>NO</t>
        </is>
      </c>
      <c r="S2187" t="inlineStr">
        <is>
          <t>Rental of 1 Set 9ft x 12ft Indoor LED Wall (Mar. 29, 2026)</t>
        </is>
      </c>
      <c r="T2187">
        <v>1</v>
      </c>
      <c r="U2187">
        <v>35000</v>
      </c>
      <c r="V2187" t="inlineStr">
        <is>
          <t>PHP</t>
        </is>
      </c>
      <c r="W2187">
        <v>35000</v>
      </c>
      <c r="X2187" s="2" t="str">
        <f>=HYPERLINK("https://www.larksuite.com/approval/admin/previewAttachment?key=PMgxrsMwDAPQK5EyLYn_Mn9pEHTJVMDN4rMX6ND1ZRPZkyMNmWFwVwYlz55wdKhcOzarjGLN3Md1_o_rvvvNhQaXsNfzcR4vTlcEakijAfDv56Mk2Sl8HZ8AAAD__w", "2 attachment(s)")</f>
        <v>2 attachment(s)</v>
      </c>
      <c r="Y2187" t="inlineStr">
        <is>
          <t>Bank Transfer</t>
        </is>
      </c>
      <c r="Z2187" t="inlineStr">
        <is>
          <t>Peter Angelo F. Somera</t>
        </is>
      </c>
      <c r="AA2187" t="inlineStr">
        <is>
          <t>006781125108</t>
        </is>
      </c>
      <c r="AB2187" t="inlineStr">
        <is>
          <t>BDO</t>
        </is>
      </c>
      <c r="AC2187" t="inlineStr">
        <is>
          <t>Blk 89 Lot 28 Domingo de Ramos St., Lagro, QC</t>
        </is>
      </c>
      <c r="AD2187" s="4">
        <v>46108</v>
      </c>
      <c r="AE2187" t="inlineStr">
        <is>
          <t>50% Down payment upon confirmation
Final Payment upon completion of services</t>
        </is>
      </c>
      <c r="AF2187" s="2"/>
      <c r="AG2187" t="inlineStr">
        <is>
          <t>NzQyNTk5MTgyNzQ4MTg3MDM0MToyOTkxOEQxOC01MDdBLTQ1NkMtOTBEOC0yNkVEN0RGN0UzNzAtMToyYzA3MTgwZDgyNzA0YTYzZmE3Yjc1YzQ2ZGFmZGUxZjox</t>
        </is>
      </c>
      <c r="AH2187" t="inlineStr">
        <is>
          <t>Banda Pilipinas</t>
        </is>
      </c>
      <c r="AI2187"/>
      <c r="AJ2187" t="inlineStr">
        <is>
          <t>LIQUIDITY PLAN (PAR # 202603150011 / 202603150011) - AS OF 03/24/26
METRO MANILA LEG - MARCH 29, 2026 &gt;
RENTAL &amp; EQUIPMENT &gt; TECHNICALS &gt;
Basic Package LED, audio 
Total Budget = Php 40,000.00
This Request = Php 35,000.00
Balance = Php 5,000.00</t>
        </is>
      </c>
      <c r="AK2187"/>
    </row>
    <row r="2188" ht="25.5" customHeight="1">
      <c r="A2188" s="2" t="str">
        <f>=HYPERLINK("https://applink.larksuite.com/client/mini_program/open?appId=cli_9c7cc8a9a9edd105&amp;mode=appCenter&amp;path_pc=pc/pages/requested/index?instanceId=7621456556550344421&amp;source=bitable&amp;path=pages/detail/index?instanceId=7621456556550344421&amp;source=bitable", "202603260078")</f>
        <v>202603260078</v>
      </c>
      <c r="B2188" t="inlineStr">
        <is>
          <t>Approved</t>
        </is>
      </c>
      <c r="C2188" t="inlineStr">
        <is>
          <t>Procurement Order</t>
        </is>
      </c>
      <c r="D2188" s="3">
        <v>46107.62771990741</v>
      </c>
      <c r="E2188" s="3">
        <v>46107.674675925926</v>
      </c>
      <c r="F2188" t="inlineStr">
        <is>
          <t>Fatima Kathleen M. FLores</t>
        </is>
      </c>
      <c r="G2188" t="inlineStr">
        <is>
          <t>Procurement</t>
        </is>
      </c>
      <c r="H2188"/>
      <c r="I2188"/>
      <c r="J2188" t="inlineStr">
        <is>
          <t>Project</t>
        </is>
      </c>
      <c r="K2188" t="inlineStr">
        <is>
          <t>GG - Event Service</t>
        </is>
      </c>
      <c r="L2188" t="inlineStr">
        <is>
          <t>PUBG Mobile 8th Anniversary Event</t>
        </is>
      </c>
      <c r="M2188" t="inlineStr">
        <is>
          <t>2026TEG-P0066</t>
        </is>
      </c>
      <c r="N2188" t="inlineStr">
        <is>
          <t>Randy Vince Fernandez Apura</t>
        </is>
      </c>
      <c r="O2188" t="inlineStr">
        <is>
          <t>202603240046-Randy Vince Fernandez Apura-费用报销 - 副本 - 副本 - 副本-2026-03-24 09:36:41</t>
        </is>
      </c>
      <c r="P2188" t="inlineStr">
        <is>
          <t>NO</t>
        </is>
      </c>
      <c r="Q2188"/>
      <c r="R2188" t="inlineStr">
        <is>
          <t>NO</t>
        </is>
      </c>
      <c r="S2188" t="inlineStr">
        <is>
          <t>RENTAL OF ON-THE-SPOT TIE-DYE BOOTH</t>
        </is>
      </c>
      <c r="T2188">
        <v>1</v>
      </c>
      <c r="U2188">
        <v>20000</v>
      </c>
      <c r="V2188" t="inlineStr">
        <is>
          <t>PHP</t>
        </is>
      </c>
      <c r="W2188">
        <v>20000</v>
      </c>
      <c r="X2188" s="2" t="str">
        <f>=HYPERLINK("https://www.larksuite.com/approval/admin/previewAttachment?key=PMgxCkJBDATQK81kJ8nGy9js8hHRShB-kbOLFsKrXkwipnNEQUUrsDOM8vAvDEnGtmZmIZkevZ_HlbnWPOvcj7y7zX7f1rFf9Eoz5JDGBMDL_0dKqgrh9_gEAAD__w", "2 attachment(s)")</f>
        <v>2 attachment(s)</v>
      </c>
      <c r="Y2188" t="inlineStr">
        <is>
          <t>Bank Transfer</t>
        </is>
      </c>
      <c r="Z2188" t="inlineStr">
        <is>
          <t>Michael Lasin</t>
        </is>
      </c>
      <c r="AA2188" t="inlineStr">
        <is>
          <t>0994 693 1003</t>
        </is>
      </c>
      <c r="AB2188" t="inlineStr">
        <is>
          <t>GCash</t>
        </is>
      </c>
      <c r="AC2188" t="inlineStr">
        <is>
          <t>Block 8 Lot 45 Sampaguita Homes, Sampaguita, Lipa City</t>
        </is>
      </c>
      <c r="AD2188" s="4">
        <v>46108</v>
      </c>
      <c r="AE2188" t="inlineStr">
        <is>
          <t>30% Down Payment upon confirmation
70% Full Payment on or before event day</t>
        </is>
      </c>
      <c r="AF2188" s="2"/>
      <c r="AG2188" t="inlineStr">
        <is>
          <t>NzQyNTk5MTgyNzQ4MTg3MDM0MTpDOEUwN0Q4RC1GQjZGLTQ4M0EtOTg3Qi0xMjRERTY2QTIwQzctMTo4M2U2NzY3NDJhMjFiYzgwZTJkNjRjODRlODVhNjYzZjox</t>
        </is>
      </c>
      <c r="AH2188" t="inlineStr">
        <is>
          <t>MJ PRINTING AND CRAFTS</t>
        </is>
      </c>
      <c r="AI2188"/>
      <c r="AJ2188" t="inlineStr">
        <is>
          <t>LIQUIDITY PLAN (PAR # 202603150011 / 202603150011)
SOUTH LUZON LEG - MARCH 28, 2026 &gt; MARKETING COLLATERAL &amp; VENUE SKINNING &gt;
Booth Activities &gt; 
Activity Booth - DIY Bandana
Total Budget = Php 20,000.00
Actual Cost = Php 20,000.00</t>
        </is>
      </c>
      <c r="AK2188"/>
    </row>
    <row r="2189" ht="25.5" customHeight="1">
      <c r="A2189" s="2" t="str">
        <f>=HYPERLINK("https://applink.larksuite.com/client/mini_program/open?appId=cli_9c7cc8a9a9edd105&amp;mode=appCenter&amp;path_pc=pc/pages/requested/index?instanceId=7621469640710983397&amp;source=bitable&amp;path=pages/detail/index?instanceId=7621469640710983397&amp;source=bitable", "202603260100")</f>
        <v>202603260100</v>
      </c>
      <c r="B2189" t="inlineStr">
        <is>
          <t>Recalled</t>
        </is>
      </c>
      <c r="C2189" t="inlineStr">
        <is>
          <t>Procurement Order</t>
        </is>
      </c>
      <c r="D2189" s="3">
        <v>46107.662986111114</v>
      </c>
      <c r="E2189" s="3">
        <v>46108.45583333333</v>
      </c>
      <c r="F2189" t="inlineStr">
        <is>
          <t>Fatima Kathleen M. FLores</t>
        </is>
      </c>
      <c r="G2189" t="inlineStr">
        <is>
          <t>Procurement</t>
        </is>
      </c>
      <c r="H2189"/>
      <c r="I2189"/>
      <c r="J2189" t="inlineStr">
        <is>
          <t>Project</t>
        </is>
      </c>
      <c r="K2189" t="inlineStr">
        <is>
          <t>GG - Event Service</t>
        </is>
      </c>
      <c r="L2189" t="inlineStr">
        <is>
          <t>PUBG Mobile 8th Anniversary Event</t>
        </is>
      </c>
      <c r="M2189" t="inlineStr">
        <is>
          <t>2026TEG-P0066</t>
        </is>
      </c>
      <c r="N2189" t="inlineStr">
        <is>
          <t>Randy Vince Fernandez Apura</t>
        </is>
      </c>
      <c r="O2189" t="inlineStr">
        <is>
          <t>202603240046-Randy Vince Fernandez Apura-费用报销 - 副本 - 副本 - 副本-2026-03-24 09:36:41</t>
        </is>
      </c>
      <c r="P2189" t="inlineStr">
        <is>
          <t>NO</t>
        </is>
      </c>
      <c r="Q2189"/>
      <c r="R2189" t="inlineStr">
        <is>
          <t>YES</t>
        </is>
      </c>
      <c r="S2189" t="inlineStr">
        <is>
          <t>GG Truck Tarpaulin (72" x 120")</t>
        </is>
      </c>
      <c r="T2189">
        <v>1</v>
      </c>
      <c r="U2189">
        <v>1800</v>
      </c>
      <c r="V2189" t="inlineStr">
        <is>
          <t>PHP</t>
        </is>
      </c>
      <c r="W2189">
        <v>1800</v>
      </c>
      <c r="X2189" s="2" t="str">
        <f>=HYPERLINK("https://www.larksuite.com/approval/admin/previewAttachment?key=PMwxrsJADATQK83YXs_6X-Y3iSIEokJsaHx2BAXtK15OIuegZyGKVmArjZGVARE13UttTakgaqj3-_G_PaW5lm52vnA9e122Y39wlMwgj_AJgH8_d0VEfdav4x0AAP__", "2 attachment(s)")</f>
        <v>2 attachment(s)</v>
      </c>
      <c r="Y2189" t="inlineStr">
        <is>
          <t>Bank Transfer</t>
        </is>
      </c>
      <c r="Z2189" t="inlineStr">
        <is>
          <t>Jianna Katrina O. Vasquez</t>
        </is>
      </c>
      <c r="AA2189" t="inlineStr">
        <is>
          <t>0000068811370</t>
        </is>
      </c>
      <c r="AB2189" t="inlineStr">
        <is>
          <t>Security Bank</t>
        </is>
      </c>
      <c r="AC2189" t="inlineStr">
        <is>
          <t>57 Diaz St., PH10 Bahayang Pagasa Subd., Imus, Cavite</t>
        </is>
      </c>
      <c r="AD2189" s="4">
        <v>46107</v>
      </c>
      <c r="AE2189" t="inlineStr">
        <is>
          <t>50% Down Payment upon confirmation
50% Final Payment upon complete delivery</t>
        </is>
      </c>
      <c r="AF2189" s="2" t="str">
        <f>=HYPERLINK("https://www.larksuite.com/approval/admin/previewAttachment?key=TMwxrsJADATQK82svR77X-Y3iSIEokJsaHx2pFS0r3iRROSkRcGLo8BWDHpUOERUmpV6NKWCqKnen8f_9pZyLT3G-cH97HXbjv3FSAt4TXcWAP79OK8t7HJ8AwAA__8", "2 attachment(s)")</f>
        <v>2 attachment(s)</v>
      </c>
      <c r="AG2189" t="inlineStr">
        <is>
          <t>NzQyNTk5MTgyNzQ4MTg3MDM0MToyNTk4NDNBRC04QTUxLTQ1OTYtQjNBRC1DMDExNTIwMkI1NUUtMTpmYzViNmM5MjYzOWVlYTcxM2UyYWZhZmI4Y2JiYmVmZjox</t>
        </is>
      </c>
      <c r="AH2189" t="inlineStr">
        <is>
          <t>JKOV DIGITAL PRINTING SERVICES</t>
        </is>
      </c>
      <c r="AI2189"/>
      <c r="AJ2189" t="inlineStr">
        <is>
          <t>No line item in internal CE. Unbudgeted.</t>
        </is>
      </c>
      <c r="AK2189"/>
    </row>
    <row r="2190" ht="25.5" customHeight="1">
      <c r="A2190" s="2" t="str">
        <f>=HYPERLINK("https://applink.larksuite.com/client/mini_program/open?appId=cli_9c7cc8a9a9edd105&amp;mode=appCenter&amp;path_pc=pc/pages/requested/index?instanceId=7621467165425831646&amp;source=bitable&amp;path=pages/detail/index?instanceId=7621467165425831646&amp;source=bitable", "202603260094")</f>
        <v>202603260094</v>
      </c>
      <c r="B2190" t="inlineStr">
        <is>
          <t>Approved</t>
        </is>
      </c>
      <c r="C2190" t="inlineStr">
        <is>
          <t>Procurement Order</t>
        </is>
      </c>
      <c r="D2190" s="3">
        <v>46107.656319444446</v>
      </c>
      <c r="E2190" s="3">
        <v>46108.71019675926</v>
      </c>
      <c r="F2190" t="inlineStr">
        <is>
          <t>Fatima Kathleen M. FLores</t>
        </is>
      </c>
      <c r="G2190" t="inlineStr">
        <is>
          <t>Procurement</t>
        </is>
      </c>
      <c r="H2190"/>
      <c r="I2190"/>
      <c r="J2190" t="inlineStr">
        <is>
          <t>Project</t>
        </is>
      </c>
      <c r="K2190" t="inlineStr">
        <is>
          <t>GG - Event Service</t>
        </is>
      </c>
      <c r="L2190" t="inlineStr">
        <is>
          <t>PUBG Mobile 8th Anniversary Event</t>
        </is>
      </c>
      <c r="M2190" t="inlineStr">
        <is>
          <t>2026TEG-P0066</t>
        </is>
      </c>
      <c r="N2190" t="inlineStr">
        <is>
          <t>Randy Vince Fernandez Apura</t>
        </is>
      </c>
      <c r="O2190" t="inlineStr">
        <is>
          <t>202603240046-Randy Vince Fernandez Apura-费用报销 - 副本 - 副本 - 副本-2026-03-24 09:36:41</t>
        </is>
      </c>
      <c r="P2190" t="inlineStr">
        <is>
          <t>NO</t>
        </is>
      </c>
      <c r="Q2190"/>
      <c r="R2190" t="inlineStr">
        <is>
          <t>YES</t>
        </is>
      </c>
      <c r="S2190" t="inlineStr">
        <is>
          <t>Character Standee (Boy &amp; Girl)</t>
        </is>
      </c>
      <c r="T2190">
        <v>2</v>
      </c>
      <c r="U2190">
        <v>4500</v>
      </c>
      <c r="V2190" t="inlineStr">
        <is>
          <t>PHP</t>
        </is>
      </c>
      <c r="W2190">
        <v>9000</v>
      </c>
      <c r="X2190" s="2"/>
      <c r="Y2190" t="inlineStr">
        <is>
          <t>Bank Transfer</t>
        </is>
      </c>
      <c r="Z2190" t="inlineStr">
        <is>
          <t>Jianna Katrina O. Vasquez</t>
        </is>
      </c>
      <c r="AA2190" t="inlineStr">
        <is>
          <t>0000068811370</t>
        </is>
      </c>
      <c r="AB2190" t="inlineStr">
        <is>
          <t>Security Bank</t>
        </is>
      </c>
      <c r="AC2190" t="inlineStr">
        <is>
          <t>57 Diaz St., PH10 Bahayang Pagasa Subd., Imus, Cavite</t>
        </is>
      </c>
      <c r="AD2190" s="4">
        <v>46107</v>
      </c>
      <c r="AE2190" t="inlineStr">
        <is>
          <t>50% Down Payment upon confirmation
50% Final Payment upon complete delivery</t>
        </is>
      </c>
      <c r="AF2190" s="2" t="str">
        <f>=HYPERLINK("https://www.larksuite.com/approval/admin/previewAttachment?key=TMgxCgJBDAXQK_0_SX4SL2Ozy6CIIggLW8zZBSvbpyJUQVPDm6PBlRp0JRU-ooxyrbGY2Uhm5Nqf83o_zvPtlVvbI15zHbdt7h-qTPAOdzYAXv6cRJfJfo5vAAAA__8", "2 attachment(s)")</f>
        <v>2 attachment(s)</v>
      </c>
      <c r="AG2190" t="inlineStr">
        <is>
          <t>NzQyNTk5MTgyNzQ4MTg3MDM0MTo5NjIwMjAyMi00REYyLTQ1REEtQThDMi03MDE2RTU0RjQxRTctMTphZmQ3M2Y3NWZlZWU2NmE5NTE4OGRhNTdmZTFiMTM4NTox</t>
        </is>
      </c>
      <c r="AH2190" t="inlineStr">
        <is>
          <t>JKOV DIGITAL PRINTING SERVICES</t>
        </is>
      </c>
      <c r="AI2190"/>
      <c r="AJ2190" t="inlineStr">
        <is>
          <t>Cancelled Item:
Customized Banners (15 meters)
Photowall with B2B Frame (10ft x 8ft)
New LP:
LIQUIDITY PLAN (PAR # 202603150011 / 202603150011) - AS OF 03/24/26
SOUTH LUZON LEG - MARCH 28, 2026 &gt;
MARKETING COLLATERAL &amp; VENUE SKINNING &gt;
Booth Activities &gt; 
Photo Booth w/ themed Jeepney Frame
Miscellaneous Props
Character Standees
Total Budget = Php 30,000.00
Actual Cost = Php 26,000.00
Balance = Php 4,000.00</t>
        </is>
      </c>
      <c r="AK2190"/>
    </row>
    <row r="2191" ht="25.5" customHeight="1">
      <c r="A2191" s="2" t="str">
        <f>=HYPERLINK("https://applink.larksuite.com/client/mini_program/open?appId=cli_9c7cc8a9a9edd105&amp;mode=appCenter&amp;path_pc=pc/pages/requested/index?instanceId=7621467165425831646&amp;source=bitable&amp;path=pages/detail/index?instanceId=7621467165425831646&amp;source=bitable", "202603260094")</f>
        <v>202603260094</v>
      </c>
      <c r="B2191" t="inlineStr">
        <is>
          <t>Approved</t>
        </is>
      </c>
      <c r="C2191" t="inlineStr">
        <is>
          <t>Procurement Order</t>
        </is>
      </c>
      <c r="D2191" s="3">
        <v>46107.656319444446</v>
      </c>
      <c r="E2191" s="3">
        <v>46108.71019675926</v>
      </c>
      <c r="F2191" t="inlineStr">
        <is>
          <t>Fatima Kathleen M. FLores</t>
        </is>
      </c>
      <c r="G2191" t="inlineStr">
        <is>
          <t>Procurement</t>
        </is>
      </c>
      <c r="H2191"/>
      <c r="I2191"/>
      <c r="J2191" t="inlineStr">
        <is>
          <t>Project</t>
        </is>
      </c>
      <c r="K2191" t="inlineStr">
        <is>
          <t>GG - Event Service</t>
        </is>
      </c>
      <c r="L2191" t="inlineStr">
        <is>
          <t>PUBG Mobile 8th Anniversary Event</t>
        </is>
      </c>
      <c r="M2191" t="inlineStr">
        <is>
          <t>2026TEG-P0066</t>
        </is>
      </c>
      <c r="N2191" t="inlineStr">
        <is>
          <t>Randy Vince Fernandez Apura</t>
        </is>
      </c>
      <c r="O2191" t="inlineStr">
        <is>
          <t>202603240046-Randy Vince Fernandez Apura-费用报销 - 副本 - 副本 - 副本-2026-03-24 09:36:41</t>
        </is>
      </c>
      <c r="P2191" t="inlineStr">
        <is>
          <t>NO</t>
        </is>
      </c>
      <c r="Q2191"/>
      <c r="R2191" t="inlineStr">
        <is>
          <t>YES</t>
        </is>
      </c>
      <c r="S2191" t="inlineStr">
        <is>
          <t>Sticker on Sintra for Photobooth (Jeepney Theme)</t>
        </is>
      </c>
      <c r="T2191">
        <v>1</v>
      </c>
      <c r="U2191">
        <v>8700</v>
      </c>
      <c r="V2191" t="inlineStr">
        <is>
          <t>PHP</t>
        </is>
      </c>
      <c r="W2191">
        <v>8700</v>
      </c>
      <c r="X2191" s="2"/>
      <c r="Y2191"/>
      <c r="Z2191"/>
      <c r="AA2191"/>
      <c r="AB2191"/>
      <c r="AC2191"/>
      <c r="AD2191" s="4"/>
      <c r="AE2191"/>
      <c r="AF2191" s="2"/>
      <c r="AG2191" t="inlineStr">
        <is>
          <t>NzQyNTk5MTgyNzQ4MTg3MDM0MTo5NjIwMjAyMi00REYyLTQ1REEtQThDMi03MDE2RTU0RjQxRTctMjowNGE3NjdkZGRhZWRkMjJmOWE4MTA2NDNmZWI3YjE0NTox</t>
        </is>
      </c>
      <c r="AH2191"/>
      <c r="AI2191"/>
      <c r="AJ2191" t="inlineStr">
        <is>
          <t>Cancelled Item:
Customized Banners (15 meters)
Photowall with B2B Frame (10ft x 8ft)
New LP:
LIQUIDITY PLAN (PAR # 202603150011 / 202603150011) - AS OF 03/24/26
SOUTH LUZON LEG - MARCH 28, 2026 &gt;
MARKETING COLLATERAL &amp; VENUE SKINNING &gt;
Booth Activities &gt; 
Photo Booth w/ themed Jeepney Frame
Miscellaneous Props
Character Standees
Total Budget = Php 30,000.00
Actual Cost = Php 26,000.00
Balance = Php 4,000.00</t>
        </is>
      </c>
      <c r="AK2191"/>
    </row>
    <row r="2192" ht="25.5" customHeight="1">
      <c r="A2192" s="2" t="str">
        <f>=HYPERLINK("https://applink.larksuite.com/client/mini_program/open?appId=cli_9c7cc8a9a9edd105&amp;mode=appCenter&amp;path_pc=pc/pages/requested/index?instanceId=7621467165425831646&amp;source=bitable&amp;path=pages/detail/index?instanceId=7621467165425831646&amp;source=bitable", "202603260094")</f>
        <v>202603260094</v>
      </c>
      <c r="B2192" t="inlineStr">
        <is>
          <t>Approved</t>
        </is>
      </c>
      <c r="C2192" t="inlineStr">
        <is>
          <t>Procurement Order</t>
        </is>
      </c>
      <c r="D2192" s="3">
        <v>46107.656319444446</v>
      </c>
      <c r="E2192" s="3">
        <v>46108.71019675926</v>
      </c>
      <c r="F2192" t="inlineStr">
        <is>
          <t>Fatima Kathleen M. FLores</t>
        </is>
      </c>
      <c r="G2192" t="inlineStr">
        <is>
          <t>Procurement</t>
        </is>
      </c>
      <c r="H2192"/>
      <c r="I2192"/>
      <c r="J2192" t="inlineStr">
        <is>
          <t>Project</t>
        </is>
      </c>
      <c r="K2192" t="inlineStr">
        <is>
          <t>GG - Event Service</t>
        </is>
      </c>
      <c r="L2192" t="inlineStr">
        <is>
          <t>PUBG Mobile 8th Anniversary Event</t>
        </is>
      </c>
      <c r="M2192" t="inlineStr">
        <is>
          <t>2026TEG-P0066</t>
        </is>
      </c>
      <c r="N2192" t="inlineStr">
        <is>
          <t>Randy Vince Fernandez Apura</t>
        </is>
      </c>
      <c r="O2192" t="inlineStr">
        <is>
          <t>202603240046-Randy Vince Fernandez Apura-费用报销 - 副本 - 副本 - 副本-2026-03-24 09:36:41</t>
        </is>
      </c>
      <c r="P2192" t="inlineStr">
        <is>
          <t>NO</t>
        </is>
      </c>
      <c r="Q2192"/>
      <c r="R2192" t="inlineStr">
        <is>
          <t>YES</t>
        </is>
      </c>
      <c r="S2192" t="inlineStr">
        <is>
          <t>Standee: Truck</t>
        </is>
      </c>
      <c r="T2192">
        <v>1</v>
      </c>
      <c r="U2192">
        <v>6500</v>
      </c>
      <c r="V2192" t="inlineStr">
        <is>
          <t>PHP</t>
        </is>
      </c>
      <c r="W2192">
        <v>6500</v>
      </c>
      <c r="X2192" s="2" t="str">
        <f>=HYPERLINK("https://www.larksuite.com/approval/admin/previewAttachment?key=PMgxCgJBDAXQK-UnP_kTL2Ozy6CIIggLW8zZBQvbVwNWIxHVxoa3YakcLKGSniNQrOULUpug1Nqf83o_zvPNoa3jka-5jts29w-y5W4KMoaZ4fL3EMnuov3cvwEAAP__", "2 attachment(s)")</f>
        <v>2 attachment(s)</v>
      </c>
      <c r="Y2192"/>
      <c r="Z2192"/>
      <c r="AA2192"/>
      <c r="AB2192"/>
      <c r="AC2192"/>
      <c r="AD2192" s="4"/>
      <c r="AE2192"/>
      <c r="AF2192" s="2"/>
      <c r="AG2192" t="inlineStr">
        <is>
          <t>NzQyNTk5MTgyNzQ4MTg3MDM0MTo5NjIwMjAyMi00REYyLTQ1REEtQThDMi03MDE2RTU0RjQxRTctMzpmYzcyNWFlNmMxYTdlZTYwMmRiZDA5NjMzOWY3NTQ0ODox</t>
        </is>
      </c>
      <c r="AH2192"/>
      <c r="AI2192"/>
      <c r="AJ2192" t="inlineStr">
        <is>
          <t>Cancelled Item:
Customized Banners (15 meters)
Photowall with B2B Frame (10ft x 8ft)
New LP:
LIQUIDITY PLAN (PAR # 202603150011 / 202603150011) - AS OF 03/24/26
SOUTH LUZON LEG - MARCH 28, 2026 &gt;
MARKETING COLLATERAL &amp; VENUE SKINNING &gt;
Booth Activities &gt; 
Photo Booth w/ themed Jeepney Frame
Miscellaneous Props
Character Standees
Total Budget = Php 30,000.00
Actual Cost = Php 26,000.00
Balance = Php 4,000.00</t>
        </is>
      </c>
      <c r="AK2192"/>
    </row>
    <row r="2193" ht="25.5" customHeight="1">
      <c r="A2193" s="2" t="str">
        <f>=HYPERLINK("https://applink.larksuite.com/client/mini_program/open?appId=cli_9c7cc8a9a9edd105&amp;mode=appCenter&amp;path_pc=pc/pages/requested/index?instanceId=7621467165425831646&amp;source=bitable&amp;path=pages/detail/index?instanceId=7621467165425831646&amp;source=bitable", "202603260094")</f>
        <v>202603260094</v>
      </c>
      <c r="B2193" t="inlineStr">
        <is>
          <t>Approved</t>
        </is>
      </c>
      <c r="C2193" t="inlineStr">
        <is>
          <t>Procurement Order</t>
        </is>
      </c>
      <c r="D2193" s="3">
        <v>46107.656319444446</v>
      </c>
      <c r="E2193" s="3">
        <v>46108.71019675926</v>
      </c>
      <c r="F2193" t="inlineStr">
        <is>
          <t>Fatima Kathleen M. FLores</t>
        </is>
      </c>
      <c r="G2193" t="inlineStr">
        <is>
          <t>Procurement</t>
        </is>
      </c>
      <c r="H2193"/>
      <c r="I2193"/>
      <c r="J2193" t="inlineStr">
        <is>
          <t>Project</t>
        </is>
      </c>
      <c r="K2193" t="inlineStr">
        <is>
          <t>GG - Event Service</t>
        </is>
      </c>
      <c r="L2193" t="inlineStr">
        <is>
          <t>PUBG Mobile 8th Anniversary Event</t>
        </is>
      </c>
      <c r="M2193" t="inlineStr">
        <is>
          <t>2026TEG-P0066</t>
        </is>
      </c>
      <c r="N2193" t="inlineStr">
        <is>
          <t>Randy Vince Fernandez Apura</t>
        </is>
      </c>
      <c r="O2193" t="inlineStr">
        <is>
          <t>202603240046-Randy Vince Fernandez Apura-费用报销 - 副本 - 副本 - 副本-2026-03-24 09:36:41</t>
        </is>
      </c>
      <c r="P2193" t="inlineStr">
        <is>
          <t>NO</t>
        </is>
      </c>
      <c r="Q2193"/>
      <c r="R2193" t="inlineStr">
        <is>
          <t>YES</t>
        </is>
      </c>
      <c r="S2193" t="inlineStr">
        <is>
          <t>Tarpaulin : 72" x 120"</t>
        </is>
      </c>
      <c r="T2193">
        <v>1</v>
      </c>
      <c r="U2193">
        <v>1800</v>
      </c>
      <c r="V2193" t="inlineStr">
        <is>
          <t>PHP</t>
        </is>
      </c>
      <c r="W2193">
        <v>1800</v>
      </c>
      <c r="X2193" s="2"/>
      <c r="Y2193"/>
      <c r="Z2193"/>
      <c r="AA2193"/>
      <c r="AB2193"/>
      <c r="AC2193"/>
      <c r="AD2193" s="4"/>
      <c r="AE2193"/>
      <c r="AF2193" s="2"/>
      <c r="AG2193" t="inlineStr">
        <is>
          <t>NzQyNTk5MTgyNzQ4MTg3MDM0MTo5NjIwMjAyMi00REYyLTQ1REEtQThDMi03MDE2RTU0RjQxRTctNDpjNDI3ZjliYzA4NjU4YWI4MzU5M2JhNDllMjFiMDBhZjox</t>
        </is>
      </c>
      <c r="AH2193"/>
      <c r="AI2193"/>
      <c r="AJ2193" t="inlineStr">
        <is>
          <t>Cancelled Item:
Customized Banners (15 meters)
Photowall with B2B Frame (10ft x 8ft)
New LP:
LIQUIDITY PLAN (PAR # 202603150011 / 202603150011) - AS OF 03/24/26
SOUTH LUZON LEG - MARCH 28, 2026 &gt;
MARKETING COLLATERAL &amp; VENUE SKINNING &gt;
Booth Activities &gt; 
Photo Booth w/ themed Jeepney Frame
Miscellaneous Props
Character Standees
Total Budget = Php 30,000.00
Actual Cost = Php 26,000.00
Balance = Php 4,000.00</t>
        </is>
      </c>
      <c r="AK2193"/>
    </row>
    <row r="2194" ht="25.5" customHeight="1">
      <c r="A2194" s="2" t="str">
        <f>=HYPERLINK("https://applink.larksuite.com/client/mini_program/open?appId=cli_9c7cc8a9a9edd105&amp;mode=appCenter&amp;path_pc=pc/pages/requested/index?instanceId=7621494574501891803&amp;source=bitable&amp;path=pages/detail/index?instanceId=7621494574501891803&amp;source=bitable", "202603260156")</f>
        <v>202603260156</v>
      </c>
      <c r="B2194" t="inlineStr">
        <is>
          <t>Approved</t>
        </is>
      </c>
      <c r="C2194" t="inlineStr">
        <is>
          <t>Procurement Order</t>
        </is>
      </c>
      <c r="D2194" s="3">
        <v>46107.73017361111</v>
      </c>
      <c r="E2194" s="3">
        <v>46108.6974537037</v>
      </c>
      <c r="F2194" t="inlineStr">
        <is>
          <t>Fatima Kathleen M. FLores</t>
        </is>
      </c>
      <c r="G2194" t="inlineStr">
        <is>
          <t>Procurement</t>
        </is>
      </c>
      <c r="H2194"/>
      <c r="I2194"/>
      <c r="J2194" t="inlineStr">
        <is>
          <t>Project</t>
        </is>
      </c>
      <c r="K2194" t="inlineStr">
        <is>
          <t>GG - Event Service</t>
        </is>
      </c>
      <c r="L2194" t="inlineStr">
        <is>
          <t>PUBG Mobile 8th Anniversary Event</t>
        </is>
      </c>
      <c r="M2194" t="inlineStr">
        <is>
          <t>2026TEG-P0066</t>
        </is>
      </c>
      <c r="N2194" t="inlineStr">
        <is>
          <t>Randy Vince Fernandez Apura</t>
        </is>
      </c>
      <c r="O2194" t="inlineStr">
        <is>
          <t>202603250011-Randy Vince Fernandez Apura-费用报销 - 副本 - 副本 - 副本-2026-03-25 02:46:11</t>
        </is>
      </c>
      <c r="P2194" t="inlineStr">
        <is>
          <t>NO</t>
        </is>
      </c>
      <c r="Q2194"/>
      <c r="R2194" t="inlineStr">
        <is>
          <t>YES</t>
        </is>
      </c>
      <c r="S2194" t="inlineStr">
        <is>
          <t>T-shirt with Print (Addtl)</t>
        </is>
      </c>
      <c r="T2194">
        <v>15</v>
      </c>
      <c r="U2194">
        <v>200</v>
      </c>
      <c r="V2194" t="inlineStr">
        <is>
          <t>PHP</t>
        </is>
      </c>
      <c r="W2194">
        <v>3000</v>
      </c>
      <c r="X2194" s="2"/>
      <c r="Y2194" t="inlineStr">
        <is>
          <t>Bank Transfer</t>
        </is>
      </c>
      <c r="Z2194" t="inlineStr">
        <is>
          <t>KDNC PRINTING SERVICES</t>
        </is>
      </c>
      <c r="AA2194" t="inlineStr">
        <is>
          <t>004460160202</t>
        </is>
      </c>
      <c r="AB2194" t="inlineStr">
        <is>
          <t>BDO</t>
        </is>
      </c>
      <c r="AC2194" t="inlineStr">
        <is>
          <t>1885 Pedro Guevarra St., Sta. Cruz, Manila</t>
        </is>
      </c>
      <c r="AD2194" s="4">
        <v>46107</v>
      </c>
      <c r="AE2194" t="inlineStr">
        <is>
          <t>50% Down payment upon confirmation
50% Final Payment upon complete delivery</t>
        </is>
      </c>
      <c r="AF2194" s="2" t="str">
        <f>=HYPERLINK("https://www.larksuite.com/approval/admin/previewAttachment?key=TMg9CsJAEAXgK7238-9lbDYsKgYCQtBizi5Y2X6ehKdRvKDFUWCHD2qphRqYxYT0aEYUgmHR276ujDkf67kf-nkf97PP21zbi57i0DJVFgBe_pxEpbj8HN8AAAD__w", "4 attachment(s)")</f>
        <v>4 attachment(s)</v>
      </c>
      <c r="AG2194" t="inlineStr">
        <is>
          <t>NzQyNTk5MTgyNzQ4MTg3MDM0MToxREIwNTU2QS1BNERFLTQ5OEItQjVDMy1ERjc1QkIxOEQ2MUItMTo3YzFlY2RhNzcxZjhlZjA1YzhhODYwY2FhZjMzNGZiNzox</t>
        </is>
      </c>
      <c r="AH2194" t="inlineStr">
        <is>
          <t>KDNC PRINTING SERVICES</t>
        </is>
      </c>
      <c r="AI2194"/>
      <c r="AJ2194" t="inlineStr">
        <is>
          <t>LIQUIDITY PLAN (PAR # 202603150011 / 202603150011)
METRO MANILA LEG - MARCH 29, 2026 &gt;
MARKETING COLLATERAL &amp; VENUE SKINNING &gt;
Booth Activities &gt; Merch Production
Total Remaining Budget = Php 0.00
Actual Cost = Php 6,500.00
Balance = (Php 6,500.00) OVER BUDGET</t>
        </is>
      </c>
      <c r="AK2194"/>
    </row>
    <row r="2195" ht="25.5" customHeight="1">
      <c r="A2195" s="2" t="str">
        <f>=HYPERLINK("https://applink.larksuite.com/client/mini_program/open?appId=cli_9c7cc8a9a9edd105&amp;mode=appCenter&amp;path_pc=pc/pages/requested/index?instanceId=7621494574501891803&amp;source=bitable&amp;path=pages/detail/index?instanceId=7621494574501891803&amp;source=bitable", "202603260156")</f>
        <v>202603260156</v>
      </c>
      <c r="B2195" t="inlineStr">
        <is>
          <t>Approved</t>
        </is>
      </c>
      <c r="C2195" t="inlineStr">
        <is>
          <t>Procurement Order</t>
        </is>
      </c>
      <c r="D2195" s="3">
        <v>46107.73017361111</v>
      </c>
      <c r="E2195" s="3">
        <v>46108.6974537037</v>
      </c>
      <c r="F2195" t="inlineStr">
        <is>
          <t>Fatima Kathleen M. FLores</t>
        </is>
      </c>
      <c r="G2195" t="inlineStr">
        <is>
          <t>Procurement</t>
        </is>
      </c>
      <c r="H2195"/>
      <c r="I2195"/>
      <c r="J2195" t="inlineStr">
        <is>
          <t>Project</t>
        </is>
      </c>
      <c r="K2195" t="inlineStr">
        <is>
          <t>GG - Event Service</t>
        </is>
      </c>
      <c r="L2195" t="inlineStr">
        <is>
          <t>PUBG Mobile 8th Anniversary Event</t>
        </is>
      </c>
      <c r="M2195" t="inlineStr">
        <is>
          <t>2026TEG-P0066</t>
        </is>
      </c>
      <c r="N2195" t="inlineStr">
        <is>
          <t>Randy Vince Fernandez Apura</t>
        </is>
      </c>
      <c r="O2195" t="inlineStr">
        <is>
          <t>202603250011-Randy Vince Fernandez Apura-费用报销 - 副本 - 副本 - 副本-2026-03-25 02:46:11</t>
        </is>
      </c>
      <c r="P2195" t="inlineStr">
        <is>
          <t>NO</t>
        </is>
      </c>
      <c r="Q2195"/>
      <c r="R2195" t="inlineStr">
        <is>
          <t>YES</t>
        </is>
      </c>
      <c r="S2195" t="inlineStr">
        <is>
          <t>Change of Design Cost - for tote bags</t>
        </is>
      </c>
      <c r="T2195">
        <v>100</v>
      </c>
      <c r="U2195">
        <v>35</v>
      </c>
      <c r="V2195" t="inlineStr">
        <is>
          <t>PHP</t>
        </is>
      </c>
      <c r="W2195">
        <v>3500</v>
      </c>
      <c r="X2195" s="2" t="str">
        <f>=HYPERLINK("https://www.larksuite.com/approval/admin/previewAttachment?key=PMgxCgIxFATQK80kk0y-l7HJElRcWBAWLf7ZBQvb1wfRR2PtAQVLgOleqFCzGjiCAzVL0g6Ybs5tX1d6zsd67oc-7-N-5nmba3uxhUuBq1QHAF7-Xi0pogs_5zcAAP__", "2 attachment(s)")</f>
        <v>2 attachment(s)</v>
      </c>
      <c r="Y2195"/>
      <c r="Z2195"/>
      <c r="AA2195"/>
      <c r="AB2195"/>
      <c r="AC2195"/>
      <c r="AD2195" s="4"/>
      <c r="AE2195"/>
      <c r="AF2195" s="2"/>
      <c r="AG2195" t="inlineStr">
        <is>
          <t>NzQyNTk5MTgyNzQ4MTg3MDM0MToxREIwNTU2QS1BNERFLTQ5OEItQjVDMy1ERjc1QkIxOEQ2MUItMjoyMjA4NzI4NDNiMGVmNzY4NzYxZWZiZjQ4NGY1MzhmMTox</t>
        </is>
      </c>
      <c r="AH2195"/>
      <c r="AI2195"/>
      <c r="AJ2195" t="inlineStr">
        <is>
          <t>LIQUIDITY PLAN (PAR # 202603150011 / 202603150011)
METRO MANILA LEG - MARCH 29, 2026 &gt;
MARKETING COLLATERAL &amp; VENUE SKINNING &gt;
Booth Activities &gt; Merch Production
Total Remaining Budget = Php 0.00
Actual Cost = Php 6,500.00
Balance = (Php 6,500.00) OVER BUDGET</t>
        </is>
      </c>
      <c r="AK2195"/>
    </row>
    <row r="2196" ht="25.5" customHeight="1">
      <c r="A2196" s="2" t="str">
        <f>=HYPERLINK("https://applink.larksuite.com/client/mini_program/open?appId=cli_9c7cc8a9a9edd105&amp;mode=appCenter&amp;path_pc=pc/pages/requested/index?instanceId=7621791437427855069&amp;source=bitable&amp;path=pages/detail/index?instanceId=7621791437427855069&amp;source=bitable", "202603270024")</f>
        <v>202603270024</v>
      </c>
      <c r="B2196" t="inlineStr">
        <is>
          <t>Approved</t>
        </is>
      </c>
      <c r="C2196" t="inlineStr">
        <is>
          <t>Procurement Order</t>
        </is>
      </c>
      <c r="D2196" s="3">
        <v>46108.53016203704</v>
      </c>
      <c r="E2196" s="3">
        <v>46127.50199074074</v>
      </c>
      <c r="F2196" t="inlineStr">
        <is>
          <t>Fatima Kathleen M. FLores</t>
        </is>
      </c>
      <c r="G2196" t="inlineStr">
        <is>
          <t>Procurement</t>
        </is>
      </c>
      <c r="H2196"/>
      <c r="I2196"/>
      <c r="J2196" t="inlineStr">
        <is>
          <t>Project</t>
        </is>
      </c>
      <c r="K2196" t="inlineStr">
        <is>
          <t>GG - Event Service</t>
        </is>
      </c>
      <c r="L2196" t="inlineStr">
        <is>
          <t>PUBG Mobile 8th Anniversary Event</t>
        </is>
      </c>
      <c r="M2196" t="inlineStr">
        <is>
          <t>2026TEG-P0066</t>
        </is>
      </c>
      <c r="N2196" t="inlineStr">
        <is>
          <t>Randy Vince Fernandez Apura</t>
        </is>
      </c>
      <c r="O2196" t="inlineStr">
        <is>
          <t>202603250013-Randy Vince Fernandez Apura-费用报销 - 副本 - 副本 - 副本-2026-03-25 02:56:19;202603250011-Randy Vince Fernandez Apura-费用报销 - 副本 - 副本 - 副本-2026-03-25 02:46:11;202603250142-Randy Vince Fernandez Apura-费用报销 - 副本 - 副本 - 副本-2026-03-25 10:22:21;202603240046-Randy Vince Fernandez Apura-费用报销 - 副本 - 副本 - 副本-2026-03-24 09:36:41</t>
        </is>
      </c>
      <c r="P2196" t="inlineStr">
        <is>
          <t>NO</t>
        </is>
      </c>
      <c r="Q2196"/>
      <c r="R2196" t="inlineStr">
        <is>
          <t>YES</t>
        </is>
      </c>
      <c r="S2196" t="inlineStr">
        <is>
          <t>6” X 4” STAMP CARD (DIGITAL PRINTING) - 215 pcs</t>
        </is>
      </c>
      <c r="T2196">
        <v>1</v>
      </c>
      <c r="U2196">
        <v>3208</v>
      </c>
      <c r="V2196" t="inlineStr">
        <is>
          <t>PHP</t>
        </is>
      </c>
      <c r="W2196">
        <v>3208</v>
      </c>
      <c r="X2196" s="2"/>
      <c r="Y2196" t="inlineStr">
        <is>
          <t>Bank Transfer</t>
        </is>
      </c>
      <c r="Z2196" t="inlineStr">
        <is>
          <t>ILIGHT PRODUCTION</t>
        </is>
      </c>
      <c r="AA2196" t="inlineStr">
        <is>
          <t>007960010274</t>
        </is>
      </c>
      <c r="AB2196" t="inlineStr">
        <is>
          <t>BDO</t>
        </is>
      </c>
      <c r="AC2196" t="inlineStr">
        <is>
          <t>3791 Mascardo St. Brgy, Sta Cruz, Makati City</t>
        </is>
      </c>
      <c r="AD2196" s="4">
        <v>46122</v>
      </c>
      <c r="AE2196" t="inlineStr">
        <is>
          <t>50% Down Payment upon confirmation
50% Final Payment upon complete delivery</t>
        </is>
      </c>
      <c r="AF2196" s="2"/>
      <c r="AG2196" t="inlineStr">
        <is>
          <t>NzQyNTk5MTgyNzQ4MTg3MDM0MTpFRTdBODA3OS05MjIxLTQ1NDQtQjQ3OS1DQ0ZDNUM3RTMxN0EtMTpjODY0YjE3YTIzMDFmMGZkNTkwZjM1NjJhZDlkZDNkZTox</t>
        </is>
      </c>
      <c r="AH2196" t="inlineStr">
        <is>
          <t>ILIGHT PRODUCTION</t>
        </is>
      </c>
      <c r="AI2196"/>
      <c r="AJ2196" t="inlineStr">
        <is>
          <t>LIQUIDITY PLAN (PAR # 202603150011 / 202603150011) - AS OF 03/24/26
SOUTH LUZON LEG - MARCH 28, 2026 &gt;
MARKETING COLLATERAL &amp; VENUE SKINNING &gt; Booth Activities &gt;
Pull Up Banners - w/ Mechanism = Php 1,590.00
Print &amp; Collaterals &gt; Stamp Cards = Php 2,500.00
METRO MANILA LEG - MARCH 29, 2026 &gt;
MARKETING COLLATERAL &amp; VENUE SKINNING &gt; Booth Activities &gt;
Photo Booth w/ themed Jeepney
Entrance Arc
"Pull up Banners
-w/ Mechanicsm"
LED Frame Design
Print &amp; Collaterals &gt; 
Stamp Cards
Banderitas, Table Toppers
Total Budget = Php 109,090.00
Actual Cost = Php 150,000.00
Balance = (Php 40,910.00) OVER BUDGET</t>
        </is>
      </c>
      <c r="AK2196"/>
    </row>
    <row r="2197" ht="25.5" customHeight="1">
      <c r="A2197" s="2" t="str">
        <f>=HYPERLINK("https://applink.larksuite.com/client/mini_program/open?appId=cli_9c7cc8a9a9edd105&amp;mode=appCenter&amp;path_pc=pc/pages/requested/index?instanceId=7621791437427855069&amp;source=bitable&amp;path=pages/detail/index?instanceId=7621791437427855069&amp;source=bitable", "202603270024")</f>
        <v>202603270024</v>
      </c>
      <c r="B2197" t="inlineStr">
        <is>
          <t>Approved</t>
        </is>
      </c>
      <c r="C2197" t="inlineStr">
        <is>
          <t>Procurement Order</t>
        </is>
      </c>
      <c r="D2197" s="3">
        <v>46108.53016203704</v>
      </c>
      <c r="E2197" s="3">
        <v>46127.50199074074</v>
      </c>
      <c r="F2197" t="inlineStr">
        <is>
          <t>Fatima Kathleen M. FLores</t>
        </is>
      </c>
      <c r="G2197" t="inlineStr">
        <is>
          <t>Procurement</t>
        </is>
      </c>
      <c r="H2197"/>
      <c r="I2197"/>
      <c r="J2197" t="inlineStr">
        <is>
          <t>Project</t>
        </is>
      </c>
      <c r="K2197" t="inlineStr">
        <is>
          <t>GG - Event Service</t>
        </is>
      </c>
      <c r="L2197" t="inlineStr">
        <is>
          <t>PUBG Mobile 8th Anniversary Event</t>
        </is>
      </c>
      <c r="M2197" t="inlineStr">
        <is>
          <t>2026TEG-P0066</t>
        </is>
      </c>
      <c r="N2197" t="inlineStr">
        <is>
          <t>Randy Vince Fernandez Apura</t>
        </is>
      </c>
      <c r="O2197" t="inlineStr">
        <is>
          <t>202603250013-Randy Vince Fernandez Apura-费用报销 - 副本 - 副本 - 副本-2026-03-25 02:56:19;202603250011-Randy Vince Fernandez Apura-费用报销 - 副本 - 副本 - 副本-2026-03-25 02:46:11;202603250142-Randy Vince Fernandez Apura-费用报销 - 副本 - 副本 - 副本-2026-03-25 10:22:21;202603240046-Randy Vince Fernandez Apura-费用报销 - 副本 - 副本 - 副本-2026-03-24 09:36:41</t>
        </is>
      </c>
      <c r="P2197" t="inlineStr">
        <is>
          <t>NO</t>
        </is>
      </c>
      <c r="Q2197"/>
      <c r="R2197" t="inlineStr">
        <is>
          <t>YES</t>
        </is>
      </c>
      <c r="S2197" t="inlineStr">
        <is>
          <t>PULL UP BANNER WITH MECHANISM</t>
        </is>
      </c>
      <c r="T2197">
        <v>2</v>
      </c>
      <c r="U2197">
        <v>1813</v>
      </c>
      <c r="V2197" t="inlineStr">
        <is>
          <t>PHP</t>
        </is>
      </c>
      <c r="W2197">
        <v>3626</v>
      </c>
      <c r="X2197" s="2"/>
      <c r="Y2197"/>
      <c r="Z2197"/>
      <c r="AA2197"/>
      <c r="AB2197"/>
      <c r="AC2197"/>
      <c r="AD2197" s="4"/>
      <c r="AE2197"/>
      <c r="AF2197" s="2"/>
      <c r="AG2197" t="inlineStr">
        <is>
          <t>NzQyNTk5MTgyNzQ4MTg3MDM0MTpFRTdBODA3OS05MjIxLTQ1NDQtQjQ3OS1DQ0ZDNUM3RTMxN0EtMjo4YTQ4ODVmNDgwYzA0MTdhZDFhNzUwODkxNzgxYWJlYTox</t>
        </is>
      </c>
      <c r="AH2197"/>
      <c r="AI2197"/>
      <c r="AJ2197" t="inlineStr">
        <is>
          <t>LIQUIDITY PLAN (PAR # 202603150011 / 202603150011) - AS OF 03/24/26
SOUTH LUZON LEG - MARCH 28, 2026 &gt;
MARKETING COLLATERAL &amp; VENUE SKINNING &gt; Booth Activities &gt;
Pull Up Banners - w/ Mechanism = Php 1,590.00
Print &amp; Collaterals &gt; Stamp Cards = Php 2,500.00
METRO MANILA LEG - MARCH 29, 2026 &gt;
MARKETING COLLATERAL &amp; VENUE SKINNING &gt; Booth Activities &gt;
Photo Booth w/ themed Jeepney
Entrance Arc
"Pull up Banners
-w/ Mechanicsm"
LED Frame Design
Print &amp; Collaterals &gt; 
Stamp Cards
Banderitas, Table Toppers
Total Budget = Php 109,090.00
Actual Cost = Php 150,000.00
Balance = (Php 40,910.00) OVER BUDGET</t>
        </is>
      </c>
      <c r="AK2197"/>
    </row>
    <row r="2198" ht="25.5" customHeight="1">
      <c r="A2198" s="2" t="str">
        <f>=HYPERLINK("https://applink.larksuite.com/client/mini_program/open?appId=cli_9c7cc8a9a9edd105&amp;mode=appCenter&amp;path_pc=pc/pages/requested/index?instanceId=7621791437427855069&amp;source=bitable&amp;path=pages/detail/index?instanceId=7621791437427855069&amp;source=bitable", "202603270024")</f>
        <v>202603270024</v>
      </c>
      <c r="B2198" t="inlineStr">
        <is>
          <t>Approved</t>
        </is>
      </c>
      <c r="C2198" t="inlineStr">
        <is>
          <t>Procurement Order</t>
        </is>
      </c>
      <c r="D2198" s="3">
        <v>46108.53016203704</v>
      </c>
      <c r="E2198" s="3">
        <v>46127.50199074074</v>
      </c>
      <c r="F2198" t="inlineStr">
        <is>
          <t>Fatima Kathleen M. FLores</t>
        </is>
      </c>
      <c r="G2198" t="inlineStr">
        <is>
          <t>Procurement</t>
        </is>
      </c>
      <c r="H2198"/>
      <c r="I2198"/>
      <c r="J2198" t="inlineStr">
        <is>
          <t>Project</t>
        </is>
      </c>
      <c r="K2198" t="inlineStr">
        <is>
          <t>GG - Event Service</t>
        </is>
      </c>
      <c r="L2198" t="inlineStr">
        <is>
          <t>PUBG Mobile 8th Anniversary Event</t>
        </is>
      </c>
      <c r="M2198" t="inlineStr">
        <is>
          <t>2026TEG-P0066</t>
        </is>
      </c>
      <c r="N2198" t="inlineStr">
        <is>
          <t>Randy Vince Fernandez Apura</t>
        </is>
      </c>
      <c r="O2198" t="inlineStr">
        <is>
          <t>202603250013-Randy Vince Fernandez Apura-费用报销 - 副本 - 副本 - 副本-2026-03-25 02:56:19;202603250011-Randy Vince Fernandez Apura-费用报销 - 副本 - 副本 - 副本-2026-03-25 02:46:11;202603250142-Randy Vince Fernandez Apura-费用报销 - 副本 - 副本 - 副本-2026-03-25 10:22:21;202603240046-Randy Vince Fernandez Apura-费用报销 - 副本 - 副本 - 副本-2026-03-24 09:36:41</t>
        </is>
      </c>
      <c r="P2198" t="inlineStr">
        <is>
          <t>NO</t>
        </is>
      </c>
      <c r="Q2198"/>
      <c r="R2198" t="inlineStr">
        <is>
          <t>YES</t>
        </is>
      </c>
      <c r="S2198" t="inlineStr">
        <is>
          <t>10FT X 8FT PHOTOBOOTH BACKDROP</t>
        </is>
      </c>
      <c r="T2198">
        <v>1</v>
      </c>
      <c r="U2198">
        <v>12565</v>
      </c>
      <c r="V2198" t="inlineStr">
        <is>
          <t>PHP</t>
        </is>
      </c>
      <c r="W2198">
        <v>12565</v>
      </c>
      <c r="X2198" s="2"/>
      <c r="Y2198"/>
      <c r="Z2198"/>
      <c r="AA2198"/>
      <c r="AB2198"/>
      <c r="AC2198"/>
      <c r="AD2198" s="4"/>
      <c r="AE2198"/>
      <c r="AF2198" s="2"/>
      <c r="AG2198" t="inlineStr">
        <is>
          <t>NzQyNTk5MTgyNzQ4MTg3MDM0MTpFRTdBODA3OS05MjIxLTQ1NDQtQjQ3OS1DQ0ZDNUM3RTMxN0EtMzo3MDI2N2NiOTFjM2RiNzkwZGQ3ZmM5YjNjNDc2ZjBmNzox</t>
        </is>
      </c>
      <c r="AH2198"/>
      <c r="AI2198"/>
      <c r="AJ2198" t="inlineStr">
        <is>
          <t>LIQUIDITY PLAN (PAR # 202603150011 / 202603150011) - AS OF 03/24/26
SOUTH LUZON LEG - MARCH 28, 2026 &gt;
MARKETING COLLATERAL &amp; VENUE SKINNING &gt; Booth Activities &gt;
Pull Up Banners - w/ Mechanism = Php 1,590.00
Print &amp; Collaterals &gt; Stamp Cards = Php 2,500.00
METRO MANILA LEG - MARCH 29, 2026 &gt;
MARKETING COLLATERAL &amp; VENUE SKINNING &gt; Booth Activities &gt;
Photo Booth w/ themed Jeepney
Entrance Arc
"Pull up Banners
-w/ Mechanicsm"
LED Frame Design
Print &amp; Collaterals &gt; 
Stamp Cards
Banderitas, Table Toppers
Total Budget = Php 109,090.00
Actual Cost = Php 150,000.00
Balance = (Php 40,910.00) OVER BUDGET</t>
        </is>
      </c>
      <c r="AK2198"/>
    </row>
    <row r="2199" ht="25.5" customHeight="1">
      <c r="A2199" s="2" t="str">
        <f>=HYPERLINK("https://applink.larksuite.com/client/mini_program/open?appId=cli_9c7cc8a9a9edd105&amp;mode=appCenter&amp;path_pc=pc/pages/requested/index?instanceId=7621791437427855069&amp;source=bitable&amp;path=pages/detail/index?instanceId=7621791437427855069&amp;source=bitable", "202603270024")</f>
        <v>202603270024</v>
      </c>
      <c r="B2199" t="inlineStr">
        <is>
          <t>Approved</t>
        </is>
      </c>
      <c r="C2199" t="inlineStr">
        <is>
          <t>Procurement Order</t>
        </is>
      </c>
      <c r="D2199" s="3">
        <v>46108.53016203704</v>
      </c>
      <c r="E2199" s="3">
        <v>46127.50199074074</v>
      </c>
      <c r="F2199" t="inlineStr">
        <is>
          <t>Fatima Kathleen M. FLores</t>
        </is>
      </c>
      <c r="G2199" t="inlineStr">
        <is>
          <t>Procurement</t>
        </is>
      </c>
      <c r="H2199"/>
      <c r="I2199"/>
      <c r="J2199" t="inlineStr">
        <is>
          <t>Project</t>
        </is>
      </c>
      <c r="K2199" t="inlineStr">
        <is>
          <t>GG - Event Service</t>
        </is>
      </c>
      <c r="L2199" t="inlineStr">
        <is>
          <t>PUBG Mobile 8th Anniversary Event</t>
        </is>
      </c>
      <c r="M2199" t="inlineStr">
        <is>
          <t>2026TEG-P0066</t>
        </is>
      </c>
      <c r="N2199" t="inlineStr">
        <is>
          <t>Randy Vince Fernandez Apura</t>
        </is>
      </c>
      <c r="O2199" t="inlineStr">
        <is>
          <t>202603250013-Randy Vince Fernandez Apura-费用报销 - 副本 - 副本 - 副本-2026-03-25 02:56:19;202603250011-Randy Vince Fernandez Apura-费用报销 - 副本 - 副本 - 副本-2026-03-25 02:46:11;202603250142-Randy Vince Fernandez Apura-费用报销 - 副本 - 副本 - 副本-2026-03-25 10:22:21;202603240046-Randy Vince Fernandez Apura-费用报销 - 副本 - 副本 - 副本-2026-03-24 09:36:41</t>
        </is>
      </c>
      <c r="P2199" t="inlineStr">
        <is>
          <t>NO</t>
        </is>
      </c>
      <c r="Q2199"/>
      <c r="R2199" t="inlineStr">
        <is>
          <t>YES</t>
        </is>
      </c>
      <c r="S2199" t="inlineStr">
        <is>
          <t>2.5FT X 2.5FT PAPER CRATES (CARD BOARD)</t>
        </is>
      </c>
      <c r="T2199">
        <v>2</v>
      </c>
      <c r="U2199">
        <v>6698</v>
      </c>
      <c r="V2199" t="inlineStr">
        <is>
          <t>PHP</t>
        </is>
      </c>
      <c r="W2199">
        <v>13396</v>
      </c>
      <c r="X2199" s="2"/>
      <c r="Y2199"/>
      <c r="Z2199"/>
      <c r="AA2199"/>
      <c r="AB2199"/>
      <c r="AC2199"/>
      <c r="AD2199" s="4"/>
      <c r="AE2199"/>
      <c r="AF2199" s="2"/>
      <c r="AG2199" t="inlineStr">
        <is>
          <t>NzQyNTk5MTgyNzQ4MTg3MDM0MTpFRTdBODA3OS05MjIxLTQ1NDQtQjQ3OS1DQ0ZDNUM3RTMxN0EtNDpiMDkwNzRiOGY2NmNkNzllY2YwNWM2ZmI4ZTA4MTczMzox</t>
        </is>
      </c>
      <c r="AH2199"/>
      <c r="AI2199"/>
      <c r="AJ2199" t="inlineStr">
        <is>
          <t>LIQUIDITY PLAN (PAR # 202603150011 / 202603150011) - AS OF 03/24/26
SOUTH LUZON LEG - MARCH 28, 2026 &gt;
MARKETING COLLATERAL &amp; VENUE SKINNING &gt; Booth Activities &gt;
Pull Up Banners - w/ Mechanism = Php 1,590.00
Print &amp; Collaterals &gt; Stamp Cards = Php 2,500.00
METRO MANILA LEG - MARCH 29, 2026 &gt;
MARKETING COLLATERAL &amp; VENUE SKINNING &gt; Booth Activities &gt;
Photo Booth w/ themed Jeepney
Entrance Arc
"Pull up Banners
-w/ Mechanicsm"
LED Frame Design
Print &amp; Collaterals &gt; 
Stamp Cards
Banderitas, Table Toppers
Total Budget = Php 109,090.00
Actual Cost = Php 150,000.00
Balance = (Php 40,910.00) OVER BUDGET</t>
        </is>
      </c>
      <c r="AK2199"/>
    </row>
    <row r="2200" ht="25.5" customHeight="1">
      <c r="A2200" s="2" t="str">
        <f>=HYPERLINK("https://applink.larksuite.com/client/mini_program/open?appId=cli_9c7cc8a9a9edd105&amp;mode=appCenter&amp;path_pc=pc/pages/requested/index?instanceId=7621791437427855069&amp;source=bitable&amp;path=pages/detail/index?instanceId=7621791437427855069&amp;source=bitable", "202603270024")</f>
        <v>202603270024</v>
      </c>
      <c r="B2200" t="inlineStr">
        <is>
          <t>Approved</t>
        </is>
      </c>
      <c r="C2200" t="inlineStr">
        <is>
          <t>Procurement Order</t>
        </is>
      </c>
      <c r="D2200" s="3">
        <v>46108.53016203704</v>
      </c>
      <c r="E2200" s="3">
        <v>46127.50199074074</v>
      </c>
      <c r="F2200" t="inlineStr">
        <is>
          <t>Fatima Kathleen M. FLores</t>
        </is>
      </c>
      <c r="G2200" t="inlineStr">
        <is>
          <t>Procurement</t>
        </is>
      </c>
      <c r="H2200"/>
      <c r="I2200"/>
      <c r="J2200" t="inlineStr">
        <is>
          <t>Project</t>
        </is>
      </c>
      <c r="K2200" t="inlineStr">
        <is>
          <t>GG - Event Service</t>
        </is>
      </c>
      <c r="L2200" t="inlineStr">
        <is>
          <t>PUBG Mobile 8th Anniversary Event</t>
        </is>
      </c>
      <c r="M2200" t="inlineStr">
        <is>
          <t>2026TEG-P0066</t>
        </is>
      </c>
      <c r="N2200" t="inlineStr">
        <is>
          <t>Randy Vince Fernandez Apura</t>
        </is>
      </c>
      <c r="O2200" t="inlineStr">
        <is>
          <t>202603250013-Randy Vince Fernandez Apura-费用报销 - 副本 - 副本 - 副本-2026-03-25 02:56:19;202603250011-Randy Vince Fernandez Apura-费用报销 - 副本 - 副本 - 副本-2026-03-25 02:46:11;202603250142-Randy Vince Fernandez Apura-费用报销 - 副本 - 副本 - 副本-2026-03-25 10:22:21;202603240046-Randy Vince Fernandez Apura-费用报销 - 副本 - 副本 - 副本-2026-03-24 09:36:41</t>
        </is>
      </c>
      <c r="P2200" t="inlineStr">
        <is>
          <t>NO</t>
        </is>
      </c>
      <c r="Q2200"/>
      <c r="R2200" t="inlineStr">
        <is>
          <t>YES</t>
        </is>
      </c>
      <c r="S2200" t="inlineStr">
        <is>
          <t>2.5FT X 2.5FT PAPER CRATES (WOOD)</t>
        </is>
      </c>
      <c r="T2200">
        <v>2</v>
      </c>
      <c r="U2200">
        <v>9280</v>
      </c>
      <c r="V2200" t="inlineStr">
        <is>
          <t>PHP</t>
        </is>
      </c>
      <c r="W2200">
        <v>18560</v>
      </c>
      <c r="X2200" s="2"/>
      <c r="Y2200"/>
      <c r="Z2200"/>
      <c r="AA2200"/>
      <c r="AB2200"/>
      <c r="AC2200"/>
      <c r="AD2200" s="4"/>
      <c r="AE2200"/>
      <c r="AF2200" s="2"/>
      <c r="AG2200" t="inlineStr">
        <is>
          <t>NzQyNTk5MTgyNzQ4MTg3MDM0MTpFRTdBODA3OS05MjIxLTQ1NDQtQjQ3OS1DQ0ZDNUM3RTMxN0EtNTo2OTFhZTY3YmI5ODUwODExNTkxOTE5Y2FmMGE4ZTE4OTox</t>
        </is>
      </c>
      <c r="AH2200"/>
      <c r="AI2200"/>
      <c r="AJ2200" t="inlineStr">
        <is>
          <t>LIQUIDITY PLAN (PAR # 202603150011 / 202603150011) - AS OF 03/24/26
SOUTH LUZON LEG - MARCH 28, 2026 &gt;
MARKETING COLLATERAL &amp; VENUE SKINNING &gt; Booth Activities &gt;
Pull Up Banners - w/ Mechanism = Php 1,590.00
Print &amp; Collaterals &gt; Stamp Cards = Php 2,500.00
METRO MANILA LEG - MARCH 29, 2026 &gt;
MARKETING COLLATERAL &amp; VENUE SKINNING &gt; Booth Activities &gt;
Photo Booth w/ themed Jeepney
Entrance Arc
"Pull up Banners
-w/ Mechanicsm"
LED Frame Design
Print &amp; Collaterals &gt; 
Stamp Cards
Banderitas, Table Toppers
Total Budget = Php 109,090.00
Actual Cost = Php 150,000.00
Balance = (Php 40,910.00) OVER BUDGET</t>
        </is>
      </c>
      <c r="AK2200"/>
    </row>
    <row r="2201" ht="25.5" customHeight="1">
      <c r="A2201" s="2" t="str">
        <f>=HYPERLINK("https://applink.larksuite.com/client/mini_program/open?appId=cli_9c7cc8a9a9edd105&amp;mode=appCenter&amp;path_pc=pc/pages/requested/index?instanceId=7621791437427855069&amp;source=bitable&amp;path=pages/detail/index?instanceId=7621791437427855069&amp;source=bitable", "202603270024")</f>
        <v>202603270024</v>
      </c>
      <c r="B2201" t="inlineStr">
        <is>
          <t>Approved</t>
        </is>
      </c>
      <c r="C2201" t="inlineStr">
        <is>
          <t>Procurement Order</t>
        </is>
      </c>
      <c r="D2201" s="3">
        <v>46108.53016203704</v>
      </c>
      <c r="E2201" s="3">
        <v>46127.50199074074</v>
      </c>
      <c r="F2201" t="inlineStr">
        <is>
          <t>Fatima Kathleen M. FLores</t>
        </is>
      </c>
      <c r="G2201" t="inlineStr">
        <is>
          <t>Procurement</t>
        </is>
      </c>
      <c r="H2201"/>
      <c r="I2201"/>
      <c r="J2201" t="inlineStr">
        <is>
          <t>Project</t>
        </is>
      </c>
      <c r="K2201" t="inlineStr">
        <is>
          <t>GG - Event Service</t>
        </is>
      </c>
      <c r="L2201" t="inlineStr">
        <is>
          <t>PUBG Mobile 8th Anniversary Event</t>
        </is>
      </c>
      <c r="M2201" t="inlineStr">
        <is>
          <t>2026TEG-P0066</t>
        </is>
      </c>
      <c r="N2201" t="inlineStr">
        <is>
          <t>Randy Vince Fernandez Apura</t>
        </is>
      </c>
      <c r="O2201" t="inlineStr">
        <is>
          <t>202603250013-Randy Vince Fernandez Apura-费用报销 - 副本 - 副本 - 副本-2026-03-25 02:56:19;202603250011-Randy Vince Fernandez Apura-费用报销 - 副本 - 副本 - 副本-2026-03-25 02:46:11;202603250142-Randy Vince Fernandez Apura-费用报销 - 副本 - 副本 - 副本-2026-03-25 10:22:21;202603240046-Randy Vince Fernandez Apura-费用报销 - 副本 - 副本 - 副本-2026-03-24 09:36:41</t>
        </is>
      </c>
      <c r="P2201" t="inlineStr">
        <is>
          <t>NO</t>
        </is>
      </c>
      <c r="Q2201"/>
      <c r="R2201" t="inlineStr">
        <is>
          <t>YES</t>
        </is>
      </c>
      <c r="S2201" t="inlineStr">
        <is>
          <t>10FT X 8FT PAINT AND SIGN WALL</t>
        </is>
      </c>
      <c r="T2201">
        <v>1</v>
      </c>
      <c r="U2201">
        <v>12565</v>
      </c>
      <c r="V2201" t="inlineStr">
        <is>
          <t>PHP</t>
        </is>
      </c>
      <c r="W2201">
        <v>12565</v>
      </c>
      <c r="X2201" s="2"/>
      <c r="Y2201"/>
      <c r="Z2201"/>
      <c r="AA2201"/>
      <c r="AB2201"/>
      <c r="AC2201"/>
      <c r="AD2201" s="4"/>
      <c r="AE2201"/>
      <c r="AF2201" s="2"/>
      <c r="AG2201" t="inlineStr">
        <is>
          <t>NzQyNTk5MTgyNzQ4MTg3MDM0MTpFRTdBODA3OS05MjIxLTQ1NDQtQjQ3OS1DQ0ZDNUM3RTMxN0EtNjoyMWJjZDZhOWU0NjRhMGEwNGZhOTcxZDg5Y2JmN2M5MTox</t>
        </is>
      </c>
      <c r="AH2201"/>
      <c r="AI2201"/>
      <c r="AJ2201" t="inlineStr">
        <is>
          <t>LIQUIDITY PLAN (PAR # 202603150011 / 202603150011) - AS OF 03/24/26
SOUTH LUZON LEG - MARCH 28, 2026 &gt;
MARKETING COLLATERAL &amp; VENUE SKINNING &gt; Booth Activities &gt;
Pull Up Banners - w/ Mechanism = Php 1,590.00
Print &amp; Collaterals &gt; Stamp Cards = Php 2,500.00
METRO MANILA LEG - MARCH 29, 2026 &gt;
MARKETING COLLATERAL &amp; VENUE SKINNING &gt; Booth Activities &gt;
Photo Booth w/ themed Jeepney
Entrance Arc
"Pull up Banners
-w/ Mechanicsm"
LED Frame Design
Print &amp; Collaterals &gt; 
Stamp Cards
Banderitas, Table Toppers
Total Budget = Php 109,090.00
Actual Cost = Php 150,000.00
Balance = (Php 40,910.00) OVER BUDGET</t>
        </is>
      </c>
      <c r="AK2201"/>
    </row>
    <row r="2202" ht="25.5" customHeight="1">
      <c r="A2202" s="2" t="str">
        <f>=HYPERLINK("https://applink.larksuite.com/client/mini_program/open?appId=cli_9c7cc8a9a9edd105&amp;mode=appCenter&amp;path_pc=pc/pages/requested/index?instanceId=7621791437427855069&amp;source=bitable&amp;path=pages/detail/index?instanceId=7621791437427855069&amp;source=bitable", "202603270024")</f>
        <v>202603270024</v>
      </c>
      <c r="B2202" t="inlineStr">
        <is>
          <t>Approved</t>
        </is>
      </c>
      <c r="C2202" t="inlineStr">
        <is>
          <t>Procurement Order</t>
        </is>
      </c>
      <c r="D2202" s="3">
        <v>46108.53016203704</v>
      </c>
      <c r="E2202" s="3">
        <v>46127.50199074074</v>
      </c>
      <c r="F2202" t="inlineStr">
        <is>
          <t>Fatima Kathleen M. FLores</t>
        </is>
      </c>
      <c r="G2202" t="inlineStr">
        <is>
          <t>Procurement</t>
        </is>
      </c>
      <c r="H2202"/>
      <c r="I2202"/>
      <c r="J2202" t="inlineStr">
        <is>
          <t>Project</t>
        </is>
      </c>
      <c r="K2202" t="inlineStr">
        <is>
          <t>GG - Event Service</t>
        </is>
      </c>
      <c r="L2202" t="inlineStr">
        <is>
          <t>PUBG Mobile 8th Anniversary Event</t>
        </is>
      </c>
      <c r="M2202" t="inlineStr">
        <is>
          <t>2026TEG-P0066</t>
        </is>
      </c>
      <c r="N2202" t="inlineStr">
        <is>
          <t>Randy Vince Fernandez Apura</t>
        </is>
      </c>
      <c r="O2202" t="inlineStr">
        <is>
          <t>202603250013-Randy Vince Fernandez Apura-费用报销 - 副本 - 副本 - 副本-2026-03-25 02:56:19;202603250011-Randy Vince Fernandez Apura-费用报销 - 副本 - 副本 - 副本-2026-03-25 02:46:11;202603250142-Randy Vince Fernandez Apura-费用报销 - 副本 - 副本 - 副本-2026-03-25 10:22:21;202603240046-Randy Vince Fernandez Apura-费用报销 - 副本 - 副本 - 副本-2026-03-24 09:36:41</t>
        </is>
      </c>
      <c r="P2202" t="inlineStr">
        <is>
          <t>NO</t>
        </is>
      </c>
      <c r="Q2202"/>
      <c r="R2202" t="inlineStr">
        <is>
          <t>YES</t>
        </is>
      </c>
      <c r="S2202" t="inlineStr">
        <is>
          <t>ARCH</t>
        </is>
      </c>
      <c r="T2202">
        <v>1</v>
      </c>
      <c r="U2202">
        <v>51200</v>
      </c>
      <c r="V2202" t="inlineStr">
        <is>
          <t>PHP</t>
        </is>
      </c>
      <c r="W2202">
        <v>51200</v>
      </c>
      <c r="X2202" s="2"/>
      <c r="Y2202"/>
      <c r="Z2202"/>
      <c r="AA2202"/>
      <c r="AB2202"/>
      <c r="AC2202"/>
      <c r="AD2202" s="4"/>
      <c r="AE2202"/>
      <c r="AF2202" s="2"/>
      <c r="AG2202" t="inlineStr">
        <is>
          <t>NzQyNTk5MTgyNzQ4MTg3MDM0MTpFRTdBODA3OS05MjIxLTQ1NDQtQjQ3OS1DQ0ZDNUM3RTMxN0EtNzo1MzRlNTY5MmRiNDI0Mjk1ZmI1Y2ZiOGI5MTk3NmI1Mjox</t>
        </is>
      </c>
      <c r="AH2202"/>
      <c r="AI2202"/>
      <c r="AJ2202" t="inlineStr">
        <is>
          <t>LIQUIDITY PLAN (PAR # 202603150011 / 202603150011) - AS OF 03/24/26
SOUTH LUZON LEG - MARCH 28, 2026 &gt;
MARKETING COLLATERAL &amp; VENUE SKINNING &gt; Booth Activities &gt;
Pull Up Banners - w/ Mechanism = Php 1,590.00
Print &amp; Collaterals &gt; Stamp Cards = Php 2,500.00
METRO MANILA LEG - MARCH 29, 2026 &gt;
MARKETING COLLATERAL &amp; VENUE SKINNING &gt; Booth Activities &gt;
Photo Booth w/ themed Jeepney
Entrance Arc
"Pull up Banners
-w/ Mechanicsm"
LED Frame Design
Print &amp; Collaterals &gt; 
Stamp Cards
Banderitas, Table Toppers
Total Budget = Php 109,090.00
Actual Cost = Php 150,000.00
Balance = (Php 40,910.00) OVER BUDGET</t>
        </is>
      </c>
      <c r="AK2202"/>
    </row>
    <row r="2203" ht="25.5" customHeight="1">
      <c r="A2203" s="2" t="str">
        <f>=HYPERLINK("https://applink.larksuite.com/client/mini_program/open?appId=cli_9c7cc8a9a9edd105&amp;mode=appCenter&amp;path_pc=pc/pages/requested/index?instanceId=7621791437427855069&amp;source=bitable&amp;path=pages/detail/index?instanceId=7621791437427855069&amp;source=bitable", "202603270024")</f>
        <v>202603270024</v>
      </c>
      <c r="B2203" t="inlineStr">
        <is>
          <t>Approved</t>
        </is>
      </c>
      <c r="C2203" t="inlineStr">
        <is>
          <t>Procurement Order</t>
        </is>
      </c>
      <c r="D2203" s="3">
        <v>46108.53016203704</v>
      </c>
      <c r="E2203" s="3">
        <v>46127.50199074074</v>
      </c>
      <c r="F2203" t="inlineStr">
        <is>
          <t>Fatima Kathleen M. FLores</t>
        </is>
      </c>
      <c r="G2203" t="inlineStr">
        <is>
          <t>Procurement</t>
        </is>
      </c>
      <c r="H2203"/>
      <c r="I2203"/>
      <c r="J2203" t="inlineStr">
        <is>
          <t>Project</t>
        </is>
      </c>
      <c r="K2203" t="inlineStr">
        <is>
          <t>GG - Event Service</t>
        </is>
      </c>
      <c r="L2203" t="inlineStr">
        <is>
          <t>PUBG Mobile 8th Anniversary Event</t>
        </is>
      </c>
      <c r="M2203" t="inlineStr">
        <is>
          <t>2026TEG-P0066</t>
        </is>
      </c>
      <c r="N2203" t="inlineStr">
        <is>
          <t>Randy Vince Fernandez Apura</t>
        </is>
      </c>
      <c r="O2203" t="inlineStr">
        <is>
          <t>202603250013-Randy Vince Fernandez Apura-费用报销 - 副本 - 副本 - 副本-2026-03-25 02:56:19;202603250011-Randy Vince Fernandez Apura-费用报销 - 副本 - 副本 - 副本-2026-03-25 02:46:11;202603250142-Randy Vince Fernandez Apura-费用报销 - 副本 - 副本 - 副本-2026-03-25 10:22:21;202603240046-Randy Vince Fernandez Apura-费用报销 - 副本 - 副本 - 副本-2026-03-24 09:36:41</t>
        </is>
      </c>
      <c r="P2203" t="inlineStr">
        <is>
          <t>NO</t>
        </is>
      </c>
      <c r="Q2203"/>
      <c r="R2203" t="inlineStr">
        <is>
          <t>YES</t>
        </is>
      </c>
      <c r="S2203" t="inlineStr">
        <is>
          <t>237.2” X 38.86” STAGE PLATFORM STICKER ON SINTRA</t>
        </is>
      </c>
      <c r="T2203">
        <v>1</v>
      </c>
      <c r="U2203">
        <v>13760</v>
      </c>
      <c r="V2203" t="inlineStr">
        <is>
          <t>PHP</t>
        </is>
      </c>
      <c r="W2203">
        <v>13760</v>
      </c>
      <c r="X2203" s="2"/>
      <c r="Y2203"/>
      <c r="Z2203"/>
      <c r="AA2203"/>
      <c r="AB2203"/>
      <c r="AC2203"/>
      <c r="AD2203" s="4"/>
      <c r="AE2203"/>
      <c r="AF2203" s="2"/>
      <c r="AG2203" t="inlineStr">
        <is>
          <t>NzQyNTk5MTgyNzQ4MTg3MDM0MTpFRTdBODA3OS05MjIxLTQ1NDQtQjQ3OS1DQ0ZDNUM3RTMxN0EtODo0NzdjYTMyYTFmY2VlZTRiNWEyN2ExMjYwOWNiODQwNjox</t>
        </is>
      </c>
      <c r="AH2203"/>
      <c r="AI2203"/>
      <c r="AJ2203" t="inlineStr">
        <is>
          <t>LIQUIDITY PLAN (PAR # 202603150011 / 202603150011) - AS OF 03/24/26
SOUTH LUZON LEG - MARCH 28, 2026 &gt;
MARKETING COLLATERAL &amp; VENUE SKINNING &gt; Booth Activities &gt;
Pull Up Banners - w/ Mechanism = Php 1,590.00
Print &amp; Collaterals &gt; Stamp Cards = Php 2,500.00
METRO MANILA LEG - MARCH 29, 2026 &gt;
MARKETING COLLATERAL &amp; VENUE SKINNING &gt; Booth Activities &gt;
Photo Booth w/ themed Jeepney
Entrance Arc
"Pull up Banners
-w/ Mechanicsm"
LED Frame Design
Print &amp; Collaterals &gt; 
Stamp Cards
Banderitas, Table Toppers
Total Budget = Php 109,090.00
Actual Cost = Php 150,000.00
Balance = (Php 40,910.00) OVER BUDGET</t>
        </is>
      </c>
      <c r="AK2203"/>
    </row>
    <row r="2204" ht="25.5" customHeight="1">
      <c r="A2204" s="2" t="str">
        <f>=HYPERLINK("https://applink.larksuite.com/client/mini_program/open?appId=cli_9c7cc8a9a9edd105&amp;mode=appCenter&amp;path_pc=pc/pages/requested/index?instanceId=7621791437427855069&amp;source=bitable&amp;path=pages/detail/index?instanceId=7621791437427855069&amp;source=bitable", "202603270024")</f>
        <v>202603270024</v>
      </c>
      <c r="B2204" t="inlineStr">
        <is>
          <t>Approved</t>
        </is>
      </c>
      <c r="C2204" t="inlineStr">
        <is>
          <t>Procurement Order</t>
        </is>
      </c>
      <c r="D2204" s="3">
        <v>46108.53016203704</v>
      </c>
      <c r="E2204" s="3">
        <v>46127.50199074074</v>
      </c>
      <c r="F2204" t="inlineStr">
        <is>
          <t>Fatima Kathleen M. FLores</t>
        </is>
      </c>
      <c r="G2204" t="inlineStr">
        <is>
          <t>Procurement</t>
        </is>
      </c>
      <c r="H2204"/>
      <c r="I2204"/>
      <c r="J2204" t="inlineStr">
        <is>
          <t>Project</t>
        </is>
      </c>
      <c r="K2204" t="inlineStr">
        <is>
          <t>GG - Event Service</t>
        </is>
      </c>
      <c r="L2204" t="inlineStr">
        <is>
          <t>PUBG Mobile 8th Anniversary Event</t>
        </is>
      </c>
      <c r="M2204" t="inlineStr">
        <is>
          <t>2026TEG-P0066</t>
        </is>
      </c>
      <c r="N2204" t="inlineStr">
        <is>
          <t>Randy Vince Fernandez Apura</t>
        </is>
      </c>
      <c r="O2204" t="inlineStr">
        <is>
          <t>202603250013-Randy Vince Fernandez Apura-费用报销 - 副本 - 副本 - 副本-2026-03-25 02:56:19;202603250011-Randy Vince Fernandez Apura-费用报销 - 副本 - 副本 - 副本-2026-03-25 02:46:11;202603250142-Randy Vince Fernandez Apura-费用报销 - 副本 - 副本 - 副本-2026-03-25 10:22:21;202603240046-Randy Vince Fernandez Apura-费用报销 - 副本 - 副本 - 副本-2026-03-24 09:36:41</t>
        </is>
      </c>
      <c r="P2204" t="inlineStr">
        <is>
          <t>NO</t>
        </is>
      </c>
      <c r="Q2204"/>
      <c r="R2204" t="inlineStr">
        <is>
          <t>YES</t>
        </is>
      </c>
      <c r="S2204" t="inlineStr">
        <is>
          <t>BANDERITAS</t>
        </is>
      </c>
      <c r="T2204">
        <v>1</v>
      </c>
      <c r="U2204">
        <v>5120</v>
      </c>
      <c r="V2204" t="inlineStr">
        <is>
          <t>PHP</t>
        </is>
      </c>
      <c r="W2204">
        <v>5120</v>
      </c>
      <c r="X2204" s="2"/>
      <c r="Y2204"/>
      <c r="Z2204"/>
      <c r="AA2204"/>
      <c r="AB2204"/>
      <c r="AC2204"/>
      <c r="AD2204" s="4"/>
      <c r="AE2204"/>
      <c r="AF2204" s="2"/>
      <c r="AG2204" t="inlineStr">
        <is>
          <t>NzQyNTk5MTgyNzQ4MTg3MDM0MTpFRTdBODA3OS05MjIxLTQ1NDQtQjQ3OS1DQ0ZDNUM3RTMxN0EtOTo2ODk4ZTE2NTQ4N2RhYzFiYzg4MjlkZTNiZTgxMWY0Njox</t>
        </is>
      </c>
      <c r="AH2204"/>
      <c r="AI2204"/>
      <c r="AJ2204" t="inlineStr">
        <is>
          <t>LIQUIDITY PLAN (PAR # 202603150011 / 202603150011) - AS OF 03/24/26
SOUTH LUZON LEG - MARCH 28, 2026 &gt;
MARKETING COLLATERAL &amp; VENUE SKINNING &gt; Booth Activities &gt;
Pull Up Banners - w/ Mechanism = Php 1,590.00
Print &amp; Collaterals &gt; Stamp Cards = Php 2,500.00
METRO MANILA LEG - MARCH 29, 2026 &gt;
MARKETING COLLATERAL &amp; VENUE SKINNING &gt; Booth Activities &gt;
Photo Booth w/ themed Jeepney
Entrance Arc
"Pull up Banners
-w/ Mechanicsm"
LED Frame Design
Print &amp; Collaterals &gt; 
Stamp Cards
Banderitas, Table Toppers
Total Budget = Php 109,090.00
Actual Cost = Php 150,000.00
Balance = (Php 40,910.00) OVER BUDGET</t>
        </is>
      </c>
      <c r="AK2204"/>
    </row>
    <row r="2205" ht="25.5" customHeight="1">
      <c r="A2205" s="2" t="str">
        <f>=HYPERLINK("https://applink.larksuite.com/client/mini_program/open?appId=cli_9c7cc8a9a9edd105&amp;mode=appCenter&amp;path_pc=pc/pages/requested/index?instanceId=7621791437427855069&amp;source=bitable&amp;path=pages/detail/index?instanceId=7621791437427855069&amp;source=bitable", "202603270024")</f>
        <v>202603270024</v>
      </c>
      <c r="B2205" t="inlineStr">
        <is>
          <t>Approved</t>
        </is>
      </c>
      <c r="C2205" t="inlineStr">
        <is>
          <t>Procurement Order</t>
        </is>
      </c>
      <c r="D2205" s="3">
        <v>46108.53016203704</v>
      </c>
      <c r="E2205" s="3">
        <v>46127.50199074074</v>
      </c>
      <c r="F2205" t="inlineStr">
        <is>
          <t>Fatima Kathleen M. FLores</t>
        </is>
      </c>
      <c r="G2205" t="inlineStr">
        <is>
          <t>Procurement</t>
        </is>
      </c>
      <c r="H2205"/>
      <c r="I2205"/>
      <c r="J2205" t="inlineStr">
        <is>
          <t>Project</t>
        </is>
      </c>
      <c r="K2205" t="inlineStr">
        <is>
          <t>GG - Event Service</t>
        </is>
      </c>
      <c r="L2205" t="inlineStr">
        <is>
          <t>PUBG Mobile 8th Anniversary Event</t>
        </is>
      </c>
      <c r="M2205" t="inlineStr">
        <is>
          <t>2026TEG-P0066</t>
        </is>
      </c>
      <c r="N2205" t="inlineStr">
        <is>
          <t>Randy Vince Fernandez Apura</t>
        </is>
      </c>
      <c r="O2205" t="inlineStr">
        <is>
          <t>202603250013-Randy Vince Fernandez Apura-费用报销 - 副本 - 副本 - 副本-2026-03-25 02:56:19;202603250011-Randy Vince Fernandez Apura-费用报销 - 副本 - 副本 - 副本-2026-03-25 02:46:11;202603250142-Randy Vince Fernandez Apura-费用报销 - 副本 - 副本 - 副本-2026-03-25 10:22:21;202603240046-Randy Vince Fernandez Apura-费用报销 - 副本 - 副本 - 副本-2026-03-24 09:36:41</t>
        </is>
      </c>
      <c r="P2205" t="inlineStr">
        <is>
          <t>NO</t>
        </is>
      </c>
      <c r="Q2205"/>
      <c r="R2205" t="inlineStr">
        <is>
          <t>YES</t>
        </is>
      </c>
      <c r="S2205" t="inlineStr">
        <is>
          <t>INSTALLATION/TRANSPORT</t>
        </is>
      </c>
      <c r="T2205">
        <v>1</v>
      </c>
      <c r="U2205">
        <v>16000</v>
      </c>
      <c r="V2205" t="inlineStr">
        <is>
          <t>PHP</t>
        </is>
      </c>
      <c r="W2205">
        <v>16000</v>
      </c>
      <c r="X2205" s="2"/>
      <c r="Y2205"/>
      <c r="Z2205"/>
      <c r="AA2205"/>
      <c r="AB2205"/>
      <c r="AC2205"/>
      <c r="AD2205" s="4"/>
      <c r="AE2205"/>
      <c r="AF2205" s="2"/>
      <c r="AG2205" t="inlineStr">
        <is>
          <t>NzQyNTk5MTgyNzQ4MTg3MDM0MTpFRTdBODA3OS05MjIxLTQ1NDQtQjQ3OS1DQ0ZDNUM3RTMxN0EtMTA6OGE5ZDYzYWUxMjEzNjdhMTc1OGNiODhkMjA4ZWJlNGY6MQ==</t>
        </is>
      </c>
      <c r="AH2205"/>
      <c r="AI2205"/>
      <c r="AJ2205" t="inlineStr">
        <is>
          <t>LIQUIDITY PLAN (PAR # 202603150011 / 202603150011) - AS OF 03/24/26
SOUTH LUZON LEG - MARCH 28, 2026 &gt;
MARKETING COLLATERAL &amp; VENUE SKINNING &gt; Booth Activities &gt;
Pull Up Banners - w/ Mechanism = Php 1,590.00
Print &amp; Collaterals &gt; Stamp Cards = Php 2,500.00
METRO MANILA LEG - MARCH 29, 2026 &gt;
MARKETING COLLATERAL &amp; VENUE SKINNING &gt; Booth Activities &gt;
Photo Booth w/ themed Jeepney
Entrance Arc
"Pull up Banners
-w/ Mechanicsm"
LED Frame Design
Print &amp; Collaterals &gt; 
Stamp Cards
Banderitas, Table Toppers
Total Budget = Php 109,090.00
Actual Cost = Php 150,000.00
Balance = (Php 40,910.00) OVER BUDGET</t>
        </is>
      </c>
      <c r="AK2205"/>
    </row>
    <row r="2206" ht="25.5" customHeight="1">
      <c r="A2206" s="2" t="str">
        <f>=HYPERLINK("https://applink.larksuite.com/client/mini_program/open?appId=cli_9c7cc8a9a9edd105&amp;mode=appCenter&amp;path_pc=pc/pages/requested/index?instanceId=7621829838650822365&amp;source=bitable&amp;path=pages/detail/index?instanceId=7621829838650822365&amp;source=bitable", "202603270064")</f>
        <v>202603270064</v>
      </c>
      <c r="B2206" t="inlineStr">
        <is>
          <t>Approved</t>
        </is>
      </c>
      <c r="C2206" t="inlineStr">
        <is>
          <t>Procurement Order</t>
        </is>
      </c>
      <c r="D2206" s="3">
        <v>46108.63364583333</v>
      </c>
      <c r="E2206" s="3">
        <v>46108.6990625</v>
      </c>
      <c r="F2206" t="inlineStr">
        <is>
          <t>Fatima Kathleen M. FLores</t>
        </is>
      </c>
      <c r="G2206" t="inlineStr">
        <is>
          <t>Procurement</t>
        </is>
      </c>
      <c r="H2206"/>
      <c r="I2206"/>
      <c r="J2206" t="inlineStr">
        <is>
          <t>Project</t>
        </is>
      </c>
      <c r="K2206" t="inlineStr">
        <is>
          <t>PDEI - Event Service</t>
        </is>
      </c>
      <c r="L2206" t="inlineStr">
        <is>
          <t>MPL PH S17</t>
        </is>
      </c>
      <c r="M2206" t="inlineStr">
        <is>
          <t>2026TEG-P0009</t>
        </is>
      </c>
      <c r="N2206" t="inlineStr">
        <is>
          <t>Katherine Denise Lee Sy</t>
        </is>
      </c>
      <c r="O2206" t="inlineStr">
        <is>
          <t>202603100136-Katherine Denise Lee Sy-费用报销 - 副本 - 副本 - 副本-2026-03-10 13:59:42</t>
        </is>
      </c>
      <c r="P2206" t="inlineStr">
        <is>
          <t>NO</t>
        </is>
      </c>
      <c r="Q2206"/>
      <c r="R2206" t="inlineStr">
        <is>
          <t>NO</t>
        </is>
      </c>
      <c r="S2206" t="inlineStr">
        <is>
          <t>Room Accommodation (Mar. 18 to 20, 2026)</t>
        </is>
      </c>
      <c r="T2206">
        <v>1</v>
      </c>
      <c r="U2206">
        <v>7760</v>
      </c>
      <c r="V2206" t="inlineStr">
        <is>
          <t>PHP</t>
        </is>
      </c>
      <c r="W2206">
        <v>7760</v>
      </c>
      <c r="X2206" s="2" t="str">
        <f>=HYPERLINK("https://www.larksuite.com/approval/admin/previewAttachment?key=PMg7CsJgEATgK83se72MjSFISCrBH4s9u2Bh-0URUU6NhjWlwckQlnRphaNENHxkmNlIpuds134_LtI_58F1mi-b9_Oxby96pwhSzbQA8PZ3TTPrDsPP8Q0AAP__", "2 attachment(s)")</f>
        <v>2 attachment(s)</v>
      </c>
      <c r="Y2206" t="inlineStr">
        <is>
          <t>Bank Transfer</t>
        </is>
      </c>
      <c r="Z2206" t="inlineStr">
        <is>
          <t>MGY REALTY VENTURES CORPORATION</t>
        </is>
      </c>
      <c r="AA2206" t="inlineStr">
        <is>
          <t>223-7223510-244</t>
        </is>
      </c>
      <c r="AB2206" t="inlineStr">
        <is>
          <t>Metrobank</t>
        </is>
      </c>
      <c r="AC2206" t="inlineStr">
        <is>
          <t>No. 23 Makisig St., Pinyahan, QC</t>
        </is>
      </c>
      <c r="AD2206" s="4">
        <v>46122</v>
      </c>
      <c r="AE2206" t="inlineStr">
        <is>
          <t>100% Full Payment</t>
        </is>
      </c>
      <c r="AF2206" s="2" t="str">
        <f>=HYPERLINK("https://www.larksuite.com/approval/admin/previewAttachment?key=TMg7CsJgEATgK83se72MjSFISCrBH4s9u2Bl-0URUU6NhjWlwckQlnRphaNENHxkmNlIpuds134_LtI_58F1mi-b9_Oxby9GacDazdgAePtzEl0a-nN8AwAA__8", "2 attachment(s)")</f>
        <v>2 attachment(s)</v>
      </c>
      <c r="AG2206" t="inlineStr">
        <is>
          <t>NzQyNTk5MTgyNzQ4MTg3MDM0MTo1MTJBRkU5Qy05OUE1LTRDQTctOThGNC0wMzlFRUE2RjYwODMtMTpmY2I5ZjQwNzYzMWYyZGNlOWExMWU0NmZmMTg2NGIyYTox</t>
        </is>
      </c>
      <c r="AH2206" t="inlineStr">
        <is>
          <t>HAEINSA CONDOTEL</t>
        </is>
      </c>
      <c r="AI2206"/>
      <c r="AJ2206" t="inlineStr">
        <is>
          <t>LIQUIDITY PLAN (PAR # 202602190021 / 2026TEG-P0009) - AS OF 031626
BROADCAST &amp; TECHNICALS &gt; Hide From Client 1
Total Remaining Budget = Php 63,480.00
Actual Cost = Php 7,760.00
Balance = Php 55,720.00</t>
        </is>
      </c>
      <c r="AK2206"/>
    </row>
    <row r="2207" ht="25.5" customHeight="1">
      <c r="A2207" s="2" t="str">
        <f>=HYPERLINK("https://applink.larksuite.com/client/mini_program/open?appId=cli_9c7cc8a9a9edd105&amp;mode=appCenter&amp;path_pc=pc/pages/requested/index?instanceId=7621861265664659163&amp;source=bitable&amp;path=pages/detail/index?instanceId=7621861265664659163&amp;source=bitable", "202603270088")</f>
        <v>202603270088</v>
      </c>
      <c r="B2207" t="inlineStr">
        <is>
          <t>Approved</t>
        </is>
      </c>
      <c r="C2207" t="inlineStr">
        <is>
          <t>Procurement Order</t>
        </is>
      </c>
      <c r="D2207" s="3">
        <v>46108.71833333333</v>
      </c>
      <c r="E2207" s="3">
        <v>46108.739224537036</v>
      </c>
      <c r="F2207" t="inlineStr">
        <is>
          <t>Fatima Kathleen M. FLores</t>
        </is>
      </c>
      <c r="G2207" t="inlineStr">
        <is>
          <t>Procurement</t>
        </is>
      </c>
      <c r="H2207"/>
      <c r="I2207"/>
      <c r="J2207" t="inlineStr">
        <is>
          <t>Project</t>
        </is>
      </c>
      <c r="K2207" t="inlineStr">
        <is>
          <t>GG - Event Service</t>
        </is>
      </c>
      <c r="L2207" t="inlineStr">
        <is>
          <t>PUBG Mobile 8th Anniversary Event</t>
        </is>
      </c>
      <c r="M2207" t="inlineStr">
        <is>
          <t>2026TEG-P0066</t>
        </is>
      </c>
      <c r="N2207" t="inlineStr">
        <is>
          <t>Randy Vince Fernandez Apura</t>
        </is>
      </c>
      <c r="O2207" t="inlineStr">
        <is>
          <t>202603250004-Randy Vince Fernandez Apura-费用报销 - 副本 - 副本 - 副本-2026-03-25 01:49:33</t>
        </is>
      </c>
      <c r="P2207" t="inlineStr">
        <is>
          <t>NO</t>
        </is>
      </c>
      <c r="Q2207"/>
      <c r="R2207" t="inlineStr">
        <is>
          <t>NO</t>
        </is>
      </c>
      <c r="S2207" t="inlineStr">
        <is>
          <t>Venue Rental - Ayala Malls Vermosa (Mar. 28, 2026)</t>
        </is>
      </c>
      <c r="T2207">
        <v>1</v>
      </c>
      <c r="U2207">
        <v>50400</v>
      </c>
      <c r="V2207" t="inlineStr">
        <is>
          <t>PHP</t>
        </is>
      </c>
      <c r="W2207">
        <v>50400</v>
      </c>
      <c r="X2207" s="2"/>
      <c r="Y2207" t="inlineStr">
        <is>
          <t>Bank Transfer</t>
        </is>
      </c>
      <c r="Z2207" t="inlineStr">
        <is>
          <t>CAVITE COMMERCIAL TOWN CENTER INC.</t>
        </is>
      </c>
      <c r="AA2207" t="inlineStr">
        <is>
          <t>2591-0233-92</t>
        </is>
      </c>
      <c r="AB2207" t="inlineStr">
        <is>
          <t>BPI</t>
        </is>
      </c>
      <c r="AC2207" t="inlineStr">
        <is>
          <t>5F One Ayala, 1 Ayala Ave., Ayala Center, Makati City</t>
        </is>
      </c>
      <c r="AD2207" s="4">
        <v>46112</v>
      </c>
      <c r="AE2207" t="inlineStr">
        <is>
          <t>100% Full Payment after event</t>
        </is>
      </c>
      <c r="AF2207" s="2" t="str">
        <f>=HYPERLINK("https://www.larksuite.com/approval/admin/previewAttachment?key=TMg7DoJBCATgK82wMICXsXHzx0Yb46Ph7CZWtp-KUAWXGt60BidlLNEUkiuaWmPDzEYyI2ffjvPbzXbxs3lnPG1e18uxH1QtwTvc2QB4-nMSXUvr5_gGAAD__w", "2 attachment(s)")</f>
        <v>2 attachment(s)</v>
      </c>
      <c r="AG2207" t="inlineStr">
        <is>
          <t>NzQyNTk5MTgyNzQ4MTg3MDM0MToyNTE1MUE1Mi1FRUMxLTQxOEMtQTAwOS02MTQxNzEwMDBDNTYtMTpiY2MwYzBmZjc1MTMxZWNkMzljNGJhZjBiMjdjMzg3YTox</t>
        </is>
      </c>
      <c r="AH2207" t="inlineStr">
        <is>
          <t>AYALA MALLS VERMOSA</t>
        </is>
      </c>
      <c r="AI2207"/>
      <c r="AJ2207" t="inlineStr">
        <is>
          <t>LIQUIDITY PLAN (PAR # 202603150011 / 202603150011) - AS OF 03/24/26
SOUTH LUZON LEG - MARCH 28, 2026 &gt;
MARKETING COLLATERAL &amp; VENUE SKINNING &gt; 
RENTAL &amp; EQUIPMENT &gt; Venue Rental &amp; Utilities &gt;
Venue Rental - Ayala Malls Vermosa
Total Budget = Php 75,000.00
Actual Cost = Php 69,278.00
Balance = Php 5,722.00</t>
        </is>
      </c>
      <c r="AK2207"/>
    </row>
    <row r="2208" ht="25.5" customHeight="1">
      <c r="A2208" s="2" t="str">
        <f>=HYPERLINK("https://applink.larksuite.com/client/mini_program/open?appId=cli_9c7cc8a9a9edd105&amp;mode=appCenter&amp;path_pc=pc/pages/requested/index?instanceId=7621861265664659163&amp;source=bitable&amp;path=pages/detail/index?instanceId=7621861265664659163&amp;source=bitable", "202603270088")</f>
        <v>202603270088</v>
      </c>
      <c r="B2208" t="inlineStr">
        <is>
          <t>Approved</t>
        </is>
      </c>
      <c r="C2208" t="inlineStr">
        <is>
          <t>Procurement Order</t>
        </is>
      </c>
      <c r="D2208" s="3">
        <v>46108.71833333333</v>
      </c>
      <c r="E2208" s="3">
        <v>46108.739224537036</v>
      </c>
      <c r="F2208" t="inlineStr">
        <is>
          <t>Fatima Kathleen M. FLores</t>
        </is>
      </c>
      <c r="G2208" t="inlineStr">
        <is>
          <t>Procurement</t>
        </is>
      </c>
      <c r="H2208"/>
      <c r="I2208"/>
      <c r="J2208" t="inlineStr">
        <is>
          <t>Project</t>
        </is>
      </c>
      <c r="K2208" t="inlineStr">
        <is>
          <t>GG - Event Service</t>
        </is>
      </c>
      <c r="L2208" t="inlineStr">
        <is>
          <t>PUBG Mobile 8th Anniversary Event</t>
        </is>
      </c>
      <c r="M2208" t="inlineStr">
        <is>
          <t>2026TEG-P0066</t>
        </is>
      </c>
      <c r="N2208" t="inlineStr">
        <is>
          <t>Randy Vince Fernandez Apura</t>
        </is>
      </c>
      <c r="O2208" t="inlineStr">
        <is>
          <t>202603250004-Randy Vince Fernandez Apura-费用报销 - 副本 - 副本 - 副本-2026-03-25 01:49:33</t>
        </is>
      </c>
      <c r="P2208" t="inlineStr">
        <is>
          <t>NO</t>
        </is>
      </c>
      <c r="Q2208"/>
      <c r="R2208" t="inlineStr">
        <is>
          <t>NO</t>
        </is>
      </c>
      <c r="S2208" t="inlineStr">
        <is>
          <t>Incidental Charges</t>
        </is>
      </c>
      <c r="T2208">
        <v>1</v>
      </c>
      <c r="U2208">
        <v>18872</v>
      </c>
      <c r="V2208" t="inlineStr">
        <is>
          <t>PHP</t>
        </is>
      </c>
      <c r="W2208">
        <v>18872</v>
      </c>
      <c r="X2208" s="2"/>
      <c r="Y2208"/>
      <c r="Z2208"/>
      <c r="AA2208"/>
      <c r="AB2208"/>
      <c r="AC2208"/>
      <c r="AD2208" s="4"/>
      <c r="AE2208"/>
      <c r="AF2208" s="2"/>
      <c r="AG2208" t="inlineStr">
        <is>
          <t>NzQyNTk5MTgyNzQ4MTg3MDM0MToyNTE1MUE1Mi1FRUMxLTQxOEMtQTAwOS02MTQxNzEwMDBDNTYtMjpkZmQ2MDU5NTRlNjdiYmE5MDIzZGI3ZTdkMGM1ZTY1ZTox</t>
        </is>
      </c>
      <c r="AH2208"/>
      <c r="AI2208"/>
      <c r="AJ2208" t="inlineStr">
        <is>
          <t>LIQUIDITY PLAN (PAR # 202603150011 / 202603150011) - AS OF 03/24/26
SOUTH LUZON LEG - MARCH 28, 2026 &gt;
MARKETING COLLATERAL &amp; VENUE SKINNING &gt; 
RENTAL &amp; EQUIPMENT &gt; Venue Rental &amp; Utilities &gt;
Venue Rental - Ayala Malls Vermosa
Total Budget = Php 75,000.00
Actual Cost = Php 69,278.00
Balance = Php 5,722.00</t>
        </is>
      </c>
      <c r="AK2208"/>
    </row>
    <row r="2209" ht="25.5" customHeight="1">
      <c r="A2209" s="2" t="str">
        <f>=HYPERLINK("https://applink.larksuite.com/client/mini_program/open?appId=cli_9c7cc8a9a9edd105&amp;mode=appCenter&amp;path_pc=pc/pages/requested/index?instanceId=7621861265664659163&amp;source=bitable&amp;path=pages/detail/index?instanceId=7621861265664659163&amp;source=bitable", "202603270088")</f>
        <v>202603270088</v>
      </c>
      <c r="B2209" t="inlineStr">
        <is>
          <t>Approved</t>
        </is>
      </c>
      <c r="C2209" t="inlineStr">
        <is>
          <t>Procurement Order</t>
        </is>
      </c>
      <c r="D2209" s="3">
        <v>46108.71833333333</v>
      </c>
      <c r="E2209" s="3">
        <v>46108.739224537036</v>
      </c>
      <c r="F2209" t="inlineStr">
        <is>
          <t>Fatima Kathleen M. FLores</t>
        </is>
      </c>
      <c r="G2209" t="inlineStr">
        <is>
          <t>Procurement</t>
        </is>
      </c>
      <c r="H2209"/>
      <c r="I2209"/>
      <c r="J2209" t="inlineStr">
        <is>
          <t>Project</t>
        </is>
      </c>
      <c r="K2209" t="inlineStr">
        <is>
          <t>GG - Event Service</t>
        </is>
      </c>
      <c r="L2209" t="inlineStr">
        <is>
          <t>PUBG Mobile 8th Anniversary Event</t>
        </is>
      </c>
      <c r="M2209" t="inlineStr">
        <is>
          <t>2026TEG-P0066</t>
        </is>
      </c>
      <c r="N2209" t="inlineStr">
        <is>
          <t>Randy Vince Fernandez Apura</t>
        </is>
      </c>
      <c r="O2209" t="inlineStr">
        <is>
          <t>202603250004-Randy Vince Fernandez Apura-费用报销 - 副本 - 副本 - 副本-2026-03-25 01:49:33</t>
        </is>
      </c>
      <c r="P2209" t="inlineStr">
        <is>
          <t>NO</t>
        </is>
      </c>
      <c r="Q2209"/>
      <c r="R2209" t="inlineStr">
        <is>
          <t>NO</t>
        </is>
      </c>
      <c r="S2209" t="inlineStr">
        <is>
          <t>Documentary Stamp</t>
        </is>
      </c>
      <c r="T2209">
        <v>1</v>
      </c>
      <c r="U2209">
        <v>6</v>
      </c>
      <c r="V2209" t="inlineStr">
        <is>
          <t>PHP</t>
        </is>
      </c>
      <c r="W2209">
        <v>6</v>
      </c>
      <c r="X2209" s="2" t="str">
        <f>=HYPERLINK("https://www.larksuite.com/approval/admin/previewAttachment?key=PMg7DoJBCATgKzGzMICXsXHzx0Yb46Ph7CYWtp8KpgostXmDbZgUUQIVkisaWsNBZlsiI2ffjvPbyV34bNwRT87rejn2A9FJWi73VWaG099Xunu33H7ObwAAAP__", "2 attachment(s)")</f>
        <v>2 attachment(s)</v>
      </c>
      <c r="Y2209"/>
      <c r="Z2209"/>
      <c r="AA2209"/>
      <c r="AB2209"/>
      <c r="AC2209"/>
      <c r="AD2209" s="4"/>
      <c r="AE2209"/>
      <c r="AF2209" s="2"/>
      <c r="AG2209" t="inlineStr">
        <is>
          <t>NzQyNTk5MTgyNzQ4MTg3MDM0MToyNTE1MUE1Mi1FRUMxLTQxOEMtQTAwOS02MTQxNzEwMDBDNTYtMzpmYThjNTFhZTlkMTUzMmUxZjgwNzQzYjI4YTI0Y2JhZDox</t>
        </is>
      </c>
      <c r="AH2209"/>
      <c r="AI2209"/>
      <c r="AJ2209" t="inlineStr">
        <is>
          <t>LIQUIDITY PLAN (PAR # 202603150011 / 202603150011) - AS OF 03/24/26
SOUTH LUZON LEG - MARCH 28, 2026 &gt;
MARKETING COLLATERAL &amp; VENUE SKINNING &gt; 
RENTAL &amp; EQUIPMENT &gt; Venue Rental &amp; Utilities &gt;
Venue Rental - Ayala Malls Vermosa
Total Budget = Php 75,000.00
Actual Cost = Php 69,278.00
Balance = Php 5,722.00</t>
        </is>
      </c>
      <c r="AK2209"/>
    </row>
    <row r="2210" ht="25.5" customHeight="1">
      <c r="A2210" s="2" t="str">
        <f>=HYPERLINK("https://applink.larksuite.com/client/mini_program/open?appId=cli_9c7cc8a9a9edd105&amp;mode=appCenter&amp;path_pc=pc/pages/requested/index?instanceId=7621877750114029277&amp;source=bitable&amp;path=pages/detail/index?instanceId=7621877750114029277&amp;source=bitable", "202603270101")</f>
        <v>202603270101</v>
      </c>
      <c r="B2210" t="inlineStr">
        <is>
          <t>Recalled</t>
        </is>
      </c>
      <c r="C2210" t="inlineStr">
        <is>
          <t>Procurement Order</t>
        </is>
      </c>
      <c r="D2210" s="3">
        <v>46108.76275462963</v>
      </c>
      <c r="E2210" s="3">
        <v>46129.62850694444</v>
      </c>
      <c r="F2210" t="inlineStr">
        <is>
          <t>Fatima Kathleen M. FLores</t>
        </is>
      </c>
      <c r="G2210" t="inlineStr">
        <is>
          <t>Procurement</t>
        </is>
      </c>
      <c r="H2210"/>
      <c r="I2210"/>
      <c r="J2210" t="inlineStr">
        <is>
          <t>CAPEX</t>
        </is>
      </c>
      <c r="K2210"/>
      <c r="L2210"/>
      <c r="M2210"/>
      <c r="N2210"/>
      <c r="O2210" t="inlineStr">
        <is>
          <t>202603240002-Bernadeth Español Villaflor-费用报销 - 副本 - 副本 - 副本-2026-03-24 00:16:53</t>
        </is>
      </c>
      <c r="P2210"/>
      <c r="Q2210" t="inlineStr">
        <is>
          <t>Mineski PH</t>
        </is>
      </c>
      <c r="R2210"/>
      <c r="S2210" t="inlineStr">
        <is>
          <t>HS-LOGITECH-G PRO X GAMING (981-000820) BLACK MIC + HEADSET USB WIRED</t>
        </is>
      </c>
      <c r="T2210">
        <v>5</v>
      </c>
      <c r="U2210">
        <v>6300</v>
      </c>
      <c r="V2210" t="inlineStr">
        <is>
          <t>PHP</t>
        </is>
      </c>
      <c r="W2210">
        <v>31500</v>
      </c>
      <c r="X2210" s="2" t="str">
        <f>=HYPERLINK("https://www.larksuite.com/approval/admin/previewAttachment?key=PMgxCgJRDATQK83kJ5nEy9i4LDZWwsIvcnbBYtuXRWQFVza8aQ2O0liSAqTD2qSxodQQFZrjcz7tArjLYhOk5nq_zuPLaJlBy30VAD5uX3L37nT8Hb8AAAD__w", "2 attachment(s)")</f>
        <v>2 attachment(s)</v>
      </c>
      <c r="Y2210" t="inlineStr">
        <is>
          <t>Bank Transfer</t>
        </is>
      </c>
      <c r="Z2210" t="inlineStr">
        <is>
          <t>PC EXPRESS INC.</t>
        </is>
      </c>
      <c r="AA2210" t="inlineStr">
        <is>
          <t>0046-0801-3423</t>
        </is>
      </c>
      <c r="AB2210" t="inlineStr">
        <is>
          <t>BDO</t>
        </is>
      </c>
      <c r="AC2210" t="inlineStr">
        <is>
          <t>Unit 2A #25 Gilmore Ave., cor. Aurora Blvd. Brgy. Valencia, QC</t>
        </is>
      </c>
      <c r="AD2210" s="4">
        <v>46112</v>
      </c>
      <c r="AE2210" t="inlineStr">
        <is>
          <t>100% Full payment before delivery</t>
        </is>
      </c>
      <c r="AF2210" s="2" t="str">
        <f>=HYPERLINK("https://www.larksuite.com/approval/admin/previewAttachment?key=TMgxCgJRDATQK83kJ5nEy9i4LDZWwsIvcnbBatuXRWQFVza8aQ2O0liSAqTD2qSxodQQFZrjcz7tArjLYhOk5nq_zuPLrJXwDnc2AD5uTqJr5fo7fgEAAP__", "2 attachment(s)")</f>
        <v>2 attachment(s)</v>
      </c>
      <c r="AG2210" t="inlineStr">
        <is>
          <t>NzQyNTk5MTgyNzQ4MTg3MDM0MTo4NjgzMTE1RS0xRjIzLTQ1MzktOEVFOC1EQ0FGN0IyMTI3NzgtMToxYWM3NzRiYWQ2M2UxMTBmYjA4MDVkM2Y2MjQ0YzNmNTox</t>
        </is>
      </c>
      <c r="AH2210" t="inlineStr">
        <is>
          <t>PC EXPRESS INC.</t>
        </is>
      </c>
      <c r="AI2210"/>
      <c r="AJ2210"/>
      <c r="AK2210" t="inlineStr">
        <is>
          <t>Bernadeth Español Villaflor</t>
        </is>
      </c>
    </row>
    <row r="2211" ht="25.5" customHeight="1">
      <c r="A2211" s="2" t="str">
        <f>=HYPERLINK("https://applink.larksuite.com/client/mini_program/open?appId=cli_9c7cc8a9a9edd105&amp;mode=appCenter&amp;path_pc=pc/pages/requested/index?instanceId=7621880136140345056&amp;source=bitable&amp;path=pages/detail/index?instanceId=7621880136140345056&amp;source=bitable", "202603270103")</f>
        <v>202603270103</v>
      </c>
      <c r="B2211" t="inlineStr">
        <is>
          <t>Approved</t>
        </is>
      </c>
      <c r="C2211" t="inlineStr">
        <is>
          <t>Procurement Order</t>
        </is>
      </c>
      <c r="D2211" s="3">
        <v>46108.76918981481</v>
      </c>
      <c r="E2211" s="3">
        <v>46119.721921296295</v>
      </c>
      <c r="F2211" t="inlineStr">
        <is>
          <t>Fatima Kathleen M. FLores</t>
        </is>
      </c>
      <c r="G2211" t="inlineStr">
        <is>
          <t>Procurement</t>
        </is>
      </c>
      <c r="H2211"/>
      <c r="I2211"/>
      <c r="J2211" t="inlineStr">
        <is>
          <t>CAPEX</t>
        </is>
      </c>
      <c r="K2211"/>
      <c r="L2211"/>
      <c r="M2211"/>
      <c r="N2211"/>
      <c r="O2211" t="inlineStr">
        <is>
          <t>202603100077-Rachel Anne Aquino-费用报销 - 副本 - 副本 - 副本-2026-03-10 07:31:06</t>
        </is>
      </c>
      <c r="P2211"/>
      <c r="Q2211" t="inlineStr">
        <is>
          <t>Mineski PH</t>
        </is>
      </c>
      <c r="R2211"/>
      <c r="S2211" t="inlineStr">
        <is>
          <t>ANVIZ W2 ACCESS CONTROL (Logistics Room)</t>
        </is>
      </c>
      <c r="T2211">
        <v>1</v>
      </c>
      <c r="U2211">
        <v>11000</v>
      </c>
      <c r="V2211" t="inlineStr">
        <is>
          <t>PHP</t>
        </is>
      </c>
      <c r="W2211">
        <v>11000</v>
      </c>
      <c r="X2211" s="2"/>
      <c r="Y2211" t="inlineStr">
        <is>
          <t>Bank Transfer</t>
        </is>
      </c>
      <c r="Z2211" t="inlineStr">
        <is>
          <t>PANDAY METAL INDUSTRIAL CORPORATION</t>
        </is>
      </c>
      <c r="AA2211" t="inlineStr">
        <is>
          <t>003858015455</t>
        </is>
      </c>
      <c r="AB2211" t="inlineStr">
        <is>
          <t>BDO</t>
        </is>
      </c>
      <c r="AC2211" t="inlineStr">
        <is>
          <t>575 F. Dulalia Street, Barrio Lingunan, Valenzuela City</t>
        </is>
      </c>
      <c r="AD2211" s="4">
        <v>46122</v>
      </c>
      <c r="AE2211" t="inlineStr">
        <is>
          <t>100% Full Payment - 30 days upon complete delivery</t>
        </is>
      </c>
      <c r="AF2211" s="2" t="str">
        <f>=HYPERLINK("https://www.larksuite.com/approval/admin/previewAttachment?key=TMg5CgJBFATQK1X1X8vLmEwziFsiuAR9dsHI9GUT2UFLwcUhcFUOdoOWdJgHItdYrBKKFbXmbT--zxGv69Clt8_UfT1P2z4fzLaEK9wpADz8OQm1pf0c3wAAAP__", "4 attachment(s)")</f>
        <v>4 attachment(s)</v>
      </c>
      <c r="AG2211" t="inlineStr">
        <is>
          <t>NzQyNTk5MTgyNzQ4MTg3MDM0MTpCNUJGMjZBMC02Q0NCLTQ1RUItODc5NS1DQkFFNEQyQ0MwNzUtMTo2ZDhlN2VlYjExZmFkMDFmNmUwZTU5MjM3MWY5MjkxYjox</t>
        </is>
      </c>
      <c r="AH2211" t="inlineStr">
        <is>
          <t>PANDAY METAL INDUSTRIAL CORPORATION</t>
        </is>
      </c>
      <c r="AI2211"/>
      <c r="AJ2211"/>
      <c r="AK2211" t="inlineStr">
        <is>
          <t>Rachel Anne Aquino</t>
        </is>
      </c>
    </row>
    <row r="2212" ht="25.5" customHeight="1">
      <c r="A2212" s="2" t="str">
        <f>=HYPERLINK("https://applink.larksuite.com/client/mini_program/open?appId=cli_9c7cc8a9a9edd105&amp;mode=appCenter&amp;path_pc=pc/pages/requested/index?instanceId=7621880136140345056&amp;source=bitable&amp;path=pages/detail/index?instanceId=7621880136140345056&amp;source=bitable", "202603270103")</f>
        <v>202603270103</v>
      </c>
      <c r="B2212" t="inlineStr">
        <is>
          <t>Approved</t>
        </is>
      </c>
      <c r="C2212" t="inlineStr">
        <is>
          <t>Procurement Order</t>
        </is>
      </c>
      <c r="D2212" s="3">
        <v>46108.76918981481</v>
      </c>
      <c r="E2212" s="3">
        <v>46119.721921296295</v>
      </c>
      <c r="F2212" t="inlineStr">
        <is>
          <t>Fatima Kathleen M. FLores</t>
        </is>
      </c>
      <c r="G2212" t="inlineStr">
        <is>
          <t>Procurement</t>
        </is>
      </c>
      <c r="H2212"/>
      <c r="I2212"/>
      <c r="J2212" t="inlineStr">
        <is>
          <t>CAPEX</t>
        </is>
      </c>
      <c r="K2212"/>
      <c r="L2212"/>
      <c r="M2212"/>
      <c r="N2212"/>
      <c r="O2212" t="inlineStr">
        <is>
          <t>202603100077-Rachel Anne Aquino-费用报销 - 副本 - 副本 - 副本-2026-03-10 07:31:06</t>
        </is>
      </c>
      <c r="P2212"/>
      <c r="Q2212" t="inlineStr">
        <is>
          <t>Mineski PH</t>
        </is>
      </c>
      <c r="R2212"/>
      <c r="S2212" t="inlineStr">
        <is>
          <t>ANVIZ W3 ACCESS CONTROL (Main Door)</t>
        </is>
      </c>
      <c r="T2212">
        <v>1</v>
      </c>
      <c r="U2212">
        <v>11500</v>
      </c>
      <c r="V2212" t="inlineStr">
        <is>
          <t>PHP</t>
        </is>
      </c>
      <c r="W2212">
        <v>11500</v>
      </c>
      <c r="X2212" s="2" t="str">
        <f>=HYPERLINK("https://www.larksuite.com/approval/admin/previewAttachment?key=PMg5CgJREATQK1X13l7GZD6DuCWCS9BnFwxMXxQR5dRoWFManAxhFahBg5rDY2SY2Uim56zbfnyf3V9X6Uttn9X3eZ62fT3onSJINdMCwMPfNc2sOww_5zcAAP__", "4 attachment(s)")</f>
        <v>4 attachment(s)</v>
      </c>
      <c r="Y2212"/>
      <c r="Z2212"/>
      <c r="AA2212"/>
      <c r="AB2212"/>
      <c r="AC2212"/>
      <c r="AD2212" s="4"/>
      <c r="AE2212"/>
      <c r="AF2212" s="2"/>
      <c r="AG2212" t="inlineStr">
        <is>
          <t>NzQyNTk5MTgyNzQ4MTg3MDM0MTpCNUJGMjZBMC02Q0NCLTQ1RUItODc5NS1DQkFFNEQyQ0MwNzUtMjo4NzNlN2JlZmIwZDVjZDM4YTY4OTRjMzhhYzlhZmJlODox</t>
        </is>
      </c>
      <c r="AH2212"/>
      <c r="AI2212"/>
      <c r="AJ2212"/>
      <c r="AK2212" t="inlineStr">
        <is>
          <t>Rachel Anne Aquino</t>
        </is>
      </c>
    </row>
    <row r="2213" ht="25.5" customHeight="1">
      <c r="A2213" s="2" t="str">
        <f>=HYPERLINK("https://applink.larksuite.com/client/mini_program/open?appId=cli_9c7cc8a9a9edd105&amp;mode=appCenter&amp;path_pc=pc/pages/requested/index?instanceId=7621874747793477346&amp;source=bitable&amp;path=pages/detail/index?instanceId=7621874747793477346&amp;source=bitable", "202603270096")</f>
        <v>202603270096</v>
      </c>
      <c r="B2213" t="inlineStr">
        <is>
          <t>Approved</t>
        </is>
      </c>
      <c r="C2213" t="inlineStr">
        <is>
          <t>Procurement Order</t>
        </is>
      </c>
      <c r="D2213" s="3">
        <v>46108.75466435185</v>
      </c>
      <c r="E2213" s="3">
        <v>46109.4341087963</v>
      </c>
      <c r="F2213" t="inlineStr">
        <is>
          <t>Fatima Kathleen M. FLores</t>
        </is>
      </c>
      <c r="G2213" t="inlineStr">
        <is>
          <t>Procurement</t>
        </is>
      </c>
      <c r="H2213"/>
      <c r="I2213"/>
      <c r="J2213" t="inlineStr">
        <is>
          <t>Project</t>
        </is>
      </c>
      <c r="K2213" t="inlineStr">
        <is>
          <t>GG - Event Service</t>
        </is>
      </c>
      <c r="L2213" t="inlineStr">
        <is>
          <t>PUBG Mobile 8th Anniversary Event</t>
        </is>
      </c>
      <c r="M2213" t="inlineStr">
        <is>
          <t>2026TEG-P0066</t>
        </is>
      </c>
      <c r="N2213" t="inlineStr">
        <is>
          <t>Randy Vince Fernandez Apura</t>
        </is>
      </c>
      <c r="O2213" t="inlineStr">
        <is>
          <t>202603250019-Randy Vince Fernandez Apura-费用报销 - 副本 - 副本 - 副本-2026-03-25 03:20:40</t>
        </is>
      </c>
      <c r="P2213" t="inlineStr">
        <is>
          <t>NO</t>
        </is>
      </c>
      <c r="Q2213"/>
      <c r="R2213" t="inlineStr">
        <is>
          <t>YES</t>
        </is>
      </c>
      <c r="S2213" t="inlineStr">
        <is>
          <t>Venue Rental (Ayala Malls Manila Bay - Activity Center) / Mar. 29, 2026</t>
        </is>
      </c>
      <c r="T2213">
        <v>1</v>
      </c>
      <c r="U2213">
        <v>252000</v>
      </c>
      <c r="V2213" t="inlineStr">
        <is>
          <t>PHP</t>
        </is>
      </c>
      <c r="W2213">
        <v>252000</v>
      </c>
      <c r="X2213" s="2"/>
      <c r="Y2213" t="inlineStr">
        <is>
          <t>Bank Transfer</t>
        </is>
      </c>
      <c r="Z2213" t="inlineStr">
        <is>
          <t>Bay City Commercial Ventures Corp.</t>
        </is>
      </c>
      <c r="AA2213" t="inlineStr">
        <is>
          <t>0011-1887-53</t>
        </is>
      </c>
      <c r="AB2213" t="inlineStr">
        <is>
          <t>BPI</t>
        </is>
      </c>
      <c r="AC2213" t="inlineStr">
        <is>
          <t>5F One Ayala, 1 Ayala Ave., Ayala Center, Makati City</t>
        </is>
      </c>
      <c r="AD2213" s="4">
        <v>46111</v>
      </c>
      <c r="AE2213" t="inlineStr">
        <is>
          <t>50% Down payment upon confirmation
50% Final Payment before event</t>
        </is>
      </c>
      <c r="AF2213" s="2" t="str">
        <f>=HYPERLINK("https://www.larksuite.com/approval/admin/previewAttachment?key=TMgxCkIxEATQK8383exkvIyNISjyQRDs9uyCle2rSdQcjDLSPAy26uBUKiVHSpHVR1MyRA31Ovd1jLW8n7FPv_iI_txve71ZMwrpkUkD4OXPSXhGxc_xDQAA__8", "3 attachment(s)")</f>
        <v>3 attachment(s)</v>
      </c>
      <c r="AG2213" t="inlineStr">
        <is>
          <t>NzQyNTk5MTgyNzQ4MTg3MDM0MTpGOUQ2RENCRi03RDAwLTRENjAtODM3NS02RDhENzcwRjBFRDQtMToxZmM5OWQ2N2YwNGVjNDZkZTJjYWU4ODhlNmZiMjYzMjox</t>
        </is>
      </c>
      <c r="AH2213" t="inlineStr">
        <is>
          <t>Ayala Malls Manila Bay</t>
        </is>
      </c>
      <c r="AI2213"/>
      <c r="AJ2213" t="inlineStr">
        <is>
          <t>LIQUIDITY PLAN (PAR # 202603150011 / 202603150011) - AS OF 03/24/26
METRO MANILA LEG - MARCH 29, 2026 &gt; 
RENTAL &amp; EQUIPMENT &gt; Venue Rental &amp; Utilities &gt;
Venue Rental - Ayala Malls Manila Bay
TECHNICALS &gt; Basic Package LED, audio = Php 5,000.00
Total Budget = Php 275,000.00
Actual Cost = Php 353,920.00
Balance = (Php 78,920.00) OVER BUDGET</t>
        </is>
      </c>
      <c r="AK2213"/>
    </row>
    <row r="2214" ht="25.5" customHeight="1">
      <c r="A2214" s="2" t="str">
        <f>=HYPERLINK("https://applink.larksuite.com/client/mini_program/open?appId=cli_9c7cc8a9a9edd105&amp;mode=appCenter&amp;path_pc=pc/pages/requested/index?instanceId=7621874747793477346&amp;source=bitable&amp;path=pages/detail/index?instanceId=7621874747793477346&amp;source=bitable", "202603270096")</f>
        <v>202603270096</v>
      </c>
      <c r="B2214" t="inlineStr">
        <is>
          <t>Approved</t>
        </is>
      </c>
      <c r="C2214" t="inlineStr">
        <is>
          <t>Procurement Order</t>
        </is>
      </c>
      <c r="D2214" s="3">
        <v>46108.75466435185</v>
      </c>
      <c r="E2214" s="3">
        <v>46109.4341087963</v>
      </c>
      <c r="F2214" t="inlineStr">
        <is>
          <t>Fatima Kathleen M. FLores</t>
        </is>
      </c>
      <c r="G2214" t="inlineStr">
        <is>
          <t>Procurement</t>
        </is>
      </c>
      <c r="H2214"/>
      <c r="I2214"/>
      <c r="J2214" t="inlineStr">
        <is>
          <t>Project</t>
        </is>
      </c>
      <c r="K2214" t="inlineStr">
        <is>
          <t>GG - Event Service</t>
        </is>
      </c>
      <c r="L2214" t="inlineStr">
        <is>
          <t>PUBG Mobile 8th Anniversary Event</t>
        </is>
      </c>
      <c r="M2214" t="inlineStr">
        <is>
          <t>2026TEG-P0066</t>
        </is>
      </c>
      <c r="N2214" t="inlineStr">
        <is>
          <t>Randy Vince Fernandez Apura</t>
        </is>
      </c>
      <c r="O2214" t="inlineStr">
        <is>
          <t>202603250019-Randy Vince Fernandez Apura-费用报销 - 副本 - 副本 - 副本-2026-03-25 03:20:40</t>
        </is>
      </c>
      <c r="P2214" t="inlineStr">
        <is>
          <t>NO</t>
        </is>
      </c>
      <c r="Q2214"/>
      <c r="R2214" t="inlineStr">
        <is>
          <t>YES</t>
        </is>
      </c>
      <c r="S2214" t="inlineStr">
        <is>
          <t>EQUIPMENT &amp; RENTAL FEES - INGRESS &amp; EGRESS</t>
        </is>
      </c>
      <c r="T2214">
        <v>1</v>
      </c>
      <c r="U2214">
        <v>50400</v>
      </c>
      <c r="V2214" t="inlineStr">
        <is>
          <t>PHP</t>
        </is>
      </c>
      <c r="W2214">
        <v>50400</v>
      </c>
      <c r="X2214" s="2"/>
      <c r="Y2214"/>
      <c r="Z2214"/>
      <c r="AA2214"/>
      <c r="AB2214"/>
      <c r="AC2214"/>
      <c r="AD2214" s="4"/>
      <c r="AE2214"/>
      <c r="AF2214" s="2"/>
      <c r="AG2214" t="inlineStr">
        <is>
          <t>NzQyNTk5MTgyNzQ4MTg3MDM0MTpGOUQ2RENCRi03RDAwLTRENjAtODM3NS02RDhENzcwRjBFRDQtMjo1NWJmOTNkZDVmMTA0MWZmZDc5ZGRkZjIyYWUxYTY1OTox</t>
        </is>
      </c>
      <c r="AH2214"/>
      <c r="AI2214"/>
      <c r="AJ2214" t="inlineStr">
        <is>
          <t>LIQUIDITY PLAN (PAR # 202603150011 / 202603150011) - AS OF 03/24/26
METRO MANILA LEG - MARCH 29, 2026 &gt; 
RENTAL &amp; EQUIPMENT &gt; Venue Rental &amp; Utilities &gt;
Venue Rental - Ayala Malls Manila Bay
TECHNICALS &gt; Basic Package LED, audio = Php 5,000.00
Total Budget = Php 275,000.00
Actual Cost = Php 353,920.00
Balance = (Php 78,920.00) OVER BUDGET</t>
        </is>
      </c>
      <c r="AK2214"/>
    </row>
    <row r="2215" ht="25.5" customHeight="1">
      <c r="A2215" s="2" t="str">
        <f>=HYPERLINK("https://applink.larksuite.com/client/mini_program/open?appId=cli_9c7cc8a9a9edd105&amp;mode=appCenter&amp;path_pc=pc/pages/requested/index?instanceId=7621874747793477346&amp;source=bitable&amp;path=pages/detail/index?instanceId=7621874747793477346&amp;source=bitable", "202603270096")</f>
        <v>202603270096</v>
      </c>
      <c r="B2215" t="inlineStr">
        <is>
          <t>Approved</t>
        </is>
      </c>
      <c r="C2215" t="inlineStr">
        <is>
          <t>Procurement Order</t>
        </is>
      </c>
      <c r="D2215" s="3">
        <v>46108.75466435185</v>
      </c>
      <c r="E2215" s="3">
        <v>46109.4341087963</v>
      </c>
      <c r="F2215" t="inlineStr">
        <is>
          <t>Fatima Kathleen M. FLores</t>
        </is>
      </c>
      <c r="G2215" t="inlineStr">
        <is>
          <t>Procurement</t>
        </is>
      </c>
      <c r="H2215"/>
      <c r="I2215"/>
      <c r="J2215" t="inlineStr">
        <is>
          <t>Project</t>
        </is>
      </c>
      <c r="K2215" t="inlineStr">
        <is>
          <t>GG - Event Service</t>
        </is>
      </c>
      <c r="L2215" t="inlineStr">
        <is>
          <t>PUBG Mobile 8th Anniversary Event</t>
        </is>
      </c>
      <c r="M2215" t="inlineStr">
        <is>
          <t>2026TEG-P0066</t>
        </is>
      </c>
      <c r="N2215" t="inlineStr">
        <is>
          <t>Randy Vince Fernandez Apura</t>
        </is>
      </c>
      <c r="O2215" t="inlineStr">
        <is>
          <t>202603250019-Randy Vince Fernandez Apura-费用报销 - 副本 - 副本 - 副本-2026-03-25 03:20:40</t>
        </is>
      </c>
      <c r="P2215" t="inlineStr">
        <is>
          <t>NO</t>
        </is>
      </c>
      <c r="Q2215"/>
      <c r="R2215" t="inlineStr">
        <is>
          <t>YES</t>
        </is>
      </c>
      <c r="S2215" t="inlineStr">
        <is>
          <t>INCIDENTAL FEES - MANPOWER &amp; ELECTRICITY</t>
        </is>
      </c>
      <c r="T2215">
        <v>1</v>
      </c>
      <c r="U2215">
        <v>51520</v>
      </c>
      <c r="V2215" t="inlineStr">
        <is>
          <t>PHP</t>
        </is>
      </c>
      <c r="W2215">
        <v>51520</v>
      </c>
      <c r="X2215" s="2" t="str">
        <f>=HYPERLINK("https://www.larksuite.com/approval/admin/previewAttachment?key=PMg7CgIwEATQK-1nspPxMjaGoEhAEOz27IKF7avpVnN4lgzykHmzwidBkEqQiepoJ2V0DvY6-zrGWtrP3Ecvf2R_7re93j7ECGMCOc3ML39PApAK9vP4BgAA__8", "2 attachment(s)")</f>
        <v>2 attachment(s)</v>
      </c>
      <c r="Y2215"/>
      <c r="Z2215"/>
      <c r="AA2215"/>
      <c r="AB2215"/>
      <c r="AC2215"/>
      <c r="AD2215" s="4"/>
      <c r="AE2215"/>
      <c r="AF2215" s="2"/>
      <c r="AG2215" t="inlineStr">
        <is>
          <t>NzQyNTk5MTgyNzQ4MTg3MDM0MTpGOUQ2RENCRi03RDAwLTRENjAtODM3NS02RDhENzcwRjBFRDQtMzphYTg1MzU4ZWViODk5MjhmMGE3YjIzNTM2YTE1NjUxMjox</t>
        </is>
      </c>
      <c r="AH2215"/>
      <c r="AI2215"/>
      <c r="AJ2215" t="inlineStr">
        <is>
          <t>LIQUIDITY PLAN (PAR # 202603150011 / 202603150011) - AS OF 03/24/26
METRO MANILA LEG - MARCH 29, 2026 &gt; 
RENTAL &amp; EQUIPMENT &gt; Venue Rental &amp; Utilities &gt;
Venue Rental - Ayala Malls Manila Bay
TECHNICALS &gt; Basic Package LED, audio = Php 5,000.00
Total Budget = Php 275,000.00
Actual Cost = Php 353,920.00
Balance = (Php 78,920.00) OVER BUDGET</t>
        </is>
      </c>
      <c r="AK2215"/>
    </row>
    <row r="2216" ht="25.5" customHeight="1">
      <c r="A2216" s="2" t="str">
        <f>=HYPERLINK("https://applink.larksuite.com/client/mini_program/open?appId=cli_9c7cc8a9a9edd105&amp;mode=appCenter&amp;path_pc=pc/pages/requested/index?instanceId=7621474229025328860&amp;source=bitable&amp;path=pages/detail/index?instanceId=7621474229025328860&amp;source=bitable", "202603260114")</f>
        <v>202603260114</v>
      </c>
      <c r="B2216" t="inlineStr">
        <is>
          <t>Approved</t>
        </is>
      </c>
      <c r="C2216" t="inlineStr">
        <is>
          <t>Procurement Order</t>
        </is>
      </c>
      <c r="D2216" s="3">
        <v>46107.67534722222</v>
      </c>
      <c r="E2216" s="3">
        <v>46111.61215277778</v>
      </c>
      <c r="F2216" t="inlineStr">
        <is>
          <t>Fatima Kathleen M. FLores</t>
        </is>
      </c>
      <c r="G2216" t="inlineStr">
        <is>
          <t>Procurement</t>
        </is>
      </c>
      <c r="H2216"/>
      <c r="I2216"/>
      <c r="J2216" t="inlineStr">
        <is>
          <t>Project</t>
        </is>
      </c>
      <c r="K2216" t="inlineStr">
        <is>
          <t>GG - Event Service</t>
        </is>
      </c>
      <c r="L2216" t="inlineStr">
        <is>
          <t>PUBG Mobile 8th Anniversary Event</t>
        </is>
      </c>
      <c r="M2216" t="inlineStr">
        <is>
          <t>2026TEG-P0066</t>
        </is>
      </c>
      <c r="N2216" t="inlineStr">
        <is>
          <t>Frances Angelita Arreglado</t>
        </is>
      </c>
      <c r="O2216" t="inlineStr">
        <is>
          <t>202603260063-Frances Angelita Arreglado-费用报销 - 副本 - 副本 - 副本-2026-03-26 06:09:47</t>
        </is>
      </c>
      <c r="P2216" t="inlineStr">
        <is>
          <t>NO</t>
        </is>
      </c>
      <c r="Q2216"/>
      <c r="R2216" t="inlineStr">
        <is>
          <t>YES</t>
        </is>
      </c>
      <c r="S2216" t="inlineStr">
        <is>
          <t>Outsourced Photographer &amp; Videographer (Cavite &amp; Metro Manila)</t>
        </is>
      </c>
      <c r="T2216">
        <v>1</v>
      </c>
      <c r="U2216">
        <v>98560</v>
      </c>
      <c r="V2216" t="inlineStr">
        <is>
          <t>PHP</t>
        </is>
      </c>
      <c r="W2216">
        <v>98560</v>
      </c>
      <c r="X2216" s="2" t="str">
        <f>=HYPERLINK("https://www.larksuite.com/approval/admin/previewAttachment?key=PMgxCgIxEAXQK_2Z_Jmf8TI2WYK4WAlBi5xdsNj2ZTdkD2tZYJkXbCvdKLoXPJr3nti-TSrIFNrHa94_z4g59D2Xcaxzr8eYx9ui5A41snUAdru8iWRVEn_HLwAA__8", "2 attachment(s)")</f>
        <v>2 attachment(s)</v>
      </c>
      <c r="Y2216" t="inlineStr">
        <is>
          <t>Bank Transfer</t>
        </is>
      </c>
      <c r="Z2216" t="inlineStr">
        <is>
          <t>Ryan Matias</t>
        </is>
      </c>
      <c r="AA2216" t="inlineStr">
        <is>
          <t>1996 2285 79</t>
        </is>
      </c>
      <c r="AB2216" t="inlineStr">
        <is>
          <t>BPI</t>
        </is>
      </c>
      <c r="AC2216" t="inlineStr">
        <is>
          <t>Antipolo City</t>
        </is>
      </c>
      <c r="AD2216" s="4">
        <v>46108</v>
      </c>
      <c r="AE2216" t="inlineStr">
        <is>
          <t>50% Down Payment upon confirmation
50% Final Payment - 7 to 15 days after completion of services</t>
        </is>
      </c>
      <c r="AF2216" s="2"/>
      <c r="AG2216" t="inlineStr">
        <is>
          <t>NzQyNTk5MTgyNzQ4MTg3MDM0MTo5NkYyMkUzMi1CQzZDLTQ2Q0ItOTY1Mi1FODUzQjQwQzkxQzAtMTpmOWQ5ZTZiMzAxMTQwODcwNzI1YWJmZjdhNDM0NjNkZDox</t>
        </is>
      </c>
      <c r="AH2216" t="inlineStr">
        <is>
          <t>Ryan Matias</t>
        </is>
      </c>
      <c r="AI2216"/>
      <c r="AJ2216" t="inlineStr">
        <is>
          <t>LIQUIDITY PLAN (PAR # 202603150011 / 202603150011) - AS OF 03/24/26
SOUTH LUZON LEG - MARCH 28, 2026 &gt;
MANPOWER &gt; Production Team &gt;
Photo and Video team
METRO MANILA LEG - MARCH 29, 2026
MANPOWER &gt; Production Team &gt;
Photo and Video team
Total Budget = Php 60,000.00
Actual Cost = Php 98,560.00
Balance = (Php 38,560.00) OVER BUDGET
^OVER BUDGET TO BE CHARGED TO ADDENDUM AS PER FRANCES</t>
        </is>
      </c>
      <c r="AK2216"/>
    </row>
    <row r="2217" ht="25.5" customHeight="1">
      <c r="A2217" s="2" t="str">
        <f>=HYPERLINK("https://applink.larksuite.com/client/mini_program/open?appId=cli_9c7cc8a9a9edd105&amp;mode=appCenter&amp;path_pc=pc/pages/requested/index?instanceId=7622884645029433053&amp;source=bitable&amp;path=pages/detail/index?instanceId=7622884645029433053&amp;source=bitable", "202603300020")</f>
        <v>202603300020</v>
      </c>
      <c r="B2217" t="inlineStr">
        <is>
          <t>Approved</t>
        </is>
      </c>
      <c r="C2217" t="inlineStr">
        <is>
          <t>Procurement Order</t>
        </is>
      </c>
      <c r="D2217" s="3">
        <v>46111.47613425926</v>
      </c>
      <c r="E2217" s="3">
        <v>46129.42225694445</v>
      </c>
      <c r="F2217" t="inlineStr">
        <is>
          <t>Fatima Kathleen M. FLores</t>
        </is>
      </c>
      <c r="G2217" t="inlineStr">
        <is>
          <t>Procurement</t>
        </is>
      </c>
      <c r="H2217"/>
      <c r="I2217"/>
      <c r="J2217" t="inlineStr">
        <is>
          <t>Project</t>
        </is>
      </c>
      <c r="K2217" t="inlineStr">
        <is>
          <t>GG - Event Service</t>
        </is>
      </c>
      <c r="L2217" t="inlineStr">
        <is>
          <t>PUBG Mobile 8th Anniversary Event</t>
        </is>
      </c>
      <c r="M2217" t="inlineStr">
        <is>
          <t>2026TEG-P0066</t>
        </is>
      </c>
      <c r="N2217" t="inlineStr">
        <is>
          <t>Randy Vince Fernandez Apura</t>
        </is>
      </c>
      <c r="O2217" t="inlineStr">
        <is>
          <t>202603250011-Randy Vince Fernandez Apura-费用报销 - 副本 - 副本 - 副本-2026-03-25 02:46:11</t>
        </is>
      </c>
      <c r="P2217" t="inlineStr">
        <is>
          <t>NO</t>
        </is>
      </c>
      <c r="Q2217"/>
      <c r="R2217" t="inlineStr">
        <is>
          <t>YES</t>
        </is>
      </c>
      <c r="S2217" t="inlineStr">
        <is>
          <t>Supply and Installation of Exhibit Carpet (Dark Gray) - 450sqm</t>
        </is>
      </c>
      <c r="T2217">
        <v>1</v>
      </c>
      <c r="U2217">
        <v>160000</v>
      </c>
      <c r="V2217" t="inlineStr">
        <is>
          <t>PHP</t>
        </is>
      </c>
      <c r="W2217">
        <v>160000</v>
      </c>
      <c r="X2217" s="2" t="str">
        <f>=HYPERLINK("https://www.larksuite.com/approval/admin/previewAttachment?key=PMgxrgIxDATQK83YEzv-l_nNRisQSoVYKp8diYL2xSRiDnoUVLQCO8NsToUGrOSO4W3NzEIyR_ba5__F_X5xP9Z9ax3s63ac68lRaYZ0yScA_v3cU1JVCF_HJwAA__8", "2 attachment(s)")</f>
        <v>2 attachment(s)</v>
      </c>
      <c r="Y2217" t="inlineStr">
        <is>
          <t>Bank Transfer</t>
        </is>
      </c>
      <c r="Z2217" t="inlineStr">
        <is>
          <t>RISING DESIGNS PH. INC.</t>
        </is>
      </c>
      <c r="AA2217" t="inlineStr">
        <is>
          <t>140700007592</t>
        </is>
      </c>
      <c r="AB2217" t="inlineStr">
        <is>
          <t>Chinabank</t>
        </is>
      </c>
      <c r="AC2217" t="inlineStr">
        <is>
          <t>111 Magsaysay Ave., Doña Faustina Subd., San Bartolome, QC</t>
        </is>
      </c>
      <c r="AD2217" s="4">
        <v>46111</v>
      </c>
      <c r="AE2217" t="inlineStr">
        <is>
          <t>100% Full Payment</t>
        </is>
      </c>
      <c r="AF2217" s="2" t="str">
        <f>=HYPERLINK("https://www.larksuite.com/approval/admin/previewAttachment?key=TMg9igJBEAXgK71X_7WX2WSaQZGOxDGqswtGpl8UEeXUaFhTGpwMkSoLc0ibKlxHhpmNZHrO2uf_xf1-cT_Wfds6ONftONeTURqwdjM2AP79OIkuDf06PgEAAP__", "1 attachment(s)")</f>
        <v>1 attachment(s)</v>
      </c>
      <c r="AG2217" t="inlineStr">
        <is>
          <t>NzQyNTk5MTgyNzQ4MTg3MDM0MTo3Qjc4RUZCMS0xREU2LTQzNzItQUIxRC01QTVEM0Y4NEE5RUItMTpkMDRiNWVjNmYyOGQ0NTJiMzQ0NzExZmJkMGM4M2FlNTox</t>
        </is>
      </c>
      <c r="AH2217" t="inlineStr">
        <is>
          <t>RISING DESIGNS PH. INC.</t>
        </is>
      </c>
      <c r="AI2217"/>
      <c r="AJ2217" t="inlineStr">
        <is>
          <t>No line item in internal CE. UNBUDGETED.</t>
        </is>
      </c>
      <c r="AK2217"/>
    </row>
    <row r="2218" ht="25.5" customHeight="1">
      <c r="A2218" s="2" t="str">
        <f>=HYPERLINK("https://applink.larksuite.com/client/mini_program/open?appId=cli_9c7cc8a9a9edd105&amp;mode=appCenter&amp;path_pc=pc/pages/requested/index?instanceId=7622941124931391196&amp;source=bitable&amp;path=pages/detail/index?instanceId=7622941124931391196&amp;source=bitable", "202603300066")</f>
        <v>202603300066</v>
      </c>
      <c r="B2218" t="inlineStr">
        <is>
          <t>Approved</t>
        </is>
      </c>
      <c r="C2218" t="inlineStr">
        <is>
          <t>Procurement Order</t>
        </is>
      </c>
      <c r="D2218" s="3">
        <v>46111.628333333334</v>
      </c>
      <c r="E2218" s="3">
        <v>46112.58298611111</v>
      </c>
      <c r="F2218" t="inlineStr">
        <is>
          <t>Fatima Kathleen M. FLores</t>
        </is>
      </c>
      <c r="G2218" t="inlineStr">
        <is>
          <t>Procurement</t>
        </is>
      </c>
      <c r="H2218"/>
      <c r="I2218"/>
      <c r="J2218" t="inlineStr">
        <is>
          <t>Project</t>
        </is>
      </c>
      <c r="K2218" t="inlineStr">
        <is>
          <t>PDEI - Event Service</t>
        </is>
      </c>
      <c r="L2218" t="inlineStr">
        <is>
          <t>MPL PH S17</t>
        </is>
      </c>
      <c r="M2218" t="inlineStr">
        <is>
          <t>2026TEG-P0009</t>
        </is>
      </c>
      <c r="N2218" t="inlineStr">
        <is>
          <t>Katherine Denise Lee Sy</t>
        </is>
      </c>
      <c r="O2218" t="inlineStr">
        <is>
          <t>202603060049-Katherine Denise Lee Sy-费用报销 - 副本 - 副本 - 副本-2026-03-06 07:04:44</t>
        </is>
      </c>
      <c r="P2218" t="inlineStr">
        <is>
          <t>YES</t>
        </is>
      </c>
      <c r="Q2218"/>
      <c r="R2218" t="inlineStr">
        <is>
          <t>NO</t>
        </is>
      </c>
      <c r="S2218" t="inlineStr">
        <is>
          <t>Outsourced Liaison Officer</t>
        </is>
      </c>
      <c r="T2218">
        <v>1</v>
      </c>
      <c r="U2218">
        <v>24750</v>
      </c>
      <c r="V2218" t="inlineStr">
        <is>
          <t>PHP</t>
        </is>
      </c>
      <c r="W2218">
        <v>24750</v>
      </c>
      <c r="X2218" s="2" t="str">
        <f>=HYPERLINK("https://www.larksuite.com/approval/admin/previewAttachment?key=PMgxCkJBDATQK2WSbGbHy9j4WQTRRv5a5eyChe2rCas5ECVLwWVolrsS8FQgBKjaG6SM4GAfz3X9pO846XO_Hufy3vfbOt4YorsxMmOaGS5_D2amVGk_t28AAAD__w", "2 attachment(s)")</f>
        <v>2 attachment(s)</v>
      </c>
      <c r="Y2218" t="inlineStr">
        <is>
          <t>Bank Transfer</t>
        </is>
      </c>
      <c r="Z2218" t="inlineStr">
        <is>
          <t>Charles Steeve Martin</t>
        </is>
      </c>
      <c r="AA2218" t="inlineStr">
        <is>
          <t>09272333381</t>
        </is>
      </c>
      <c r="AB2218" t="inlineStr">
        <is>
          <t>MAYA Wallet</t>
        </is>
      </c>
      <c r="AC2218" t="inlineStr">
        <is>
          <t>Building 34, MRB, Phase 3, Pilot Drive, Barangay Commonwealth, Quezon City</t>
        </is>
      </c>
      <c r="AD2218" s="4">
        <v>46122</v>
      </c>
      <c r="AE2218" t="inlineStr">
        <is>
          <t>1st Payment - Apr. 10, 2026
2nd Payment - Apr. 24, 2026
3rd Payment - May 15, 2026
Final Payment - Jun. 5, 2026</t>
        </is>
      </c>
      <c r="AF2218" s="2"/>
      <c r="AG2218" t="inlineStr">
        <is>
          <t>NzQyNTk5MTgyNzQ4MTg3MDM0MTowODdEMzYyOS0wMDlDLTQ4QUItODc5RC02QjAxQ0Y1NkM4MzQtMTo2M2MxOTY2ZjVhYmI1YjFjMTk3NDhlYjJlYzFlYmQ3NDox</t>
        </is>
      </c>
      <c r="AH2218" t="inlineStr">
        <is>
          <t>Charles Steeve Martin</t>
        </is>
      </c>
      <c r="AI2218"/>
      <c r="AJ2218" t="inlineStr">
        <is>
          <t>LIQUIDITY PLAN (PAR # 202602190021 / 2026TEG-P0009) - AS OF 031626
MANPOWER &gt; Hospitality &gt;
Liaison Officer 1
Total Budget = Php 24,750.00
Actual Cost = Php 24,750.00</t>
        </is>
      </c>
      <c r="AK2218"/>
    </row>
    <row r="2219" ht="25.5" customHeight="1">
      <c r="A2219" s="2" t="str">
        <f>=HYPERLINK("https://applink.larksuite.com/client/mini_program/open?appId=cli_9c7cc8a9a9edd105&amp;mode=appCenter&amp;path_pc=pc/pages/requested/index?instanceId=7622941895072829157&amp;source=bitable&amp;path=pages/detail/index?instanceId=7622941895072829157&amp;source=bitable", "202603300067")</f>
        <v>202603300067</v>
      </c>
      <c r="B2219" t="inlineStr">
        <is>
          <t>Approved</t>
        </is>
      </c>
      <c r="C2219" t="inlineStr">
        <is>
          <t>Procurement Order</t>
        </is>
      </c>
      <c r="D2219" s="3">
        <v>46111.63041666667</v>
      </c>
      <c r="E2219" s="3">
        <v>46112.583391203705</v>
      </c>
      <c r="F2219" t="inlineStr">
        <is>
          <t>Fatima Kathleen M. FLores</t>
        </is>
      </c>
      <c r="G2219" t="inlineStr">
        <is>
          <t>Procurement</t>
        </is>
      </c>
      <c r="H2219"/>
      <c r="I2219"/>
      <c r="J2219" t="inlineStr">
        <is>
          <t>Project</t>
        </is>
      </c>
      <c r="K2219" t="inlineStr">
        <is>
          <t>PDEI - Event Service</t>
        </is>
      </c>
      <c r="L2219" t="inlineStr">
        <is>
          <t>MPL PH S17</t>
        </is>
      </c>
      <c r="M2219" t="inlineStr">
        <is>
          <t>2026TEG-P0009</t>
        </is>
      </c>
      <c r="N2219" t="inlineStr">
        <is>
          <t>Katherine Denise Lee Sy</t>
        </is>
      </c>
      <c r="O2219" t="inlineStr">
        <is>
          <t>202603060049-Katherine Denise Lee Sy-费用报销 - 副本 - 副本 - 副本-2026-03-06 07:04:44</t>
        </is>
      </c>
      <c r="P2219" t="inlineStr">
        <is>
          <t>YES</t>
        </is>
      </c>
      <c r="Q2219"/>
      <c r="R2219" t="inlineStr">
        <is>
          <t>NO</t>
        </is>
      </c>
      <c r="S2219" t="inlineStr">
        <is>
          <t>Outsourced Liaison Officer</t>
        </is>
      </c>
      <c r="T2219">
        <v>1</v>
      </c>
      <c r="U2219">
        <v>24750</v>
      </c>
      <c r="V2219" t="inlineStr">
        <is>
          <t>PHP</t>
        </is>
      </c>
      <c r="W2219">
        <v>24750</v>
      </c>
      <c r="X2219" s="2" t="str">
        <f>=HYPERLINK("https://www.larksuite.com/approval/admin/previewAttachment?key=PMgxCgIxFATQK838_GQyXsZml2CzaQRhi392wcL2jUmM2dmGkWYYLI0IJ6c7FDPMroqiZIjqqvNaz81t3NzHpVg36vM61vlmtyKgltkmAD7-3pSZ9kj8HN8AAAD__w", "2 attachment(s)")</f>
        <v>2 attachment(s)</v>
      </c>
      <c r="Y2219" t="inlineStr">
        <is>
          <t>Bank Transfer</t>
        </is>
      </c>
      <c r="Z2219" t="inlineStr">
        <is>
          <t>Honey Jane Vertudes</t>
        </is>
      </c>
      <c r="AA2219" t="inlineStr">
        <is>
          <t>109324861046</t>
        </is>
      </c>
      <c r="AB2219" t="inlineStr">
        <is>
          <t>Union Bank</t>
        </is>
      </c>
      <c r="AC2219" t="inlineStr">
        <is>
          <t>9 sto.thomas street bagumbayan Quezon City</t>
        </is>
      </c>
      <c r="AD2219" s="4">
        <v>46122</v>
      </c>
      <c r="AE2219" t="inlineStr">
        <is>
          <t>1st Payment - Apr. 10, 2026
2nd Payment - Apr. 24, 2026
3rd Payment - May 15, 2026
Final Payment - Jun. 5, 2026</t>
        </is>
      </c>
      <c r="AF2219" s="2"/>
      <c r="AG2219" t="inlineStr">
        <is>
          <t>NzQyNTk5MTgyNzQ4MTg3MDM0MTpGQkE2MjRCMy05QjEyLTQzRTEtQkZBQS1CRDQ5NUU1RjAzRUItMTowYmQ5NTE4ZjgxMTliOGUzOWE1MzkzMDAxZDc5MThiMzox</t>
        </is>
      </c>
      <c r="AH2219" t="inlineStr">
        <is>
          <t>Honey Jane Vertudes</t>
        </is>
      </c>
      <c r="AI2219"/>
      <c r="AJ2219" t="inlineStr">
        <is>
          <t>LIQUIDITY PLAN (PAR # 202602190021 / 2026TEG-P0009) - AS OF 031626
MANPOWER &gt; Hospitality &gt;
Liaison Officer 2
Total Budget = Php 24,750.00
Actual Cost = Php 24,750.00</t>
        </is>
      </c>
      <c r="AK2219"/>
    </row>
    <row r="2220" ht="25.5" customHeight="1">
      <c r="A2220" s="2" t="str">
        <f>=HYPERLINK("https://applink.larksuite.com/client/mini_program/open?appId=cli_9c7cc8a9a9edd105&amp;mode=appCenter&amp;path_pc=pc/pages/requested/index?instanceId=7622944854875672284&amp;source=bitable&amp;path=pages/detail/index?instanceId=7622944854875672284&amp;source=bitable", "202603300073")</f>
        <v>202603300073</v>
      </c>
      <c r="B2220" t="inlineStr">
        <is>
          <t>Approved</t>
        </is>
      </c>
      <c r="C2220" t="inlineStr">
        <is>
          <t>Procurement Order</t>
        </is>
      </c>
      <c r="D2220" s="3">
        <v>46111.638391203705</v>
      </c>
      <c r="E2220" s="3">
        <v>46112.5841087963</v>
      </c>
      <c r="F2220" t="inlineStr">
        <is>
          <t>Fatima Kathleen M. FLores</t>
        </is>
      </c>
      <c r="G2220" t="inlineStr">
        <is>
          <t>Procurement</t>
        </is>
      </c>
      <c r="H2220"/>
      <c r="I2220"/>
      <c r="J2220" t="inlineStr">
        <is>
          <t>Project</t>
        </is>
      </c>
      <c r="K2220" t="inlineStr">
        <is>
          <t>PDEI - Event Service</t>
        </is>
      </c>
      <c r="L2220" t="inlineStr">
        <is>
          <t>MPL PH S17</t>
        </is>
      </c>
      <c r="M2220" t="inlineStr">
        <is>
          <t>2026TEG-P0009</t>
        </is>
      </c>
      <c r="N2220" t="inlineStr">
        <is>
          <t>Katherine Denise Lee Sy</t>
        </is>
      </c>
      <c r="O2220" t="inlineStr">
        <is>
          <t>202603060049-Katherine Denise Lee Sy-费用报销 - 副本 - 副本 - 副本-2026-03-06 07:04:44</t>
        </is>
      </c>
      <c r="P2220" t="inlineStr">
        <is>
          <t>YES</t>
        </is>
      </c>
      <c r="Q2220"/>
      <c r="R2220" t="inlineStr">
        <is>
          <t>NO</t>
        </is>
      </c>
      <c r="S2220" t="inlineStr">
        <is>
          <t>Outsourced Liaison Officer</t>
        </is>
      </c>
      <c r="T2220">
        <v>1</v>
      </c>
      <c r="U2220">
        <v>24750</v>
      </c>
      <c r="V2220" t="inlineStr">
        <is>
          <t>PHP</t>
        </is>
      </c>
      <c r="W2220">
        <v>24750</v>
      </c>
      <c r="X2220" s="2" t="str">
        <f>=HYPERLINK("https://www.larksuite.com/approval/admin/previewAttachment?key=PMgxCsJQEATQK83un78z62VsDEHEgCCm-2cXLGxfOVCeMarBjmzEUmU26UlrljLNlSukhkJTazv2K3OcFn3Yz9fjs877bd_eMVuZ0CCHAcTl70Mku4v4Ob4BAAD__w", "2 attachment(s)")</f>
        <v>2 attachment(s)</v>
      </c>
      <c r="Y2220" t="inlineStr">
        <is>
          <t>Bank Transfer</t>
        </is>
      </c>
      <c r="Z2220" t="inlineStr">
        <is>
          <t>Lorenzo S. Joaquin</t>
        </is>
      </c>
      <c r="AA2220" t="inlineStr">
        <is>
          <t>09670566726</t>
        </is>
      </c>
      <c r="AB2220" t="inlineStr">
        <is>
          <t>GCash</t>
        </is>
      </c>
      <c r="AC2220" t="inlineStr">
        <is>
          <t>31a Allajur St Zone 3 Nia Npc Fairview Q.C</t>
        </is>
      </c>
      <c r="AD2220" s="4">
        <v>46122</v>
      </c>
      <c r="AE2220" t="inlineStr">
        <is>
          <t>1st Payment - Apr. 10, 2026
2nd Payment - Apr. 24, 2026
3rd Payment - May 15, 2026
Final Payment - Jun. 5, 2026</t>
        </is>
      </c>
      <c r="AF2220" s="2"/>
      <c r="AG2220" t="inlineStr">
        <is>
          <t>NzQyNTk5MTgyNzQ4MTg3MDM0MTpBQjRDMEU3Qi1BRDYwLTQ1RUItOEFBNS1CNTVGN0Q3MTcxNzgtMTowNGNhOWRkNWFiNzY4YjQ2YzFmYzZjOTQ5YTdhODcwMzox</t>
        </is>
      </c>
      <c r="AH2220" t="inlineStr">
        <is>
          <t>Lorenzo S. Joaquin</t>
        </is>
      </c>
      <c r="AI2220"/>
      <c r="AJ2220" t="inlineStr">
        <is>
          <t>LIQUIDITY PLAN (PAR # 202602190021 / 2026TEG-P0009) - AS OF 031626
MANPOWER &gt; Hospitality &gt;
Liaison Officer 6
Total Budget = Php 24,750.00
Actual Cost = Php 24,750.00</t>
        </is>
      </c>
      <c r="AK2220"/>
    </row>
    <row r="2221" ht="25.5" customHeight="1">
      <c r="A2221" s="2" t="str">
        <f>=HYPERLINK("https://applink.larksuite.com/client/mini_program/open?appId=cli_9c7cc8a9a9edd105&amp;mode=appCenter&amp;path_pc=pc/pages/requested/index?instanceId=7622944093890432734&amp;source=bitable&amp;path=pages/detail/index?instanceId=7622944093890432734&amp;source=bitable", "202603300071")</f>
        <v>202603300071</v>
      </c>
      <c r="B2221" t="inlineStr">
        <is>
          <t>Approved</t>
        </is>
      </c>
      <c r="C2221" t="inlineStr">
        <is>
          <t>Procurement Order</t>
        </is>
      </c>
      <c r="D2221" s="3">
        <v>46111.636342592596</v>
      </c>
      <c r="E2221" s="3">
        <v>46112.58495370371</v>
      </c>
      <c r="F2221" t="inlineStr">
        <is>
          <t>Fatima Kathleen M. FLores</t>
        </is>
      </c>
      <c r="G2221" t="inlineStr">
        <is>
          <t>Procurement</t>
        </is>
      </c>
      <c r="H2221"/>
      <c r="I2221"/>
      <c r="J2221" t="inlineStr">
        <is>
          <t>Project</t>
        </is>
      </c>
      <c r="K2221" t="inlineStr">
        <is>
          <t>PDEI - Event Service</t>
        </is>
      </c>
      <c r="L2221" t="inlineStr">
        <is>
          <t>MPL PH S17</t>
        </is>
      </c>
      <c r="M2221" t="inlineStr">
        <is>
          <t>2026TEG-P0009</t>
        </is>
      </c>
      <c r="N2221" t="inlineStr">
        <is>
          <t>Katherine Denise Lee Sy</t>
        </is>
      </c>
      <c r="O2221" t="inlineStr">
        <is>
          <t>202603060049-Katherine Denise Lee Sy-费用报销 - 副本 - 副本 - 副本-2026-03-06 07:04:44</t>
        </is>
      </c>
      <c r="P2221" t="inlineStr">
        <is>
          <t>YES</t>
        </is>
      </c>
      <c r="Q2221"/>
      <c r="R2221" t="inlineStr">
        <is>
          <t>NO</t>
        </is>
      </c>
      <c r="S2221" t="inlineStr">
        <is>
          <t>Outsourced Liaison Officer</t>
        </is>
      </c>
      <c r="T2221">
        <v>1</v>
      </c>
      <c r="U2221">
        <v>24750</v>
      </c>
      <c r="V2221" t="inlineStr">
        <is>
          <t>PHP</t>
        </is>
      </c>
      <c r="W2221">
        <v>24750</v>
      </c>
      <c r="X2221" s="2" t="str">
        <f>=HYPERLINK("https://www.larksuite.com/approval/admin/previewAttachment?key=PMixDUIxEAPQlXx3ThyzDA1RRPGhQXyqzI5EQfv6CPTRorpBRxqx1TNNwjUMVqq4c4dkKNS052Nd88Qcz-PzXhHr0D7vtzVf0axMqMgaAOLy9xJJuxM_xzcAAP__", "2 attachment(s)")</f>
        <v>2 attachment(s)</v>
      </c>
      <c r="Y2221" t="inlineStr">
        <is>
          <t>Bank Transfer</t>
        </is>
      </c>
      <c r="Z2221" t="inlineStr">
        <is>
          <t>Molines Lord JC</t>
        </is>
      </c>
      <c r="AA2221" t="inlineStr">
        <is>
          <t>00005 8448 372</t>
        </is>
      </c>
      <c r="AB2221" t="inlineStr">
        <is>
          <t>Security Bank</t>
        </is>
      </c>
      <c r="AC2221" t="inlineStr">
        <is>
          <t>B7 L11 Kingston St. Greenland Ph.1 Nangka Marikina City</t>
        </is>
      </c>
      <c r="AD2221" s="4">
        <v>46122</v>
      </c>
      <c r="AE2221" t="inlineStr">
        <is>
          <t>1st Payment - Apr. 10, 2026
2nd Payment - Apr. 24, 2026
3rd Payment - May 15, 2026
Final Payment - Jun. 5, 2026</t>
        </is>
      </c>
      <c r="AF2221" s="2"/>
      <c r="AG2221" t="inlineStr">
        <is>
          <t>NzQyNTk5MTgyNzQ4MTg3MDM0MTowMUIzRTIwOS00QTc4LTQ4RkMtOUVDRS0zRkExRTg3MDM2NTItMTowODJiZjlmZmQxOTMxN2Q0YmYzYTIwNzIzMTUwZmIzMDox</t>
        </is>
      </c>
      <c r="AH2221" t="inlineStr">
        <is>
          <t>Molines Lord JC</t>
        </is>
      </c>
      <c r="AI2221"/>
      <c r="AJ2221" t="inlineStr">
        <is>
          <t>LIQUIDITY PLAN (PAR # 202602190021 / 2026TEG-P0009) - AS OF 031626
MANPOWER &gt; Hospitality &gt;
Liaison Officer 5
Total Budget = Php 24,750.00
Actual Cost = Php 24,750.00</t>
        </is>
      </c>
      <c r="AK2221"/>
    </row>
    <row r="2222" ht="25.5" customHeight="1">
      <c r="A2222" s="2" t="str">
        <f>=HYPERLINK("https://applink.larksuite.com/client/mini_program/open?appId=cli_9c7cc8a9a9edd105&amp;mode=appCenter&amp;path_pc=pc/pages/requested/index?instanceId=7622943397182967515&amp;source=bitable&amp;path=pages/detail/index?instanceId=7622943397182967515&amp;source=bitable", "202603300070")</f>
        <v>202603300070</v>
      </c>
      <c r="B2222" t="inlineStr">
        <is>
          <t>Approved</t>
        </is>
      </c>
      <c r="C2222" t="inlineStr">
        <is>
          <t>Procurement Order</t>
        </is>
      </c>
      <c r="D2222" s="3">
        <v>46111.634467592594</v>
      </c>
      <c r="E2222" s="3">
        <v>46112.58828703704</v>
      </c>
      <c r="F2222" t="inlineStr">
        <is>
          <t>Fatima Kathleen M. FLores</t>
        </is>
      </c>
      <c r="G2222" t="inlineStr">
        <is>
          <t>Procurement</t>
        </is>
      </c>
      <c r="H2222"/>
      <c r="I2222"/>
      <c r="J2222" t="inlineStr">
        <is>
          <t>Project</t>
        </is>
      </c>
      <c r="K2222" t="inlineStr">
        <is>
          <t>PDEI - Event Service</t>
        </is>
      </c>
      <c r="L2222" t="inlineStr">
        <is>
          <t>MPL PH S17</t>
        </is>
      </c>
      <c r="M2222" t="inlineStr">
        <is>
          <t>2026TEG-P0009</t>
        </is>
      </c>
      <c r="N2222" t="inlineStr">
        <is>
          <t>Katherine Denise Lee Sy</t>
        </is>
      </c>
      <c r="O2222" t="inlineStr">
        <is>
          <t>202603060049-Katherine Denise Lee Sy-费用报销 - 副本 - 副本 - 副本-2026-03-06 07:04:44</t>
        </is>
      </c>
      <c r="P2222" t="inlineStr">
        <is>
          <t>YES</t>
        </is>
      </c>
      <c r="Q2222"/>
      <c r="R2222" t="inlineStr">
        <is>
          <t>NO</t>
        </is>
      </c>
      <c r="S2222" t="inlineStr">
        <is>
          <t>Outsourced Liaison Officer</t>
        </is>
      </c>
      <c r="T2222">
        <v>1</v>
      </c>
      <c r="U2222">
        <v>24750</v>
      </c>
      <c r="V2222" t="inlineStr">
        <is>
          <t>PHP</t>
        </is>
      </c>
      <c r="W2222">
        <v>24750</v>
      </c>
      <c r="X2222" s="2" t="str">
        <f>=HYPERLINK("https://www.larksuite.com/approval/admin/previewAttachment?key=PMg9CgIxFATgK715f5PxMjaGRQRBEINNzi5YbPv1gPUoRMtScBk2210ZIWK4moXavkHKCBb3fB7X9FjjCz5qrfn67HW_HfONEt2NkRnDzHA5PZiZUqf93X4BAAD__w", "2 attachment(s)")</f>
        <v>2 attachment(s)</v>
      </c>
      <c r="Y2222" t="inlineStr">
        <is>
          <t>Bank Transfer</t>
        </is>
      </c>
      <c r="Z2222" t="inlineStr">
        <is>
          <t>Kyne-kyne Lalaine S. Lao</t>
        </is>
      </c>
      <c r="AA2222" t="inlineStr">
        <is>
          <t>0626081293</t>
        </is>
      </c>
      <c r="AB2222" t="inlineStr">
        <is>
          <t>BPI</t>
        </is>
      </c>
      <c r="AC2222" t="inlineStr">
        <is>
          <t>117 Pacheco St. Tondo Manila</t>
        </is>
      </c>
      <c r="AD2222" s="4">
        <v>46122</v>
      </c>
      <c r="AE2222" t="inlineStr">
        <is>
          <t>1st Payment - Apr. 10, 2026
2nd Payment - Apr. 24, 2026
3rd Payment - May 15, 2026
Final Payment - Jun. 5, 2026</t>
        </is>
      </c>
      <c r="AF2222" s="2"/>
      <c r="AG2222" t="inlineStr">
        <is>
          <t>NzQyNTk5MTgyNzQ4MTg3MDM0MTpGNUQzNjY3OC0zMjFGLTRFNDgtOTM5MS02NDg4NkU5REIwNTEtMTpiNjBmYzc0MmM5YjA3YTkzNDVkZTcyMTM5NzY4OTJkNDox</t>
        </is>
      </c>
      <c r="AH2222" t="inlineStr">
        <is>
          <t>Kyne-kyne Lalaine S. Lao</t>
        </is>
      </c>
      <c r="AI2222"/>
      <c r="AJ2222" t="inlineStr">
        <is>
          <t>LIQUIDITY PLAN (PAR # 202602190021 / 2026TEG-P0009) - AS OF 031626
MANPOWER &gt; Hospitality &gt;
Liaison Officer 4
Total Budget = Php 24,750.00
Actual Cost = Php 24,750.00</t>
        </is>
      </c>
      <c r="AK2222"/>
    </row>
    <row r="2223" ht="25.5" customHeight="1">
      <c r="A2223" s="2" t="str">
        <f>=HYPERLINK("https://applink.larksuite.com/client/mini_program/open?appId=cli_9c7cc8a9a9edd105&amp;mode=appCenter&amp;path_pc=pc/pages/requested/index?instanceId=7622942605227101916&amp;source=bitable&amp;path=pages/detail/index?instanceId=7622942605227101916&amp;source=bitable", "202603300069")</f>
        <v>202603300069</v>
      </c>
      <c r="B2223" t="inlineStr">
        <is>
          <t>Approved</t>
        </is>
      </c>
      <c r="C2223" t="inlineStr">
        <is>
          <t>Procurement Order</t>
        </is>
      </c>
      <c r="D2223" s="3">
        <v>46111.63232638889</v>
      </c>
      <c r="E2223" s="3">
        <v>46112.59003472222</v>
      </c>
      <c r="F2223" t="inlineStr">
        <is>
          <t>Fatima Kathleen M. FLores</t>
        </is>
      </c>
      <c r="G2223" t="inlineStr">
        <is>
          <t>Procurement</t>
        </is>
      </c>
      <c r="H2223"/>
      <c r="I2223"/>
      <c r="J2223" t="inlineStr">
        <is>
          <t>Project</t>
        </is>
      </c>
      <c r="K2223" t="inlineStr">
        <is>
          <t>PDEI - Event Service</t>
        </is>
      </c>
      <c r="L2223" t="inlineStr">
        <is>
          <t>MPL PH S17</t>
        </is>
      </c>
      <c r="M2223" t="inlineStr">
        <is>
          <t>2026TEG-P0009</t>
        </is>
      </c>
      <c r="N2223" t="inlineStr">
        <is>
          <t>Katherine Denise Lee Sy</t>
        </is>
      </c>
      <c r="O2223" t="inlineStr">
        <is>
          <t>202603060049-Katherine Denise Lee Sy-费用报销 - 副本 - 副本 - 副本-2026-03-06 07:04:44</t>
        </is>
      </c>
      <c r="P2223" t="inlineStr">
        <is>
          <t>YES</t>
        </is>
      </c>
      <c r="Q2223"/>
      <c r="R2223" t="inlineStr">
        <is>
          <t>NO</t>
        </is>
      </c>
      <c r="S2223" t="inlineStr">
        <is>
          <t>Outsourced Liaison Officer</t>
        </is>
      </c>
      <c r="T2223">
        <v>1</v>
      </c>
      <c r="U2223">
        <v>24750</v>
      </c>
      <c r="V2223" t="inlineStr">
        <is>
          <t>PHP</t>
        </is>
      </c>
      <c r="W2223">
        <v>24750</v>
      </c>
      <c r="X2223" s="2" t="str">
        <f>=HYPERLINK("https://www.larksuite.com/approval/admin/previewAttachment?key=PMg9CkIxEATgK81sNjsZL2PjIwj6RBB_mpxdsLD9ahA1OlsZaYbBpYpwRqFHiKBZKxYlQ1TX2vZ5vETyuV_f96l2-3i9zqe5PditCKhltgGAh783ZaZdiZ_jGwAA__8", "2 attachment(s)")</f>
        <v>2 attachment(s)</v>
      </c>
      <c r="Y2223" t="inlineStr">
        <is>
          <t>Bank Transfer</t>
        </is>
      </c>
      <c r="Z2223" t="inlineStr">
        <is>
          <t>Justine Cerezo</t>
        </is>
      </c>
      <c r="AA2223" t="inlineStr">
        <is>
          <t>4856020938</t>
        </is>
      </c>
      <c r="AB2223" t="inlineStr">
        <is>
          <t>Landbank</t>
        </is>
      </c>
      <c r="AC2223" t="inlineStr">
        <is>
          <t>7a Sto Tomas St Bagumbayan Quezon City</t>
        </is>
      </c>
      <c r="AD2223" s="4">
        <v>46122</v>
      </c>
      <c r="AE2223" t="inlineStr">
        <is>
          <t>1st Payment - Apr. 10, 2026
2nd Payment - Apr. 24, 2026
3rd Payment - May 15, 2026
Final Payment - Jun. 5, 2026</t>
        </is>
      </c>
      <c r="AF2223" s="2"/>
      <c r="AG2223" t="inlineStr">
        <is>
          <t>NzQyNTk5MTgyNzQ4MTg3MDM0MTowMEVGNzYzOS03MzFCLTQzRkEtOTYyNC0xNTBCNDU4QTMwQkEtMTo5MmJhM2IzMWY5NWFlZTNhYWViZGNjZTE4NzViZDc1ZTox</t>
        </is>
      </c>
      <c r="AH2223" t="inlineStr">
        <is>
          <t>Justine Cerezo</t>
        </is>
      </c>
      <c r="AI2223"/>
      <c r="AJ2223" t="inlineStr">
        <is>
          <t>LIQUIDITY PLAN (PAR # 202602190021 / 2026TEG-P0009) - AS OF 031626
MANPOWER &gt; Hospitality &gt;
Liaison Officer 3
Total Budget = Php 24,750.00
Actual Cost = Php 24,750.00</t>
        </is>
      </c>
      <c r="AK2223"/>
    </row>
    <row r="2224" ht="25.5" customHeight="1">
      <c r="A2224" s="2" t="str">
        <f>=HYPERLINK("https://applink.larksuite.com/client/mini_program/open?appId=cli_9c7cc8a9a9edd105&amp;mode=appCenter&amp;path_pc=pc/pages/requested/index?instanceId=7622948815305215707&amp;source=bitable&amp;path=pages/detail/index?instanceId=7622948815305215707&amp;source=bitable", "202603300078")</f>
        <v>202603300078</v>
      </c>
      <c r="B2224" t="inlineStr">
        <is>
          <t>Approved</t>
        </is>
      </c>
      <c r="C2224" t="inlineStr">
        <is>
          <t>Procurement Order</t>
        </is>
      </c>
      <c r="D2224" s="3">
        <v>46111.6490625</v>
      </c>
      <c r="E2224" s="3">
        <v>46112.591203703705</v>
      </c>
      <c r="F2224" t="inlineStr">
        <is>
          <t>Fatima Kathleen M. FLores</t>
        </is>
      </c>
      <c r="G2224" t="inlineStr">
        <is>
          <t>Procurement</t>
        </is>
      </c>
      <c r="H2224"/>
      <c r="I2224"/>
      <c r="J2224" t="inlineStr">
        <is>
          <t>Project</t>
        </is>
      </c>
      <c r="K2224" t="inlineStr">
        <is>
          <t>PDEI - Event Service</t>
        </is>
      </c>
      <c r="L2224" t="inlineStr">
        <is>
          <t>MPL PH S17</t>
        </is>
      </c>
      <c r="M2224" t="inlineStr">
        <is>
          <t>2026TEG-P0009</t>
        </is>
      </c>
      <c r="N2224" t="inlineStr">
        <is>
          <t>Katherine Denise Lee Sy</t>
        </is>
      </c>
      <c r="O2224" t="inlineStr">
        <is>
          <t>202603060052-Katherine Denise Lee Sy-费用报销 - 副本 - 副本 - 副本-2026-03-06 07:19:22</t>
        </is>
      </c>
      <c r="P2224" t="inlineStr">
        <is>
          <t>YES</t>
        </is>
      </c>
      <c r="Q2224"/>
      <c r="R2224" t="inlineStr">
        <is>
          <t>NO</t>
        </is>
      </c>
      <c r="S2224" t="inlineStr">
        <is>
          <t>Outsourced Head Usher</t>
        </is>
      </c>
      <c r="T2224">
        <v>1</v>
      </c>
      <c r="U2224">
        <v>75400</v>
      </c>
      <c r="V2224" t="inlineStr">
        <is>
          <t>PHP</t>
        </is>
      </c>
      <c r="W2224">
        <v>75400</v>
      </c>
      <c r="X2224" s="2" t="str">
        <f>=HYPERLINK("https://www.larksuite.com/approval/admin/previewAttachment?key=PMg7DgIxEAPQK9mTmTjmMjSsVojPNiiIJmdHoqB9fRB9FFs30gyDSz3COQaroYIlaMWiZIgqre25n--RnHFM1-1xfLze18u-vVhWBNQy2wDA09-bMtPuiZ_jGwAA__8", "2 attachment(s)")</f>
        <v>2 attachment(s)</v>
      </c>
      <c r="Y2224" t="inlineStr">
        <is>
          <t>Bank Transfer</t>
        </is>
      </c>
      <c r="Z2224" t="inlineStr">
        <is>
          <t>Dan Gabriel P. Abella</t>
        </is>
      </c>
      <c r="AA2224" t="inlineStr">
        <is>
          <t>888110562378</t>
        </is>
      </c>
      <c r="AB2224" t="inlineStr">
        <is>
          <t>PSBank</t>
        </is>
      </c>
      <c r="AC2224" t="inlineStr">
        <is>
          <t>406 Marine Rd Brgy. Holy Spirit Quezon City</t>
        </is>
      </c>
      <c r="AD2224" s="4">
        <v>46122</v>
      </c>
      <c r="AE2224" t="inlineStr">
        <is>
          <t>1st Payment - Apr. 10, 2026
2nd Payment - Apr. 24, 2026
3rd Payment - May 8, 2026
4th Payment - May 29, 2026
Final Payment - Jun. 19, 2026</t>
        </is>
      </c>
      <c r="AF2224" s="2"/>
      <c r="AG2224" t="inlineStr">
        <is>
          <t>NzQyNTk5MTgyNzQ4MTg3MDM0MTo5ODQ0Rjc5Qy1BRkQ1LTRBMjEtODJFQi0wQkI0QTg0RTdDQ0QtMTozNjE2MGZiZjdhNzVkMGViZDU2ZGNkZTBkYzQxODQ0ODox</t>
        </is>
      </c>
      <c r="AH2224" t="inlineStr">
        <is>
          <t>Dan Gabriel P. Abella</t>
        </is>
      </c>
      <c r="AI2224"/>
      <c r="AJ2224" t="inlineStr">
        <is>
          <t>LIQUIDITY PLAN (PAR # 202602190021 / 2026TEG-P0009) - AS OF 031626
MANPOWER &gt; Hospitality &gt;
Ushers (6pax)
Total Budget = Php 187,200.00
Actual Cost = Php 75,400.00
Balance = Php 111,800.00</t>
        </is>
      </c>
      <c r="AK2224"/>
    </row>
    <row r="2225" ht="25.5" customHeight="1">
      <c r="A2225" s="2" t="str">
        <f>=HYPERLINK("https://applink.larksuite.com/client/mini_program/open?appId=cli_9c7cc8a9a9edd105&amp;mode=appCenter&amp;path_pc=pc/pages/requested/index?instanceId=7622946310173265634&amp;source=bitable&amp;path=pages/detail/index?instanceId=7622946310173265634&amp;source=bitable", "202603300075")</f>
        <v>202603300075</v>
      </c>
      <c r="B2225" t="inlineStr">
        <is>
          <t>Approved</t>
        </is>
      </c>
      <c r="C2225" t="inlineStr">
        <is>
          <t>Procurement Order</t>
        </is>
      </c>
      <c r="D2225" s="3">
        <v>46111.64231481482</v>
      </c>
      <c r="E2225" s="3">
        <v>46112.59204861111</v>
      </c>
      <c r="F2225" t="inlineStr">
        <is>
          <t>Fatima Kathleen M. FLores</t>
        </is>
      </c>
      <c r="G2225" t="inlineStr">
        <is>
          <t>Procurement</t>
        </is>
      </c>
      <c r="H2225"/>
      <c r="I2225"/>
      <c r="J2225" t="inlineStr">
        <is>
          <t>Project</t>
        </is>
      </c>
      <c r="K2225" t="inlineStr">
        <is>
          <t>PDEI - Event Service</t>
        </is>
      </c>
      <c r="L2225" t="inlineStr">
        <is>
          <t>MPL PH S17</t>
        </is>
      </c>
      <c r="M2225" t="inlineStr">
        <is>
          <t>2026TEG-P0009</t>
        </is>
      </c>
      <c r="N2225" t="inlineStr">
        <is>
          <t>Katherine Denise Lee Sy</t>
        </is>
      </c>
      <c r="O2225" t="inlineStr">
        <is>
          <t>202603060049-Katherine Denise Lee Sy-费用报销 - 副本 - 副本 - 副本-2026-03-06 07:04:44</t>
        </is>
      </c>
      <c r="P2225" t="inlineStr">
        <is>
          <t>YES</t>
        </is>
      </c>
      <c r="Q2225"/>
      <c r="R2225" t="inlineStr">
        <is>
          <t>NO</t>
        </is>
      </c>
      <c r="S2225" t="inlineStr">
        <is>
          <t>Outsourced Liaison Officer</t>
        </is>
      </c>
      <c r="T2225">
        <v>1</v>
      </c>
      <c r="U2225">
        <v>24750</v>
      </c>
      <c r="V2225" t="inlineStr">
        <is>
          <t>PHP</t>
        </is>
      </c>
      <c r="W2225">
        <v>24750</v>
      </c>
      <c r="X2225" s="2" t="str">
        <f>=HYPERLINK("https://www.larksuite.com/approval/admin/previewAttachment?key=PMg9igJREATgK1X1X73ey2ziY5CBMRHN-uyCgelXi6iV9GpE0xoclVlHOUG5VZbH2FBqiErNvo7_PpPrfNjLruDOed9vx34yW2aQR_gCwL-fuyKiuwJfxycAAP__", "2 attachment(s)")</f>
        <v>2 attachment(s)</v>
      </c>
      <c r="Y2225" t="inlineStr">
        <is>
          <t>Bank Transfer</t>
        </is>
      </c>
      <c r="Z2225" t="inlineStr">
        <is>
          <t>Renzo E. Lacsamana</t>
        </is>
      </c>
      <c r="AA2225" t="inlineStr">
        <is>
          <t>109664387317</t>
        </is>
      </c>
      <c r="AB2225" t="inlineStr">
        <is>
          <t>Union Bank</t>
        </is>
      </c>
      <c r="AC2225" t="inlineStr">
        <is>
          <t>#19 Paris St. Greenland village Nangka, Marikina City</t>
        </is>
      </c>
      <c r="AD2225" s="4">
        <v>46122</v>
      </c>
      <c r="AE2225" t="inlineStr">
        <is>
          <t>1st Payment - Apr. 10, 2026
2nd Payment - Apr. 24, 2026
3rd Payment - May 15, 2026
Final Payment - Jun. 5, 2026</t>
        </is>
      </c>
      <c r="AF2225" s="2"/>
      <c r="AG2225" t="inlineStr">
        <is>
          <t>NzQyNTk5MTgyNzQ4MTg3MDM0MTo1MDQyNTREOC02NERELTQ5MTMtOTQ1NC1BREIzNUEyMzE1NTEtMTozZTc1YjJlNmExMDBhZWYxNjE4MDRhNmMyYjk5NTdiMjox</t>
        </is>
      </c>
      <c r="AH2225" t="inlineStr">
        <is>
          <t>Renzo E. Lacsamana</t>
        </is>
      </c>
      <c r="AI2225"/>
      <c r="AJ2225" t="inlineStr">
        <is>
          <t>LIQUIDITY PLAN (PAR # 202602190021 / 2026TEG-P0009) - AS OF 031626
MANPOWER &gt; Hospitality &gt;
Liaison Officer 8
Total Budget = Php 24,750.00
Actual Cost = Php 24,750.00</t>
        </is>
      </c>
      <c r="AK2225"/>
    </row>
    <row r="2226" ht="25.5" customHeight="1">
      <c r="A2226" s="2" t="str">
        <f>=HYPERLINK("https://applink.larksuite.com/client/mini_program/open?appId=cli_9c7cc8a9a9edd105&amp;mode=appCenter&amp;path_pc=pc/pages/requested/index?instanceId=7622945595975683807&amp;source=bitable&amp;path=pages/detail/index?instanceId=7622945595975683807&amp;source=bitable", "202603300074")</f>
        <v>202603300074</v>
      </c>
      <c r="B2226" t="inlineStr">
        <is>
          <t>Approved</t>
        </is>
      </c>
      <c r="C2226" t="inlineStr">
        <is>
          <t>Procurement Order</t>
        </is>
      </c>
      <c r="D2226" s="3">
        <v>46111.640381944446</v>
      </c>
      <c r="E2226" s="3">
        <v>46112.59333333333</v>
      </c>
      <c r="F2226" t="inlineStr">
        <is>
          <t>Fatima Kathleen M. FLores</t>
        </is>
      </c>
      <c r="G2226" t="inlineStr">
        <is>
          <t>Procurement</t>
        </is>
      </c>
      <c r="H2226"/>
      <c r="I2226"/>
      <c r="J2226" t="inlineStr">
        <is>
          <t>Project</t>
        </is>
      </c>
      <c r="K2226" t="inlineStr">
        <is>
          <t>PDEI - Event Service</t>
        </is>
      </c>
      <c r="L2226" t="inlineStr">
        <is>
          <t>MPL PH S17</t>
        </is>
      </c>
      <c r="M2226" t="inlineStr">
        <is>
          <t>2026TEG-P0009</t>
        </is>
      </c>
      <c r="N2226" t="inlineStr">
        <is>
          <t>Katherine Denise Lee Sy</t>
        </is>
      </c>
      <c r="O2226" t="inlineStr">
        <is>
          <t>202603060049-Katherine Denise Lee Sy-费用报销 - 副本 - 副本 - 副本-2026-03-06 07:04:44</t>
        </is>
      </c>
      <c r="P2226" t="inlineStr">
        <is>
          <t>YES</t>
        </is>
      </c>
      <c r="Q2226"/>
      <c r="R2226" t="inlineStr">
        <is>
          <t>NO</t>
        </is>
      </c>
      <c r="S2226" t="inlineStr">
        <is>
          <t>Outsourced Liaison Officer</t>
        </is>
      </c>
      <c r="T2226">
        <v>1</v>
      </c>
      <c r="U2226">
        <v>24750</v>
      </c>
      <c r="V2226" t="inlineStr">
        <is>
          <t>PHP</t>
        </is>
      </c>
      <c r="W2226">
        <v>24750</v>
      </c>
      <c r="X2226" s="2" t="str">
        <f>=HYPERLINK("https://www.larksuite.com/approval/admin/previewAttachment?key=PMgxrsJADATQK429tsfzL_MbVhEiIQ1SJIo9OxIF7as2VKeNEkLmgi2WuyJTKWb1aHD5MlKgMbnmc_s_8hHHeZ37_m6fc1332zZflqI7OCJGA7C_nw9GhFSBr-MTAAD__w", "2 attachment(s)")</f>
        <v>2 attachment(s)</v>
      </c>
      <c r="Y2226" t="inlineStr">
        <is>
          <t>Bank Transfer</t>
        </is>
      </c>
      <c r="Z2226" t="inlineStr">
        <is>
          <t>Marc Kevin Serrano</t>
        </is>
      </c>
      <c r="AA2226" t="inlineStr">
        <is>
          <t>1519218972</t>
        </is>
      </c>
      <c r="AB2226" t="inlineStr">
        <is>
          <t>BPI</t>
        </is>
      </c>
      <c r="AC2226" t="inlineStr">
        <is>
          <t>3 Don Guillermo Street, Barangay Holy Spirit, Commonwealth, Quezon City</t>
        </is>
      </c>
      <c r="AD2226" s="4">
        <v>46122</v>
      </c>
      <c r="AE2226" t="inlineStr">
        <is>
          <t>1st Payment - Apr. 10, 2026
2nd Payment - Apr. 24, 2026
3rd Payment - May 15, 2026
Final Payment - Jun. 5, 2026</t>
        </is>
      </c>
      <c r="AF2226" s="2"/>
      <c r="AG2226" t="inlineStr">
        <is>
          <t>NzQyNTk5MTgyNzQ4MTg3MDM0MTpCOUI0RkIwMy01N0RDLTQwQ0EtQkY2OS1FMzE0NEEyMTlCQTQtMTpiM2M3NGEwNjI1MDRmZjQ0Y2RkYTY3NjcyMjU2OTgzMDox</t>
        </is>
      </c>
      <c r="AH2226" t="inlineStr">
        <is>
          <t>Marc Kevin Serrano</t>
        </is>
      </c>
      <c r="AI2226"/>
      <c r="AJ2226" t="inlineStr">
        <is>
          <t>LIQUIDITY PLAN (PAR # 202602190021 / 2026TEG-P0009) - AS OF 031626
MANPOWER &gt; Hospitality &gt;
Liaison Officer 7
Total Budget = Php 24,750.00
Actual Cost = Php 24,750.00</t>
        </is>
      </c>
      <c r="AK2226"/>
    </row>
    <row r="2227" ht="25.5" customHeight="1">
      <c r="A2227" s="2" t="str">
        <f>=HYPERLINK("https://applink.larksuite.com/client/mini_program/open?appId=cli_9c7cc8a9a9edd105&amp;mode=appCenter&amp;path_pc=pc/pages/requested/index?instanceId=7622953992171065056&amp;source=bitable&amp;path=pages/detail/index?instanceId=7622953992171065056&amp;source=bitable", "202603300088")</f>
        <v>202603300088</v>
      </c>
      <c r="B2227" t="inlineStr">
        <is>
          <t>Approved</t>
        </is>
      </c>
      <c r="C2227" t="inlineStr">
        <is>
          <t>Procurement Order</t>
        </is>
      </c>
      <c r="D2227" s="3">
        <v>46111.66300925926</v>
      </c>
      <c r="E2227" s="3">
        <v>46112.5965625</v>
      </c>
      <c r="F2227" t="inlineStr">
        <is>
          <t>Fatima Kathleen M. FLores</t>
        </is>
      </c>
      <c r="G2227" t="inlineStr">
        <is>
          <t>Procurement</t>
        </is>
      </c>
      <c r="H2227"/>
      <c r="I2227"/>
      <c r="J2227" t="inlineStr">
        <is>
          <t>Project</t>
        </is>
      </c>
      <c r="K2227" t="inlineStr">
        <is>
          <t>PDEI - Event Service</t>
        </is>
      </c>
      <c r="L2227" t="inlineStr">
        <is>
          <t>MPL PH S17</t>
        </is>
      </c>
      <c r="M2227" t="inlineStr">
        <is>
          <t>2026TEG-P0009</t>
        </is>
      </c>
      <c r="N2227" t="inlineStr">
        <is>
          <t>Katherine Denise Lee Sy</t>
        </is>
      </c>
      <c r="O2227" t="inlineStr">
        <is>
          <t>202603060052-Katherine Denise Lee Sy-费用报销 - 副本 - 副本 - 副本-2026-03-06 07:19:22</t>
        </is>
      </c>
      <c r="P2227" t="inlineStr">
        <is>
          <t>YES</t>
        </is>
      </c>
      <c r="Q2227"/>
      <c r="R2227" t="inlineStr">
        <is>
          <t>NO</t>
        </is>
      </c>
      <c r="S2227" t="inlineStr">
        <is>
          <t>Outsourced Usher</t>
        </is>
      </c>
      <c r="T2227">
        <v>1</v>
      </c>
      <c r="U2227">
        <v>37700</v>
      </c>
      <c r="V2227" t="inlineStr">
        <is>
          <t>PHP</t>
        </is>
      </c>
      <c r="W2227">
        <v>37700</v>
      </c>
      <c r="X2227" s="2" t="str">
        <f>=HYPERLINK("https://www.larksuite.com/approval/admin/previewAttachment?key=PMg9CsJAEAXgK7353-dlbLIECSoBYcFizi5YpP1yCHKEWBJOUUK6UpVhpEoJMhDZ2lJFlFRUz9d-P4_taeeyrx3rjdnrse3zI8FSRZm7DQByu9zK3cl0_B2_AAAA__8", "2 attachment(s)")</f>
        <v>2 attachment(s)</v>
      </c>
      <c r="Y2227" t="inlineStr">
        <is>
          <t>Bank Transfer</t>
        </is>
      </c>
      <c r="Z2227" t="inlineStr">
        <is>
          <t>Jhems Mae Angco</t>
        </is>
      </c>
      <c r="AA2227" t="inlineStr">
        <is>
          <t>004610213462</t>
        </is>
      </c>
      <c r="AB2227" t="inlineStr">
        <is>
          <t>BDO</t>
        </is>
      </c>
      <c r="AC2227" t="inlineStr">
        <is>
          <t>Lot 3 11th Street, Barangay Damayang Lagi, Quezon City</t>
        </is>
      </c>
      <c r="AD2227" s="4">
        <v>46122</v>
      </c>
      <c r="AE2227" t="inlineStr">
        <is>
          <t>1st Payment - Apr. 10, 2026
2nd Payment - Apr. 24, 2026
3rd Payment - May 8, 2026
4th Payment - May 29, 2026
Final Payment - Jun. 19, 2026</t>
        </is>
      </c>
      <c r="AF2227" s="2"/>
      <c r="AG2227" t="inlineStr">
        <is>
          <t>NzQyNTk5MTgyNzQ4MTg3MDM0MTpBMTk4QzY4NC1BQTc2LTQ3NEMtQTZEQy1EQzcyNzAwREQ1MTgtMTo5YmZiOTcwODJjOTY4ZWJiYzQzMzJlNjE2MTU0OTc1ZTox</t>
        </is>
      </c>
      <c r="AH2227" t="inlineStr">
        <is>
          <t>Jhems Mae Angco</t>
        </is>
      </c>
      <c r="AI2227"/>
      <c r="AJ2227" t="inlineStr">
        <is>
          <t>LIQUIDITY PLAN (PAR # 202602190021 / 2026TEG-P0009) - AS OF 031626
MANPOWER &gt; Hospitality &gt;
Ushers (6pax)
PLAYOFFS SPECIFIC &gt; MANPOWER &gt;
Hospitality &gt;
Ushers
Additional Playoffs Ushers
Total Remaining Budget = Php 50,700.00
Actual Cost = Php 37,700.00
Balance = Php 13,000.00</t>
        </is>
      </c>
      <c r="AK2227"/>
    </row>
    <row r="2228" ht="25.5" customHeight="1">
      <c r="A2228" s="2" t="str">
        <f>=HYPERLINK("https://applink.larksuite.com/client/mini_program/open?appId=cli_9c7cc8a9a9edd105&amp;mode=appCenter&amp;path_pc=pc/pages/requested/index?instanceId=7622953354347417307&amp;source=bitable&amp;path=pages/detail/index?instanceId=7622953354347417307&amp;source=bitable", "202603300086")</f>
        <v>202603300086</v>
      </c>
      <c r="B2228" t="inlineStr">
        <is>
          <t>Approved</t>
        </is>
      </c>
      <c r="C2228" t="inlineStr">
        <is>
          <t>Procurement Order</t>
        </is>
      </c>
      <c r="D2228" s="3">
        <v>46111.6612962963</v>
      </c>
      <c r="E2228" s="3">
        <v>46112.60028935185</v>
      </c>
      <c r="F2228" t="inlineStr">
        <is>
          <t>Fatima Kathleen M. FLores</t>
        </is>
      </c>
      <c r="G2228" t="inlineStr">
        <is>
          <t>Procurement</t>
        </is>
      </c>
      <c r="H2228"/>
      <c r="I2228"/>
      <c r="J2228" t="inlineStr">
        <is>
          <t>Project</t>
        </is>
      </c>
      <c r="K2228" t="inlineStr">
        <is>
          <t>PDEI - Event Service</t>
        </is>
      </c>
      <c r="L2228" t="inlineStr">
        <is>
          <t>MPL PH S17</t>
        </is>
      </c>
      <c r="M2228" t="inlineStr">
        <is>
          <t>2026TEG-P0009</t>
        </is>
      </c>
      <c r="N2228" t="inlineStr">
        <is>
          <t>Katherine Denise Lee Sy</t>
        </is>
      </c>
      <c r="O2228" t="inlineStr">
        <is>
          <t>202603060052-Katherine Denise Lee Sy-费用报销 - 副本 - 副本 - 副本-2026-03-06 07:19:22</t>
        </is>
      </c>
      <c r="P2228" t="inlineStr">
        <is>
          <t>YES</t>
        </is>
      </c>
      <c r="Q2228"/>
      <c r="R2228" t="inlineStr">
        <is>
          <t>NO</t>
        </is>
      </c>
      <c r="S2228" t="inlineStr">
        <is>
          <t>Outsourced Usher</t>
        </is>
      </c>
      <c r="T2228">
        <v>1</v>
      </c>
      <c r="U2228">
        <v>37700</v>
      </c>
      <c r="V2228" t="inlineStr">
        <is>
          <t>PHP</t>
        </is>
      </c>
      <c r="W2228">
        <v>37700</v>
      </c>
      <c r="X2228" s="2" t="str">
        <f>=HYPERLINK("https://www.larksuite.com/approval/admin/previewAttachment?key=PMgxrsJADATQK43t8c76X-Y3iVY0qRARW_jsSBS0b0zDmGkxCizzgrWGe2VEMiiaAmpvkwoypfq81v--t79yv_3KjXX0_TjW-bQsuUNBxgRgfz8PkawaxNfxCQAA__8", "2 attachment(s)")</f>
        <v>2 attachment(s)</v>
      </c>
      <c r="Y2228" t="inlineStr">
        <is>
          <t>Bank Transfer</t>
        </is>
      </c>
      <c r="Z2228" t="inlineStr">
        <is>
          <t>Khian Charles Mendoza</t>
        </is>
      </c>
      <c r="AA2228" t="inlineStr">
        <is>
          <t>010074395945</t>
        </is>
      </c>
      <c r="AB2228" t="inlineStr">
        <is>
          <t>GOTyme</t>
        </is>
      </c>
      <c r="AC2228" t="inlineStr">
        <is>
          <t>1264, Ilang-Ilang Street. Malaria Tala Caloocan City</t>
        </is>
      </c>
      <c r="AD2228" s="4">
        <v>46122</v>
      </c>
      <c r="AE2228" t="inlineStr">
        <is>
          <t>1st Payment - Apr. 10, 2026
2nd Payment - Apr. 24, 2026
3rd Payment - May 8, 2026
4th Payment - May 29, 2026
Final Payment - Jun. 19, 2026</t>
        </is>
      </c>
      <c r="AF2228" s="2"/>
      <c r="AG2228" t="inlineStr">
        <is>
          <t>NzQyNTk5MTgyNzQ4MTg3MDM0MTo0MjQ3QTNFQy0zMEFBLTQ1MzgtOTdBQS02OTM5QzU5NEM4REQtMTpkMjM5ZmZjNTY5ZWQzOGRjNThiNmJiNjc0NmI5MDMwMTox</t>
        </is>
      </c>
      <c r="AH2228" t="inlineStr">
        <is>
          <t>Khian Charles Mendoza</t>
        </is>
      </c>
      <c r="AI2228"/>
      <c r="AJ2228" t="inlineStr">
        <is>
          <t>LIQUIDITY PLAN (PAR # 202602190021 / 2026TEG-P0009) - AS OF 031626
MANPOWER &gt; Hospitality &gt;
Ushers (6pax)
PLAYOFFS SPECIFIC &gt; MANPOWER &gt;
Hospitality &gt;
Ushers
Additional Playoffs Ushers
Total Remaining Budget = Php 88,400.00
Actual Cost = Php 37,700.00
Balance = Php 50,700.00</t>
        </is>
      </c>
      <c r="AK2228"/>
    </row>
    <row r="2229" ht="25.5" customHeight="1">
      <c r="A2229" s="2" t="str">
        <f>=HYPERLINK("https://applink.larksuite.com/client/mini_program/open?appId=cli_9c7cc8a9a9edd105&amp;mode=appCenter&amp;path_pc=pc/pages/requested/index?instanceId=7622951180586471134&amp;source=bitable&amp;path=pages/detail/index?instanceId=7622951180586471134&amp;source=bitable", "202603300083")</f>
        <v>202603300083</v>
      </c>
      <c r="B2229" t="inlineStr">
        <is>
          <t>Approved</t>
        </is>
      </c>
      <c r="C2229" t="inlineStr">
        <is>
          <t>Procurement Order</t>
        </is>
      </c>
      <c r="D2229" s="3">
        <v>46111.655439814815</v>
      </c>
      <c r="E2229" s="3">
        <v>46112.60377314815</v>
      </c>
      <c r="F2229" t="inlineStr">
        <is>
          <t>Fatima Kathleen M. FLores</t>
        </is>
      </c>
      <c r="G2229" t="inlineStr">
        <is>
          <t>Procurement</t>
        </is>
      </c>
      <c r="H2229"/>
      <c r="I2229"/>
      <c r="J2229" t="inlineStr">
        <is>
          <t>Project</t>
        </is>
      </c>
      <c r="K2229" t="inlineStr">
        <is>
          <t>PDEI - Event Service</t>
        </is>
      </c>
      <c r="L2229" t="inlineStr">
        <is>
          <t>MPL PH S17</t>
        </is>
      </c>
      <c r="M2229" t="inlineStr">
        <is>
          <t>2026TEG-P0009</t>
        </is>
      </c>
      <c r="N2229" t="inlineStr">
        <is>
          <t>Katherine Denise Lee Sy</t>
        </is>
      </c>
      <c r="O2229" t="inlineStr">
        <is>
          <t>202603060052-Katherine Denise Lee Sy-费用报销 - 副本 - 副本 - 副本-2026-03-06 07:19:22</t>
        </is>
      </c>
      <c r="P2229" t="inlineStr">
        <is>
          <t>YES</t>
        </is>
      </c>
      <c r="Q2229"/>
      <c r="R2229" t="inlineStr">
        <is>
          <t>NO</t>
        </is>
      </c>
      <c r="S2229" t="inlineStr">
        <is>
          <t>Outsourced Usher</t>
        </is>
      </c>
      <c r="T2229">
        <v>1</v>
      </c>
      <c r="U2229">
        <v>37700</v>
      </c>
      <c r="V2229" t="inlineStr">
        <is>
          <t>PHP</t>
        </is>
      </c>
      <c r="W2229">
        <v>37700</v>
      </c>
      <c r="X2229" s="2" t="str">
        <f>=HYPERLINK("https://www.larksuite.com/approval/admin/previewAttachment?key=PMg7jsJAEATQK1X1VP_2MpswsrAFEcKCYM6ORED6oogo54iGmtbgyjBrJwteoSSHli1mNpLpteZ9-9_Ptx-3XX7M58vmOq-XbT7onWbIIY0CwL-fj5TUHcLX8QkAAP__", "2 attachment(s)")</f>
        <v>2 attachment(s)</v>
      </c>
      <c r="Y2229" t="inlineStr">
        <is>
          <t>Bank Transfer</t>
        </is>
      </c>
      <c r="Z2229" t="inlineStr">
        <is>
          <t>Kenneth L. Reposar</t>
        </is>
      </c>
      <c r="AA2229" t="inlineStr">
        <is>
          <t>0920 807 3709</t>
        </is>
      </c>
      <c r="AB2229" t="inlineStr">
        <is>
          <t>GCash</t>
        </is>
      </c>
      <c r="AC2229" t="inlineStr">
        <is>
          <t>40 A Magsaysay St. Tondo, Manila</t>
        </is>
      </c>
      <c r="AD2229" s="4">
        <v>46122</v>
      </c>
      <c r="AE2229" t="inlineStr">
        <is>
          <t>1st Payment - Apr. 10, 2026
2nd Payment - Apr. 24, 2026
3rd Payment - May 8, 2026
4th Payment - May 29, 2026
Final Payment - Jun. 19, 2026</t>
        </is>
      </c>
      <c r="AF2229" s="2"/>
      <c r="AG2229" t="inlineStr">
        <is>
          <t>NzQyNTk5MTgyNzQ4MTg3MDM0MTowNkI3Q0M0Ni0zRjlBLTRDNTQtOEQ5Qi1BRDBCRDNCMkQwNkYtMTpmMzU0ZjgwMGMxNmU2ODBiZGFkYzE1OTE4NDEzZWVlZTox</t>
        </is>
      </c>
      <c r="AH2229" t="inlineStr">
        <is>
          <t>Kenneth L. Reposar</t>
        </is>
      </c>
      <c r="AI2229"/>
      <c r="AJ2229" t="inlineStr">
        <is>
          <t>LIQUIDITY PLAN (PAR # 202602190021 / 2026TEG-P0009) - AS OF 031626
MANPOWER &gt; Hospitality &gt;
Ushers (6pax)
Total Remaining Budget = Php 74,100.00
Actual Cost = Php 37,700.00
Balance = Php 36,400.00</t>
        </is>
      </c>
      <c r="AK2229"/>
    </row>
    <row r="2230" ht="25.5" customHeight="1">
      <c r="A2230" s="2" t="str">
        <f>=HYPERLINK("https://applink.larksuite.com/client/mini_program/open?appId=cli_9c7cc8a9a9edd105&amp;mode=appCenter&amp;path_pc=pc/pages/requested/index?instanceId=7622949737494253279&amp;source=bitable&amp;path=pages/detail/index?instanceId=7622949737494253279&amp;source=bitable", "202603300079")</f>
        <v>202603300079</v>
      </c>
      <c r="B2230" t="inlineStr">
        <is>
          <t>Approved</t>
        </is>
      </c>
      <c r="C2230" t="inlineStr">
        <is>
          <t>Procurement Order</t>
        </is>
      </c>
      <c r="D2230" s="3">
        <v>46111.651550925926</v>
      </c>
      <c r="E2230" s="3">
        <v>46112.60427083333</v>
      </c>
      <c r="F2230" t="inlineStr">
        <is>
          <t>Fatima Kathleen M. FLores</t>
        </is>
      </c>
      <c r="G2230" t="inlineStr">
        <is>
          <t>Procurement</t>
        </is>
      </c>
      <c r="H2230"/>
      <c r="I2230"/>
      <c r="J2230" t="inlineStr">
        <is>
          <t>Project</t>
        </is>
      </c>
      <c r="K2230" t="inlineStr">
        <is>
          <t>PDEI - Event Service</t>
        </is>
      </c>
      <c r="L2230" t="inlineStr">
        <is>
          <t>MPL PH S17</t>
        </is>
      </c>
      <c r="M2230" t="inlineStr">
        <is>
          <t>2026TEG-P0009</t>
        </is>
      </c>
      <c r="N2230" t="inlineStr">
        <is>
          <t>Katherine Denise Lee Sy</t>
        </is>
      </c>
      <c r="O2230" t="inlineStr">
        <is>
          <t>202603060052-Katherine Denise Lee Sy-费用报销 - 副本 - 副本 - 副本-2026-03-06 07:19:22</t>
        </is>
      </c>
      <c r="P2230" t="inlineStr">
        <is>
          <t>YES</t>
        </is>
      </c>
      <c r="Q2230"/>
      <c r="R2230" t="inlineStr">
        <is>
          <t>NO</t>
        </is>
      </c>
      <c r="S2230" t="inlineStr">
        <is>
          <t>Outsourced Usher</t>
        </is>
      </c>
      <c r="T2230">
        <v>1</v>
      </c>
      <c r="U2230">
        <v>37700</v>
      </c>
      <c r="V2230" t="inlineStr">
        <is>
          <t>PHP</t>
        </is>
      </c>
      <c r="W2230">
        <v>37700</v>
      </c>
      <c r="X2230" s="2" t="str">
        <f>=HYPERLINK("https://www.larksuite.com/approval/admin/previewAttachment?key=PMhBqgIxEATQK1V3V1Kpf5m_MQyCZCWOzCJnF1y4fX0E-mhR3aAjjdjqmaZVopmtUt65QzIUamPPdfyfsd6PvNjW1PXCPu-3Yz6jWZlQkTUAxN_PSyTtTnwdnwAAAP__", "2 attachment(s)")</f>
        <v>2 attachment(s)</v>
      </c>
      <c r="Y2230" t="inlineStr">
        <is>
          <t>Bank Transfer</t>
        </is>
      </c>
      <c r="Z2230" t="inlineStr">
        <is>
          <t>Joephil Jr. Boñaga</t>
        </is>
      </c>
      <c r="AA2230" t="inlineStr">
        <is>
          <t>3333333946379</t>
        </is>
      </c>
      <c r="AB2230" t="inlineStr">
        <is>
          <t>Metrobank</t>
        </is>
      </c>
      <c r="AC2230" t="inlineStr">
        <is>
          <t>376 Guerilla Road, Brgy. Holy Spirit Quezon city</t>
        </is>
      </c>
      <c r="AD2230" s="4">
        <v>46122</v>
      </c>
      <c r="AE2230" t="inlineStr">
        <is>
          <t>1st Payment - Apr. 10, 2026
2nd Payment - Apr. 24, 2026
3rd Payment - May 8, 2026
4th Payment - May 29, 2026
Final Payment - Jun. 19, 2026</t>
        </is>
      </c>
      <c r="AF2230" s="2"/>
      <c r="AG2230" t="inlineStr">
        <is>
          <t>NzQyNTk5MTgyNzQ4MTg3MDM0MTpBNjM1MUUwMS0wOTdBLTRGMEMtQURBQi00OUYxQjVBNzJGRDYtMTo4MjkyNTBjMDY2OWQzNDNiYmQ5OGVlYWU1NjBlNzA5OTox</t>
        </is>
      </c>
      <c r="AH2230" t="inlineStr">
        <is>
          <t>Joephil Jr. Boñaga</t>
        </is>
      </c>
      <c r="AI2230"/>
      <c r="AJ2230" t="inlineStr">
        <is>
          <t>LIQUIDITY PLAN (PAR # 202602190021 / 2026TEG-P0009) - AS OF 031626
MANPOWER &gt; Hospitality &gt;
Ushers (6pax)
Total Remaining Budget = Php 111,800.00
Actual Cost = Php 37,700.00
Balance = Php 74,100.00</t>
        </is>
      </c>
      <c r="AK2230"/>
    </row>
    <row r="2231" ht="25.5" customHeight="1">
      <c r="A2231" s="2" t="str">
        <f>=HYPERLINK("https://applink.larksuite.com/client/mini_program/open?appId=cli_9c7cc8a9a9edd105&amp;mode=appCenter&amp;path_pc=pc/pages/requested/index?instanceId=7622959077731159776&amp;source=bitable&amp;path=pages/detail/index?instanceId=7622959077731159776&amp;source=bitable", "202603300094")</f>
        <v>202603300094</v>
      </c>
      <c r="B2231" t="inlineStr">
        <is>
          <t>Approved</t>
        </is>
      </c>
      <c r="C2231" t="inlineStr">
        <is>
          <t>Procurement Order</t>
        </is>
      </c>
      <c r="D2231" s="3">
        <v>46111.676712962966</v>
      </c>
      <c r="E2231" s="3">
        <v>46112.60633101852</v>
      </c>
      <c r="F2231" t="inlineStr">
        <is>
          <t>Fatima Kathleen M. FLores</t>
        </is>
      </c>
      <c r="G2231" t="inlineStr">
        <is>
          <t>Procurement</t>
        </is>
      </c>
      <c r="H2231"/>
      <c r="I2231"/>
      <c r="J2231" t="inlineStr">
        <is>
          <t>Project</t>
        </is>
      </c>
      <c r="K2231" t="inlineStr">
        <is>
          <t>PDEI - Event Service</t>
        </is>
      </c>
      <c r="L2231" t="inlineStr">
        <is>
          <t>MPL PH S17</t>
        </is>
      </c>
      <c r="M2231" t="inlineStr">
        <is>
          <t>2026TEG-P0009</t>
        </is>
      </c>
      <c r="N2231" t="inlineStr">
        <is>
          <t>Katherine Denise Lee Sy</t>
        </is>
      </c>
      <c r="O2231" t="inlineStr">
        <is>
          <t>202603060081-Katherine Denise Lee Sy-费用报销 - 副本 - 副本 - 副本-2026-03-06 08:55:24</t>
        </is>
      </c>
      <c r="P2231" t="inlineStr">
        <is>
          <t>YES</t>
        </is>
      </c>
      <c r="Q2231"/>
      <c r="R2231" t="inlineStr">
        <is>
          <t>NO</t>
        </is>
      </c>
      <c r="S2231" t="inlineStr">
        <is>
          <t>Outsourced HMUA (RS)</t>
        </is>
      </c>
      <c r="T2231">
        <v>1</v>
      </c>
      <c r="U2231">
        <v>230400</v>
      </c>
      <c r="V2231" t="inlineStr">
        <is>
          <t>PHP</t>
        </is>
      </c>
      <c r="W2231">
        <v>230400</v>
      </c>
      <c r="X2231" s="2" t="str">
        <f>=HYPERLINK("https://www.larksuite.com/approval/admin/previewAttachment?key=PMoxCgJBDAXQK_2fZPInXsZml0XEqURhi5xdtLB9vJxEzkHPQhStwFaa1ShIcnKUlG1NqSBqzN7XcaU2n48T91jna1_9vm3H_vxuM8gjfALg5e-uiKjKwM_xCQAA__8", "2 attachment(s)")</f>
        <v>2 attachment(s)</v>
      </c>
      <c r="Y2231" t="inlineStr">
        <is>
          <t>Bank Transfer</t>
        </is>
      </c>
      <c r="Z2231" t="inlineStr">
        <is>
          <t>Grace Filomeno</t>
        </is>
      </c>
      <c r="AA2231" t="inlineStr">
        <is>
          <t>007340484415</t>
        </is>
      </c>
      <c r="AB2231" t="inlineStr">
        <is>
          <t>BDO</t>
        </is>
      </c>
      <c r="AC2231" t="inlineStr">
        <is>
          <t>89 T Santos St. San Jose, Rodriguez, Rizal</t>
        </is>
      </c>
      <c r="AD2231" s="4">
        <v>46122</v>
      </c>
      <c r="AE2231" t="inlineStr">
        <is>
          <t>1st Payment - Apr. 10, 2026
2nd Payment - Apr. 17, 2026
3rd Payment - May 15, 2026
4th Payment - May 22, 2026
5th Payment - Jun. 5, 2026
Final Payment - Jun. 12, 2026</t>
        </is>
      </c>
      <c r="AF2231" s="2"/>
      <c r="AG2231" t="inlineStr">
        <is>
          <t>NzQyNTk5MTgyNzQ4MTg3MDM0MTo2RkI3OTNBQS1FMEE3LTQ3MTQtOUZGNi1BRURCMzc1NzY1NjUtMTo2OTA3MWM0NzA2NWQyMjcxOTJmZmYxZTRkNjEzMmU3ZTox</t>
        </is>
      </c>
      <c r="AH2231" t="inlineStr">
        <is>
          <t>Grace Filomeno</t>
        </is>
      </c>
      <c r="AI2231"/>
      <c r="AJ2231" t="inlineStr">
        <is>
          <t>LIQUIDITY PLAN (PAR # 202602190021 / 2026TEG-P0009) - AS OF 031626
MANPOWER &gt; Talent Management &gt;
HMUA
Total Budget = Php 242,000.00
Actual Cost = Php 230,400.00
Balance = Php 11,600.00</t>
        </is>
      </c>
      <c r="AK2231"/>
    </row>
    <row r="2232" ht="25.5" customHeight="1">
      <c r="A2232" s="2" t="str">
        <f>=HYPERLINK("https://applink.larksuite.com/client/mini_program/open?appId=cli_9c7cc8a9a9edd105&amp;mode=appCenter&amp;path_pc=pc/pages/requested/index?instanceId=7622975849708392162&amp;source=bitable&amp;path=pages/detail/index?instanceId=7622975849708392162&amp;source=bitable", "202603300115")</f>
        <v>202603300115</v>
      </c>
      <c r="B2232" t="inlineStr">
        <is>
          <t>Approved</t>
        </is>
      </c>
      <c r="C2232" t="inlineStr">
        <is>
          <t>Procurement Order</t>
        </is>
      </c>
      <c r="D2232" s="3">
        <v>46111.72190972222</v>
      </c>
      <c r="E2232" s="3">
        <v>46112.60842592592</v>
      </c>
      <c r="F2232" t="inlineStr">
        <is>
          <t>Fatima Kathleen M. FLores</t>
        </is>
      </c>
      <c r="G2232" t="inlineStr">
        <is>
          <t>Procurement</t>
        </is>
      </c>
      <c r="H2232"/>
      <c r="I2232"/>
      <c r="J2232" t="inlineStr">
        <is>
          <t>Project</t>
        </is>
      </c>
      <c r="K2232" t="inlineStr">
        <is>
          <t>PDEI - Event Service</t>
        </is>
      </c>
      <c r="L2232" t="inlineStr">
        <is>
          <t>MPL PH S17</t>
        </is>
      </c>
      <c r="M2232" t="inlineStr">
        <is>
          <t>2026TEG-P0009</t>
        </is>
      </c>
      <c r="N2232" t="inlineStr">
        <is>
          <t>Katherine Denise Lee Sy</t>
        </is>
      </c>
      <c r="O2232" t="inlineStr">
        <is>
          <t>202603110084-Katherine Denise Lee Sy-费用报销 - 副本 - 副本 - 副本-2026-03-11 12:12:35</t>
        </is>
      </c>
      <c r="P2232" t="inlineStr">
        <is>
          <t>YES</t>
        </is>
      </c>
      <c r="Q2232"/>
      <c r="R2232" t="inlineStr">
        <is>
          <t>NO</t>
        </is>
      </c>
      <c r="S2232" t="inlineStr">
        <is>
          <t>Outsourced Referee (RS &amp; PO)</t>
        </is>
      </c>
      <c r="T2232">
        <v>1</v>
      </c>
      <c r="U2232">
        <v>57750</v>
      </c>
      <c r="V2232" t="inlineStr">
        <is>
          <t>PHP</t>
        </is>
      </c>
      <c r="W2232">
        <v>57750</v>
      </c>
      <c r="X2232" s="2" t="str">
        <f>=HYPERLINK("https://www.larksuite.com/approval/admin/previewAttachment?key=PMg9qgJBEATgK1X_TFfXu8xLXAaXRRNhwGDOLhiYftWG6mFRQspcsM1yF0eniA65lW_fRgo0jt7HY_6nx-rzretcVz7nXvfbPF42RHcwMqMB2N_Pg5kpVeLr-AQAAP__", "2 attachment(s)")</f>
        <v>2 attachment(s)</v>
      </c>
      <c r="Y2232" t="inlineStr">
        <is>
          <t>Bank Transfer</t>
        </is>
      </c>
      <c r="Z2232" t="inlineStr">
        <is>
          <t>Jean Francois Dominique Galvez</t>
        </is>
      </c>
      <c r="AA2232" t="inlineStr">
        <is>
          <t>09938130795</t>
        </is>
      </c>
      <c r="AB2232" t="inlineStr">
        <is>
          <t>GCash</t>
        </is>
      </c>
      <c r="AC2232" t="inlineStr">
        <is>
          <t>3b Grace St. Camella Homes, Pilar Village, Las Piñas City</t>
        </is>
      </c>
      <c r="AD2232" s="4">
        <v>46122</v>
      </c>
      <c r="AE2232" t="inlineStr">
        <is>
          <t>1st Payment - Apr. 10, 2026
2nd Payment - May 8, 2026
3rd Payment - May 29, 2026
Final Payment - Jun. 19, 2026</t>
        </is>
      </c>
      <c r="AF2232" s="2"/>
      <c r="AG2232" t="inlineStr">
        <is>
          <t>NzQyNTk5MTgyNzQ4MTg3MDM0MTozNURCRkM5OS1DRkYzLTQ3ODMtOUQ3MC00NTg0MTA1N0EwNEItMTpjYWUxYzdiYmMyY2E0MTU3MzY4YTU3MWFmMTNkMDg5MTox</t>
        </is>
      </c>
      <c r="AH2232" t="inlineStr">
        <is>
          <t>Jean Francois Dominique Galvez</t>
        </is>
      </c>
      <c r="AI2232"/>
      <c r="AJ2232" t="inlineStr">
        <is>
          <t>LIQUIDITY PLAN (PAR # 202602190021 / 2026TEG-P0009) - AS OF 031626
MANPOWER &gt; League Operations &gt;
Referee 2
PLAYOFFS SPECIFIC &gt; MANPOWER &gt;
LOPS &gt; Referee 2
Total Budget = Php 57,750.00
Actual Cost = Php 57,750.00</t>
        </is>
      </c>
      <c r="AK2232"/>
    </row>
    <row r="2233" ht="25.5" customHeight="1">
      <c r="A2233" s="2" t="str">
        <f>=HYPERLINK("https://applink.larksuite.com/client/mini_program/open?appId=cli_9c7cc8a9a9edd105&amp;mode=appCenter&amp;path_pc=pc/pages/requested/index?instanceId=7622974776882613989&amp;source=bitable&amp;path=pages/detail/index?instanceId=7622974776882613989&amp;source=bitable", "202603300112")</f>
        <v>202603300112</v>
      </c>
      <c r="B2233" t="inlineStr">
        <is>
          <t>Approved</t>
        </is>
      </c>
      <c r="C2233" t="inlineStr">
        <is>
          <t>Procurement Order</t>
        </is>
      </c>
      <c r="D2233" s="3">
        <v>46111.71902777778</v>
      </c>
      <c r="E2233" s="3">
        <v>46112.634791666664</v>
      </c>
      <c r="F2233" t="inlineStr">
        <is>
          <t>Fatima Kathleen M. FLores</t>
        </is>
      </c>
      <c r="G2233" t="inlineStr">
        <is>
          <t>Procurement</t>
        </is>
      </c>
      <c r="H2233"/>
      <c r="I2233"/>
      <c r="J2233" t="inlineStr">
        <is>
          <t>Project</t>
        </is>
      </c>
      <c r="K2233" t="inlineStr">
        <is>
          <t>PDEI - Event Service</t>
        </is>
      </c>
      <c r="L2233" t="inlineStr">
        <is>
          <t>MPL PH S17</t>
        </is>
      </c>
      <c r="M2233" t="inlineStr">
        <is>
          <t>2026TEG-P0009</t>
        </is>
      </c>
      <c r="N2233" t="inlineStr">
        <is>
          <t>Katherine Denise Lee Sy</t>
        </is>
      </c>
      <c r="O2233" t="inlineStr">
        <is>
          <t>202603110084-Katherine Denise Lee Sy-费用报销 - 副本 - 副本 - 副本-2026-03-11 12:12:35</t>
        </is>
      </c>
      <c r="P2233" t="inlineStr">
        <is>
          <t>YES</t>
        </is>
      </c>
      <c r="Q2233"/>
      <c r="R2233" t="inlineStr">
        <is>
          <t>NO</t>
        </is>
      </c>
      <c r="S2233" t="inlineStr">
        <is>
          <t>Outsourced Referee (RS &amp; PO)</t>
        </is>
      </c>
      <c r="T2233">
        <v>1</v>
      </c>
      <c r="U2233">
        <v>59400</v>
      </c>
      <c r="V2233" t="inlineStr">
        <is>
          <t>PHP</t>
        </is>
      </c>
      <c r="W2233">
        <v>59400</v>
      </c>
      <c r="X2233" s="2" t="str">
        <f>=HYPERLINK("https://www.larksuite.com/approval/admin/previewAttachment?key=PMgxCkJBDATQKyXZ-ZmMl7H5yyLC2oiCRc4uWNi-LLesw0fKIA-ZNzNCBJlVkT5U6mgnZXQe1XOv6_7ofm7E44WJxX7fzjWffogRxgGMMjO__H0QgJSwn9s3AAD__w", "2 attachment(s)")</f>
        <v>2 attachment(s)</v>
      </c>
      <c r="Y2233" t="inlineStr">
        <is>
          <t>Bank Transfer</t>
        </is>
      </c>
      <c r="Z2233" t="inlineStr">
        <is>
          <t>Joshua Gabriel J. Huerta</t>
        </is>
      </c>
      <c r="AA2233" t="inlineStr">
        <is>
          <t>1156 1223 31</t>
        </is>
      </c>
      <c r="AB2233" t="inlineStr">
        <is>
          <t>Landbank</t>
        </is>
      </c>
      <c r="AC2233" t="inlineStr">
        <is>
          <t>1317c Lardizabal St. Sampaloc Manila</t>
        </is>
      </c>
      <c r="AD2233" s="4">
        <v>46122</v>
      </c>
      <c r="AE2233" t="inlineStr">
        <is>
          <t>1st Payment - Apr. 10, 2026
2nd Payment - May 8, 2026
3rd Payment - May 29, 2026
Final Payment - Jun. 19, 2026</t>
        </is>
      </c>
      <c r="AF2233" s="2"/>
      <c r="AG2233" t="inlineStr">
        <is>
          <t>NzQyNTk5MTgyNzQ4MTg3MDM0MTo2MjEyQUI5RC1CQUE2LTQ3MjEtQUZGNy1DNjczMkMxMkEzNUItMTo4ZjhiZWZmYjFhMjkyMDkzODBkODk4MGM5ZWRkZDk3MDox</t>
        </is>
      </c>
      <c r="AH2233" t="inlineStr">
        <is>
          <t>Joshua Gabriel J. Huerta</t>
        </is>
      </c>
      <c r="AI2233"/>
      <c r="AJ2233" t="inlineStr">
        <is>
          <t>LIQUIDITY PLAN (PAR # 202602190021 / 2026TEG-P0009) - AS OF 031626
MANPOWER &gt; League Operations &gt;
Referee 1
PLAYOFFS SPECIFIC &gt; MANPOWER &gt;
LOPS &gt; Referee 1
Total Budget = Php 63,000.00
Actual Cost = Php 59,400.00
Balance = Php 3,600.00</t>
        </is>
      </c>
      <c r="AK2233"/>
    </row>
    <row r="2234" ht="25.5" customHeight="1">
      <c r="A2234" s="2" t="str">
        <f>=HYPERLINK("https://applink.larksuite.com/client/mini_program/open?appId=cli_9c7cc8a9a9edd105&amp;mode=appCenter&amp;path_pc=pc/pages/requested/index?instanceId=7622965346652950242&amp;source=bitable&amp;path=pages/detail/index?instanceId=7622965346652950242&amp;source=bitable", "202603300101")</f>
        <v>202603300101</v>
      </c>
      <c r="B2234" t="inlineStr">
        <is>
          <t>Approved</t>
        </is>
      </c>
      <c r="C2234" t="inlineStr">
        <is>
          <t>Procurement Order</t>
        </is>
      </c>
      <c r="D2234" s="3">
        <v>46111.69361111111</v>
      </c>
      <c r="E2234" s="3">
        <v>46112.63800925926</v>
      </c>
      <c r="F2234" t="inlineStr">
        <is>
          <t>Fatima Kathleen M. FLores</t>
        </is>
      </c>
      <c r="G2234" t="inlineStr">
        <is>
          <t>Procurement</t>
        </is>
      </c>
      <c r="H2234"/>
      <c r="I2234"/>
      <c r="J2234" t="inlineStr">
        <is>
          <t>Project</t>
        </is>
      </c>
      <c r="K2234" t="inlineStr">
        <is>
          <t>PDEI - Event Service</t>
        </is>
      </c>
      <c r="L2234" t="inlineStr">
        <is>
          <t>MPL PH S17</t>
        </is>
      </c>
      <c r="M2234" t="inlineStr">
        <is>
          <t>2026TEG-P0009</t>
        </is>
      </c>
      <c r="N2234" t="inlineStr">
        <is>
          <t>Katherine Denise Lee Sy</t>
        </is>
      </c>
      <c r="O2234" t="inlineStr">
        <is>
          <t>202603060081-Katherine Denise Lee Sy-费用报销 - 副本 - 副本 - 副本-2026-03-06 08:55:24</t>
        </is>
      </c>
      <c r="P2234" t="inlineStr">
        <is>
          <t>YES</t>
        </is>
      </c>
      <c r="Q2234"/>
      <c r="R2234" t="inlineStr">
        <is>
          <t>NO</t>
        </is>
      </c>
      <c r="S2234" t="inlineStr">
        <is>
          <t>Outsourced Sponsor Logistics Coordinator</t>
        </is>
      </c>
      <c r="T2234">
        <v>1</v>
      </c>
      <c r="U2234">
        <v>48000</v>
      </c>
      <c r="V2234" t="inlineStr">
        <is>
          <t>PHP</t>
        </is>
      </c>
      <c r="W2234">
        <v>48000</v>
      </c>
      <c r="X2234" s="2" t="str">
        <f>=HYPERLINK("https://www.larksuite.com/approval/admin/previewAttachment?key=PMg9rsJADATgK43HY3v9LvMaooiInwZpQ7NnR6Kg_XIYcoR5NtTGhq1KsjNcmcEOUFxcVtUoqxhre-z_pzj9GDPe53F_3ta8XvbtZdFFolzyAcD-fu4lqTuFr-MTAAD__w", "2 attachment(s)")</f>
        <v>2 attachment(s)</v>
      </c>
      <c r="Y2234" t="inlineStr">
        <is>
          <t>Bank Transfer</t>
        </is>
      </c>
      <c r="Z2234" t="inlineStr">
        <is>
          <t>Jesusquino Lim</t>
        </is>
      </c>
      <c r="AA2234" t="inlineStr">
        <is>
          <t>1368-484-8383</t>
        </is>
      </c>
      <c r="AB2234" t="inlineStr">
        <is>
          <t>Seabank</t>
        </is>
      </c>
      <c r="AC2234" t="inlineStr">
        <is>
          <t>56 Sto. Niño St. Payatas Quezon City</t>
        </is>
      </c>
      <c r="AD2234" s="4">
        <v>46122</v>
      </c>
      <c r="AE2234" t="inlineStr">
        <is>
          <t>1st Payment - Apr. 10, 2026
2nd Payment - Apr. 24, 2026
3rd Payment - May 8, 2026
4th Payment - May 29, 2026
Final Payment - Jun. 19, 2026</t>
        </is>
      </c>
      <c r="AF2234" s="2"/>
      <c r="AG2234" t="inlineStr">
        <is>
          <t>NzQyNTk5MTgyNzQ4MTg3MDM0MTpENzM2MUI0Mi0zOTUzLTQ1QzctQjRCQS0xNUI3RDVDRDlBNkEtMTplNzllNzEwYjA2NjVhNzlhZWE0NTU4NTExM2I2NzM4ZDox</t>
        </is>
      </c>
      <c r="AH2234" t="inlineStr">
        <is>
          <t>Jesusquino Lim</t>
        </is>
      </c>
      <c r="AI2234"/>
      <c r="AJ2234" t="inlineStr">
        <is>
          <t>LIQUIDITY PLAN (PAR # 202602190021 / 2026TEG-P0009) - AS OF 031626
MANPOWER &gt; Logistics &gt;
Sponsor Logistics Manpower
BROADCAST &amp; TECHNICALS &gt; Hide From Client 1
PLAYOFFS SPECIFIC &gt; MANPOWER &gt;
Logistics &gt; Sponsor Logistics Manpower
Total Budget = Php 100,570.00
Actual Cost = Php 48,000.00
Balance = Php 52,570.00</t>
        </is>
      </c>
      <c r="AK2234"/>
    </row>
    <row r="2235" ht="25.5" customHeight="1">
      <c r="A2235" s="2" t="str">
        <f>=HYPERLINK("https://applink.larksuite.com/client/mini_program/open?appId=cli_9c7cc8a9a9edd105&amp;mode=appCenter&amp;path_pc=pc/pages/requested/index?instanceId=7622989583617199839&amp;source=bitable&amp;path=pages/detail/index?instanceId=7622989583617199839&amp;source=bitable", "202603300129")</f>
        <v>202603300129</v>
      </c>
      <c r="B2235" t="inlineStr">
        <is>
          <t>Approved</t>
        </is>
      </c>
      <c r="C2235" t="inlineStr">
        <is>
          <t>Procurement Order</t>
        </is>
      </c>
      <c r="D2235" s="3">
        <v>46111.75892361111</v>
      </c>
      <c r="E2235" s="3">
        <v>46112.639131944445</v>
      </c>
      <c r="F2235" t="inlineStr">
        <is>
          <t>Fatima Kathleen M. FLores</t>
        </is>
      </c>
      <c r="G2235" t="inlineStr">
        <is>
          <t>Procurement</t>
        </is>
      </c>
      <c r="H2235"/>
      <c r="I2235"/>
      <c r="J2235" t="inlineStr">
        <is>
          <t>Project</t>
        </is>
      </c>
      <c r="K2235" t="inlineStr">
        <is>
          <t>PDEI - Event Service</t>
        </is>
      </c>
      <c r="L2235" t="inlineStr">
        <is>
          <t>MPL PH S17</t>
        </is>
      </c>
      <c r="M2235" t="inlineStr">
        <is>
          <t>2026TEG-P0009</t>
        </is>
      </c>
      <c r="N2235" t="inlineStr">
        <is>
          <t>Katherine Denise Lee Sy</t>
        </is>
      </c>
      <c r="O2235" t="inlineStr">
        <is>
          <t>202603200010-Katherine Denise Lee Sy-费用报销 - 副本 - 副本 - 副本-2026-03-20 05:51:02</t>
        </is>
      </c>
      <c r="P2235" t="inlineStr">
        <is>
          <t>YES</t>
        </is>
      </c>
      <c r="Q2235"/>
      <c r="R2235" t="inlineStr">
        <is>
          <t>NO</t>
        </is>
      </c>
      <c r="S2235" t="inlineStr">
        <is>
          <t>Outsourced Content Statistician</t>
        </is>
      </c>
      <c r="T2235">
        <v>1</v>
      </c>
      <c r="U2235">
        <v>208800</v>
      </c>
      <c r="V2235" t="inlineStr">
        <is>
          <t>PHP</t>
        </is>
      </c>
      <c r="W2235">
        <v>208800</v>
      </c>
      <c r="X2235" s="2" t="str">
        <f>=HYPERLINK("https://www.larksuite.com/approval/admin/previewAttachment?key=PMg5igJhEAXgK9Wr_c1lJrFpbDcE4QeDOrtgYPplQ7IDlhQnlIKpVGUz2hIFso2jgypKoaJnu-__x3rH02-H8rou8Zh1Pu3bC8FSlTJ3axHB38-t3J1Ml6_LJwAA__8", "2 attachment(s)")</f>
        <v>2 attachment(s)</v>
      </c>
      <c r="Y2235" t="inlineStr">
        <is>
          <t>Bank Transfer</t>
        </is>
      </c>
      <c r="Z2235" t="inlineStr">
        <is>
          <t>John Paulo De Guzman</t>
        </is>
      </c>
      <c r="AA2235" t="inlineStr">
        <is>
          <t>109429269003</t>
        </is>
      </c>
      <c r="AB2235" t="inlineStr">
        <is>
          <t>Unionbank</t>
        </is>
      </c>
      <c r="AC2235" t="inlineStr">
        <is>
          <t>Blk 97 Lot 5 Katalinuhan Street, Karangalan Village, Brgy. San Isidro, Cainta</t>
        </is>
      </c>
      <c r="AD2235" s="4">
        <v>46122</v>
      </c>
      <c r="AE2235" t="inlineStr">
        <is>
          <t>1st Payment - Apr. 10, 2026
2nd Payment - Apr. 17, 2026
3rd Payment - May 15, 2026
4th Payment - May 22, 2026
5th Payment - Jun. 5, 2026
Final Payment - Jun. 19, 2026</t>
        </is>
      </c>
      <c r="AF2235" s="2"/>
      <c r="AG2235" t="inlineStr">
        <is>
          <t>NzQyNTk5MTgyNzQ4MTg3MDM0MTpBQUNBOUNDRS0xNkRFLTQzNEUtODJFQi0zOEI5NTVDMzBGNTItMToyN2MwZDUxMmRkZTdjZjNlMTZhZThkOGQ3NGQ5NTdkMzox</t>
        </is>
      </c>
      <c r="AH2235" t="inlineStr">
        <is>
          <t>John Paulo De Guzman</t>
        </is>
      </c>
      <c r="AI2235"/>
      <c r="AJ2235" t="inlineStr">
        <is>
          <t>LIQUIDITY PLAN (PAR # 202602190021 / 2026TEG-P0009) - AS OF 031626
MANPOWER &gt; Show &amp; Content  &gt;
Content Statician (Bok)
Total Budget = Php 208,800.00
Actual Cost = Php 208,800.00</t>
        </is>
      </c>
      <c r="AK2235"/>
    </row>
    <row r="2236" ht="25.5" customHeight="1">
      <c r="A2236" s="2" t="str">
        <f>=HYPERLINK("https://applink.larksuite.com/client/mini_program/open?appId=cli_9c7cc8a9a9edd105&amp;mode=appCenter&amp;path_pc=pc/pages/requested/index?instanceId=7622987490210664155&amp;source=bitable&amp;path=pages/detail/index?instanceId=7622987490210664155&amp;source=bitable", "202603300126")</f>
        <v>202603300126</v>
      </c>
      <c r="B2236" t="inlineStr">
        <is>
          <t>Approved</t>
        </is>
      </c>
      <c r="C2236" t="inlineStr">
        <is>
          <t>Procurement Order</t>
        </is>
      </c>
      <c r="D2236" s="3">
        <v>46111.753287037034</v>
      </c>
      <c r="E2236" s="3">
        <v>46112.640856481485</v>
      </c>
      <c r="F2236" t="inlineStr">
        <is>
          <t>Fatima Kathleen M. FLores</t>
        </is>
      </c>
      <c r="G2236" t="inlineStr">
        <is>
          <t>Procurement</t>
        </is>
      </c>
      <c r="H2236"/>
      <c r="I2236"/>
      <c r="J2236" t="inlineStr">
        <is>
          <t>Project</t>
        </is>
      </c>
      <c r="K2236" t="inlineStr">
        <is>
          <t>PDEI - Event Service</t>
        </is>
      </c>
      <c r="L2236" t="inlineStr">
        <is>
          <t>MPL PH S17</t>
        </is>
      </c>
      <c r="M2236" t="inlineStr">
        <is>
          <t>2026TEG-P0009</t>
        </is>
      </c>
      <c r="N2236" t="inlineStr">
        <is>
          <t>Katherine Denise Lee Sy</t>
        </is>
      </c>
      <c r="O2236" t="inlineStr">
        <is>
          <t>202603110113-Katherine Denise Lee Sy-费用报销 - 副本 - 副本 - 副本-2026-03-11 15:34:32</t>
        </is>
      </c>
      <c r="P2236" t="inlineStr">
        <is>
          <t>NO</t>
        </is>
      </c>
      <c r="Q2236"/>
      <c r="R2236" t="inlineStr">
        <is>
          <t>NO</t>
        </is>
      </c>
      <c r="S2236" t="inlineStr">
        <is>
          <t>Outsourced Safety &amp; Security Team (RS)</t>
        </is>
      </c>
      <c r="T2236">
        <v>1</v>
      </c>
      <c r="U2236">
        <v>589500</v>
      </c>
      <c r="V2236" t="inlineStr">
        <is>
          <t>PHP</t>
        </is>
      </c>
      <c r="W2236">
        <v>589500</v>
      </c>
      <c r="X2236" s="2" t="str">
        <f>=HYPERLINK("https://www.larksuite.com/approval/admin/previewAttachment?key=PMg9igJBEAXgK71X_7WX2aSbxmRAEAYM6uyCgekXRUQ5NRrWlAYnQ6QrrSFEhNF9ZJjZSKbX7Ov8u--rdL2Pw5_rnvuxzn7RO0WQaqYFgH8_1zSz7jB8HZ8AAAD__w", "2 attachment(s)")</f>
        <v>2 attachment(s)</v>
      </c>
      <c r="Y2236" t="inlineStr">
        <is>
          <t>Bank Transfer</t>
        </is>
      </c>
      <c r="Z2236" t="inlineStr">
        <is>
          <t>RED KNIGHTS CROWD MANAGEMENT SERVICES</t>
        </is>
      </c>
      <c r="AA2236" t="inlineStr">
        <is>
          <t>011808000541</t>
        </is>
      </c>
      <c r="AB2236" t="inlineStr">
        <is>
          <t>BDO</t>
        </is>
      </c>
      <c r="AC2236" t="inlineStr">
        <is>
          <t>154 L. NADURATA ST., 10TH AVENUE, GRACE PARK, 1400 CALOOCAN CITY</t>
        </is>
      </c>
      <c r="AD2236" s="4">
        <v>46122</v>
      </c>
      <c r="AE2236" t="inlineStr">
        <is>
          <t>50% Down Payment upon confirmation
30% 2nd Payment - May 8, 2026
20% Final Payment upon completion of services</t>
        </is>
      </c>
      <c r="AF2236" s="2"/>
      <c r="AG2236" t="inlineStr">
        <is>
          <t>NzQyNTk5MTgyNzQ4MTg3MDM0MToxNjdDOUMwRC1CQkJBLTQyMEYtOEY3QS05NEVENUQ0QzA1ODMtMTo4NDNiN2NiNGJkMzExZDdkOTIyM2Q5NGE5MWRiYzg2MTox</t>
        </is>
      </c>
      <c r="AH2236" t="inlineStr">
        <is>
          <t>RED KNIGHTS CROWD MANAGEMENT SERVICES</t>
        </is>
      </c>
      <c r="AI2236"/>
      <c r="AJ2236" t="inlineStr">
        <is>
          <t>LIQUIDITY PLAN (PAR # 202602190021 / 2026TEG-P0009) - AS OF 031626
MANPOWER &gt; Safety and Security  &gt;
Safety &amp; Security Bundle
Total Budget = Php 640,000.00
Actual Cost = Php 589,500.00
Balance = Php 50,500.00</t>
        </is>
      </c>
      <c r="AK2236"/>
    </row>
    <row r="2237" ht="25.5" customHeight="1">
      <c r="A2237" s="2" t="str">
        <f>=HYPERLINK("https://applink.larksuite.com/client/mini_program/open?appId=cli_9c7cc8a9a9edd105&amp;mode=appCenter&amp;path_pc=pc/pages/requested/index?instanceId=7622984121718935259&amp;source=bitable&amp;path=pages/detail/index?instanceId=7622984121718935259&amp;source=bitable", "202603300125")</f>
        <v>202603300125</v>
      </c>
      <c r="B2237" t="inlineStr">
        <is>
          <t>Approved</t>
        </is>
      </c>
      <c r="C2237" t="inlineStr">
        <is>
          <t>Procurement Order</t>
        </is>
      </c>
      <c r="D2237" s="3">
        <v>46111.74420138889</v>
      </c>
      <c r="E2237" s="3">
        <v>46112.641921296294</v>
      </c>
      <c r="F2237" t="inlineStr">
        <is>
          <t>Fatima Kathleen M. FLores</t>
        </is>
      </c>
      <c r="G2237" t="inlineStr">
        <is>
          <t>Procurement</t>
        </is>
      </c>
      <c r="H2237"/>
      <c r="I2237"/>
      <c r="J2237" t="inlineStr">
        <is>
          <t>Project</t>
        </is>
      </c>
      <c r="K2237" t="inlineStr">
        <is>
          <t>PDEI - Event Service</t>
        </is>
      </c>
      <c r="L2237" t="inlineStr">
        <is>
          <t>MPL PH S17</t>
        </is>
      </c>
      <c r="M2237" t="inlineStr">
        <is>
          <t>2026TEG-P0009</t>
        </is>
      </c>
      <c r="N2237" t="inlineStr">
        <is>
          <t>Katherine Denise Lee Sy</t>
        </is>
      </c>
      <c r="O2237" t="inlineStr">
        <is>
          <t>202603110092-Katherine Denise Lee Sy-费用报销 - 副本 - 副本 - 副本-2026-03-11 12:31:42</t>
        </is>
      </c>
      <c r="P2237" t="inlineStr">
        <is>
          <t>YES</t>
        </is>
      </c>
      <c r="Q2237"/>
      <c r="R2237" t="inlineStr">
        <is>
          <t>NO</t>
        </is>
      </c>
      <c r="S2237" t="inlineStr">
        <is>
          <t>Outsourced Fansiklaban Observer</t>
        </is>
      </c>
      <c r="T2237">
        <v>1</v>
      </c>
      <c r="U2237">
        <v>9450</v>
      </c>
      <c r="V2237" t="inlineStr">
        <is>
          <t>PHP</t>
        </is>
      </c>
      <c r="W2237">
        <v>9450</v>
      </c>
      <c r="X2237" s="2" t="str">
        <f>=HYPERLINK("https://www.larksuite.com/approval/admin/previewAttachment?key=PMhLCgJBDATQK6WSdFfKy7ixGWT8IAgDLnJ2wYXbNws2ayCmLAWXoTndVQkHUYrhQ-0NUkZwVK_Hdl7B5ffYXwf22_PTx_WyrTeG6G6MzCgzw-nvwcyUZtrP7RsAAP__", "2 attachment(s)")</f>
        <v>2 attachment(s)</v>
      </c>
      <c r="Y2237" t="inlineStr">
        <is>
          <t>Bank Transfer</t>
        </is>
      </c>
      <c r="Z2237" t="inlineStr">
        <is>
          <t>Shereen Lopez Hassan</t>
        </is>
      </c>
      <c r="AA2237" t="inlineStr">
        <is>
          <t>09761795900</t>
        </is>
      </c>
      <c r="AB2237" t="inlineStr">
        <is>
          <t>GCash</t>
        </is>
      </c>
      <c r="AC2237" t="inlineStr">
        <is>
          <t>Blk 8 Lt 14 Kabisig Floodway, Brgy. San Andres, Cainta, Rizal</t>
        </is>
      </c>
      <c r="AD2237" s="4">
        <v>46122</v>
      </c>
      <c r="AE2237" t="inlineStr">
        <is>
          <t>1st Payment - Apr. 10, 2026
2nd Payment - May 8, 2026
3rd Payment - May 29, 2026
Final Payment - Jun. 19, 2026</t>
        </is>
      </c>
      <c r="AF2237" s="2"/>
      <c r="AG2237" t="inlineStr">
        <is>
          <t>NzQyNTk5MTgyNzQ4MTg3MDM0MTpCQUFDQzMyMS02NDlELTQ5ODUtQjBGOS02REU2QjU2RDdEQ0EtMTo0OTdjNGMwZTEyZjlmYzc1N2ViNTMzNmYyNzE3MTM1Mjox</t>
        </is>
      </c>
      <c r="AH2237" t="inlineStr">
        <is>
          <t>Shereen Lopez Hassan</t>
        </is>
      </c>
      <c r="AI2237"/>
      <c r="AJ2237" t="inlineStr">
        <is>
          <t>LIQUIDITY PLAN (PAR # 202602190021 / 2026TEG-P0009) - AS OF 031626
MANPOWER &gt; On Ground  &gt;
OBS
Total Remaining Budget = Php 9,450.00
Actual Cost = Php 9,450.00</t>
        </is>
      </c>
      <c r="AK2237"/>
    </row>
    <row r="2238" ht="25.5" customHeight="1">
      <c r="A2238" s="2" t="str">
        <f>=HYPERLINK("https://applink.larksuite.com/client/mini_program/open?appId=cli_9c7cc8a9a9edd105&amp;mode=appCenter&amp;path_pc=pc/pages/requested/index?instanceId=7622983571661164258&amp;source=bitable&amp;path=pages/detail/index?instanceId=7622983571661164258&amp;source=bitable", "202603300123")</f>
        <v>202603300123</v>
      </c>
      <c r="B2238" t="inlineStr">
        <is>
          <t>Approved</t>
        </is>
      </c>
      <c r="C2238" t="inlineStr">
        <is>
          <t>Procurement Order</t>
        </is>
      </c>
      <c r="D2238" s="3">
        <v>46111.74271990741</v>
      </c>
      <c r="E2238" s="3">
        <v>46112.64236111111</v>
      </c>
      <c r="F2238" t="inlineStr">
        <is>
          <t>Fatima Kathleen M. FLores</t>
        </is>
      </c>
      <c r="G2238" t="inlineStr">
        <is>
          <t>Procurement</t>
        </is>
      </c>
      <c r="H2238"/>
      <c r="I2238"/>
      <c r="J2238" t="inlineStr">
        <is>
          <t>Project</t>
        </is>
      </c>
      <c r="K2238" t="inlineStr">
        <is>
          <t>PDEI - Event Service</t>
        </is>
      </c>
      <c r="L2238" t="inlineStr">
        <is>
          <t>MPL PH S17</t>
        </is>
      </c>
      <c r="M2238" t="inlineStr">
        <is>
          <t>2026TEG-P0009</t>
        </is>
      </c>
      <c r="N2238" t="inlineStr">
        <is>
          <t>Katherine Denise Lee Sy</t>
        </is>
      </c>
      <c r="O2238" t="inlineStr">
        <is>
          <t>202603110092-Katherine Denise Lee Sy-费用报销 - 副本 - 副本 - 副本-2026-03-11 12:31:42</t>
        </is>
      </c>
      <c r="P2238" t="inlineStr">
        <is>
          <t>YES</t>
        </is>
      </c>
      <c r="Q2238"/>
      <c r="R2238" t="inlineStr">
        <is>
          <t>NO</t>
        </is>
      </c>
      <c r="S2238" t="inlineStr">
        <is>
          <t>Outsourced Fansiklaban Observer</t>
        </is>
      </c>
      <c r="T2238">
        <v>1</v>
      </c>
      <c r="U2238">
        <v>29700</v>
      </c>
      <c r="V2238" t="inlineStr">
        <is>
          <t>PHP</t>
        </is>
      </c>
      <c r="W2238">
        <v>29700</v>
      </c>
      <c r="X2238" s="2" t="str">
        <f>=HYPERLINK("https://www.larksuite.com/approval/admin/previewAttachment?key=PMgxCsJgDAXgK72XP8lLvIxLSxGkk1hwyNkFB9cvi8gKrmx40xocpVnXCjGTTLeosaHUEBU1-3nc359rL1pskp96zvXYjv3FaJlBy30VAN7-vuTu3en4Ob4BAAD__w", "2 attachment(s)")</f>
        <v>2 attachment(s)</v>
      </c>
      <c r="Y2238" t="inlineStr">
        <is>
          <t>Bank Transfer</t>
        </is>
      </c>
      <c r="Z2238" t="inlineStr">
        <is>
          <t>Deanne Abigail Cunanan</t>
        </is>
      </c>
      <c r="AA2238" t="inlineStr">
        <is>
          <t>09223222272</t>
        </is>
      </c>
      <c r="AB2238" t="inlineStr">
        <is>
          <t>GCash</t>
        </is>
      </c>
      <c r="AC2238" t="inlineStr">
        <is>
          <t>Blk 8 Lt 14 Kabisig Floodway, Brgy. San Andres, Cainta, Rizal</t>
        </is>
      </c>
      <c r="AD2238" s="4">
        <v>46122</v>
      </c>
      <c r="AE2238" t="inlineStr">
        <is>
          <t>1st Payment - Apr. 10, 2026
2nd Payment - May 8, 2026
3rd Payment - May 29, 2026
Final Payment - Jun. 19, 2026</t>
        </is>
      </c>
      <c r="AF2238" s="2"/>
      <c r="AG2238" t="inlineStr">
        <is>
          <t>NzQyNTk5MTgyNzQ4MTg3MDM0MTo4ODBEMjRCNy1CNDI1LTQwQTUtQjQ5Qi1GRkI2RDlBODNCQjMtMTozNDM1NzNiM2NiODQ1Njk3MjgzNmJiZDhiZGJkN2E5Zjox</t>
        </is>
      </c>
      <c r="AH2238" t="inlineStr">
        <is>
          <t>Deanne Abigail Cunanan</t>
        </is>
      </c>
      <c r="AI2238"/>
      <c r="AJ2238" t="inlineStr">
        <is>
          <t>LIQUIDITY PLAN (PAR # 202602190021 / 2026TEG-P0009) - AS OF 031626
MANPOWER &gt; On Ground  &gt;
OBS
Total Budget = Php 39,150.00
Actual Cost = Php 29,700.00
Balance = Php 9,450.00</t>
        </is>
      </c>
      <c r="AK2238"/>
    </row>
    <row r="2239" ht="25.5" customHeight="1">
      <c r="A2239" s="2" t="str">
        <f>=HYPERLINK("https://applink.larksuite.com/client/mini_program/open?appId=cli_9c7cc8a9a9edd105&amp;mode=appCenter&amp;path_pc=pc/pages/requested/index?instanceId=7623285210932121311&amp;source=bitable&amp;path=pages/detail/index?instanceId=7623285210932121311&amp;source=bitable", "202603310037")</f>
        <v>202603310037</v>
      </c>
      <c r="B2239" t="inlineStr">
        <is>
          <t>Approved</t>
        </is>
      </c>
      <c r="C2239" t="inlineStr">
        <is>
          <t>Procurement Order</t>
        </is>
      </c>
      <c r="D2239" s="3">
        <v>46112.5555787037</v>
      </c>
      <c r="E2239" s="3">
        <v>46112.79162037037</v>
      </c>
      <c r="F2239" t="inlineStr">
        <is>
          <t>Fatima Kathleen M. FLores</t>
        </is>
      </c>
      <c r="G2239" t="inlineStr">
        <is>
          <t>Procurement</t>
        </is>
      </c>
      <c r="H2239"/>
      <c r="I2239"/>
      <c r="J2239" t="inlineStr">
        <is>
          <t>Project</t>
        </is>
      </c>
      <c r="K2239" t="inlineStr">
        <is>
          <t>GG - Event Service</t>
        </is>
      </c>
      <c r="L2239" t="inlineStr">
        <is>
          <t>Philippine Kings League Spring Season 2026 (PKL)</t>
        </is>
      </c>
      <c r="M2239" t="inlineStr">
        <is>
          <t>2026TEG-P0037</t>
        </is>
      </c>
      <c r="N2239" t="inlineStr">
        <is>
          <t>Juvie Anne Asis Castres</t>
        </is>
      </c>
      <c r="O2239" t="inlineStr">
        <is>
          <t>202603120093-Juvie Anne Asis Castres-费用报销 - 副本 - 副本 - 副本-2026-03-12 09:17:49</t>
        </is>
      </c>
      <c r="P2239" t="inlineStr">
        <is>
          <t>YES</t>
        </is>
      </c>
      <c r="Q2239"/>
      <c r="R2239" t="inlineStr">
        <is>
          <t>NO</t>
        </is>
      </c>
      <c r="S2239" t="inlineStr">
        <is>
          <t>Outsourced Broadcast Technical Assistant</t>
        </is>
      </c>
      <c r="T2239">
        <v>1</v>
      </c>
      <c r="U2239">
        <v>8250</v>
      </c>
      <c r="V2239" t="inlineStr">
        <is>
          <t>PHP</t>
        </is>
      </c>
      <c r="W2239">
        <v>8250</v>
      </c>
      <c r="X2239" s="2" t="str">
        <f>=HYPERLINK("https://www.larksuite.com/approval/admin/previewAttachment?key=PMg9CgJBDAXgK72XZPLjZWx2GGRlKkGxyNkFi20_T8JzUL1gRSmww0UlhxClQqGSLc2IQjBG9tzrfm5-F4_5PGt9pvX7caz54qgQQaiZJgDeLtcwsyo3_B2_AAAA__8", "2 attachment(s)")</f>
        <v>2 attachment(s)</v>
      </c>
      <c r="Y2239" t="inlineStr">
        <is>
          <t>Bank Transfer</t>
        </is>
      </c>
      <c r="Z2239" t="inlineStr">
        <is>
          <t>Patrick Adam Peralta</t>
        </is>
      </c>
      <c r="AA2239" t="inlineStr">
        <is>
          <t>109330391917</t>
        </is>
      </c>
      <c r="AB2239" t="inlineStr">
        <is>
          <t>Unionbank</t>
        </is>
      </c>
      <c r="AC2239" t="inlineStr">
        <is>
          <t>Blk 71 lot 20 Milflores St Rizal Makati City</t>
        </is>
      </c>
      <c r="AD2239" s="4">
        <v>46122</v>
      </c>
      <c r="AE2239" t="inlineStr">
        <is>
          <t>100% Full Payment - Apr. 10, 2026</t>
        </is>
      </c>
      <c r="AF2239" s="2"/>
      <c r="AG2239" t="inlineStr">
        <is>
          <t>NzQyNTk5MTgyNzQ4MTg3MDM0MTpGMzY4NTkyNC02NkM1LTRFQUEtOEQzOC04MTg4QkIyNDFFMTAtMTo3MGY2NzJhMDBmMTE0MDk5YjM4NzM0YjUxNzYwNjYwMjox</t>
        </is>
      </c>
      <c r="AH2239" t="inlineStr">
        <is>
          <t>Patrick Adam Peralta</t>
        </is>
      </c>
      <c r="AI2239"/>
      <c r="AJ2239" t="inlineStr">
        <is>
          <t>LIQUIDITY PLAN (PAR # 202602120015 / 2026TEG-P0037) - MAR 9 VERSION
PLAYOFFS &gt; LABOR COST &gt;
ADDITIONAL BROADCAST MANPOWER &gt;
Technical Assistant 1
Total Budget = Php 10,000.00
Actual Cost = Php 8,250.00
Balance = Php 1,750.00</t>
        </is>
      </c>
      <c r="AK2239"/>
    </row>
    <row r="2240" ht="25.5" customHeight="1">
      <c r="A2240" s="2" t="str">
        <f>=HYPERLINK("https://applink.larksuite.com/client/mini_program/open?appId=cli_9c7cc8a9a9edd105&amp;mode=appCenter&amp;path_pc=pc/pages/requested/index?instanceId=7623283625806712546&amp;source=bitable&amp;path=pages/detail/index?instanceId=7623283625806712546&amp;source=bitable", "202603310035")</f>
        <v>202603310035</v>
      </c>
      <c r="B2240" t="inlineStr">
        <is>
          <t>Approved</t>
        </is>
      </c>
      <c r="C2240" t="inlineStr">
        <is>
          <t>Procurement Order</t>
        </is>
      </c>
      <c r="D2240" s="3">
        <v>46112.55130787037</v>
      </c>
      <c r="E2240" s="3">
        <v>46112.79108796296</v>
      </c>
      <c r="F2240" t="inlineStr">
        <is>
          <t>Fatima Kathleen M. FLores</t>
        </is>
      </c>
      <c r="G2240" t="inlineStr">
        <is>
          <t>Procurement</t>
        </is>
      </c>
      <c r="H2240"/>
      <c r="I2240"/>
      <c r="J2240" t="inlineStr">
        <is>
          <t>Project</t>
        </is>
      </c>
      <c r="K2240" t="inlineStr">
        <is>
          <t>GG - Event Service</t>
        </is>
      </c>
      <c r="L2240" t="inlineStr">
        <is>
          <t>Philippine Kings League Spring Season 2026 (PKL)</t>
        </is>
      </c>
      <c r="M2240" t="inlineStr">
        <is>
          <t>2026TEG-P0037</t>
        </is>
      </c>
      <c r="N2240" t="inlineStr">
        <is>
          <t>Juvie Anne Asis Castres</t>
        </is>
      </c>
      <c r="O2240" t="inlineStr">
        <is>
          <t>202603120072-Juvie Anne Asis Castres-费用报销 - 副本 - 副本 - 副本-2026-03-12 08:12:25;202603120083-Juvie Anne Asis Castres-费用报销 - 副本 - 副本 - 副本-2026-03-12 08:31:48;202603120093-Juvie Anne Asis Castres-费用报销 - 副本 - 副本 - 副本-2026-03-12 09:17:49;202603120097-Juvie Anne Asis Castres-费用报销 - 副本 - 副本 - 副本-2026-03-12 09:22:20;202603120101-Juvie Anne Asis Castres-费用报销 - 副本 - 副本 - 副本-2026-03-12 09:28:51</t>
        </is>
      </c>
      <c r="P2240" t="inlineStr">
        <is>
          <t>YES</t>
        </is>
      </c>
      <c r="Q2240"/>
      <c r="R2240" t="inlineStr">
        <is>
          <t>NO</t>
        </is>
      </c>
      <c r="S2240" t="inlineStr">
        <is>
          <t>Outsourced Broadcast &amp; Logistics Manpower</t>
        </is>
      </c>
      <c r="T2240">
        <v>1</v>
      </c>
      <c r="U2240">
        <v>58000</v>
      </c>
      <c r="V2240" t="inlineStr">
        <is>
          <t>PHP</t>
        </is>
      </c>
      <c r="W2240">
        <v>58000</v>
      </c>
      <c r="X2240" s="2" t="str">
        <f>=HYPERLINK("https://www.larksuite.com/approval/admin/previewAttachment?key=PMg7qsJgEAXgLZ15npm7mdsk_PiIIAgBi1m7YGH7ZQmyQiwb3qINGaaalqVGISkanqMjZIPCqNkf6_9524739bgvMM615rxsa39JNFVBc7cCIH8_N7p7dzq-jk8AAAD__w", "5 attachment(s)")</f>
        <v>5 attachment(s)</v>
      </c>
      <c r="Y2240" t="inlineStr">
        <is>
          <t>Bank Transfer</t>
        </is>
      </c>
      <c r="Z2240" t="inlineStr">
        <is>
          <t>John Benigno R. Magat</t>
        </is>
      </c>
      <c r="AA2240" t="inlineStr">
        <is>
          <t>046110005388</t>
        </is>
      </c>
      <c r="AB2240" t="inlineStr">
        <is>
          <t>PSBank</t>
        </is>
      </c>
      <c r="AC2240" t="inlineStr">
        <is>
          <t>228 Grissom st. Brgy Moonwalk Paranaque Metro Manila</t>
        </is>
      </c>
      <c r="AD2240" s="4">
        <v>46122</v>
      </c>
      <c r="AE2240" t="inlineStr">
        <is>
          <t>78% 1st Payment - Apr. 10, 2026 
22% Final Payment - May 1, 2026</t>
        </is>
      </c>
      <c r="AF2240" s="2"/>
      <c r="AG2240" t="inlineStr">
        <is>
          <t>NzQyNTk5MTgyNzQ4MTg3MDM0MTo0ODA2M0M5OS1CNzM1LTRFOTEtOUUxNS1BQjFBRDcwREFGODYtMTo4MzkwMzkzZDgzNzM2MWYwZjY5ODNkZWQwN2M3NDY4YTox</t>
        </is>
      </c>
      <c r="AH2240" t="inlineStr">
        <is>
          <t>John Benigno R. Magat</t>
        </is>
      </c>
      <c r="AI2240"/>
      <c r="AJ2240" t="inlineStr">
        <is>
          <t>LIQUIDITY PLAN (PAR # 202602120015 / 2026TEG-P0037) - MAR 9 VERSION
PLAYOFFS &gt; LABOR COST &gt;
ADDITIONAL BROADCAST MANPOWER &gt;
Assistant Project Manager
Stage Hands
Technical Assistant 2
Registration Team
LOGISTICS &gt;
Ingress Manpower
Egress Manpower
Total Budget = Php 81,400.00
Actual Cost = Php 58,000.00
Balance = Php 23,400.00</t>
        </is>
      </c>
      <c r="AK2240"/>
    </row>
    <row r="2241" ht="25.5" customHeight="1">
      <c r="A2241" s="2" t="str">
        <f>=HYPERLINK("https://applink.larksuite.com/client/mini_program/open?appId=cli_9c7cc8a9a9edd105&amp;mode=appCenter&amp;path_pc=pc/pages/requested/index?instanceId=7623301316978167515&amp;source=bitable&amp;path=pages/detail/index?instanceId=7623301316978167515&amp;source=bitable", "202603310044")</f>
        <v>202603310044</v>
      </c>
      <c r="B2241" t="inlineStr">
        <is>
          <t>Approved</t>
        </is>
      </c>
      <c r="C2241" t="inlineStr">
        <is>
          <t>Procurement Order</t>
        </is>
      </c>
      <c r="D2241" s="3">
        <v>46112.59898148148</v>
      </c>
      <c r="E2241" s="3">
        <v>46112.6315625</v>
      </c>
      <c r="F2241" t="inlineStr">
        <is>
          <t>Fatima Kathleen M. FLores</t>
        </is>
      </c>
      <c r="G2241" t="inlineStr">
        <is>
          <t>Procurement</t>
        </is>
      </c>
      <c r="H2241"/>
      <c r="I2241"/>
      <c r="J2241" t="inlineStr">
        <is>
          <t>Project</t>
        </is>
      </c>
      <c r="K2241" t="inlineStr">
        <is>
          <t>PDEI - Game Marketing</t>
        </is>
      </c>
      <c r="L2241" t="inlineStr">
        <is>
          <t>SportsPlus MPBL Roadtrip Watchparty 2026</t>
        </is>
      </c>
      <c r="M2241" t="inlineStr">
        <is>
          <t>2026TEG-P0028</t>
        </is>
      </c>
      <c r="N2241" t="inlineStr">
        <is>
          <t>Kervin</t>
        </is>
      </c>
      <c r="O2241" t="inlineStr">
        <is>
          <t>202603260032-Kervin-费用报销 - 副本 - 副本 - 副本-2026-03-26 04:24:40;202603260033-Kervin-费用报销 - 副本 - 副本 - 副本-2026-03-26 04:25:34</t>
        </is>
      </c>
      <c r="P2241" t="inlineStr">
        <is>
          <t>NO</t>
        </is>
      </c>
      <c r="Q2241"/>
      <c r="R2241" t="inlineStr">
        <is>
          <t>NO</t>
        </is>
      </c>
      <c r="S2241" t="inlineStr">
        <is>
          <t>Basketball Arcade Machine</t>
        </is>
      </c>
      <c r="T2241">
        <v>1</v>
      </c>
      <c r="U2241">
        <v>40000</v>
      </c>
      <c r="V2241" t="inlineStr">
        <is>
          <t>PHP</t>
        </is>
      </c>
      <c r="W2241">
        <v>40000</v>
      </c>
      <c r="X2241" s="2"/>
      <c r="Y2241" t="inlineStr">
        <is>
          <t>Bank Transfer</t>
        </is>
      </c>
      <c r="Z2241" t="inlineStr">
        <is>
          <t>Quantum Trade</t>
        </is>
      </c>
      <c r="AA2241" t="inlineStr">
        <is>
          <t>2606195705</t>
        </is>
      </c>
      <c r="AB2241" t="inlineStr">
        <is>
          <t>Landbank</t>
        </is>
      </c>
      <c r="AC2241" t="inlineStr">
        <is>
          <t>15 Ruby Street, Diamond Village Subdivision, Lagundi, Mexico, Pampanga</t>
        </is>
      </c>
      <c r="AD2241" s="4">
        <v>46113</v>
      </c>
      <c r="AE2241" t="inlineStr">
        <is>
          <t>50% Down payment upon confirmation
50% Balance upon delivery</t>
        </is>
      </c>
      <c r="AF2241" s="2" t="str">
        <f>=HYPERLINK("https://www.larksuite.com/approval/admin/previewAttachment?key=TMg9CgIxEAXgK72X-fcyNobgolZCxGLOLlht-3kSnkbxghZHgR0-REChVyQ9jNajGVEIhmXP17oe-2trPo-pYuvx6X2_rfmmpzi0TJUFgJeTk6gUl7_jFwAA__8", "1 attachment(s)")</f>
        <v>1 attachment(s)</v>
      </c>
      <c r="AG2241" t="inlineStr">
        <is>
          <t>NzQyNTk5MTgyNzQ4MTg3MDM0MTo1QjNBMTI1Ri1GRjZBLTQwMzQtOEI4MC0xODEyMzlGMjkwQjItMTphZWQ1ZjM2MmNmODExZGVlMDM5OWQxOWY4MjI0NmMwZDox</t>
        </is>
      </c>
      <c r="AH2241" t="inlineStr">
        <is>
          <t>Quantum Trade</t>
        </is>
      </c>
      <c r="AI2241"/>
      <c r="AJ2241" t="inlineStr">
        <is>
          <t>LIQUIDITY PLAN (PAR # 202603240070 / 2026TEG-P0028)
PRE-PURCHASED ITEMS &gt;
Portable Basketball Hoop
Arcade Basketball
Total Budget = Php 105,000.00
Actual Cost = Php 61,800.00
Balance = Php 43,200.00</t>
        </is>
      </c>
      <c r="AK2241"/>
    </row>
    <row r="2242" ht="25.5" customHeight="1">
      <c r="A2242" s="2" t="str">
        <f>=HYPERLINK("https://applink.larksuite.com/client/mini_program/open?appId=cli_9c7cc8a9a9edd105&amp;mode=appCenter&amp;path_pc=pc/pages/requested/index?instanceId=7623301316978167515&amp;source=bitable&amp;path=pages/detail/index?instanceId=7623301316978167515&amp;source=bitable", "202603310044")</f>
        <v>202603310044</v>
      </c>
      <c r="B2242" t="inlineStr">
        <is>
          <t>Approved</t>
        </is>
      </c>
      <c r="C2242" t="inlineStr">
        <is>
          <t>Procurement Order</t>
        </is>
      </c>
      <c r="D2242" s="3">
        <v>46112.59898148148</v>
      </c>
      <c r="E2242" s="3">
        <v>46112.6315625</v>
      </c>
      <c r="F2242" t="inlineStr">
        <is>
          <t>Fatima Kathleen M. FLores</t>
        </is>
      </c>
      <c r="G2242" t="inlineStr">
        <is>
          <t>Procurement</t>
        </is>
      </c>
      <c r="H2242"/>
      <c r="I2242"/>
      <c r="J2242" t="inlineStr">
        <is>
          <t>Project</t>
        </is>
      </c>
      <c r="K2242" t="inlineStr">
        <is>
          <t>PDEI - Game Marketing</t>
        </is>
      </c>
      <c r="L2242" t="inlineStr">
        <is>
          <t>SportsPlus MPBL Roadtrip Watchparty 2026</t>
        </is>
      </c>
      <c r="M2242" t="inlineStr">
        <is>
          <t>2026TEG-P0028</t>
        </is>
      </c>
      <c r="N2242" t="inlineStr">
        <is>
          <t>Kervin</t>
        </is>
      </c>
      <c r="O2242" t="inlineStr">
        <is>
          <t>202603260032-Kervin-费用报销 - 副本 - 副本 - 副本-2026-03-26 04:24:40;202603260033-Kervin-费用报销 - 副本 - 副本 - 副本-2026-03-26 04:25:34</t>
        </is>
      </c>
      <c r="P2242" t="inlineStr">
        <is>
          <t>NO</t>
        </is>
      </c>
      <c r="Q2242"/>
      <c r="R2242" t="inlineStr">
        <is>
          <t>NO</t>
        </is>
      </c>
      <c r="S2242" t="inlineStr">
        <is>
          <t>Portable Basketball Hoop (10 Ft)</t>
        </is>
      </c>
      <c r="T2242">
        <v>2</v>
      </c>
      <c r="U2242">
        <v>10300</v>
      </c>
      <c r="V2242" t="inlineStr">
        <is>
          <t>PHP</t>
        </is>
      </c>
      <c r="W2242">
        <v>20600</v>
      </c>
      <c r="X2242" s="2"/>
      <c r="Y2242"/>
      <c r="Z2242"/>
      <c r="AA2242"/>
      <c r="AB2242"/>
      <c r="AC2242"/>
      <c r="AD2242" s="4"/>
      <c r="AE2242"/>
      <c r="AF2242" s="2"/>
      <c r="AG2242" t="inlineStr">
        <is>
          <t>NzQyNTk5MTgyNzQ4MTg3MDM0MTo1QjNBMTI1Ri1GRjZBLTQwMzQtOEI4MC0xODEyMzlGMjkwQjItMjphZGYwZWYzMGUxMDNhZGVlZTU0MTY0MjQ2ZjVmMWI2Nzox</t>
        </is>
      </c>
      <c r="AH2242"/>
      <c r="AI2242"/>
      <c r="AJ2242" t="inlineStr">
        <is>
          <t>LIQUIDITY PLAN (PAR # 202603240070 / 2026TEG-P0028)
PRE-PURCHASED ITEMS &gt;
Portable Basketball Hoop
Arcade Basketball
Total Budget = Php 105,000.00
Actual Cost = Php 61,800.00
Balance = Php 43,200.00</t>
        </is>
      </c>
      <c r="AK2242"/>
    </row>
    <row r="2243" ht="25.5" customHeight="1">
      <c r="A2243" s="2" t="str">
        <f>=HYPERLINK("https://applink.larksuite.com/client/mini_program/open?appId=cli_9c7cc8a9a9edd105&amp;mode=appCenter&amp;path_pc=pc/pages/requested/index?instanceId=7623301316978167515&amp;source=bitable&amp;path=pages/detail/index?instanceId=7623301316978167515&amp;source=bitable", "202603310044")</f>
        <v>202603310044</v>
      </c>
      <c r="B2243" t="inlineStr">
        <is>
          <t>Approved</t>
        </is>
      </c>
      <c r="C2243" t="inlineStr">
        <is>
          <t>Procurement Order</t>
        </is>
      </c>
      <c r="D2243" s="3">
        <v>46112.59898148148</v>
      </c>
      <c r="E2243" s="3">
        <v>46112.6315625</v>
      </c>
      <c r="F2243" t="inlineStr">
        <is>
          <t>Fatima Kathleen M. FLores</t>
        </is>
      </c>
      <c r="G2243" t="inlineStr">
        <is>
          <t>Procurement</t>
        </is>
      </c>
      <c r="H2243"/>
      <c r="I2243"/>
      <c r="J2243" t="inlineStr">
        <is>
          <t>Project</t>
        </is>
      </c>
      <c r="K2243" t="inlineStr">
        <is>
          <t>PDEI - Game Marketing</t>
        </is>
      </c>
      <c r="L2243" t="inlineStr">
        <is>
          <t>SportsPlus MPBL Roadtrip Watchparty 2026</t>
        </is>
      </c>
      <c r="M2243" t="inlineStr">
        <is>
          <t>2026TEG-P0028</t>
        </is>
      </c>
      <c r="N2243" t="inlineStr">
        <is>
          <t>Kervin</t>
        </is>
      </c>
      <c r="O2243" t="inlineStr">
        <is>
          <t>202603260032-Kervin-费用报销 - 副本 - 副本 - 副本-2026-03-26 04:24:40;202603260033-Kervin-费用报销 - 副本 - 副本 - 副本-2026-03-26 04:25:34</t>
        </is>
      </c>
      <c r="P2243" t="inlineStr">
        <is>
          <t>NO</t>
        </is>
      </c>
      <c r="Q2243"/>
      <c r="R2243" t="inlineStr">
        <is>
          <t>NO</t>
        </is>
      </c>
      <c r="S2243" t="inlineStr">
        <is>
          <t>Delivery Fee</t>
        </is>
      </c>
      <c r="T2243">
        <v>1</v>
      </c>
      <c r="U2243">
        <v>1200</v>
      </c>
      <c r="V2243" t="inlineStr">
        <is>
          <t>PHP</t>
        </is>
      </c>
      <c r="W2243">
        <v>1200</v>
      </c>
      <c r="X2243" s="2" t="str">
        <f>=HYPERLINK("https://www.larksuite.com/approval/admin/previewAttachment?key=PMg9qkIxFATgLc2cv8l5m3mNIXhRK-GKRdYuWNh-NYgaSa9GNK3BrTJ30FmtwVIyt21KDVE59nys_-N855r3Y4bnur32eb2s-WS2zCCP8AGAfz93RUR3Bb5unwAAAP__", "3 attachment(s)")</f>
        <v>3 attachment(s)</v>
      </c>
      <c r="Y2243"/>
      <c r="Z2243"/>
      <c r="AA2243"/>
      <c r="AB2243"/>
      <c r="AC2243"/>
      <c r="AD2243" s="4"/>
      <c r="AE2243"/>
      <c r="AF2243" s="2"/>
      <c r="AG2243" t="inlineStr">
        <is>
          <t>NzQyNTk5MTgyNzQ4MTg3MDM0MTo1QjNBMTI1Ri1GRjZBLTQwMzQtOEI4MC0xODEyMzlGMjkwQjItMzplNDczY2ViNDA2MmZkYTliOTQyNjY4MDYyNWQxMGNjMjox</t>
        </is>
      </c>
      <c r="AH2243"/>
      <c r="AI2243"/>
      <c r="AJ2243" t="inlineStr">
        <is>
          <t>LIQUIDITY PLAN (PAR # 202603240070 / 2026TEG-P0028)
PRE-PURCHASED ITEMS &gt;
Portable Basketball Hoop
Arcade Basketball
Total Budget = Php 105,000.00
Actual Cost = Php 61,800.00
Balance = Php 43,200.00</t>
        </is>
      </c>
      <c r="AK2243"/>
    </row>
    <row r="2244" ht="25.5" customHeight="1">
      <c r="A2244" s="2" t="str">
        <f>=HYPERLINK("https://applink.larksuite.com/client/mini_program/open?appId=cli_9c7cc8a9a9edd105&amp;mode=appCenter&amp;path_pc=pc/pages/requested/index?instanceId=7623314220716707554&amp;source=bitable&amp;path=pages/detail/index?instanceId=7623314220716707554&amp;source=bitable", "202603310064")</f>
        <v>202603310064</v>
      </c>
      <c r="B2244" t="inlineStr">
        <is>
          <t>Approved</t>
        </is>
      </c>
      <c r="C2244" t="inlineStr">
        <is>
          <t>Procurement Order</t>
        </is>
      </c>
      <c r="D2244" s="3">
        <v>46112.63375</v>
      </c>
      <c r="E2244" s="3">
        <v>46113.88847222222</v>
      </c>
      <c r="F2244" t="inlineStr">
        <is>
          <t>Fatima Kathleen M. FLores</t>
        </is>
      </c>
      <c r="G2244" t="inlineStr">
        <is>
          <t>Procurement</t>
        </is>
      </c>
      <c r="H2244"/>
      <c r="I2244"/>
      <c r="J2244" t="inlineStr">
        <is>
          <t>Project</t>
        </is>
      </c>
      <c r="K2244" t="inlineStr">
        <is>
          <t>GG - Event Service</t>
        </is>
      </c>
      <c r="L2244" t="inlineStr">
        <is>
          <t>Philippine Kings League Spring Season 2026 (PKL)</t>
        </is>
      </c>
      <c r="M2244" t="inlineStr">
        <is>
          <t>2026TEG-P0037</t>
        </is>
      </c>
      <c r="N2244" t="inlineStr">
        <is>
          <t>Juvie Anne Asis Castres</t>
        </is>
      </c>
      <c r="O2244" t="inlineStr">
        <is>
          <t>202603120087-Juvie Anne Asis Castres-费用报销 - 副本 - 副本 - 副本-2026-03-12 08:46:29</t>
        </is>
      </c>
      <c r="P2244" t="inlineStr">
        <is>
          <t>YES</t>
        </is>
      </c>
      <c r="Q2244"/>
      <c r="R2244" t="inlineStr">
        <is>
          <t>NO</t>
        </is>
      </c>
      <c r="S2244" t="inlineStr">
        <is>
          <t>Outsourced Vision Mixer/Camera Director</t>
        </is>
      </c>
      <c r="T2244">
        <v>1</v>
      </c>
      <c r="U2244">
        <v>2000</v>
      </c>
      <c r="V2244" t="inlineStr">
        <is>
          <t>PHP</t>
        </is>
      </c>
      <c r="W2244">
        <v>2000</v>
      </c>
      <c r="X2244" s="2" t="str">
        <f>=HYPERLINK("https://www.larksuite.com/approval/admin/previewAttachment?key=PMs7CgJBEATQK1VNf2ray5i4DCqzkWDWZxcNTB-8nETOoGXBi6PAVg4z-hgQU1CE92hKBVEx-zjXNeI4H1tbz6i1rd_32zpejNL3mbtNALz83eTuVen4OT4BAAD__w", "2 attachment(s)")</f>
        <v>2 attachment(s)</v>
      </c>
      <c r="Y2244" t="inlineStr">
        <is>
          <t>Bank Transfer</t>
        </is>
      </c>
      <c r="Z2244" t="inlineStr">
        <is>
          <t>Emir Ryan Concepcion</t>
        </is>
      </c>
      <c r="AA2244" t="inlineStr">
        <is>
          <t>3179710829</t>
        </is>
      </c>
      <c r="AB2244" t="inlineStr">
        <is>
          <t>BPI</t>
        </is>
      </c>
      <c r="AC2244" t="inlineStr">
        <is>
          <t>116 J.Molina Corner Blue Bird Street, Strip 70 Village, Concepcion Uno, Marikina City</t>
        </is>
      </c>
      <c r="AD2244" s="4">
        <v>46122</v>
      </c>
      <c r="AE2244" t="inlineStr">
        <is>
          <t>100% Full Payment - Apr. 10, 2026</t>
        </is>
      </c>
      <c r="AF2244" s="2"/>
      <c r="AG2244" t="inlineStr">
        <is>
          <t>NzQyNTk5MTgyNzQ4MTg3MDM0MTo2MDU2NzY4Ni0wNzc2LTQ4NEEtOUQzMS02NUY0N0E3QzJGNzItMTplM2E0YzZlMDQyZTljZmUzMGY0YTYzODdjODYwZTA3ZDox</t>
        </is>
      </c>
      <c r="AH2244" t="inlineStr">
        <is>
          <t>Emir Ryan Concepcion</t>
        </is>
      </c>
      <c r="AI2244"/>
      <c r="AJ2244" t="inlineStr">
        <is>
          <t>LIQUIDITY PLAN (PAR # 202602120015 / 2026TEG-P0037) - MAR 9 VERSION
PLAYOFFS &gt; LABOR COST &gt;
ADDITIONAL BROADCAST MANPOWER &gt;
Vision Mixer/Camera Director
Total Remaining Budget = Php 6,500.00
Actual Cost = Php 2,000.00
Balance = Php 4,500.00</t>
        </is>
      </c>
      <c r="AK2244"/>
    </row>
    <row r="2245" ht="25.5" customHeight="1">
      <c r="A2245" s="2" t="str">
        <f>=HYPERLINK("https://applink.larksuite.com/client/mini_program/open?appId=cli_9c7cc8a9a9edd105&amp;mode=appCenter&amp;path_pc=pc/pages/requested/index?instanceId=7623314933765213920&amp;source=bitable&amp;path=pages/detail/index?instanceId=7623314933765213920&amp;source=bitable", "202603310065")</f>
        <v>202603310065</v>
      </c>
      <c r="B2245" t="inlineStr">
        <is>
          <t>Approved</t>
        </is>
      </c>
      <c r="C2245" t="inlineStr">
        <is>
          <t>Procurement Order</t>
        </is>
      </c>
      <c r="D2245" s="3">
        <v>46112.63568287037</v>
      </c>
      <c r="E2245" s="3">
        <v>46113.887662037036</v>
      </c>
      <c r="F2245" t="inlineStr">
        <is>
          <t>Fatima Kathleen M. FLores</t>
        </is>
      </c>
      <c r="G2245" t="inlineStr">
        <is>
          <t>Procurement</t>
        </is>
      </c>
      <c r="H2245"/>
      <c r="I2245"/>
      <c r="J2245" t="inlineStr">
        <is>
          <t>Project</t>
        </is>
      </c>
      <c r="K2245" t="inlineStr">
        <is>
          <t>GG - Event Service</t>
        </is>
      </c>
      <c r="L2245" t="inlineStr">
        <is>
          <t>Philippine Kings League Spring Season 2026 (PKL)</t>
        </is>
      </c>
      <c r="M2245" t="inlineStr">
        <is>
          <t>2026TEG-P0037</t>
        </is>
      </c>
      <c r="N2245" t="inlineStr">
        <is>
          <t>Juvie Anne Asis Castres</t>
        </is>
      </c>
      <c r="O2245" t="inlineStr">
        <is>
          <t>202603120087-Juvie Anne Asis Castres-费用报销 - 副本 - 副本 - 副本-2026-03-12 08:46:29</t>
        </is>
      </c>
      <c r="P2245" t="inlineStr">
        <is>
          <t>YES</t>
        </is>
      </c>
      <c r="Q2245"/>
      <c r="R2245" t="inlineStr">
        <is>
          <t>NO</t>
        </is>
      </c>
      <c r="S2245" t="inlineStr">
        <is>
          <t>Outsourced Vision Mixer/Camera Director</t>
        </is>
      </c>
      <c r="T2245">
        <v>1</v>
      </c>
      <c r="U2245">
        <v>2000</v>
      </c>
      <c r="V2245" t="inlineStr">
        <is>
          <t>PHP</t>
        </is>
      </c>
      <c r="W2245">
        <v>2000</v>
      </c>
      <c r="X2245" s="2" t="str">
        <f>=HYPERLINK("https://www.larksuite.com/approval/admin/previewAttachment?key=PMhBCsJADAXQK_3kZ_InXsZNyyCIIAhtNzm74MLty2nIOYxZiDIvWCudtChSOdxYjvY2qSDTmL2_1v0MP843135d2vDs47Gt_WOj5A4xghOA3f5ORURVBn6ObwAAAP__", "2 attachment(s)")</f>
        <v>2 attachment(s)</v>
      </c>
      <c r="Y2245" t="inlineStr">
        <is>
          <t>Bank Transfer</t>
        </is>
      </c>
      <c r="Z2245" t="inlineStr">
        <is>
          <t>John Benigno R. Magat</t>
        </is>
      </c>
      <c r="AA2245" t="inlineStr">
        <is>
          <t>046110005388</t>
        </is>
      </c>
      <c r="AB2245" t="inlineStr">
        <is>
          <t>PSBank</t>
        </is>
      </c>
      <c r="AC2245" t="inlineStr">
        <is>
          <t>228 Grissom st. Brgy Moonwalk Paranaque Metro Manila</t>
        </is>
      </c>
      <c r="AD2245" s="4">
        <v>46122</v>
      </c>
      <c r="AE2245" t="inlineStr">
        <is>
          <t>100% Full Payment - Apr. 10, 2026</t>
        </is>
      </c>
      <c r="AF2245" s="2"/>
      <c r="AG2245" t="inlineStr">
        <is>
          <t>NzQyNTk5MTgyNzQ4MTg3MDM0MTpDMzgxRjYwMC0zMjBFLTQwNDYtOUUzOS0yNzBBN0UxMzM1NDctMTo1NGE3ODg0ZmRhOTIyMjNlOWY0NjYzMDEwNDAzMTJjZTox</t>
        </is>
      </c>
      <c r="AH2245" t="inlineStr">
        <is>
          <t>John Benigno R. Magat</t>
        </is>
      </c>
      <c r="AI2245"/>
      <c r="AJ2245" t="inlineStr">
        <is>
          <t>LIQUIDITY PLAN (PAR # 202602120015 / 2026TEG-P0037) - MAR 9 VERSION
PLAYOFFS &gt; LABOR COST &gt;
ADDITIONAL BROADCAST MANPOWER &gt;
Vision Mixer/Camera Director
Total Remaining Budget = Php 4,500.00
Actual Cost = Php 2,000.00
Balance = Php 2,500.00</t>
        </is>
      </c>
      <c r="AK2245"/>
    </row>
    <row r="2246" ht="25.5" customHeight="1">
      <c r="A2246" s="2" t="str">
        <f>=HYPERLINK("https://applink.larksuite.com/client/mini_program/open?appId=cli_9c7cc8a9a9edd105&amp;mode=appCenter&amp;path_pc=pc/pages/requested/index?instanceId=7623316994305068768&amp;source=bitable&amp;path=pages/detail/index?instanceId=7623316994305068768&amp;source=bitable", "202603310066")</f>
        <v>202603310066</v>
      </c>
      <c r="B2246" t="inlineStr">
        <is>
          <t>Approved</t>
        </is>
      </c>
      <c r="C2246" t="inlineStr">
        <is>
          <t>Procurement Order</t>
        </is>
      </c>
      <c r="D2246" s="3">
        <v>46112.641226851854</v>
      </c>
      <c r="E2246" s="3">
        <v>46113.88675925926</v>
      </c>
      <c r="F2246" t="inlineStr">
        <is>
          <t>Fatima Kathleen M. FLores</t>
        </is>
      </c>
      <c r="G2246" t="inlineStr">
        <is>
          <t>Procurement</t>
        </is>
      </c>
      <c r="H2246"/>
      <c r="I2246"/>
      <c r="J2246" t="inlineStr">
        <is>
          <t>Project</t>
        </is>
      </c>
      <c r="K2246" t="inlineStr">
        <is>
          <t>GG - Event Service</t>
        </is>
      </c>
      <c r="L2246" t="inlineStr">
        <is>
          <t>Philippine Kings League Spring Season 2026 (PKL)</t>
        </is>
      </c>
      <c r="M2246" t="inlineStr">
        <is>
          <t>2026TEG-P0037</t>
        </is>
      </c>
      <c r="N2246" t="inlineStr">
        <is>
          <t>Juvie Anne Asis Castres</t>
        </is>
      </c>
      <c r="O2246" t="inlineStr">
        <is>
          <t>202603120096-Juvie Anne Asis Castres-费用报销 - 副本 - 副本 - 副本-2026-03-12 09:21:12</t>
        </is>
      </c>
      <c r="P2246" t="inlineStr">
        <is>
          <t>YES</t>
        </is>
      </c>
      <c r="Q2246"/>
      <c r="R2246" t="inlineStr">
        <is>
          <t>NO</t>
        </is>
      </c>
      <c r="S2246" t="inlineStr">
        <is>
          <t>Outsourced IT Support</t>
        </is>
      </c>
      <c r="T2246">
        <v>1</v>
      </c>
      <c r="U2246">
        <v>8250</v>
      </c>
      <c r="V2246" t="inlineStr">
        <is>
          <t>PHP</t>
        </is>
      </c>
      <c r="W2246">
        <v>8250</v>
      </c>
      <c r="X2246" s="2" t="str">
        <f>=HYPERLINK("https://www.larksuite.com/approval/admin/previewAttachment?key=PMg7CgJBEATQK1VNf6rby5i4LKJMJIobzNkFg01fFpEVtGx4czS4lMOM2e2GQJay1liUGqKi1jb362PyiOec5d_Q8V6f-23fXozWGJC5WwHg5XSTu3en4-_4BQAA__8", "2 attachment(s)")</f>
        <v>2 attachment(s)</v>
      </c>
      <c r="Y2246" t="inlineStr">
        <is>
          <t>Bank Transfer</t>
        </is>
      </c>
      <c r="Z2246" t="inlineStr">
        <is>
          <t>Jose Andrew A. Mazaredo</t>
        </is>
      </c>
      <c r="AA2246" t="inlineStr">
        <is>
          <t>09166309613</t>
        </is>
      </c>
      <c r="AB2246" t="inlineStr">
        <is>
          <t>GCash</t>
        </is>
      </c>
      <c r="AC2246" t="inlineStr">
        <is>
          <t>20 P. Ladia St. Project 4, Quezon City</t>
        </is>
      </c>
      <c r="AD2246" s="4">
        <v>46122</v>
      </c>
      <c r="AE2246" t="inlineStr">
        <is>
          <t>100% Full Payment - Apr. 10, 2026</t>
        </is>
      </c>
      <c r="AF2246" s="2"/>
      <c r="AG2246" t="inlineStr">
        <is>
          <t>NzQyNTk5MTgyNzQ4MTg3MDM0MTo2N0Q3QjlGRi1CN0FELTQ4QTEtQTE4MC03MjE4RkNEMDlCOUEtMTo4Yzk0NmI3YzI4OGJhMDBhZjA2MGE3MTdiODEwNTJiMDox</t>
        </is>
      </c>
      <c r="AH2246" t="inlineStr">
        <is>
          <t>Jose Andrew A. Mazaredo</t>
        </is>
      </c>
      <c r="AI2246"/>
      <c r="AJ2246" t="inlineStr">
        <is>
          <t>LIQUIDITY PLAN (PAR # 202602120015 / 2026TEG-P0037) - MAR 9 VERSION
PLAYOFFS &gt; LABOR COST &gt;
ADDITIONAL BROADCAST MANPOWER &gt;
IT Support
Total Budget = Php 8,250.00
Actual Cost = Php 8,250.00</t>
        </is>
      </c>
      <c r="AK2246"/>
    </row>
    <row r="2247" ht="25.5" customHeight="1">
      <c r="A2247" s="2" t="str">
        <f>=HYPERLINK("https://applink.larksuite.com/client/mini_program/open?appId=cli_9c7cc8a9a9edd105&amp;mode=appCenter&amp;path_pc=pc/pages/requested/index?instanceId=7623319415538405088&amp;source=bitable&amp;path=pages/detail/index?instanceId=7623319415538405088&amp;source=bitable", "202603310070")</f>
        <v>202603310070</v>
      </c>
      <c r="B2247" t="inlineStr">
        <is>
          <t>Approved</t>
        </is>
      </c>
      <c r="C2247" t="inlineStr">
        <is>
          <t>Procurement Order</t>
        </is>
      </c>
      <c r="D2247" s="3">
        <v>46112.64775462963</v>
      </c>
      <c r="E2247" s="3">
        <v>46113.88520833333</v>
      </c>
      <c r="F2247" t="inlineStr">
        <is>
          <t>Fatima Kathleen M. FLores</t>
        </is>
      </c>
      <c r="G2247" t="inlineStr">
        <is>
          <t>Procurement</t>
        </is>
      </c>
      <c r="H2247"/>
      <c r="I2247"/>
      <c r="J2247" t="inlineStr">
        <is>
          <t>Project</t>
        </is>
      </c>
      <c r="K2247" t="inlineStr">
        <is>
          <t>GG - Event Service</t>
        </is>
      </c>
      <c r="L2247" t="inlineStr">
        <is>
          <t>Philippine Kings League Spring Season 2026 (PKL)</t>
        </is>
      </c>
      <c r="M2247" t="inlineStr">
        <is>
          <t>2026TEG-P0037</t>
        </is>
      </c>
      <c r="N2247" t="inlineStr">
        <is>
          <t>Juvie Anne Asis Castres</t>
        </is>
      </c>
      <c r="O2247" t="inlineStr">
        <is>
          <t>202603120099-Juvie Anne Asis Castres-费用报销 - 副本 - 副本 - 副本-2026-03-12 09:24:17</t>
        </is>
      </c>
      <c r="P2247" t="inlineStr">
        <is>
          <t>YES</t>
        </is>
      </c>
      <c r="Q2247"/>
      <c r="R2247" t="inlineStr">
        <is>
          <t>NO</t>
        </is>
      </c>
      <c r="S2247" t="inlineStr">
        <is>
          <t>Outsourced Ushers / Logistics Associate</t>
        </is>
      </c>
      <c r="T2247">
        <v>1</v>
      </c>
      <c r="U2247">
        <v>8700</v>
      </c>
      <c r="V2247" t="inlineStr">
        <is>
          <t>PHP</t>
        </is>
      </c>
      <c r="W2247">
        <v>8700</v>
      </c>
      <c r="X2247" s="2" t="str">
        <f>=HYPERLINK("https://www.larksuite.com/approval/admin/previewAttachment?key=PMg7CgJhDATgK83k8SfxMjYuQRBFEHbZImcXLGy_lcRKp66CFaXAiSWqLKO7psGROTKMKATDc7ZnX8_9lPeBej366D5nv996-9ArRBBqpgmAl79rmFnVMvwc3wAAAP__", "2 attachment(s)")</f>
        <v>2 attachment(s)</v>
      </c>
      <c r="Y2247" t="inlineStr">
        <is>
          <t>Bank Transfer</t>
        </is>
      </c>
      <c r="Z2247" t="inlineStr">
        <is>
          <t>Sam Ylagan</t>
        </is>
      </c>
      <c r="AA2247" t="inlineStr">
        <is>
          <t>:09661700244</t>
        </is>
      </c>
      <c r="AB2247" t="inlineStr">
        <is>
          <t>GCash</t>
        </is>
      </c>
      <c r="AC2247" t="inlineStr">
        <is>
          <t>3848 F. Nazario St. Barangay Singkamas Makati City</t>
        </is>
      </c>
      <c r="AD2247" s="4">
        <v>46122</v>
      </c>
      <c r="AE2247" t="inlineStr">
        <is>
          <t>100% Full Payment - Apr. 10, 2026</t>
        </is>
      </c>
      <c r="AF2247" s="2"/>
      <c r="AG2247" t="inlineStr">
        <is>
          <t>NzQyNTk5MTgyNzQ4MTg3MDM0MTpFNjIzM0I0NC1BQ0Y5LTRCQzEtQTY4QS00Q0YwN0IxMzEwNDktMTo5YzZkMjAwMzY5YmM4YTZjNzU0YmRjNjU0MDJiYmJjNjox</t>
        </is>
      </c>
      <c r="AH2247" t="inlineStr">
        <is>
          <t>Sam Ylagan</t>
        </is>
      </c>
      <c r="AI2247"/>
      <c r="AJ2247" t="inlineStr">
        <is>
          <t>LIQUIDITY PLAN (PAR # 202602120015 / 2026TEG-P0037) - MAR 9 VERSION
PLAYOFFS &gt; LABOR COST &gt;
ADDITIONAL BROADCAST MANPOWER &gt; Ushers
LOGISTICS &gt; Ingress Manpower 
Total Budget = Php 15,600.00
Actual Cost = Php 8,700.00
Balance = Php 6,900.00</t>
        </is>
      </c>
      <c r="AK2247"/>
    </row>
    <row r="2248" ht="25.5" customHeight="1">
      <c r="A2248" s="2" t="str">
        <f>=HYPERLINK("https://applink.larksuite.com/client/mini_program/open?appId=cli_9c7cc8a9a9edd105&amp;mode=appCenter&amp;path_pc=pc/pages/requested/index?instanceId=7623307104509497061&amp;source=bitable&amp;path=pages/detail/index?instanceId=7623307104509497061&amp;source=bitable", "202603310049")</f>
        <v>202603310049</v>
      </c>
      <c r="B2248" t="inlineStr">
        <is>
          <t>Approved</t>
        </is>
      </c>
      <c r="C2248" t="inlineStr">
        <is>
          <t>Procurement Order</t>
        </is>
      </c>
      <c r="D2248" s="3">
        <v>46112.614583333336</v>
      </c>
      <c r="E2248" s="3">
        <v>46112.79222222222</v>
      </c>
      <c r="F2248" t="inlineStr">
        <is>
          <t>Fatima Kathleen M. FLores</t>
        </is>
      </c>
      <c r="G2248" t="inlineStr">
        <is>
          <t>Procurement</t>
        </is>
      </c>
      <c r="H2248"/>
      <c r="I2248"/>
      <c r="J2248" t="inlineStr">
        <is>
          <t>Project</t>
        </is>
      </c>
      <c r="K2248" t="inlineStr">
        <is>
          <t>GG - Event Service</t>
        </is>
      </c>
      <c r="L2248" t="inlineStr">
        <is>
          <t>Philippine Kings League Spring Season 2026 (PKL)</t>
        </is>
      </c>
      <c r="M2248" t="inlineStr">
        <is>
          <t>2026TEG-P0037</t>
        </is>
      </c>
      <c r="N2248" t="inlineStr">
        <is>
          <t>Juvie Anne Asis Castres</t>
        </is>
      </c>
      <c r="O2248" t="inlineStr">
        <is>
          <t>202603120077-Juvie Anne Asis Castres-费用报销 - 副本 - 副本 - 副本-2026-03-12 08:24:20</t>
        </is>
      </c>
      <c r="P2248" t="inlineStr">
        <is>
          <t>YES</t>
        </is>
      </c>
      <c r="Q2248"/>
      <c r="R2248" t="inlineStr">
        <is>
          <t>NO</t>
        </is>
      </c>
      <c r="S2248" t="inlineStr">
        <is>
          <t>Outsourced Lighting Operator/Director</t>
        </is>
      </c>
      <c r="T2248">
        <v>1</v>
      </c>
      <c r="U2248">
        <v>10000</v>
      </c>
      <c r="V2248" t="inlineStr">
        <is>
          <t>PHP</t>
        </is>
      </c>
      <c r="W2248">
        <v>10000</v>
      </c>
      <c r="X2248" s="2" t="str">
        <f>=HYPERLINK("https://www.larksuite.com/approval/admin/previewAttachment?key=PMgxCsJAFATQK83sn_2z38vYJARNFARRsNizCxa2LweRozOyoGIrcDpbBEyoo1RGcrZJu2C6j7net_Pychyfcdv2qx77Md-XZVuf7OXW4JBiAODp72FJVSn8HN8AAAD__w", "2 attachment(s)")</f>
        <v>2 attachment(s)</v>
      </c>
      <c r="Y2248" t="inlineStr">
        <is>
          <t>Bank Transfer</t>
        </is>
      </c>
      <c r="Z2248" t="inlineStr">
        <is>
          <t>Mark Anthony Flor</t>
        </is>
      </c>
      <c r="AA2248" t="inlineStr">
        <is>
          <t>09199712271</t>
        </is>
      </c>
      <c r="AB2248" t="inlineStr">
        <is>
          <t>GCash</t>
        </is>
      </c>
      <c r="AC2248" t="inlineStr">
        <is>
          <t>Blk179 Lot44 St. Cecilia Street, Deca Homes Loma de Gato, Marilao, Bulacan</t>
        </is>
      </c>
      <c r="AD2248" s="4">
        <v>46122</v>
      </c>
      <c r="AE2248" t="inlineStr">
        <is>
          <t>100% Full Payment - Apr. 10, 2026</t>
        </is>
      </c>
      <c r="AF2248" s="2"/>
      <c r="AG2248" t="inlineStr">
        <is>
          <t>NzQyNTk5MTgyNzQ4MTg3MDM0MTozMzkyNDdCOS0wNzc5LTQ1MDEtQTI0Ni1EMUEzREJGNDhEQ0ItMTo0MDhhOGFjMDZjMTQ0YTZlMDVkZjI1YjAyYzM0M2I0NDox</t>
        </is>
      </c>
      <c r="AH2248" t="inlineStr">
        <is>
          <t>Mark Anthony Flor</t>
        </is>
      </c>
      <c r="AI2248"/>
      <c r="AJ2248" t="inlineStr">
        <is>
          <t>LIQUIDITY PLAN (PAR # 202602120015 / 2026TEG-P0037) - MAR 9 VERSION
PLAYOFFS &gt; LABOR COST &gt;
ADDITIONAL BROADCAST MANPOWER &gt;
Lighting Operator/Director
Total Budget = Php 30,000.00
Actual Cost = Php 10,000.00
Balance = Php 20,000.00</t>
        </is>
      </c>
      <c r="AK2248"/>
    </row>
    <row r="2249" ht="25.5" customHeight="1">
      <c r="A2249" s="2" t="str">
        <f>=HYPERLINK("https://applink.larksuite.com/client/mini_program/open?appId=cli_9c7cc8a9a9edd105&amp;mode=appCenter&amp;path_pc=pc/pages/requested/index?instanceId=7623305769240284895&amp;source=bitable&amp;path=pages/detail/index?instanceId=7623305769240284895&amp;source=bitable", "202603310048")</f>
        <v>202603310048</v>
      </c>
      <c r="B2249" t="inlineStr">
        <is>
          <t>Approved</t>
        </is>
      </c>
      <c r="C2249" t="inlineStr">
        <is>
          <t>Procurement Order</t>
        </is>
      </c>
      <c r="D2249" s="3">
        <v>46112.610983796294</v>
      </c>
      <c r="E2249" s="3">
        <v>46112.792858796296</v>
      </c>
      <c r="F2249" t="inlineStr">
        <is>
          <t>Fatima Kathleen M. FLores</t>
        </is>
      </c>
      <c r="G2249" t="inlineStr">
        <is>
          <t>Procurement</t>
        </is>
      </c>
      <c r="H2249"/>
      <c r="I2249"/>
      <c r="J2249" t="inlineStr">
        <is>
          <t>Project</t>
        </is>
      </c>
      <c r="K2249" t="inlineStr">
        <is>
          <t>GG - Event Service</t>
        </is>
      </c>
      <c r="L2249" t="inlineStr">
        <is>
          <t>Philippine Kings League Spring Season 2026 (PKL)</t>
        </is>
      </c>
      <c r="M2249" t="inlineStr">
        <is>
          <t>2026TEG-P0037</t>
        </is>
      </c>
      <c r="N2249" t="inlineStr">
        <is>
          <t>Juvie Anne Asis Castres</t>
        </is>
      </c>
      <c r="O2249" t="inlineStr">
        <is>
          <t>202603120075-Juvie Anne Asis Castres-费用报销 - 副本 - 副本 - 副本-2026-03-12 08:15:53</t>
        </is>
      </c>
      <c r="P2249" t="inlineStr">
        <is>
          <t>YES</t>
        </is>
      </c>
      <c r="Q2249"/>
      <c r="R2249" t="inlineStr">
        <is>
          <t>NO</t>
        </is>
      </c>
      <c r="S2249" t="inlineStr">
        <is>
          <t>Outsourced Content Producer/Scriptwriter</t>
        </is>
      </c>
      <c r="T2249">
        <v>1</v>
      </c>
      <c r="U2249">
        <v>13340</v>
      </c>
      <c r="V2249" t="inlineStr">
        <is>
          <t>PHP</t>
        </is>
      </c>
      <c r="W2249">
        <v>13340</v>
      </c>
      <c r="X2249" s="2" t="str">
        <f>=HYPERLINK("https://www.larksuite.com/approval/admin/previewAttachment?key=PMg9CgJBDAXgK738vsTL2OwyKDKVqFXOLljYflmCrBDLhrdoQ4apZghmq0PLq2N0hGxQGDXnXlfKjvvxktpb9-cx79uxzqdEUxU0dysAcvm70d270_FzfAMAAP__", "2 attachment(s)")</f>
        <v>2 attachment(s)</v>
      </c>
      <c r="Y2249" t="inlineStr">
        <is>
          <t>Bank Transfer</t>
        </is>
      </c>
      <c r="Z2249" t="inlineStr">
        <is>
          <t>Khrizen A. Angeles</t>
        </is>
      </c>
      <c r="AA2249" t="inlineStr">
        <is>
          <t>109356750810</t>
        </is>
      </c>
      <c r="AB2249" t="inlineStr">
        <is>
          <t>Union Bank of the Philippines</t>
        </is>
      </c>
      <c r="AC2249" t="inlineStr">
        <is>
          <t>9G, Tower 1, Toyota Avenue, corner Marquinton Drive, Barangay Sto. Niño, Marikina</t>
        </is>
      </c>
      <c r="AD2249" s="4">
        <v>46122</v>
      </c>
      <c r="AE2249" t="inlineStr">
        <is>
          <t>100% Full Payment - Apr. 10, 2026</t>
        </is>
      </c>
      <c r="AF2249" s="2"/>
      <c r="AG2249" t="inlineStr">
        <is>
          <t>NzQyNTk5MTgyNzQ4MTg3MDM0MToyNkZGMzVBMS1FRjdELTRCMjgtOEEzMy1BOTgzRkZFQTNFMzYtMTphNzcyMTRlMTVjZjhhZGJmOTE3MTI4OWZmZTY3OWUyYjox</t>
        </is>
      </c>
      <c r="AH2249" t="inlineStr">
        <is>
          <t>Khrizen A. Angeles</t>
        </is>
      </c>
      <c r="AI2249"/>
      <c r="AJ2249" t="inlineStr">
        <is>
          <t>LIQUIDITY PLAN (PAR # 202602120015 / 2026TEG-P0037) - MAR 9 VERSION
PLAYOFFS &gt; LABOR COST &gt;
ADDITIONAL BROADCAST MANPOWER &gt;
Content Producer/Scriptwriter (PO Trailer)
Total Budget = Php 13,340.00
Actual Cost = Php 13,340.00</t>
        </is>
      </c>
      <c r="AK2249"/>
    </row>
    <row r="2250" ht="25.5" customHeight="1">
      <c r="A2250" s="2" t="str">
        <f>=HYPERLINK("https://applink.larksuite.com/client/mini_program/open?appId=cli_9c7cc8a9a9edd105&amp;mode=appCenter&amp;path_pc=pc/pages/requested/index?instanceId=7623313355865411295&amp;source=bitable&amp;path=pages/detail/index?instanceId=7623313355865411295&amp;source=bitable", "202603310063")</f>
        <v>202603310063</v>
      </c>
      <c r="B2250" t="inlineStr">
        <is>
          <t>Approved</t>
        </is>
      </c>
      <c r="C2250" t="inlineStr">
        <is>
          <t>Procurement Order</t>
        </is>
      </c>
      <c r="D2250" s="3">
        <v>46112.631423611114</v>
      </c>
      <c r="E2250" s="3">
        <v>46120.49650462963</v>
      </c>
      <c r="F2250" t="inlineStr">
        <is>
          <t>Fatima Kathleen M. FLores</t>
        </is>
      </c>
      <c r="G2250" t="inlineStr">
        <is>
          <t>Procurement</t>
        </is>
      </c>
      <c r="H2250"/>
      <c r="I2250"/>
      <c r="J2250" t="inlineStr">
        <is>
          <t>Project</t>
        </is>
      </c>
      <c r="K2250" t="inlineStr">
        <is>
          <t>GG - Event Service</t>
        </is>
      </c>
      <c r="L2250" t="inlineStr">
        <is>
          <t>Philippine Kings League Spring Season 2026 (PKL)</t>
        </is>
      </c>
      <c r="M2250" t="inlineStr">
        <is>
          <t>2026TEG-P0037</t>
        </is>
      </c>
      <c r="N2250" t="inlineStr">
        <is>
          <t>Juvie Anne Asis Castres</t>
        </is>
      </c>
      <c r="O2250" t="inlineStr">
        <is>
          <t>202603120087-Juvie Anne Asis Castres-费用报销 - 副本 - 副本 - 副本-2026-03-12 08:46:29</t>
        </is>
      </c>
      <c r="P2250" t="inlineStr">
        <is>
          <t>YES</t>
        </is>
      </c>
      <c r="Q2250"/>
      <c r="R2250" t="inlineStr">
        <is>
          <t>NO</t>
        </is>
      </c>
      <c r="S2250" t="inlineStr">
        <is>
          <t>Outsourced Vision Mixer/Camera Director</t>
        </is>
      </c>
      <c r="T2250">
        <v>1</v>
      </c>
      <c r="U2250">
        <v>6000</v>
      </c>
      <c r="V2250" t="inlineStr">
        <is>
          <t>PHP</t>
        </is>
      </c>
      <c r="W2250">
        <v>6000</v>
      </c>
      <c r="X2250" s="2" t="str">
        <f>=HYPERLINK("https://www.larksuite.com/approval/admin/previewAttachment?key=PMgrDgJBEATQK1X1v7kMhs2GEasIE0yfnQSBfVFElFOjYU1pcDJElaruFW6ktI8MMxvJ9JrjOu8mutcbn2PnuhZnPx_n8aJ3iiDVTAsAb3_XNLPuMPwc3wAAAP__", "3 attachment(s)")</f>
        <v>3 attachment(s)</v>
      </c>
      <c r="Y2250" t="inlineStr">
        <is>
          <t>Bank Transfer</t>
        </is>
      </c>
      <c r="Z2250" t="inlineStr">
        <is>
          <t>JOHN MARK PABELICO</t>
        </is>
      </c>
      <c r="AA2250" t="inlineStr">
        <is>
          <t>019809678942</t>
        </is>
      </c>
      <c r="AB2250" t="inlineStr">
        <is>
          <t>GoTyme Bank</t>
        </is>
      </c>
      <c r="AC2250" t="inlineStr">
        <is>
          <t>3195A Tindalo Street, UPS2, Brgy. San Martin de Porres, Parañaque City</t>
        </is>
      </c>
      <c r="AD2250" s="4">
        <v>46122</v>
      </c>
      <c r="AE2250" t="inlineStr">
        <is>
          <t>100% Full Payment - Apr. 10, 2026</t>
        </is>
      </c>
      <c r="AF2250" s="2"/>
      <c r="AG2250" t="inlineStr">
        <is>
          <t>NzQyNTk5MTgyNzQ4MTg3MDM0MTozNUVGNEE5RS05QkYzLTRERUQtQTY0Ri1DQjNENUMyRDM1MDktMTo0MDExM2I2N2NlMjk2Y2M2YTk3NjJiZTRhOTM0MTNlODox</t>
        </is>
      </c>
      <c r="AH2250" t="inlineStr">
        <is>
          <t>JOHN MARK PABELICO</t>
        </is>
      </c>
      <c r="AI2250"/>
      <c r="AJ2250" t="inlineStr">
        <is>
          <t>LIQUIDITY PLAN (PAR # 202602120015 / 2026TEG-P0037) - MAR 9 VERSION
PLAYOFFS &gt; LABOR COST &gt;
ADDITIONAL BROADCAST MANPOWER &gt;
Vision Mixer/Camera Director
Total Budget = Php 12,500.00
Actual Cost = Php 6,000.00
Balance = Php 6,500.00</t>
        </is>
      </c>
      <c r="AK2250"/>
    </row>
    <row r="2251" ht="25.5" customHeight="1">
      <c r="A2251" s="2" t="str">
        <f>=HYPERLINK("https://applink.larksuite.com/client/mini_program/open?appId=cli_9c7cc8a9a9edd105&amp;mode=appCenter&amp;path_pc=pc/pages/requested/index?instanceId=7623312462124748511&amp;source=bitable&amp;path=pages/detail/index?instanceId=7623312462124748511&amp;source=bitable", "202603310060")</f>
        <v>202603310060</v>
      </c>
      <c r="B2251" t="inlineStr">
        <is>
          <t>Approved</t>
        </is>
      </c>
      <c r="C2251" t="inlineStr">
        <is>
          <t>Procurement Order</t>
        </is>
      </c>
      <c r="D2251" s="3">
        <v>46112.629016203704</v>
      </c>
      <c r="E2251" s="3">
        <v>46112.793958333335</v>
      </c>
      <c r="F2251" t="inlineStr">
        <is>
          <t>Fatima Kathleen M. FLores</t>
        </is>
      </c>
      <c r="G2251" t="inlineStr">
        <is>
          <t>Procurement</t>
        </is>
      </c>
      <c r="H2251"/>
      <c r="I2251"/>
      <c r="J2251" t="inlineStr">
        <is>
          <t>Project</t>
        </is>
      </c>
      <c r="K2251" t="inlineStr">
        <is>
          <t>GG - Event Service</t>
        </is>
      </c>
      <c r="L2251" t="inlineStr">
        <is>
          <t>Philippine Kings League Spring Season 2026 (PKL)</t>
        </is>
      </c>
      <c r="M2251" t="inlineStr">
        <is>
          <t>2026TEG-P0037</t>
        </is>
      </c>
      <c r="N2251" t="inlineStr">
        <is>
          <t>Juvie Anne Asis Castres</t>
        </is>
      </c>
      <c r="O2251" t="inlineStr">
        <is>
          <t>202603120082-Juvie Anne Asis Castres-费用报销 - 副本 - 副本 - 副本-2026-03-12 08:30:48</t>
        </is>
      </c>
      <c r="P2251" t="inlineStr">
        <is>
          <t>YES</t>
        </is>
      </c>
      <c r="Q2251"/>
      <c r="R2251" t="inlineStr">
        <is>
          <t>NO</t>
        </is>
      </c>
      <c r="S2251" t="inlineStr">
        <is>
          <t>Outsourced Stream Moderator (Additional)</t>
        </is>
      </c>
      <c r="T2251">
        <v>1</v>
      </c>
      <c r="U2251">
        <v>4050</v>
      </c>
      <c r="V2251" t="inlineStr">
        <is>
          <t>PHP</t>
        </is>
      </c>
      <c r="W2251">
        <v>4050</v>
      </c>
      <c r="X2251" s="2" t="str">
        <f>=HYPERLINK("https://www.larksuite.com/approval/admin/previewAttachment?key=PMg7CgJBEATQK1V11_THy5g4LCLsJqJiMGcXDDZ9UUTUoEdDTWtwZZg7TWE0pWqQyxYzG8kctea-XR87v6OOl1H1mcd632_bfHJ0miFd8gLAy-mekrpD-Dt-AQAA__8", "2 attachment(s)")</f>
        <v>2 attachment(s)</v>
      </c>
      <c r="Y2251" t="inlineStr">
        <is>
          <t>Bank Transfer</t>
        </is>
      </c>
      <c r="Z2251" t="inlineStr">
        <is>
          <t>Kyle Gloria Jimenez</t>
        </is>
      </c>
      <c r="AA2251" t="inlineStr">
        <is>
          <t>0189 7753 9546</t>
        </is>
      </c>
      <c r="AB2251" t="inlineStr">
        <is>
          <t>GoTyme Bank</t>
        </is>
      </c>
      <c r="AC2251" t="inlineStr">
        <is>
          <t>905-E Timog St, Brgy. Barangka Drive, Mandaluyong City</t>
        </is>
      </c>
      <c r="AD2251" s="4">
        <v>46122</v>
      </c>
      <c r="AE2251" t="inlineStr">
        <is>
          <t>100% Full Payment - Apr. 10, 2026</t>
        </is>
      </c>
      <c r="AF2251" s="2"/>
      <c r="AG2251" t="inlineStr">
        <is>
          <t>NzQyNTk5MTgyNzQ4MTg3MDM0MTo1ODFEM0M1RS0yN0VDLTRBN0EtODYxQy1CNEQ1Q0YxMjc3RUEtMTo4OTJjNDk3NjIzZjQwMzlkN2U1MGM4YjdlZGEyN2U5OTox</t>
        </is>
      </c>
      <c r="AH2251" t="inlineStr">
        <is>
          <t>Kyle Gloria Jimenez</t>
        </is>
      </c>
      <c r="AI2251"/>
      <c r="AJ2251" t="inlineStr">
        <is>
          <t>LIQUIDITY PLAN (PAR # 202602120015 / 2026TEG-P0037) - MAR 9 VERSION
PLAYOFFS &gt; LABOR COST &gt;
ADDITIONAL BROADCAST MANPOWER &gt;
Addtl Stream Moderator
Total Budget = Php 4,050.00
Actual Cost = Php 4,050.00</t>
        </is>
      </c>
      <c r="AK2251"/>
    </row>
    <row r="2252" ht="25.5" customHeight="1">
      <c r="A2252" s="2" t="str">
        <f>=HYPERLINK("https://applink.larksuite.com/client/mini_program/open?appId=cli_9c7cc8a9a9edd105&amp;mode=appCenter&amp;path_pc=pc/pages/requested/index?instanceId=7623310183078366940&amp;source=bitable&amp;path=pages/detail/index?instanceId=7623310183078366940&amp;source=bitable", "202603310054")</f>
        <v>202603310054</v>
      </c>
      <c r="B2252" t="inlineStr">
        <is>
          <t>Approved</t>
        </is>
      </c>
      <c r="C2252" t="inlineStr">
        <is>
          <t>Procurement Order</t>
        </is>
      </c>
      <c r="D2252" s="3">
        <v>46112.62287037037</v>
      </c>
      <c r="E2252" s="3">
        <v>46112.79450231481</v>
      </c>
      <c r="F2252" t="inlineStr">
        <is>
          <t>Fatima Kathleen M. FLores</t>
        </is>
      </c>
      <c r="G2252" t="inlineStr">
        <is>
          <t>Procurement</t>
        </is>
      </c>
      <c r="H2252"/>
      <c r="I2252"/>
      <c r="J2252" t="inlineStr">
        <is>
          <t>Project</t>
        </is>
      </c>
      <c r="K2252" t="inlineStr">
        <is>
          <t>GG - Event Service</t>
        </is>
      </c>
      <c r="L2252" t="inlineStr">
        <is>
          <t>Philippine Kings League Spring Season 2026 (PKL)</t>
        </is>
      </c>
      <c r="M2252" t="inlineStr">
        <is>
          <t>2026TEG-P0037</t>
        </is>
      </c>
      <c r="N2252" t="inlineStr">
        <is>
          <t>Juvie Anne Asis Castres</t>
        </is>
      </c>
      <c r="O2252" t="inlineStr">
        <is>
          <t>202603120080-Juvie Anne Asis Castres-费用报销 - 副本 - 副本 - 副本-2026-03-12 08:28:44</t>
        </is>
      </c>
      <c r="P2252" t="inlineStr">
        <is>
          <t>YES</t>
        </is>
      </c>
      <c r="Q2252"/>
      <c r="R2252" t="inlineStr">
        <is>
          <t>NO</t>
        </is>
      </c>
      <c r="S2252" t="inlineStr">
        <is>
          <t>Outsourced EN CG Operator</t>
        </is>
      </c>
      <c r="T2252">
        <v>1</v>
      </c>
      <c r="U2252">
        <v>6600</v>
      </c>
      <c r="V2252" t="inlineStr">
        <is>
          <t>PHP</t>
        </is>
      </c>
      <c r="W2252">
        <v>6600</v>
      </c>
      <c r="X2252" s="2" t="str">
        <f>=HYPERLINK("https://www.larksuite.com/approval/admin/previewAttachment?key=PMg7CoJBDATgK81sspnEy9gYFsFHIwoWe3bB4m-_SCJy0qLgxVHgVgwzgmlQWkQ59tiUCqJm7n6sc5v69ly4d9Pe3_25Xla_OEtjQOZuCYCnw03uXhWOv-MXAAD__w", "2 attachment(s)")</f>
        <v>2 attachment(s)</v>
      </c>
      <c r="Y2252" t="inlineStr">
        <is>
          <t>Bank Transfer</t>
        </is>
      </c>
      <c r="Z2252" t="inlineStr">
        <is>
          <t>Franz Nicole Valles</t>
        </is>
      </c>
      <c r="AA2252" t="inlineStr">
        <is>
          <t>0000007591306254</t>
        </is>
      </c>
      <c r="AB2252" t="inlineStr">
        <is>
          <t>RCBC</t>
        </is>
      </c>
      <c r="AC2252" t="inlineStr">
        <is>
          <t>B9 LS St. Raymond Homes, Calendola, San Pedro, Laguna</t>
        </is>
      </c>
      <c r="AD2252" s="4">
        <v>46122</v>
      </c>
      <c r="AE2252" t="inlineStr">
        <is>
          <t>100% Full Payment - Apr. 10, 2026</t>
        </is>
      </c>
      <c r="AF2252" s="2"/>
      <c r="AG2252" t="inlineStr">
        <is>
          <t>NzQyNTk5MTgyNzQ4MTg3MDM0MTo4N0RGN0RFQy1CQkFDLTQzMzMtOUEzQS1BMUREQkVDMzJGMTgtMTpiZDY4MTM4ZGVlZmRiZjE3ZTRkOTIwNjM0YmQ1ZjY4Nzox</t>
        </is>
      </c>
      <c r="AH2252" t="inlineStr">
        <is>
          <t>Franz Nicole Valles</t>
        </is>
      </c>
      <c r="AI2252"/>
      <c r="AJ2252" t="inlineStr">
        <is>
          <t>LIQUIDITY PLAN (PAR # 202602120015 / 2026TEG-P0037) - MAR 9 VERSION
PLAYOFFS &gt; LABOR COST &gt;
ADDITIONAL BROADCAST MANPOWER &gt;
EN CG Operator
Total Budget = Php 7,200.00
Actual Cost = Php 6,600.00
Balance = Php 600.00</t>
        </is>
      </c>
      <c r="AK2252"/>
    </row>
    <row r="2253" ht="25.5" customHeight="1">
      <c r="A2253" s="2" t="str">
        <f>=HYPERLINK("https://applink.larksuite.com/client/mini_program/open?appId=cli_9c7cc8a9a9edd105&amp;mode=appCenter&amp;path_pc=pc/pages/requested/index?instanceId=7623307846414798560&amp;source=bitable&amp;path=pages/detail/index?instanceId=7623307846414798560&amp;source=bitable", "202603310050")</f>
        <v>202603310050</v>
      </c>
      <c r="B2253" t="inlineStr">
        <is>
          <t>Approved</t>
        </is>
      </c>
      <c r="C2253" t="inlineStr">
        <is>
          <t>Procurement Order</t>
        </is>
      </c>
      <c r="D2253" s="3">
        <v>46112.616574074076</v>
      </c>
      <c r="E2253" s="3">
        <v>46112.79510416667</v>
      </c>
      <c r="F2253" t="inlineStr">
        <is>
          <t>Fatima Kathleen M. FLores</t>
        </is>
      </c>
      <c r="G2253" t="inlineStr">
        <is>
          <t>Procurement</t>
        </is>
      </c>
      <c r="H2253"/>
      <c r="I2253"/>
      <c r="J2253" t="inlineStr">
        <is>
          <t>Project</t>
        </is>
      </c>
      <c r="K2253" t="inlineStr">
        <is>
          <t>GG - Event Service</t>
        </is>
      </c>
      <c r="L2253" t="inlineStr">
        <is>
          <t>Philippine Kings League Spring Season 2026 (PKL)</t>
        </is>
      </c>
      <c r="M2253" t="inlineStr">
        <is>
          <t>2026TEG-P0037</t>
        </is>
      </c>
      <c r="N2253" t="inlineStr">
        <is>
          <t>Juvie Anne Asis Castres</t>
        </is>
      </c>
      <c r="O2253" t="inlineStr">
        <is>
          <t>202603120079-Juvie Anne Asis Castres-费用报销 - 副本 - 副本 - 副本-2026-03-12 08:26:07</t>
        </is>
      </c>
      <c r="P2253" t="inlineStr">
        <is>
          <t>YES</t>
        </is>
      </c>
      <c r="Q2253"/>
      <c r="R2253" t="inlineStr">
        <is>
          <t>NO</t>
        </is>
      </c>
      <c r="S2253" t="inlineStr">
        <is>
          <t>Outsourced Floor Director</t>
        </is>
      </c>
      <c r="T2253">
        <v>1</v>
      </c>
      <c r="U2253">
        <v>10000</v>
      </c>
      <c r="V2253" t="inlineStr">
        <is>
          <t>PHP</t>
        </is>
      </c>
      <c r="W2253">
        <v>10000</v>
      </c>
      <c r="X2253" s="2" t="str">
        <f>=HYPERLINK("https://www.larksuite.com/approval/admin/previewAttachment?key=PMi7DcJAEATQlmZu5_ZDMyScLD4mQjLR1o5E4PR5Ep6T5gUVR4EdPswQKRcVldPRoxlRCMbMXu_tus-nmI9vvbivdfRxv23rw1kxBsIkSwC8nG4hqcqFv-MXAAD__w", "2 attachment(s)")</f>
        <v>2 attachment(s)</v>
      </c>
      <c r="Y2253" t="inlineStr">
        <is>
          <t>Bank Transfer</t>
        </is>
      </c>
      <c r="Z2253" t="inlineStr">
        <is>
          <t>Jaysan Nabas</t>
        </is>
      </c>
      <c r="AA2253" t="inlineStr">
        <is>
          <t>018603338454</t>
        </is>
      </c>
      <c r="AB2253" t="inlineStr">
        <is>
          <t>GoTyme</t>
        </is>
      </c>
      <c r="AC2253" t="inlineStr">
        <is>
          <t>470 Kampupot St Brgy Bagong Bayan, Malolos Bulacan</t>
        </is>
      </c>
      <c r="AD2253" s="4">
        <v>46122</v>
      </c>
      <c r="AE2253" t="inlineStr">
        <is>
          <t>100% Full Payment - Apr. 10, 2026</t>
        </is>
      </c>
      <c r="AF2253" s="2"/>
      <c r="AG2253" t="inlineStr">
        <is>
          <t>NzQyNTk5MTgyNzQ4MTg3MDM0MTo2NkM0MzE2MS03QTk3LTRCNzUtODA0Mi03NUQzQTgyOEU1NjYtMTozOGE5MDgzZDczMjlkMzQyNzQwOWZiMDBkYzNlNzY0ODox</t>
        </is>
      </c>
      <c r="AH2253" t="inlineStr">
        <is>
          <t>Jaysan Nabas</t>
        </is>
      </c>
      <c r="AI2253"/>
      <c r="AJ2253" t="inlineStr">
        <is>
          <t>LIQUIDITY PLAN (PAR # 202602120015 / 2026TEG-P0037) - MAR 9 VERSION
PLAYOFFS &gt; LABOR COST &gt;
ADDITIONAL BROADCAST MANPOWER &gt;
Floor Director
Total Budget = Php 12,000.00
Actual Cost = Php 10,000.00
Balance = Php 2,000.00</t>
        </is>
      </c>
      <c r="AK2253"/>
    </row>
    <row r="2254" ht="25.5" customHeight="1">
      <c r="A2254" s="2" t="str">
        <f>=HYPERLINK("https://applink.larksuite.com/client/mini_program/open?appId=cli_9c7cc8a9a9edd105&amp;mode=appCenter&amp;path_pc=pc/pages/requested/index?instanceId=7623320386584268517&amp;source=bitable&amp;path=pages/detail/index?instanceId=7623320386584268517&amp;source=bitable", "202603310072")</f>
        <v>202603310072</v>
      </c>
      <c r="B2254" t="inlineStr">
        <is>
          <t>Approved</t>
        </is>
      </c>
      <c r="C2254" t="inlineStr">
        <is>
          <t>Procurement Order</t>
        </is>
      </c>
      <c r="D2254" s="3">
        <v>46112.65037037037</v>
      </c>
      <c r="E2254" s="3">
        <v>46113.88355324074</v>
      </c>
      <c r="F2254" t="inlineStr">
        <is>
          <t>Fatima Kathleen M. FLores</t>
        </is>
      </c>
      <c r="G2254" t="inlineStr">
        <is>
          <t>Procurement</t>
        </is>
      </c>
      <c r="H2254"/>
      <c r="I2254"/>
      <c r="J2254" t="inlineStr">
        <is>
          <t>Project</t>
        </is>
      </c>
      <c r="K2254" t="inlineStr">
        <is>
          <t>GG - Event Service</t>
        </is>
      </c>
      <c r="L2254" t="inlineStr">
        <is>
          <t>Philippine Kings League Spring Season 2026 (PKL)</t>
        </is>
      </c>
      <c r="M2254" t="inlineStr">
        <is>
          <t>2026TEG-P0037</t>
        </is>
      </c>
      <c r="N2254" t="inlineStr">
        <is>
          <t>Juvie Anne Asis Castres</t>
        </is>
      </c>
      <c r="O2254" t="inlineStr">
        <is>
          <t>202603120099-Juvie Anne Asis Castres-费用报销 - 副本 - 副本 - 副本-2026-03-12 09:24:17</t>
        </is>
      </c>
      <c r="P2254" t="inlineStr">
        <is>
          <t>YES</t>
        </is>
      </c>
      <c r="Q2254"/>
      <c r="R2254" t="inlineStr">
        <is>
          <t>NO</t>
        </is>
      </c>
      <c r="S2254" t="inlineStr">
        <is>
          <t>Outsourced Assistant League Operations</t>
        </is>
      </c>
      <c r="T2254">
        <v>1</v>
      </c>
      <c r="U2254">
        <v>7500</v>
      </c>
      <c r="V2254" t="inlineStr">
        <is>
          <t>PHP</t>
        </is>
      </c>
      <c r="W2254">
        <v>7500</v>
      </c>
      <c r="X2254" s="2" t="str">
        <f>=HYPERLINK("https://www.larksuite.com/approval/admin/previewAttachment?key=PMk7DsJADATQK40_67G5DA2riAiFBilb-ewIirTvRQoih1gUvEQL0gw1U1jGSNffsrWFLFA4suex3U851uSeu64X9N3n87HNj4yiKmjulgDkdrnR3avC8Xd8AwAA__8", "2 attachment(s)")</f>
        <v>2 attachment(s)</v>
      </c>
      <c r="Y2254" t="inlineStr">
        <is>
          <t>Bank Transfer</t>
        </is>
      </c>
      <c r="Z2254" t="inlineStr">
        <is>
          <t>Iryl V. Dela Cruz</t>
        </is>
      </c>
      <c r="AA2254" t="inlineStr">
        <is>
          <t>5299594285</t>
        </is>
      </c>
      <c r="AB2254" t="inlineStr">
        <is>
          <t>BPI</t>
        </is>
      </c>
      <c r="AC2254" t="inlineStr">
        <is>
          <t>280 Don Carlos Revilla st. Pasay city</t>
        </is>
      </c>
      <c r="AD2254" s="4">
        <v>46122</v>
      </c>
      <c r="AE2254" t="inlineStr">
        <is>
          <t>100% Full Payment - Apr. 10, 2026</t>
        </is>
      </c>
      <c r="AF2254" s="2"/>
      <c r="AG2254" t="inlineStr">
        <is>
          <t>NzQyNTk5MTgyNzQ4MTg3MDM0MTo5Nzg4NkZGNS05QUY5LTRDRTItQUU5MC02NkM0NzI5QjcxQTEtMTowMGMyYzc5MGRhNzY1NGQ0NDMwNjE3Njc2MjNlMDVmMjox</t>
        </is>
      </c>
      <c r="AH2254" t="inlineStr">
        <is>
          <t>Iryl V. Dela Cruz</t>
        </is>
      </c>
      <c r="AI2254"/>
      <c r="AJ2254" t="inlineStr">
        <is>
          <t>LIQUIDITY PLAN (PAR # 202602120015 / 2026TEG-P0037) - MAR 9 VERSION
PLAYOFFS &gt; LABOR COST &gt;
LEAGUE OPS &gt; Assistant League Ops
Total Budget = Php 10,800.00
Actual Cost = Php 7,500.00
Balance = Php 3,300.00</t>
        </is>
      </c>
      <c r="AK2254"/>
    </row>
    <row r="2255" ht="25.5" customHeight="1">
      <c r="A2255" s="2" t="str">
        <f>=HYPERLINK("https://applink.larksuite.com/client/mini_program/open?appId=cli_9c7cc8a9a9edd105&amp;mode=appCenter&amp;path_pc=pc/pages/requested/index?instanceId=7623323077220257499&amp;source=bitable&amp;path=pages/detail/index?instanceId=7623323077220257499&amp;source=bitable", "202603310076")</f>
        <v>202603310076</v>
      </c>
      <c r="B2255" t="inlineStr">
        <is>
          <t>Approved</t>
        </is>
      </c>
      <c r="C2255" t="inlineStr">
        <is>
          <t>Procurement Order</t>
        </is>
      </c>
      <c r="D2255" s="3">
        <v>46112.65762731482</v>
      </c>
      <c r="E2255" s="3">
        <v>46113.89011574074</v>
      </c>
      <c r="F2255" t="inlineStr">
        <is>
          <t>Fatima Kathleen M. FLores</t>
        </is>
      </c>
      <c r="G2255" t="inlineStr">
        <is>
          <t>Procurement</t>
        </is>
      </c>
      <c r="H2255"/>
      <c r="I2255"/>
      <c r="J2255" t="inlineStr">
        <is>
          <t>Project</t>
        </is>
      </c>
      <c r="K2255" t="inlineStr">
        <is>
          <t>GG - Event Service</t>
        </is>
      </c>
      <c r="L2255" t="inlineStr">
        <is>
          <t>Philippine Kings League Spring Season 2026 (PKL)</t>
        </is>
      </c>
      <c r="M2255" t="inlineStr">
        <is>
          <t>2026TEG-P0037</t>
        </is>
      </c>
      <c r="N2255" t="inlineStr">
        <is>
          <t>Juvie Anne Asis Castres</t>
        </is>
      </c>
      <c r="O2255" t="inlineStr">
        <is>
          <t>202603120101-Juvie Anne Asis Castres-费用报销 - 副本 - 副本 - 副本-2026-03-12 09:28:51</t>
        </is>
      </c>
      <c r="P2255" t="inlineStr">
        <is>
          <t>YES</t>
        </is>
      </c>
      <c r="Q2255"/>
      <c r="R2255" t="inlineStr">
        <is>
          <t>NO</t>
        </is>
      </c>
      <c r="S2255" t="inlineStr">
        <is>
          <t>Outsourced Logistics Associates (Ingress to Event Days)</t>
        </is>
      </c>
      <c r="T2255">
        <v>1</v>
      </c>
      <c r="U2255">
        <v>9700</v>
      </c>
      <c r="V2255" t="inlineStr">
        <is>
          <t>PHP</t>
        </is>
      </c>
      <c r="W2255">
        <v>9700</v>
      </c>
      <c r="X2255" s="2" t="str">
        <f>=HYPERLINK("https://www.larksuite.com/approval/admin/previewAttachment?key=PMs9qgJBEATgK1X_TNfUu8xLXAYNFgRhYYI-u2hg-sFX01BzWJSQMhesWR7hAdIdPphSexsp0DhmH-f639f2Jx5LI0_H7ut-W8fLhj6JkRkTgP39PJiZUiW-jncAAAD__w", "2 attachment(s)")</f>
        <v>2 attachment(s)</v>
      </c>
      <c r="Y2255" t="inlineStr">
        <is>
          <t>Bank Transfer</t>
        </is>
      </c>
      <c r="Z2255" t="inlineStr">
        <is>
          <t>Von Aloysius To</t>
        </is>
      </c>
      <c r="AA2255" t="inlineStr">
        <is>
          <t>934105046804</t>
        </is>
      </c>
      <c r="AB2255" t="inlineStr">
        <is>
          <t>AUB (Hello Money)</t>
        </is>
      </c>
      <c r="AC2255" t="inlineStr">
        <is>
          <t>Blk10 Lot18 Phase-C Brgy.Mulawin Francisco Homes SJDM</t>
        </is>
      </c>
      <c r="AD2255" s="4">
        <v>46122</v>
      </c>
      <c r="AE2255" t="inlineStr">
        <is>
          <t>100% Full Payment - Apr. 10, 2026</t>
        </is>
      </c>
      <c r="AF2255" s="2"/>
      <c r="AG2255" t="inlineStr">
        <is>
          <t>NzQyNTk5MTgyNzQ4MTg3MDM0MTpDNDBFRTI3My03MzUxLTQ2RTQtQkQ4QS1FODEyMEVEMjdDRjMtMTozZDY0MGVhZjk4NDU1MDg4MDg1OWExZDkyYmJmYTU0NTox</t>
        </is>
      </c>
      <c r="AH2255" t="inlineStr">
        <is>
          <t>Von Aloysius To</t>
        </is>
      </c>
      <c r="AI2255"/>
      <c r="AJ2255" t="inlineStr">
        <is>
          <t>LIQUIDITY PLAN (PAR # 202602120015 / 2026TEG-P0037) - MAR 9 VERSION
PLAYOFFS &gt; LABOR COST &gt;
LOGISTICS &gt; 
Ingress Manpower
Egress Manpower
Event Runners (Play-ins)
Event Runners (w/ rehearsals)
Total Remaining Budget = Php 46,000.00
Actual Cost = Php 9,700.00
Balance = Php 36,300.00</t>
        </is>
      </c>
      <c r="AK2255"/>
    </row>
    <row r="2256" ht="25.5" customHeight="1">
      <c r="A2256" s="2" t="str">
        <f>=HYPERLINK("https://applink.larksuite.com/client/mini_program/open?appId=cli_9c7cc8a9a9edd105&amp;mode=appCenter&amp;path_pc=pc/pages/requested/index?instanceId=7623322298891685598&amp;source=bitable&amp;path=pages/detail/index?instanceId=7623322298891685598&amp;source=bitable", "202603310075")</f>
        <v>202603310075</v>
      </c>
      <c r="B2256" t="inlineStr">
        <is>
          <t>Approved</t>
        </is>
      </c>
      <c r="C2256" t="inlineStr">
        <is>
          <t>Procurement Order</t>
        </is>
      </c>
      <c r="D2256" s="3">
        <v>46112.65552083333</v>
      </c>
      <c r="E2256" s="3">
        <v>46113.890648148146</v>
      </c>
      <c r="F2256" t="inlineStr">
        <is>
          <t>Fatima Kathleen M. FLores</t>
        </is>
      </c>
      <c r="G2256" t="inlineStr">
        <is>
          <t>Procurement</t>
        </is>
      </c>
      <c r="H2256"/>
      <c r="I2256"/>
      <c r="J2256" t="inlineStr">
        <is>
          <t>Project</t>
        </is>
      </c>
      <c r="K2256" t="inlineStr">
        <is>
          <t>GG - Event Service</t>
        </is>
      </c>
      <c r="L2256" t="inlineStr">
        <is>
          <t>Philippine Kings League Spring Season 2026 (PKL)</t>
        </is>
      </c>
      <c r="M2256" t="inlineStr">
        <is>
          <t>2026TEG-P0037</t>
        </is>
      </c>
      <c r="N2256" t="inlineStr">
        <is>
          <t>Juvie Anne Asis Castres</t>
        </is>
      </c>
      <c r="O2256" t="inlineStr">
        <is>
          <t>202603120101-Juvie Anne Asis Castres-费用报销 - 副本 - 副本 - 副本-2026-03-12 09:28:51</t>
        </is>
      </c>
      <c r="P2256" t="inlineStr">
        <is>
          <t>YES</t>
        </is>
      </c>
      <c r="Q2256"/>
      <c r="R2256" t="inlineStr">
        <is>
          <t>NO</t>
        </is>
      </c>
      <c r="S2256" t="inlineStr">
        <is>
          <t>Outsourced Logistics Associates (Ingress to Event Days)</t>
        </is>
      </c>
      <c r="T2256">
        <v>1</v>
      </c>
      <c r="U2256">
        <v>9700</v>
      </c>
      <c r="V2256" t="inlineStr">
        <is>
          <t>PHP</t>
        </is>
      </c>
      <c r="W2256">
        <v>9700</v>
      </c>
      <c r="X2256" s="2" t="str">
        <f>=HYPERLINK("https://www.larksuite.com/approval/admin/previewAttachment?key=PMg7DsJADATQK40_a3u4DE1WESBtGkSg8dmRKGhflCBqiAXhFCWkM9RMVVlFiRqD1dqSSaTkqJ5rv9r6vO9zncf2OF6OPm_bPp8ymKpIc7cCIJe_W7o7GY6f4xsAAP__", "2 attachment(s)")</f>
        <v>2 attachment(s)</v>
      </c>
      <c r="Y2256" t="inlineStr">
        <is>
          <t>Bank Transfer</t>
        </is>
      </c>
      <c r="Z2256" t="inlineStr">
        <is>
          <t>Arnold Matunan</t>
        </is>
      </c>
      <c r="AA2256" t="inlineStr">
        <is>
          <t>09535444993</t>
        </is>
      </c>
      <c r="AB2256" t="inlineStr">
        <is>
          <t>GCash</t>
        </is>
      </c>
      <c r="AC2256" t="inlineStr">
        <is>
          <t>20 Margarita Nitang Gulod Novaliches Quezon City</t>
        </is>
      </c>
      <c r="AD2256" s="4">
        <v>46122</v>
      </c>
      <c r="AE2256" t="inlineStr">
        <is>
          <t>100% Full Payment - Apr. 10, 2026</t>
        </is>
      </c>
      <c r="AF2256" s="2"/>
      <c r="AG2256" t="inlineStr">
        <is>
          <t>NzQyNTk5MTgyNzQ4MTg3MDM0MTo0MUVCNDVEMi00QzY1LTQxQkQtQUJCQi03QUI3QjZBMDQ1MTQtMTphNWE1MDZiOTE2ODIzZjkzMGRkNzQwYzcxOGJjNDYzZjox</t>
        </is>
      </c>
      <c r="AH2256" t="inlineStr">
        <is>
          <t>Arnold Matunan</t>
        </is>
      </c>
      <c r="AI2256"/>
      <c r="AJ2256" t="inlineStr">
        <is>
          <t>LIQUIDITY PLAN (PAR # 202602120015 / 2026TEG-P0037) - MAR 9 VERSION
PLAYOFFS &gt; LABOR COST &gt;
LOGISTICS &gt; 
Ingress Manpower
Egress Manpower
Event Runners (Play-ins)
Event Runners (w/ rehearsals)
Total Remaining Budget = Php 55,700.00
Actual Cost = Php 9,700.00
Balance = Php 46,000.00</t>
        </is>
      </c>
      <c r="AK2256"/>
    </row>
    <row r="2257" ht="25.5" customHeight="1">
      <c r="A2257" s="2" t="str">
        <f>=HYPERLINK("https://applink.larksuite.com/client/mini_program/open?appId=cli_9c7cc8a9a9edd105&amp;mode=appCenter&amp;path_pc=pc/pages/requested/index?instanceId=7623324579183726303&amp;source=bitable&amp;path=pages/detail/index?instanceId=7623324579183726303&amp;source=bitable", "202603310081")</f>
        <v>202603310081</v>
      </c>
      <c r="B2257" t="inlineStr">
        <is>
          <t>Approved</t>
        </is>
      </c>
      <c r="C2257" t="inlineStr">
        <is>
          <t>Procurement Order</t>
        </is>
      </c>
      <c r="D2257" s="3">
        <v>46112.66166666667</v>
      </c>
      <c r="E2257" s="3">
        <v>46113.89197916666</v>
      </c>
      <c r="F2257" t="inlineStr">
        <is>
          <t>Fatima Kathleen M. FLores</t>
        </is>
      </c>
      <c r="G2257" t="inlineStr">
        <is>
          <t>Procurement</t>
        </is>
      </c>
      <c r="H2257"/>
      <c r="I2257"/>
      <c r="J2257" t="inlineStr">
        <is>
          <t>Project</t>
        </is>
      </c>
      <c r="K2257" t="inlineStr">
        <is>
          <t>GG - Event Service</t>
        </is>
      </c>
      <c r="L2257" t="inlineStr">
        <is>
          <t>Philippine Kings League Spring Season 2026 (PKL)</t>
        </is>
      </c>
      <c r="M2257" t="inlineStr">
        <is>
          <t>2026TEG-P0037</t>
        </is>
      </c>
      <c r="N2257" t="inlineStr">
        <is>
          <t>Juvie Anne Asis Castres</t>
        </is>
      </c>
      <c r="O2257" t="inlineStr">
        <is>
          <t>202603120101-Juvie Anne Asis Castres-费用报销 - 副本 - 副本 - 副本-2026-03-12 09:28:51</t>
        </is>
      </c>
      <c r="P2257" t="inlineStr">
        <is>
          <t>YES</t>
        </is>
      </c>
      <c r="Q2257"/>
      <c r="R2257" t="inlineStr">
        <is>
          <t>NO</t>
        </is>
      </c>
      <c r="S2257" t="inlineStr">
        <is>
          <t>Outsourced Logistics Associates (Ingress, Event Days &amp; Egress)</t>
        </is>
      </c>
      <c r="T2257">
        <v>1</v>
      </c>
      <c r="U2257">
        <v>25000</v>
      </c>
      <c r="V2257" t="inlineStr">
        <is>
          <t>PHP</t>
        </is>
      </c>
      <c r="W2257">
        <v>25000</v>
      </c>
      <c r="X2257" s="2" t="str">
        <f>=HYPERLINK("https://www.larksuite.com/approval/admin/previewAttachment?key=PMi7DcJgDATglc7Ps1mGJlFECiqUH1F4diQK2i9LkBVi2fAWbcgw1Uw92FJGTYONjpANCqNmfx73c31CN_J8XxcDsx7bsb8kmqqguVsBkNvfje7enY6f4xsAAP__", "2 attachment(s)")</f>
        <v>2 attachment(s)</v>
      </c>
      <c r="Y2257" t="inlineStr">
        <is>
          <t>Bank Transfer</t>
        </is>
      </c>
      <c r="Z2257" t="inlineStr">
        <is>
          <t>RIC JACA</t>
        </is>
      </c>
      <c r="AA2257" t="inlineStr">
        <is>
          <t>109332038874</t>
        </is>
      </c>
      <c r="AB2257" t="inlineStr">
        <is>
          <t>Unionbank</t>
        </is>
      </c>
      <c r="AC2257" t="inlineStr">
        <is>
          <t>321 Sitio Langhaya Brgy. Dela Paz Antipolo Rizal</t>
        </is>
      </c>
      <c r="AD2257" s="4">
        <v>46122</v>
      </c>
      <c r="AE2257" t="inlineStr">
        <is>
          <t>100% Full Payment - Apr. 10, 2026</t>
        </is>
      </c>
      <c r="AF2257" s="2"/>
      <c r="AG2257" t="inlineStr">
        <is>
          <t>NzQyNTk5MTgyNzQ4MTg3MDM0MTo4RjExQTYwOS0yNjYwLTQ0RjQtODg0Ri1DN0QxMTE4OERGQTgtMTo0NDEyOTVjM2Y1MTJiM2I3YTc5ODNiODFiMmRhNTNhYTox</t>
        </is>
      </c>
      <c r="AH2257" t="inlineStr">
        <is>
          <t>RIC JACA</t>
        </is>
      </c>
      <c r="AI2257"/>
      <c r="AJ2257" t="inlineStr">
        <is>
          <t>LIQUIDITY PLAN (PAR # 202602120015 / 2026TEG-P0037) - MAR 9 VERSION
PLAYOFFS &gt; LABOR COST &gt;
LOGISTICS &gt; 
Ingress Manpower
Egress Manpower
Event Runners (Play-ins)
Event Runners (w/ rehearsals)
Total Remaining Budget = Php 27,300.00
Actual Cost = Php 25,000.00
Balance = Php 2,300.00</t>
        </is>
      </c>
      <c r="AK2257"/>
    </row>
    <row r="2258" ht="25.5" customHeight="1">
      <c r="A2258" s="2" t="str">
        <f>=HYPERLINK("https://applink.larksuite.com/client/mini_program/open?appId=cli_9c7cc8a9a9edd105&amp;mode=appCenter&amp;path_pc=pc/pages/requested/index?instanceId=7623323942475861730&amp;source=bitable&amp;path=pages/detail/index?instanceId=7623323942475861730&amp;source=bitable", "202603310079")</f>
        <v>202603310079</v>
      </c>
      <c r="B2258" t="inlineStr">
        <is>
          <t>Approved</t>
        </is>
      </c>
      <c r="C2258" t="inlineStr">
        <is>
          <t>Procurement Order</t>
        </is>
      </c>
      <c r="D2258" s="3">
        <v>46112.659953703704</v>
      </c>
      <c r="E2258" s="3">
        <v>46113.89261574074</v>
      </c>
      <c r="F2258" t="inlineStr">
        <is>
          <t>Fatima Kathleen M. FLores</t>
        </is>
      </c>
      <c r="G2258" t="inlineStr">
        <is>
          <t>Procurement</t>
        </is>
      </c>
      <c r="H2258"/>
      <c r="I2258"/>
      <c r="J2258" t="inlineStr">
        <is>
          <t>Project</t>
        </is>
      </c>
      <c r="K2258" t="inlineStr">
        <is>
          <t>GG - Event Service</t>
        </is>
      </c>
      <c r="L2258" t="inlineStr">
        <is>
          <t>Philippine Kings League Spring Season 2026 (PKL)</t>
        </is>
      </c>
      <c r="M2258" t="inlineStr">
        <is>
          <t>2026TEG-P0037</t>
        </is>
      </c>
      <c r="N2258" t="inlineStr">
        <is>
          <t>Juvie Anne Asis Castres</t>
        </is>
      </c>
      <c r="O2258" t="inlineStr">
        <is>
          <t>202603120101-Juvie Anne Asis Castres-费用报销 - 副本 - 副本 - 副本-2026-03-12 09:28:51</t>
        </is>
      </c>
      <c r="P2258" t="inlineStr">
        <is>
          <t>YES</t>
        </is>
      </c>
      <c r="Q2258"/>
      <c r="R2258" t="inlineStr">
        <is>
          <t>NO</t>
        </is>
      </c>
      <c r="S2258" t="inlineStr">
        <is>
          <t>Outsourced Logistics Associates (Ingress &amp; Egress)</t>
        </is>
      </c>
      <c r="T2258">
        <v>1</v>
      </c>
      <c r="U2258">
        <v>9000</v>
      </c>
      <c r="V2258" t="inlineStr">
        <is>
          <t>PHP</t>
        </is>
      </c>
      <c r="W2258">
        <v>9000</v>
      </c>
      <c r="X2258" s="2" t="str">
        <f>=HYPERLINK("https://www.larksuite.com/approval/admin/previewAttachment?key=PMgxqoJBDATgK02S2czmXeY1Losg_9-IokXOLljYfjkNOYdFFljmBWulR3gUnRozTYH2Nqkg05i9jv1_c9r7OHHisbVe_bxe9rrbKLlDQcYEYH8_D5GsSuLr-AQAAP__", "2 attachment(s)")</f>
        <v>2 attachment(s)</v>
      </c>
      <c r="Y2258" t="inlineStr">
        <is>
          <t>Bank Transfer</t>
        </is>
      </c>
      <c r="Z2258" t="inlineStr">
        <is>
          <t>Nordan Burabo</t>
        </is>
      </c>
      <c r="AA2258" t="inlineStr">
        <is>
          <t>09636201512</t>
        </is>
      </c>
      <c r="AB2258" t="inlineStr">
        <is>
          <t>GCash</t>
        </is>
      </c>
      <c r="AC2258" t="inlineStr">
        <is>
          <t>Blk 1 Lot 23 Agoncillo St. Sta Lucia Novaliches, Quezon City</t>
        </is>
      </c>
      <c r="AD2258" s="4">
        <v>46122</v>
      </c>
      <c r="AE2258" t="inlineStr">
        <is>
          <t>100% Full Payment - Apr. 10, 2026</t>
        </is>
      </c>
      <c r="AF2258" s="2"/>
      <c r="AG2258" t="inlineStr">
        <is>
          <t>NzQyNTk5MTgyNzQ4MTg3MDM0MTo0NTUwQjU4RS05Nzg1LTQ4MDgtQkVFMi0yOEVCOTMwMTEyNjYtMTo5OGYyN2RjYTliOTg5NDk2ZmUzOTNjNDBjZTgzMDAzNjox</t>
        </is>
      </c>
      <c r="AH2258" t="inlineStr">
        <is>
          <t>Nordan Burabo</t>
        </is>
      </c>
      <c r="AI2258"/>
      <c r="AJ2258" t="inlineStr">
        <is>
          <t>LIQUIDITY PLAN (PAR # 202602120015 / 2026TEG-P0037) - MAR 9 VERSION
PLAYOFFS &gt; LABOR COST &gt;
LOGISTICS &gt; 
Ingress Manpower
Egress Manpower
Event Runners (Play-ins)
Event Runners (w/ rehearsals)
Total Remaining Budget = Php 36,300.00
Actual Cost = Php 9,000.00
Balance = Php 27,300.00</t>
        </is>
      </c>
      <c r="AK2258"/>
    </row>
    <row r="2259" ht="25.5" customHeight="1">
      <c r="A2259" s="2" t="str">
        <f>=HYPERLINK("https://applink.larksuite.com/client/mini_program/open?appId=cli_9c7cc8a9a9edd105&amp;mode=appCenter&amp;path_pc=pc/pages/requested/index?instanceId=7623338575370751707&amp;source=bitable&amp;path=pages/detail/index?instanceId=7623338575370751707&amp;source=bitable", "202603310086")</f>
        <v>202603310086</v>
      </c>
      <c r="B2259" t="inlineStr">
        <is>
          <t>Approved</t>
        </is>
      </c>
      <c r="C2259" t="inlineStr">
        <is>
          <t>Procurement Order</t>
        </is>
      </c>
      <c r="D2259" s="3">
        <v>46112.69938657407</v>
      </c>
      <c r="E2259" s="3">
        <v>46113.89344907407</v>
      </c>
      <c r="F2259" t="inlineStr">
        <is>
          <t>Fatima Kathleen M. FLores</t>
        </is>
      </c>
      <c r="G2259" t="inlineStr">
        <is>
          <t>Procurement</t>
        </is>
      </c>
      <c r="H2259"/>
      <c r="I2259"/>
      <c r="J2259" t="inlineStr">
        <is>
          <t>Project</t>
        </is>
      </c>
      <c r="K2259" t="inlineStr">
        <is>
          <t>GG - Event Service</t>
        </is>
      </c>
      <c r="L2259" t="inlineStr">
        <is>
          <t>Philippine Kings League Spring Season 2026 (PKL)</t>
        </is>
      </c>
      <c r="M2259" t="inlineStr">
        <is>
          <t>2026TEG-P0037</t>
        </is>
      </c>
      <c r="N2259" t="inlineStr">
        <is>
          <t>Juvie Anne Asis Castres</t>
        </is>
      </c>
      <c r="O2259" t="inlineStr">
        <is>
          <t>202603130040-Juvie Anne Asis Castres-费用报销 - 副本 - 副本 - 副本-2026-03-13 06:17:59</t>
        </is>
      </c>
      <c r="P2259" t="inlineStr">
        <is>
          <t>YES</t>
        </is>
      </c>
      <c r="Q2259"/>
      <c r="R2259" t="inlineStr">
        <is>
          <t>NO</t>
        </is>
      </c>
      <c r="S2259" t="inlineStr">
        <is>
          <t>Outsourced Video Editor</t>
        </is>
      </c>
      <c r="T2259">
        <v>1</v>
      </c>
      <c r="U2259">
        <v>24000</v>
      </c>
      <c r="V2259" t="inlineStr">
        <is>
          <t>PHP</t>
        </is>
      </c>
      <c r="W2259">
        <v>24000</v>
      </c>
      <c r="X2259" s="2" t="str">
        <f>=HYPERLINK("https://www.larksuite.com/approval/admin/previewAttachment?key=PMgxqsNADATQK82spB3pX-Y3WUwwbBViVzp7IEXaN5OYGbRZ8OIosDWHmWUoTFBQUI-mVBAV2Wsf_3UG3-73te9z7ejr-TjWi1EaAzJ3SwD8-7nJ3aum4-v4BAAA__8", "2 attachment(s)")</f>
        <v>2 attachment(s)</v>
      </c>
      <c r="Y2259" t="inlineStr">
        <is>
          <t>Bank Transfer</t>
        </is>
      </c>
      <c r="Z2259" t="inlineStr">
        <is>
          <t>Ziegfred Perez Domingo</t>
        </is>
      </c>
      <c r="AA2259" t="inlineStr">
        <is>
          <t>0111 5482 4747</t>
        </is>
      </c>
      <c r="AB2259" t="inlineStr">
        <is>
          <t>GoTyme Bank</t>
        </is>
      </c>
      <c r="AC2259" t="inlineStr">
        <is>
          <t>Block 4 Lot 12 San Lucas Street MWSS Compound Delpan Tondo, Manila</t>
        </is>
      </c>
      <c r="AD2259" s="4">
        <v>46129</v>
      </c>
      <c r="AE2259" t="inlineStr">
        <is>
          <t>100% Full Payment - Apr. 17, 2026</t>
        </is>
      </c>
      <c r="AF2259" s="2"/>
      <c r="AG2259" t="inlineStr">
        <is>
          <t>NzQyNTk5MTgyNzQ4MTg3MDM0MTo1QTQxMzhGNC01REYwLTQwQTAtQjYwRC02MkY3QTM2MzdFREYtMTpkM2U0MWY4MGFiNmRkZjIxMGQ5NWI5NWM3MTY5ZGY2Mzox</t>
        </is>
      </c>
      <c r="AH2259" t="inlineStr">
        <is>
          <t>Ziegfred Perez Domingo</t>
        </is>
      </c>
      <c r="AI2259"/>
      <c r="AJ2259" t="inlineStr">
        <is>
          <t>LIQUIDITY PLAN (PAR # 202602120015 / 2026TEG-P0037) - MAR 9 VERSION
PLAYOFFS &gt; VIDEO &amp; PRODUCTION &gt;
Daily Recap
Total Budget = Php 24,000.00
Actual Cost = Php 24,000.00</t>
        </is>
      </c>
      <c r="AK2259"/>
    </row>
    <row r="2260" ht="25.5" customHeight="1">
      <c r="A2260" s="2" t="str">
        <f>=HYPERLINK("https://applink.larksuite.com/client/mini_program/open?appId=cli_9c7cc8a9a9edd105&amp;mode=appCenter&amp;path_pc=pc/pages/requested/index?instanceId=7623335883789176542&amp;source=bitable&amp;path=pages/detail/index?instanceId=7623335883789176542&amp;source=bitable", "202603310085")</f>
        <v>202603310085</v>
      </c>
      <c r="B2260" t="inlineStr">
        <is>
          <t>Approved</t>
        </is>
      </c>
      <c r="C2260" t="inlineStr">
        <is>
          <t>Procurement Order</t>
        </is>
      </c>
      <c r="D2260" s="3">
        <v>46112.69212962963</v>
      </c>
      <c r="E2260" s="3">
        <v>46113.46105324074</v>
      </c>
      <c r="F2260" t="inlineStr">
        <is>
          <t>Fatima Kathleen M. FLores</t>
        </is>
      </c>
      <c r="G2260" t="inlineStr">
        <is>
          <t>Procurement</t>
        </is>
      </c>
      <c r="H2260"/>
      <c r="I2260"/>
      <c r="J2260" t="inlineStr">
        <is>
          <t>Project</t>
        </is>
      </c>
      <c r="K2260" t="inlineStr">
        <is>
          <t>GG - Event Service</t>
        </is>
      </c>
      <c r="L2260" t="inlineStr">
        <is>
          <t>PUBG Mobile 8th Anniversary Event</t>
        </is>
      </c>
      <c r="M2260" t="inlineStr">
        <is>
          <t>2026TEG-P0066</t>
        </is>
      </c>
      <c r="N2260" t="inlineStr">
        <is>
          <t>Randy Vince Fernandez Apura</t>
        </is>
      </c>
      <c r="O2260" t="inlineStr">
        <is>
          <t>202603270044-Randy Vince Fernandez Apura-费用报销 - 副本 - 副本 - 副本-2026-03-27 05:59:45</t>
        </is>
      </c>
      <c r="P2260" t="inlineStr">
        <is>
          <t>NO</t>
        </is>
      </c>
      <c r="Q2260"/>
      <c r="R2260" t="inlineStr">
        <is>
          <t>YES</t>
        </is>
      </c>
      <c r="S2260" t="inlineStr">
        <is>
          <t>Outsourced Coordinator (Mayor's permit)</t>
        </is>
      </c>
      <c r="T2260">
        <v>1</v>
      </c>
      <c r="U2260">
        <v>28500</v>
      </c>
      <c r="V2260" t="inlineStr">
        <is>
          <t>PHP</t>
        </is>
      </c>
      <c r="W2260">
        <v>28500</v>
      </c>
      <c r="X2260" s="2" t="str">
        <f>=HYPERLINK("https://www.larksuite.com/approval/admin/previewAttachment?key=PMg9qgJRDAXgLeXk7yRvM69xGES8IAjDbbJ2wcL2y4JkBSxbvKEtGKaaWVQZq8EM19EB2UIwao51_u9HLO7dT6xrvWyu--083oimqtDcrUQEfz83unt3unxdPgEAAP__", "2 attachment(s)")</f>
        <v>2 attachment(s)</v>
      </c>
      <c r="Y2260" t="inlineStr">
        <is>
          <t>Bank Transfer</t>
        </is>
      </c>
      <c r="Z2260" t="inlineStr">
        <is>
          <t>PREVENT PRODUCTIONS AND EVENTS MANAGEMENT</t>
        </is>
      </c>
      <c r="AA2260" t="inlineStr">
        <is>
          <t>8090-0170-51</t>
        </is>
      </c>
      <c r="AB2260" t="inlineStr">
        <is>
          <t>BPI</t>
        </is>
      </c>
      <c r="AC2260" t="inlineStr">
        <is>
          <t>Unit B 2nd Floor NVR Bldg., L21 Blk 10 Along Dr. A. Gahol Ave., Garden Park Villa., Brgy. 19 B, Davao City</t>
        </is>
      </c>
      <c r="AD2260" s="4">
        <v>46122</v>
      </c>
      <c r="AE2260" t="inlineStr">
        <is>
          <t>100% Full payment - Apr. 10, 2026</t>
        </is>
      </c>
      <c r="AF2260" s="2" t="str">
        <f>=HYPERLINK("https://www.larksuite.com/approval/admin/previewAttachment?key=TMg9CgIxEAXgK72X-fcyNi6LiAFBCGnm7ILVtp8n4WkUL2hxFNjhQ0QsUyKL4aajRzOiEAzLPuZ53y-bsXe9Odf8SK_n4zy-9BSHlqmyAPB2cRKV4vJ3_AIAAP__", "3 attachment(s)")</f>
        <v>3 attachment(s)</v>
      </c>
      <c r="AG2260" t="inlineStr">
        <is>
          <t>NzQyNTk5MTgyNzQ4MTg3MDM0MTozMEMxNERDQy1EMENCLTRBNjEtODEyMC0xNzg2QTE3RTVDREQtMToxOWE4MWRmMzA5MTBjNDkzYjkxM2Q5MTM5ZGE3OGI4YTox</t>
        </is>
      </c>
      <c r="AH2260" t="inlineStr">
        <is>
          <t>PREVENT PRODUCTIONS AND EVENTS MANAGEMENT</t>
        </is>
      </c>
      <c r="AI2260"/>
      <c r="AJ2260" t="inlineStr">
        <is>
          <t>LIQUIDITY PLAN (PAR # 202603150011 / 2026TEG-P0066)
VISAYAS LEG - MARCH 21, 2026 &gt; OTHERS &gt;
Permits &gt; Event Permits and Compliance
Total Budget = Php 10,000.00
Actual Cost = Php 28,500.00
Balance = (Php 18,500.00) OVER BUDGET</t>
        </is>
      </c>
      <c r="AK2260"/>
    </row>
    <row r="2261" ht="25.5" customHeight="1">
      <c r="A2261" s="2" t="str">
        <f>=HYPERLINK("https://applink.larksuite.com/client/mini_program/open?appId=cli_9c7cc8a9a9edd105&amp;mode=appCenter&amp;path_pc=pc/pages/requested/index?instanceId=7623345737723547357&amp;source=bitable&amp;path=pages/detail/index?instanceId=7623345737723547357&amp;source=bitable", "202603310095")</f>
        <v>202603310095</v>
      </c>
      <c r="B2261" t="inlineStr">
        <is>
          <t>Approved</t>
        </is>
      </c>
      <c r="C2261" t="inlineStr">
        <is>
          <t>Procurement Order</t>
        </is>
      </c>
      <c r="D2261" s="3">
        <v>46112.71869212963</v>
      </c>
      <c r="E2261" s="3">
        <v>46113.87291666667</v>
      </c>
      <c r="F2261" t="inlineStr">
        <is>
          <t>Fatima Kathleen M. FLores</t>
        </is>
      </c>
      <c r="G2261" t="inlineStr">
        <is>
          <t>Procurement</t>
        </is>
      </c>
      <c r="H2261"/>
      <c r="I2261"/>
      <c r="J2261" t="inlineStr">
        <is>
          <t>Project</t>
        </is>
      </c>
      <c r="K2261" t="inlineStr">
        <is>
          <t>PDEI - Game Marketing</t>
        </is>
      </c>
      <c r="L2261" t="inlineStr">
        <is>
          <t>SM Cyberzone Trading Card Game (TCG) Activations</t>
        </is>
      </c>
      <c r="M2261" t="inlineStr">
        <is>
          <t>2025TEG-P0278</t>
        </is>
      </c>
      <c r="N2261" t="inlineStr">
        <is>
          <t>Alessandra Mae Villanueva Boado</t>
        </is>
      </c>
      <c r="O2261" t="inlineStr">
        <is>
          <t>202603240023-Alessandra Mae Villanueva Boado-费用报销 - 副本 - 副本 - 副本-2026-03-24 05:19:17</t>
        </is>
      </c>
      <c r="P2261" t="inlineStr">
        <is>
          <t>YES</t>
        </is>
      </c>
      <c r="Q2261"/>
      <c r="R2261" t="inlineStr">
        <is>
          <t>NO</t>
        </is>
      </c>
      <c r="S2261" t="inlineStr">
        <is>
          <t>Outsourced Technical Director</t>
        </is>
      </c>
      <c r="T2261">
        <v>1</v>
      </c>
      <c r="U2261">
        <v>15000</v>
      </c>
      <c r="V2261" t="inlineStr">
        <is>
          <t>PHP</t>
        </is>
      </c>
      <c r="W2261">
        <v>15000</v>
      </c>
      <c r="X2261" s="2" t="str">
        <f>=HYPERLINK("https://www.larksuite.com/approval/admin/previewAttachment?key=PMgxDsJADATAL6299u2Zz9DkFEERGiRC47cjUaSdMQ1jpnEUoswL1hpORoqSM0NMtbdJBZly9jr2O4_v-VTatl6V5-rPY9vX27LkDjGCE4DdLqciomoE_o5fAAAA__8", "2 attachment(s)")</f>
        <v>2 attachment(s)</v>
      </c>
      <c r="Y2261" t="inlineStr">
        <is>
          <t>Bank Transfer</t>
        </is>
      </c>
      <c r="Z2261" t="inlineStr">
        <is>
          <t>Jordan Swing</t>
        </is>
      </c>
      <c r="AA2261" t="inlineStr">
        <is>
          <t>001560339452</t>
        </is>
      </c>
      <c r="AB2261" t="inlineStr">
        <is>
          <t>BDO</t>
        </is>
      </c>
      <c r="AC2261" t="inlineStr">
        <is>
          <t>723 P Gomez St Brgy Hagdan Bato Itaas Mandaluyong City</t>
        </is>
      </c>
      <c r="AD2261" s="4">
        <v>46122</v>
      </c>
      <c r="AE2261" t="inlineStr">
        <is>
          <t>100% Full Payment - Apr. 10, 2026</t>
        </is>
      </c>
      <c r="AF2261" s="2"/>
      <c r="AG2261" t="inlineStr">
        <is>
          <t>NzQyNTk5MTgyNzQ4MTg3MDM0MTowOTdCRDJDRi1DNTI3LTQ1NkYtODhGNy0zNzlBMzE1MjE2OTktMTo2NTA3Yzc3MmNlMzVhODlkOTdiOTA5OWVlYzU1M2I4MTox</t>
        </is>
      </c>
      <c r="AH2261" t="inlineStr">
        <is>
          <t>Jordan Swing</t>
        </is>
      </c>
      <c r="AI2261"/>
      <c r="AJ2261" t="inlineStr">
        <is>
          <t>LIQUIDITY PLAN (PAR # 202602090082 / 2025TEG-P0278)
Project Planning &gt; Logistics Manager
Total Budget = Php 15,000.00
Actual Cost = Php 15,000.00</t>
        </is>
      </c>
      <c r="AK2261"/>
    </row>
    <row r="2262" ht="25.5" customHeight="1">
      <c r="A2262" s="2" t="str">
        <f>=HYPERLINK("https://applink.larksuite.com/client/mini_program/open?appId=cli_9c7cc8a9a9edd105&amp;mode=appCenter&amp;path_pc=pc/pages/requested/index?instanceId=7623344832829411036&amp;source=bitable&amp;path=pages/detail/index?instanceId=7623344832829411036&amp;source=bitable", "202603310092")</f>
        <v>202603310092</v>
      </c>
      <c r="B2262" t="inlineStr">
        <is>
          <t>Approved</t>
        </is>
      </c>
      <c r="C2262" t="inlineStr">
        <is>
          <t>Procurement Order</t>
        </is>
      </c>
      <c r="D2262" s="3">
        <v>46112.71625</v>
      </c>
      <c r="E2262" s="3">
        <v>46113.87525462963</v>
      </c>
      <c r="F2262" t="inlineStr">
        <is>
          <t>Fatima Kathleen M. FLores</t>
        </is>
      </c>
      <c r="G2262" t="inlineStr">
        <is>
          <t>Procurement</t>
        </is>
      </c>
      <c r="H2262"/>
      <c r="I2262"/>
      <c r="J2262" t="inlineStr">
        <is>
          <t>Project</t>
        </is>
      </c>
      <c r="K2262" t="inlineStr">
        <is>
          <t>PDEI - Game Marketing</t>
        </is>
      </c>
      <c r="L2262" t="inlineStr">
        <is>
          <t>SM Cyberzone Trading Card Game (TCG) Activations</t>
        </is>
      </c>
      <c r="M2262" t="inlineStr">
        <is>
          <t>2025TEG-P0278</t>
        </is>
      </c>
      <c r="N2262" t="inlineStr">
        <is>
          <t>Alessandra Mae Villanueva Boado</t>
        </is>
      </c>
      <c r="O2262" t="inlineStr">
        <is>
          <t>202603120098-Alessandra Mae Villanueva Boado-费用报销 - 副本 - 副本 - 副本-2026-03-12 09:22:25</t>
        </is>
      </c>
      <c r="P2262" t="inlineStr">
        <is>
          <t>YES</t>
        </is>
      </c>
      <c r="Q2262"/>
      <c r="R2262" t="inlineStr">
        <is>
          <t>NO</t>
        </is>
      </c>
      <c r="S2262" t="inlineStr">
        <is>
          <t>Outsourced Referees</t>
        </is>
      </c>
      <c r="T2262">
        <v>1</v>
      </c>
      <c r="U2262">
        <v>10400</v>
      </c>
      <c r="V2262" t="inlineStr">
        <is>
          <t>PHP</t>
        </is>
      </c>
      <c r="W2262">
        <v>10400</v>
      </c>
      <c r="X2262" s="2" t="str">
        <f>=HYPERLINK("https://www.larksuite.com/approval/admin/previewAttachment?key=PMg9CsJAEAXgK70383Z-vIyNSzDBVIKQYs8uWNh-UUTUoEdDTWtwZZi7VG5lLRIeyxYzG8kctea53c-rD809j8vmS_v6PB_bfHN0miFd8gLA2989JXWH8HN8AwAA__8", "2 attachment(s)")</f>
        <v>2 attachment(s)</v>
      </c>
      <c r="Y2262" t="inlineStr">
        <is>
          <t>Bank Transfer</t>
        </is>
      </c>
      <c r="Z2262" t="inlineStr">
        <is>
          <t>Arjay Santie Magcalas</t>
        </is>
      </c>
      <c r="AA2262" t="inlineStr">
        <is>
          <t>109425585622</t>
        </is>
      </c>
      <c r="AB2262" t="inlineStr">
        <is>
          <t>Unionbank</t>
        </is>
      </c>
      <c r="AC2262" t="inlineStr">
        <is>
          <t>69 Vista Real Ave Brgy. Matandang Balara Quezon City</t>
        </is>
      </c>
      <c r="AD2262" s="4">
        <v>46122</v>
      </c>
      <c r="AE2262" t="inlineStr">
        <is>
          <t>100% Full Payment - Apr. 10, 2026</t>
        </is>
      </c>
      <c r="AF2262" s="2"/>
      <c r="AG2262" t="inlineStr">
        <is>
          <t>NzQyNTk5MTgyNzQ4MTg3MDM0MTpFQzc0NTdDMC0xQUU4LTQwNDgtQjYxMy1CNEI3RDEzNDA4QTgtMTpiYTJmODE0ZGE5MmQxNzUyNWVjNTNkOGY1ZjMyYzc3ZTox</t>
        </is>
      </c>
      <c r="AH2262" t="inlineStr">
        <is>
          <t>Arjay Santie Magcalas</t>
        </is>
      </c>
      <c r="AI2262"/>
      <c r="AJ2262" t="inlineStr">
        <is>
          <t>LIQUIDITY PLAN (PAR # 202602090082 / 2025TEG-P0278)
SM BF Paranaque &gt;
League ops - Beyblade
League ops - TCG Arena
Total Budget = Php 13,600.00
Actual Cost = Php 10,400.00
Balance = Php 3,200.00</t>
        </is>
      </c>
      <c r="AK2262"/>
    </row>
    <row r="2263" ht="25.5" customHeight="1">
      <c r="A2263" s="2" t="str">
        <f>=HYPERLINK("https://applink.larksuite.com/client/mini_program/open?appId=cli_9c7cc8a9a9edd105&amp;mode=appCenter&amp;path_pc=pc/pages/requested/index?instanceId=7623351145519435486&amp;source=bitable&amp;path=pages/detail/index?instanceId=7623351145519435486&amp;source=bitable", "202603310098")</f>
        <v>202603310098</v>
      </c>
      <c r="B2263" t="inlineStr">
        <is>
          <t>Approved</t>
        </is>
      </c>
      <c r="C2263" t="inlineStr">
        <is>
          <t>Procurement Order</t>
        </is>
      </c>
      <c r="D2263" s="3">
        <v>46112.73326388889</v>
      </c>
      <c r="E2263" s="3">
        <v>46113.89533564815</v>
      </c>
      <c r="F2263" t="inlineStr">
        <is>
          <t>Fatima Kathleen M. FLores</t>
        </is>
      </c>
      <c r="G2263" t="inlineStr">
        <is>
          <t>Procurement</t>
        </is>
      </c>
      <c r="H2263"/>
      <c r="I2263"/>
      <c r="J2263" t="inlineStr">
        <is>
          <t>Project</t>
        </is>
      </c>
      <c r="K2263" t="inlineStr">
        <is>
          <t>GG - Event Service</t>
        </is>
      </c>
      <c r="L2263" t="inlineStr">
        <is>
          <t>PUBG Mobile 8th Anniversary Event</t>
        </is>
      </c>
      <c r="M2263" t="inlineStr">
        <is>
          <t>2026TEG-P0066</t>
        </is>
      </c>
      <c r="N2263" t="inlineStr">
        <is>
          <t>Randy Vince Fernandez Apura</t>
        </is>
      </c>
      <c r="O2263" t="inlineStr">
        <is>
          <t>202603160037-Randy Vince Fernandez Apura-费用报销 - 副本 - 副本 - 副本-2026-03-16 06:36:04</t>
        </is>
      </c>
      <c r="P2263" t="inlineStr">
        <is>
          <t>YES</t>
        </is>
      </c>
      <c r="Q2263"/>
      <c r="R2263" t="inlineStr">
        <is>
          <t>NO</t>
        </is>
      </c>
      <c r="S2263" t="inlineStr">
        <is>
          <t>Outsourced Social Media Manager</t>
        </is>
      </c>
      <c r="T2263">
        <v>1</v>
      </c>
      <c r="U2263">
        <v>25000</v>
      </c>
      <c r="V2263" t="inlineStr">
        <is>
          <t>PHP</t>
        </is>
      </c>
      <c r="W2263">
        <v>25000</v>
      </c>
      <c r="X2263" s="2" t="str">
        <f>=HYPERLINK("https://www.larksuite.com/approval/admin/previewAttachment?key=PMg7CoIxEATgK81kZ19exsYQtBAE8ReLnF2wsP2iiCinRUPN0eDOGGZOyp0tc1XssZnZSKbXnvd1HgfmbT5eQq33x_dxvaz5pHeOgTTJCgBPf7eU1B3Cz_ENAAD__w", "2 attachment(s)")</f>
        <v>2 attachment(s)</v>
      </c>
      <c r="Y2263" t="inlineStr">
        <is>
          <t>Bank Transfer</t>
        </is>
      </c>
      <c r="Z2263" t="inlineStr">
        <is>
          <t>Kathleen Chryss D Calajate</t>
        </is>
      </c>
      <c r="AA2263" t="inlineStr">
        <is>
          <t>1999219329</t>
        </is>
      </c>
      <c r="AB2263" t="inlineStr">
        <is>
          <t>BPI</t>
        </is>
      </c>
      <c r="AC2263" t="inlineStr">
        <is>
          <t>JA 112, KM3, Brgy. Balili, La Trinidad, Benguet</t>
        </is>
      </c>
      <c r="AD2263" s="4">
        <v>46122</v>
      </c>
      <c r="AE2263" t="inlineStr">
        <is>
          <t>1st Payment - Apr. 10, 2026
Final Payment - Apr. 24, 2026</t>
        </is>
      </c>
      <c r="AF2263" s="2"/>
      <c r="AG2263" t="inlineStr">
        <is>
          <t>NzQyNTk5MTgyNzQ4MTg3MDM0MToyQzY2NDZCOS00NDE3LTRBRDMtQUI2My1EOEQxMURERTUzRUEtMTplN2ExYTUzMzJlOTliZGI5YjliZDY5ZWRiMDcwNWYzNzox</t>
        </is>
      </c>
      <c r="AH2263" t="inlineStr">
        <is>
          <t>Kathleen Chryss D Calajate</t>
        </is>
      </c>
      <c r="AI2263"/>
      <c r="AJ2263" t="inlineStr">
        <is>
          <t>LIQUIDITY PLAN (PAR # 202603150011 / 2026TEG-P0066)
GENERAL OPERATIONS &gt; SOCIAL MEDIA &gt;
Social Media Manager
Total Budget = Php 25,000.00
Actual Cost = Php 25,000.00</t>
        </is>
      </c>
      <c r="AK2263"/>
    </row>
    <row r="2264" ht="25.5" customHeight="1">
      <c r="A2264" s="2" t="str">
        <f>=HYPERLINK("https://applink.larksuite.com/client/mini_program/open?appId=cli_9c7cc8a9a9edd105&amp;mode=appCenter&amp;path_pc=pc/pages/requested/index?instanceId=7623355385038081759&amp;source=bitable&amp;path=pages/detail/index?instanceId=7623355385038081759&amp;source=bitable", "202603310104")</f>
        <v>202603310104</v>
      </c>
      <c r="B2264" t="inlineStr">
        <is>
          <t>Approved</t>
        </is>
      </c>
      <c r="C2264" t="inlineStr">
        <is>
          <t>Procurement Order</t>
        </is>
      </c>
      <c r="D2264" s="3">
        <v>46112.7446875</v>
      </c>
      <c r="E2264" s="3">
        <v>46120.4903125</v>
      </c>
      <c r="F2264" t="inlineStr">
        <is>
          <t>Fatima Kathleen M. FLores</t>
        </is>
      </c>
      <c r="G2264" t="inlineStr">
        <is>
          <t>Procurement</t>
        </is>
      </c>
      <c r="H2264"/>
      <c r="I2264"/>
      <c r="J2264" t="inlineStr">
        <is>
          <t>Project</t>
        </is>
      </c>
      <c r="K2264" t="inlineStr">
        <is>
          <t>GG - Event Service</t>
        </is>
      </c>
      <c r="L2264" t="inlineStr">
        <is>
          <t>PUBG Mobile 8th Anniversary Event</t>
        </is>
      </c>
      <c r="M2264" t="inlineStr">
        <is>
          <t>2026TEG-P0066</t>
        </is>
      </c>
      <c r="N2264" t="inlineStr">
        <is>
          <t>Randy Vince Fernandez Apura</t>
        </is>
      </c>
      <c r="O2264" t="inlineStr">
        <is>
          <t>202603160039-Randy Vince Fernandez Apura-费用报销 - 副本 - 副本 - 副本-2026-03-16 06:40:30;202603160042-Randy Vince Fernandez Apura-费用报销 - 副本 - 副本 - 副本-2026-03-16 06:44:31;202603160043-Randy Vince Fernandez Apura-费用报销 - 副本 - 副本 - 副本-2026-03-16 06:45:22;202603160044-Randy Vince Fernandez Apura-费用报销 - 副本 - 副本 - 副本-2026-03-16 06:46:23;202603160046-Randy Vince Fernandez Apura-费用报销 - 副本 - 副本 - 副本-2026-03-16 06:52:08;202603160049-Randy Vince Fernandez Apura-费用报销 - 副本 - 副本 - 副本-2026-03-16 06:57:41;202603190003-Randy Vince Fernandez Apura-费用报销 - 副本 - 副本 - 副本-2026-03-19 00:25:54</t>
        </is>
      </c>
      <c r="P2264" t="inlineStr">
        <is>
          <t>YES</t>
        </is>
      </c>
      <c r="Q2264"/>
      <c r="R2264" t="inlineStr">
        <is>
          <t>NO</t>
        </is>
      </c>
      <c r="S2264" t="inlineStr">
        <is>
          <t>Outsourced Production and Logistics Manpower</t>
        </is>
      </c>
      <c r="T2264">
        <v>1</v>
      </c>
      <c r="U2264">
        <v>33300</v>
      </c>
      <c r="V2264" t="inlineStr">
        <is>
          <t>PHP</t>
        </is>
      </c>
      <c r="W2264">
        <v>33300</v>
      </c>
      <c r="X2264" s="2" t="str">
        <f>=HYPERLINK("https://www.larksuite.com/approval/admin/previewAttachment?key=PMg5CgJhDAXgK72sL_EyNg6D2w-CoFjk7IKF7ZclyAqxbHiLNmSYahZhFbBCCaNHR8gGhVGzrf24Pn31dXk_bvfynfM6n_btKdFUBc3dCoAc_m509-50_BzfAAAA__8", "8 attachment(s)")</f>
        <v>8 attachment(s)</v>
      </c>
      <c r="Y2264" t="inlineStr">
        <is>
          <t>Bank Transfer</t>
        </is>
      </c>
      <c r="Z2264" t="inlineStr">
        <is>
          <t>Kevin L. Maglinte</t>
        </is>
      </c>
      <c r="AA2264" t="inlineStr">
        <is>
          <t>1380 0203 5725</t>
        </is>
      </c>
      <c r="AB2264" t="inlineStr">
        <is>
          <t>China Banking Corporation</t>
        </is>
      </c>
      <c r="AC2264" t="inlineStr">
        <is>
          <t>Hi-way 77, Talamban Cebu City</t>
        </is>
      </c>
      <c r="AD2264" s="4">
        <v>46122</v>
      </c>
      <c r="AE2264" t="inlineStr">
        <is>
          <t>Manpower:
100% Full Payment - Apr. 10, 2026
Equipment Rental:
100% Full Payment - Apr. 10, 2026</t>
        </is>
      </c>
      <c r="AF2264" s="2"/>
      <c r="AG2264" t="inlineStr">
        <is>
          <t>NzQyNTk5MTgyNzQ4MTg3MDM0MTo5ODMzRjNGMC0xOEYwLTQ2NzAtOTU4Ri0yMTc4MTdFREM2MkYtMTpjYTNjOWFjN2QyYTQ4ODY0YWQwYmQ3YmQxMzYwOTkxMjox</t>
        </is>
      </c>
      <c r="AH2264" t="inlineStr">
        <is>
          <t>Kevin L. Maglinte</t>
        </is>
      </c>
      <c r="AI2264"/>
      <c r="AJ2264" t="inlineStr">
        <is>
          <t>LIQUIDITY PLAN (PAR # 202603150011 / 2026TEG-P0066)
VISAYAS LEG - MARCH 21, 2026 &gt; MANPOWER &gt;
Production Team &gt;
Event Coordinator
Director / Broadcast Specialist
Game Observer
IT Personnel
Photo and Video team
Logistics, Hospitality &gt; Logistic Crew
Total Budget = Php 38,000.00
Actual Cost = Php 36,300.00
Balance = Php 1,700.00</t>
        </is>
      </c>
      <c r="AK2264"/>
    </row>
    <row r="2265" ht="25.5" customHeight="1">
      <c r="A2265" s="2" t="str">
        <f>=HYPERLINK("https://applink.larksuite.com/client/mini_program/open?appId=cli_9c7cc8a9a9edd105&amp;mode=appCenter&amp;path_pc=pc/pages/requested/index?instanceId=7623352615519735516&amp;source=bitable&amp;path=pages/detail/index?instanceId=7623352615519735516&amp;source=bitable", "202603310100")</f>
        <v>202603310100</v>
      </c>
      <c r="B2265" t="inlineStr">
        <is>
          <t>Approved</t>
        </is>
      </c>
      <c r="C2265" t="inlineStr">
        <is>
          <t>Procurement Order</t>
        </is>
      </c>
      <c r="D2265" s="3">
        <v>46112.737222222226</v>
      </c>
      <c r="E2265" s="3">
        <v>46113.897256944445</v>
      </c>
      <c r="F2265" t="inlineStr">
        <is>
          <t>Fatima Kathleen M. FLores</t>
        </is>
      </c>
      <c r="G2265" t="inlineStr">
        <is>
          <t>Procurement</t>
        </is>
      </c>
      <c r="H2265"/>
      <c r="I2265"/>
      <c r="J2265" t="inlineStr">
        <is>
          <t>Project</t>
        </is>
      </c>
      <c r="K2265" t="inlineStr">
        <is>
          <t>GG - Event Service</t>
        </is>
      </c>
      <c r="L2265" t="inlineStr">
        <is>
          <t>PUBG Mobile 8th Anniversary Event</t>
        </is>
      </c>
      <c r="M2265" t="inlineStr">
        <is>
          <t>2026TEG-P0066</t>
        </is>
      </c>
      <c r="N2265" t="inlineStr">
        <is>
          <t>Randy Vince Fernandez Apura</t>
        </is>
      </c>
      <c r="O2265" t="inlineStr">
        <is>
          <t>202603160038-Randy Vince Fernandez Apura-费用报销 - 副本 - 副本 - 副本-2026-03-16 06:37:00</t>
        </is>
      </c>
      <c r="P2265" t="inlineStr">
        <is>
          <t>YES</t>
        </is>
      </c>
      <c r="Q2265"/>
      <c r="R2265" t="inlineStr">
        <is>
          <t>NO</t>
        </is>
      </c>
      <c r="S2265" t="inlineStr">
        <is>
          <t>Outsourced Graphic Artist</t>
        </is>
      </c>
      <c r="T2265">
        <v>1</v>
      </c>
      <c r="U2265">
        <v>20000</v>
      </c>
      <c r="V2265" t="inlineStr">
        <is>
          <t>PHP</t>
        </is>
      </c>
      <c r="W2265">
        <v>20000</v>
      </c>
      <c r="X2265" s="2" t="str">
        <f>=HYPERLINK("https://www.larksuite.com/approval/admin/previewAttachment?key=PMg9CgIxFATgK828v8nzMjYbgqBW4oJFzi5Y2H41iBpJr0Y0rcGtMve0YiZbnsnatik1ROXY87mu7885fTrX3R522D5vx5ovZssM8ggfAHj5uysiuivwc3wDAAD__w", "2 attachment(s)")</f>
        <v>2 attachment(s)</v>
      </c>
      <c r="Y2265" t="inlineStr">
        <is>
          <t>Bank Transfer</t>
        </is>
      </c>
      <c r="Z2265" t="inlineStr">
        <is>
          <t>Jan Nikolai Esporlas</t>
        </is>
      </c>
      <c r="AA2265" t="inlineStr">
        <is>
          <t>2859296672</t>
        </is>
      </c>
      <c r="AB2265" t="inlineStr">
        <is>
          <t>BPI</t>
        </is>
      </c>
      <c r="AC2265" t="inlineStr">
        <is>
          <t>Blk 4 Lot 6, Cerritos Heights, Molino 4, Bacoor City, Cavite</t>
        </is>
      </c>
      <c r="AD2265" s="4">
        <v>46122</v>
      </c>
      <c r="AE2265" t="inlineStr">
        <is>
          <t>1st Payment - Apr. 10, 2026
Final Payment - Apr. 24, 2026</t>
        </is>
      </c>
      <c r="AF2265" s="2"/>
      <c r="AG2265" t="inlineStr">
        <is>
          <t>NzQyNTk5MTgyNzQ4MTg3MDM0MToxNTEyRDlCMS1EMTMwLTRGRjQtOEY4Ni03MTgzMDJBNDZDODEtMTo4MDA0MDE5NzA2N2ZjODc0NTdhYzEyZjM4YzQ2YmMxMzox</t>
        </is>
      </c>
      <c r="AH2265" t="inlineStr">
        <is>
          <t>Jan Nikolai Esporlas</t>
        </is>
      </c>
      <c r="AI2265"/>
      <c r="AJ2265" t="inlineStr">
        <is>
          <t>LIQUIDITY PLAN (PAR # 202603150011 / 2026TEG-P0066)
GENERAL OPERATIONS &gt; SOCIAL MEDIA &gt;
Graphics Artist
Total Budget = Php 20,000.00
Actual Cost = Php 20,000.00</t>
        </is>
      </c>
      <c r="AK2265"/>
    </row>
    <row r="2266" ht="25.5" customHeight="1">
      <c r="A2266" s="2" t="str">
        <f>=HYPERLINK("https://applink.larksuite.com/client/mini_program/open?appId=cli_9c7cc8a9a9edd105&amp;mode=appCenter&amp;path_pc=pc/pages/requested/index?instanceId=7623360036898655963&amp;source=bitable&amp;path=pages/detail/index?instanceId=7623360036898655963&amp;source=bitable", "202603310109")</f>
        <v>202603310109</v>
      </c>
      <c r="B2266" t="inlineStr">
        <is>
          <t>Approved</t>
        </is>
      </c>
      <c r="C2266" t="inlineStr">
        <is>
          <t>Procurement Order</t>
        </is>
      </c>
      <c r="D2266" s="3">
        <v>46112.75722222222</v>
      </c>
      <c r="E2266" s="3">
        <v>46113.89876157408</v>
      </c>
      <c r="F2266" t="inlineStr">
        <is>
          <t>Fatima Kathleen M. FLores</t>
        </is>
      </c>
      <c r="G2266" t="inlineStr">
        <is>
          <t>Procurement</t>
        </is>
      </c>
      <c r="H2266"/>
      <c r="I2266"/>
      <c r="J2266" t="inlineStr">
        <is>
          <t>Project</t>
        </is>
      </c>
      <c r="K2266" t="inlineStr">
        <is>
          <t>GG - Event Service</t>
        </is>
      </c>
      <c r="L2266" t="inlineStr">
        <is>
          <t>PUBG Mobile 8th Anniversary Event</t>
        </is>
      </c>
      <c r="M2266" t="inlineStr">
        <is>
          <t>2026TEG-P0066</t>
        </is>
      </c>
      <c r="N2266" t="inlineStr">
        <is>
          <t>Randy Vince Fernandez Apura</t>
        </is>
      </c>
      <c r="O2266" t="inlineStr">
        <is>
          <t>202603170004-Randy Vince Fernandez Apura-费用报销 - 副本 - 副本 - 副本-2026-03-17 01:29:44;202603170021-Randy Vince Fernandez Apura-费用报销 - 副本 - 副本 - 副本-2026-03-17 01:45:48;202603170019-Randy Vince Fernandez Apura-费用报销 - 副本 - 副本 - 副本-2026-03-17 01:43:11</t>
        </is>
      </c>
      <c r="P2266" t="inlineStr">
        <is>
          <t>YES</t>
        </is>
      </c>
      <c r="Q2266"/>
      <c r="R2266" t="inlineStr">
        <is>
          <t>NO</t>
        </is>
      </c>
      <c r="S2266" t="inlineStr">
        <is>
          <t>Outsourced Production and Logistics Manpower</t>
        </is>
      </c>
      <c r="T2266">
        <v>1</v>
      </c>
      <c r="U2266">
        <v>14000</v>
      </c>
      <c r="V2266" t="inlineStr">
        <is>
          <t>PHP</t>
        </is>
      </c>
      <c r="W2266">
        <v>14000</v>
      </c>
      <c r="X2266" s="2" t="str">
        <f>=HYPERLINK("https://www.larksuite.com/approval/admin/previewAttachment?key=PMg7jsJgDATgK4098_uxl9mGKCIIaJBC5bMjUdB-UYaoZYyG2rxhk-FkAIzqirU6OD6W2UjLVbM99n85z-P2duqpw-5zXi_79rLV6Y6kxAJgfz9nSuoO4ev4BAAA__8", "4 attachment(s)")</f>
        <v>4 attachment(s)</v>
      </c>
      <c r="Y2266" t="inlineStr">
        <is>
          <t>Bank Transfer</t>
        </is>
      </c>
      <c r="Z2266" t="inlineStr">
        <is>
          <t>Beatrize Anne Rico</t>
        </is>
      </c>
      <c r="AA2266" t="inlineStr">
        <is>
          <t>1096 4682 1404</t>
        </is>
      </c>
      <c r="AB2266" t="inlineStr">
        <is>
          <t>Unionbank</t>
        </is>
      </c>
      <c r="AC2266" t="inlineStr">
        <is>
          <t>0164 Jacinto Gomez St, Digos City</t>
        </is>
      </c>
      <c r="AD2266" s="4">
        <v>46122</v>
      </c>
      <c r="AE2266" t="inlineStr">
        <is>
          <t>100% Full Payment - Apr. 10, 2026</t>
        </is>
      </c>
      <c r="AF2266" s="2"/>
      <c r="AG2266" t="inlineStr">
        <is>
          <t>NzQyNTk5MTgyNzQ4MTg3MDM0MTpBMTBENDgwRC0zNTMyLTRERUEtQjRDNS03ODU5NENEREIwOTktMTo4OGVkYTdhYzZlZDRiMDRiZGZkYTlhYzA3ZjM1MjcxNzox</t>
        </is>
      </c>
      <c r="AH2266" t="inlineStr">
        <is>
          <t>Beatrize Anne Rico</t>
        </is>
      </c>
      <c r="AI2266"/>
      <c r="AJ2266" t="inlineStr">
        <is>
          <t>LIQUIDITY PLAN (PAR # 202603150011 / 2026TEG-P0066)
MINDANAO LEG - MARCH 22, 2026 &gt; MANPOWER &gt;
Production Team &gt;
Event Coordinator
Logistics, Hospitality &gt; 
Usher Event / Personnel
Logistics Crew
Total Budget = Php 14,000.00
Actual Cost = Php 14,000.00</t>
        </is>
      </c>
      <c r="AK2266"/>
    </row>
    <row r="2267" ht="25.5" customHeight="1">
      <c r="A2267" s="2" t="str">
        <f>=HYPERLINK("https://applink.larksuite.com/client/mini_program/open?appId=cli_9c7cc8a9a9edd105&amp;mode=appCenter&amp;path_pc=pc/pages/requested/index?instanceId=7623374462297083613&amp;source=bitable&amp;path=pages/detail/index?instanceId=7623374462297083613&amp;source=bitable", "202603310121")</f>
        <v>202603310121</v>
      </c>
      <c r="B2267" t="inlineStr">
        <is>
          <t>Approved</t>
        </is>
      </c>
      <c r="C2267" t="inlineStr">
        <is>
          <t>Procurement Order</t>
        </is>
      </c>
      <c r="D2267" s="3">
        <v>46112.79609953704</v>
      </c>
      <c r="E2267" s="3">
        <v>46113.90087962963</v>
      </c>
      <c r="F2267" t="inlineStr">
        <is>
          <t>Fatima Kathleen M. FLores</t>
        </is>
      </c>
      <c r="G2267" t="inlineStr">
        <is>
          <t>Procurement</t>
        </is>
      </c>
      <c r="H2267"/>
      <c r="I2267"/>
      <c r="J2267" t="inlineStr">
        <is>
          <t>Project</t>
        </is>
      </c>
      <c r="K2267" t="inlineStr">
        <is>
          <t>GG - Event Service</t>
        </is>
      </c>
      <c r="L2267" t="inlineStr">
        <is>
          <t>PUBG Mobile 8th Anniversary Event</t>
        </is>
      </c>
      <c r="M2267" t="inlineStr">
        <is>
          <t>2026TEG-P0066</t>
        </is>
      </c>
      <c r="N2267" t="inlineStr">
        <is>
          <t>Randy Vince Fernandez Apura</t>
        </is>
      </c>
      <c r="O2267" t="inlineStr">
        <is>
          <t>202603260043-Frances Angelita Arreglado-费用报销 - 副本 - 副本 - 副本-2026-03-26 04:36:13;202603260075-Frances Angelita Arreglado-费用报销 - 副本 - 副本 - 副本-2026-03-26 06:55:53;202603260096-Frances Angelita Arreglado-费用报销 - 副本 - 副本 - 副本-2026-03-26 07:47:43</t>
        </is>
      </c>
      <c r="P2267" t="inlineStr">
        <is>
          <t>YES</t>
        </is>
      </c>
      <c r="Q2267"/>
      <c r="R2267" t="inlineStr">
        <is>
          <t>NO</t>
        </is>
      </c>
      <c r="S2267" t="inlineStr">
        <is>
          <t>Outsourced Event Coordinator &amp; Logistics Manpower (Cavite)</t>
        </is>
      </c>
      <c r="T2267">
        <v>1</v>
      </c>
      <c r="U2267">
        <v>9500</v>
      </c>
      <c r="V2267" t="inlineStr">
        <is>
          <t>PHP</t>
        </is>
      </c>
      <c r="W2267">
        <v>9500</v>
      </c>
      <c r="X2267" s="2" t="str">
        <f>=HYPERLINK("https://www.larksuite.com/approval/admin/previewAttachment?key=PMw9qsJgEAXQLd07__M28xpDECU2whcsZu2ihe0pThQR5dRoWFManAxRTbMQ6URpUEeGmY1kes127P-Lx6nuYq91v52PWdfLvj3pnSJINdMCwL-ff0brDsPX8Q4AAP__", "3 attachment(s)")</f>
        <v>3 attachment(s)</v>
      </c>
      <c r="Y2267" t="inlineStr">
        <is>
          <t>Bank Transfer</t>
        </is>
      </c>
      <c r="Z2267" t="inlineStr">
        <is>
          <t>Kriz Lance Angelo Madriaga</t>
        </is>
      </c>
      <c r="AA2267" t="inlineStr">
        <is>
          <t>12885895201</t>
        </is>
      </c>
      <c r="AB2267" t="inlineStr">
        <is>
          <t>Maribank</t>
        </is>
      </c>
      <c r="AC2267" t="inlineStr">
        <is>
          <t>No.14C Iban St. Imus,Cavite</t>
        </is>
      </c>
      <c r="AD2267" s="4">
        <v>46122</v>
      </c>
      <c r="AE2267" t="inlineStr">
        <is>
          <t>100% Full Payment - Apr. 10, 2026</t>
        </is>
      </c>
      <c r="AF2267" s="2"/>
      <c r="AG2267" t="inlineStr">
        <is>
          <t>NzQyNTk5MTgyNzQ4MTg3MDM0MTo4QjY5OTZDRi1GODMyLTQ5N0EtQTQ2NC1COTZDRDc2MkZEMjktMTpiMTgyYjBmOTUyZjk0ZDU0ZTc3NmNhNjNjMjljYWNhMTox</t>
        </is>
      </c>
      <c r="AH2267" t="inlineStr">
        <is>
          <t>Kriz Lance Angelo Madriaga</t>
        </is>
      </c>
      <c r="AI2267"/>
      <c r="AJ2267" t="inlineStr">
        <is>
          <t>LIQUIDITY PLAN (PAR # 202603150011 / 202603150011) - AS OF 03/24/26
SOUTH LUZON LEG - MARCH 28, 2026 &gt; MANPOWER &gt;
Production Team &gt; Event Coordinator 
Logistics, Hospitality &gt; Logistic Crew
METRO MANILA LEG - MARCH 29, 2026 &gt; MANPOWER &gt;
Production Team &gt; Game Observer
Total Budget = Php 13,000.00
Actual Cost = Php 12,000.00
Balance = Php 1,000.00</t>
        </is>
      </c>
      <c r="AK2267"/>
    </row>
    <row r="2268" ht="25.5" customHeight="1">
      <c r="A2268" s="2" t="str">
        <f>=HYPERLINK("https://applink.larksuite.com/client/mini_program/open?appId=cli_9c7cc8a9a9edd105&amp;mode=appCenter&amp;path_pc=pc/pages/requested/index?instanceId=7623374462297083613&amp;source=bitable&amp;path=pages/detail/index?instanceId=7623374462297083613&amp;source=bitable", "202603310121")</f>
        <v>202603310121</v>
      </c>
      <c r="B2268" t="inlineStr">
        <is>
          <t>Approved</t>
        </is>
      </c>
      <c r="C2268" t="inlineStr">
        <is>
          <t>Procurement Order</t>
        </is>
      </c>
      <c r="D2268" s="3">
        <v>46112.79609953704</v>
      </c>
      <c r="E2268" s="3">
        <v>46113.90087962963</v>
      </c>
      <c r="F2268" t="inlineStr">
        <is>
          <t>Fatima Kathleen M. FLores</t>
        </is>
      </c>
      <c r="G2268" t="inlineStr">
        <is>
          <t>Procurement</t>
        </is>
      </c>
      <c r="H2268"/>
      <c r="I2268"/>
      <c r="J2268" t="inlineStr">
        <is>
          <t>Project</t>
        </is>
      </c>
      <c r="K2268" t="inlineStr">
        <is>
          <t>GG - Event Service</t>
        </is>
      </c>
      <c r="L2268" t="inlineStr">
        <is>
          <t>PUBG Mobile 8th Anniversary Event</t>
        </is>
      </c>
      <c r="M2268" t="inlineStr">
        <is>
          <t>2026TEG-P0066</t>
        </is>
      </c>
      <c r="N2268" t="inlineStr">
        <is>
          <t>Randy Vince Fernandez Apura</t>
        </is>
      </c>
      <c r="O2268" t="inlineStr">
        <is>
          <t>202603260043-Frances Angelita Arreglado-费用报销 - 副本 - 副本 - 副本-2026-03-26 04:36:13;202603260075-Frances Angelita Arreglado-费用报销 - 副本 - 副本 - 副本-2026-03-26 06:55:53;202603260096-Frances Angelita Arreglado-费用报销 - 副本 - 副本 - 副本-2026-03-26 07:47:43</t>
        </is>
      </c>
      <c r="P2268" t="inlineStr">
        <is>
          <t>YES</t>
        </is>
      </c>
      <c r="Q2268"/>
      <c r="R2268" t="inlineStr">
        <is>
          <t>NO</t>
        </is>
      </c>
      <c r="S2268" t="inlineStr">
        <is>
          <t>Outsourced Game Observer (Manila Bay)</t>
        </is>
      </c>
      <c r="T2268">
        <v>1</v>
      </c>
      <c r="U2268">
        <v>2500</v>
      </c>
      <c r="V2268" t="inlineStr">
        <is>
          <t>PHP</t>
        </is>
      </c>
      <c r="W2268">
        <v>2500</v>
      </c>
      <c r="X2268" s="2" t="str">
        <f>=HYPERLINK("https://www.larksuite.com/approval/admin/previewAttachment?key=PMw9qsJgEAXQLd07__M28xpDECU2whcsZu2ihe0pThQR5dRoWFManAxRTbMQ6URpUEeGmY1kes127P-Lx6nuYq91v52PWdfLvj3pnSJINdMCwL-ff0brDsPX-Q4AAP__", "2 attachment(s)")</f>
        <v>2 attachment(s)</v>
      </c>
      <c r="Y2268"/>
      <c r="Z2268"/>
      <c r="AA2268"/>
      <c r="AB2268"/>
      <c r="AC2268"/>
      <c r="AD2268" s="4"/>
      <c r="AE2268"/>
      <c r="AF2268" s="2"/>
      <c r="AG2268" t="inlineStr">
        <is>
          <t>NzQyNTk5MTgyNzQ4MTg3MDM0MTo4QjY5OTZDRi1GODMyLTQ5N0EtQTQ2NC1COTZDRDc2MkZEMjktMjo0YTk3MzNmODk1NmU2MTcxNDBmZDA4Mjc4MDFmNWE1MDox</t>
        </is>
      </c>
      <c r="AH2268"/>
      <c r="AI2268"/>
      <c r="AJ2268" t="inlineStr">
        <is>
          <t>LIQUIDITY PLAN (PAR # 202603150011 / 202603150011) - AS OF 03/24/26
SOUTH LUZON LEG - MARCH 28, 2026 &gt; MANPOWER &gt;
Production Team &gt; Event Coordinator 
Logistics, Hospitality &gt; Logistic Crew
METRO MANILA LEG - MARCH 29, 2026 &gt; MANPOWER &gt;
Production Team &gt; Game Observer
Total Budget = Php 13,000.00
Actual Cost = Php 12,000.00
Balance = Php 1,000.00</t>
        </is>
      </c>
      <c r="AK2268"/>
    </row>
    <row r="2269" ht="25.5" customHeight="1">
      <c r="A2269" s="2" t="str">
        <f>=HYPERLINK("https://applink.larksuite.com/client/mini_program/open?appId=cli_9c7cc8a9a9edd105&amp;mode=appCenter&amp;path_pc=pc/pages/requested/index?instanceId=7623371499912187614&amp;source=bitable&amp;path=pages/detail/index?instanceId=7623371499912187614&amp;source=bitable", "202603310119")</f>
        <v>202603310119</v>
      </c>
      <c r="B2269" t="inlineStr">
        <is>
          <t>Approved</t>
        </is>
      </c>
      <c r="C2269" t="inlineStr">
        <is>
          <t>Procurement Order</t>
        </is>
      </c>
      <c r="D2269" s="3">
        <v>46112.78811342592</v>
      </c>
      <c r="E2269" s="3">
        <v>46122.603472222225</v>
      </c>
      <c r="F2269" t="inlineStr">
        <is>
          <t>Fatima Kathleen M. FLores</t>
        </is>
      </c>
      <c r="G2269" t="inlineStr">
        <is>
          <t>Procurement</t>
        </is>
      </c>
      <c r="H2269"/>
      <c r="I2269"/>
      <c r="J2269" t="inlineStr">
        <is>
          <t>Project</t>
        </is>
      </c>
      <c r="K2269" t="inlineStr">
        <is>
          <t>GG - Event Service</t>
        </is>
      </c>
      <c r="L2269" t="inlineStr">
        <is>
          <t>PUBG Mobile 8th Anniversary Event</t>
        </is>
      </c>
      <c r="M2269" t="inlineStr">
        <is>
          <t>2026TEG-P0066</t>
        </is>
      </c>
      <c r="N2269" t="inlineStr">
        <is>
          <t>Randy Vince Fernandez Apura</t>
        </is>
      </c>
      <c r="O2269" t="inlineStr">
        <is>
          <t>202603250139-Randy Vince Fernandez Apura-费用报销 - 副本 - 副本 - 副本-2026-03-25 10:07:00</t>
        </is>
      </c>
      <c r="P2269" t="inlineStr">
        <is>
          <t>YES</t>
        </is>
      </c>
      <c r="Q2269"/>
      <c r="R2269" t="inlineStr">
        <is>
          <t>YES</t>
        </is>
      </c>
      <c r="S2269" t="inlineStr">
        <is>
          <t>Outsourced PM Admin Assistant</t>
        </is>
      </c>
      <c r="T2269">
        <v>1</v>
      </c>
      <c r="U2269">
        <v>30000</v>
      </c>
      <c r="V2269" t="inlineStr">
        <is>
          <t>PHP</t>
        </is>
      </c>
      <c r="W2269">
        <v>30000</v>
      </c>
      <c r="X2269" s="2" t="str">
        <f>=HYPERLINK("https://www.larksuite.com/approval/admin/previewAttachment?key=PMgxCgJBDAXQK_2fZJL5XsbGZZCVrWRFi5xdsLB9OYmcg55CiCawK829GJJonJWMtmaVUKwxezvWdT_4Md_fZ6wHztGv-21tTw6VGcojfALg5e9eESFl4Of4BgAA__8", "2 attachment(s)")</f>
        <v>2 attachment(s)</v>
      </c>
      <c r="Y2269" t="inlineStr">
        <is>
          <t>Bank Transfer</t>
        </is>
      </c>
      <c r="Z2269" t="inlineStr">
        <is>
          <t>Tiny F. Tuzon</t>
        </is>
      </c>
      <c r="AA2269" t="inlineStr">
        <is>
          <t>4026595655</t>
        </is>
      </c>
      <c r="AB2269" t="inlineStr">
        <is>
          <t>BPI</t>
        </is>
      </c>
      <c r="AC2269" t="inlineStr">
        <is>
          <t>1 Lourdes St. Saint Mary Subdivision Nangka Marikina City</t>
        </is>
      </c>
      <c r="AD2269" s="4">
        <v>46122</v>
      </c>
      <c r="AE2269" t="inlineStr">
        <is>
          <t>1st Payment - Apr. 10, 2026
Final Payment - Apr. 24, 2026</t>
        </is>
      </c>
      <c r="AF2269" s="2"/>
      <c r="AG2269" t="inlineStr">
        <is>
          <t>NzQyNTk5MTgyNzQ4MTg3MDM0MTpDMTA3NzlCRS1GRURELTQzQ0YtQkM0MS02NjY3RjVFNUIyQjktMTozN2EzOGVlNjE2MzQ4YjZhYTg2MjI3ZGYxOGU3NDU1ZDox</t>
        </is>
      </c>
      <c r="AH2269" t="inlineStr">
        <is>
          <t>Tiny F. Tuzon</t>
        </is>
      </c>
      <c r="AI2269"/>
      <c r="AJ2269" t="inlineStr">
        <is>
          <t>No line item in internal CE - South Luzon &amp; MM. Unbudgeted.</t>
        </is>
      </c>
      <c r="AK2269"/>
    </row>
    <row r="2270" ht="25.5" customHeight="1">
      <c r="A2270" s="2" t="str">
        <f>=HYPERLINK("https://applink.larksuite.com/client/mini_program/open?appId=cli_9c7cc8a9a9edd105&amp;mode=appCenter&amp;path_pc=pc/pages/requested/index?instanceId=7623361871675969248&amp;source=bitable&amp;path=pages/detail/index?instanceId=7623361871675969248&amp;source=bitable", "202603310112")</f>
        <v>202603310112</v>
      </c>
      <c r="B2270" t="inlineStr">
        <is>
          <t>Approved</t>
        </is>
      </c>
      <c r="C2270" t="inlineStr">
        <is>
          <t>Procurement Order</t>
        </is>
      </c>
      <c r="D2270" s="3">
        <v>46112.76216435185</v>
      </c>
      <c r="E2270" s="3">
        <v>46118.6875462963</v>
      </c>
      <c r="F2270" t="inlineStr">
        <is>
          <t>Fatima Kathleen M. FLores</t>
        </is>
      </c>
      <c r="G2270" t="inlineStr">
        <is>
          <t>Procurement</t>
        </is>
      </c>
      <c r="H2270"/>
      <c r="I2270"/>
      <c r="J2270" t="inlineStr">
        <is>
          <t>Project</t>
        </is>
      </c>
      <c r="K2270" t="inlineStr">
        <is>
          <t>GG - Event Service</t>
        </is>
      </c>
      <c r="L2270" t="inlineStr">
        <is>
          <t>PUBG Mobile 8th Anniversary Event</t>
        </is>
      </c>
      <c r="M2270" t="inlineStr">
        <is>
          <t>2026TEG-P0066</t>
        </is>
      </c>
      <c r="N2270" t="inlineStr">
        <is>
          <t>Randy Vince Fernandez Apura</t>
        </is>
      </c>
      <c r="O2270" t="inlineStr">
        <is>
          <t>202603160048-Randy Vince Fernandez Apura-费用报销 - 副本 - 副本 - 副本-2026-03-16 06:56:12</t>
        </is>
      </c>
      <c r="P2270" t="inlineStr">
        <is>
          <t>YES</t>
        </is>
      </c>
      <c r="Q2270"/>
      <c r="R2270" t="inlineStr">
        <is>
          <t>YES</t>
        </is>
      </c>
      <c r="S2270" t="inlineStr">
        <is>
          <t>Outsourced Event Usher</t>
        </is>
      </c>
      <c r="T2270">
        <v>1</v>
      </c>
      <c r="U2270">
        <v>3600</v>
      </c>
      <c r="V2270" t="inlineStr">
        <is>
          <t>PHP</t>
        </is>
      </c>
      <c r="W2270">
        <v>3600</v>
      </c>
      <c r="X2270" s="2" t="str">
        <f>=HYPERLINK("https://www.larksuite.com/approval/admin/previewAttachment?key=PMg5CkJBEATQK1X1Vt1exsTP4BoJZnN2wcD0VRPVSa9BDG3ArTL3YoulnBqL3rYpDURl7-O1zs-8B2_prYWFx_5cL-t4M0dmkEd4A-Dp766ImKnAz_ENAAD__w", "2 attachment(s)")</f>
        <v>2 attachment(s)</v>
      </c>
      <c r="Y2270" t="inlineStr">
        <is>
          <t>Bank Transfer</t>
        </is>
      </c>
      <c r="Z2270" t="inlineStr">
        <is>
          <t>Kaye Arriane Rose Fajardo</t>
        </is>
      </c>
      <c r="AA2270" t="inlineStr">
        <is>
          <t>109661739790</t>
        </is>
      </c>
      <c r="AB2270" t="inlineStr">
        <is>
          <t>Unionbank</t>
        </is>
      </c>
      <c r="AC2270" t="inlineStr">
        <is>
          <t>Sitio Lubi Barangay Luz, Cebu City</t>
        </is>
      </c>
      <c r="AD2270" s="4">
        <v>46122</v>
      </c>
      <c r="AE2270" t="inlineStr">
        <is>
          <t>100% Full Payment - Apr. 10, 2026</t>
        </is>
      </c>
      <c r="AF2270" s="2"/>
      <c r="AG2270" t="inlineStr">
        <is>
          <t>NzQyNTk5MTgyNzQ4MTg3MDM0MTowOURGOUYwQi1DRUQ5LTQzRjktQTE4MS05ODU3NEVFREVEREUtMTplMTc0NzIxODcxZWI3MGUzOThjMDM5ZGI2NzMzZjFmMzox</t>
        </is>
      </c>
      <c r="AH2270" t="inlineStr">
        <is>
          <t>Kaye Arriane Rose Fajardo</t>
        </is>
      </c>
      <c r="AI2270"/>
      <c r="AJ2270" t="inlineStr">
        <is>
          <t>LIQUIDITY PLAN (PAR # 202603150011 / 2026TEG-P0066)
VISAYAS LEG - MARCH 21, 2026 &gt; MANPOWER &gt;
Logistics, Hospitality &gt; Usher Event / Personnel
Total Budget = Php 3,000.00
Actual Cost = Php 3,600.00
Balance = (Php 600.00) OVER BUDGET</t>
        </is>
      </c>
      <c r="AK2270"/>
    </row>
    <row r="2271" ht="25.5" customHeight="1">
      <c r="A2271" s="2" t="str">
        <f>=HYPERLINK("https://applink.larksuite.com/client/mini_program/open?appId=cli_9c7cc8a9a9edd105&amp;mode=appCenter&amp;path_pc=pc/pages/requested/index?instanceId=7623367498087321312&amp;source=bitable&amp;path=pages/detail/index?instanceId=7623367498087321312&amp;source=bitable", "202603310116")</f>
        <v>202603310116</v>
      </c>
      <c r="B2271" t="inlineStr">
        <is>
          <t>Approved</t>
        </is>
      </c>
      <c r="C2271" t="inlineStr">
        <is>
          <t>Procurement Order</t>
        </is>
      </c>
      <c r="D2271" s="3">
        <v>46112.77732638889</v>
      </c>
      <c r="E2271" s="3">
        <v>46118.68550925926</v>
      </c>
      <c r="F2271" t="inlineStr">
        <is>
          <t>Fatima Kathleen M. FLores</t>
        </is>
      </c>
      <c r="G2271" t="inlineStr">
        <is>
          <t>Procurement</t>
        </is>
      </c>
      <c r="H2271"/>
      <c r="I2271"/>
      <c r="J2271" t="inlineStr">
        <is>
          <t>Project</t>
        </is>
      </c>
      <c r="K2271" t="inlineStr">
        <is>
          <t>GG - Event Service</t>
        </is>
      </c>
      <c r="L2271" t="inlineStr">
        <is>
          <t>PUBG Mobile 8th Anniversary Event</t>
        </is>
      </c>
      <c r="M2271" t="inlineStr">
        <is>
          <t>2026TEG-P0066</t>
        </is>
      </c>
      <c r="N2271" t="inlineStr">
        <is>
          <t>Randy Vince Fernandez Apura</t>
        </is>
      </c>
      <c r="O2271" t="inlineStr">
        <is>
          <t>202603250138-Randy Vince Fernandez Apura-费用报销 - 副本 - 副本 - 副本-2026-03-25 10:04:38;202603170013-Randy Vince Fernandez Apura-费用报销 - 副本 - 副本 - 副本-2026-03-17 01:38:22;202603170012-Randy Vince Fernandez Apura-费用报销 - 副本 - 副本 - 副本-2026-03-17 01:37:07;202603170011-Randy Vince Fernandez Apura-费用报销 - 副本 - 副本 - 副本-2026-03-17 01:36:13;202603170016-Randy Vince Fernandez Apura-费用报销 - 副本 - 副本 - 副本-2026-03-17 01:40:14;202603170018-Randy Vince Fernandez Apura-费用报销 - 副本 - 副本 - 副本-2026-03-17 01:41:55</t>
        </is>
      </c>
      <c r="P2271" t="inlineStr">
        <is>
          <t>YES</t>
        </is>
      </c>
      <c r="Q2271"/>
      <c r="R2271" t="inlineStr">
        <is>
          <t>YES</t>
        </is>
      </c>
      <c r="S2271" t="inlineStr">
        <is>
          <t>Outsourced Production, League Ops and Logistics Manpower (Davao)</t>
        </is>
      </c>
      <c r="T2271">
        <v>1</v>
      </c>
      <c r="U2271">
        <v>51500</v>
      </c>
      <c r="V2271" t="inlineStr">
        <is>
          <t>PHP</t>
        </is>
      </c>
      <c r="W2271">
        <v>51500</v>
      </c>
      <c r="X2271" s="2" t="str">
        <f>=HYPERLINK("https://www.larksuite.com/approval/admin/previewAttachment?key=PMgxCgJBDAXQK_2fZPITL2Ozy6KDWwmKxZxdsLB9WUTWoGcjmtbgUpp7KrpQcqPTli1KDVGj1n4e1zH28-7zMfl5xzbX67Yd-5OjZQZ5hBcAXv7uiojuDPwc3wAAAP__", "7 attachment(s)")</f>
        <v>7 attachment(s)</v>
      </c>
      <c r="Y2271" t="inlineStr">
        <is>
          <t>Bank Transfer</t>
        </is>
      </c>
      <c r="Z2271" t="inlineStr">
        <is>
          <t>Krizzy Joyce Daugdaug</t>
        </is>
      </c>
      <c r="AA2271" t="inlineStr">
        <is>
          <t>1094 2193 1275</t>
        </is>
      </c>
      <c r="AB2271" t="inlineStr">
        <is>
          <t>Unionbank</t>
        </is>
      </c>
      <c r="AC2271" t="inlineStr">
        <is>
          <t>Purok 3 Aqualand San Vicente Panabo City</t>
        </is>
      </c>
      <c r="AD2271" s="4">
        <v>46122</v>
      </c>
      <c r="AE2271" t="inlineStr">
        <is>
          <t>100% Full Payment - Apr. 10, 2026</t>
        </is>
      </c>
      <c r="AF2271" s="2"/>
      <c r="AG2271" t="inlineStr">
        <is>
          <t>NzQyNTk5MTgyNzQ4MTg3MDM0MTpGRDRERjQxNi01NkM2LTRENjctODk5NC01RjRGNjQxRDA4RjctMToxNmM5NGUyYjJjM2FmMzlkZjYzZjYzMTdmNWNkYzAyMzox</t>
        </is>
      </c>
      <c r="AH2271" t="inlineStr">
        <is>
          <t>Krizzy Joyce Daugdaug</t>
        </is>
      </c>
      <c r="AI2271"/>
      <c r="AJ2271" t="inlineStr">
        <is>
          <t>LIQUIDITY PLAN (PAR # 202603150011 / 2026TEG-P0066)
MINDANAO LEG - MARCH 22, 2026 &gt; MANPOWER &gt;
Production Team &gt;
Director / Broadcast Specialist
Game Observer
IT Personnel
Photo and Video team
League Operations &gt; League Operations Crew
Total Budget = Php 33,000.00
Actual Cost = Php 51,500.00
Balance = (Php 18,500.00) OVER BUDGET</t>
        </is>
      </c>
      <c r="AK2271"/>
    </row>
    <row r="2272" ht="25.5" customHeight="1">
      <c r="A2272" s="2" t="str">
        <f>=HYPERLINK("https://applink.larksuite.com/client/mini_program/open?appId=cli_9c7cc8a9a9edd105&amp;mode=appCenter&amp;path_pc=pc/pages/requested/index?instanceId=7623371037647851227&amp;source=bitable&amp;path=pages/detail/index?instanceId=7623371037647851227&amp;source=bitable", "202603310118")</f>
        <v>202603310118</v>
      </c>
      <c r="B2272" t="inlineStr">
        <is>
          <t>Approved</t>
        </is>
      </c>
      <c r="C2272" t="inlineStr">
        <is>
          <t>Procurement Order</t>
        </is>
      </c>
      <c r="D2272" s="3">
        <v>46112.78686342593</v>
      </c>
      <c r="E2272" s="3">
        <v>46122.60491898148</v>
      </c>
      <c r="F2272" t="inlineStr">
        <is>
          <t>Fatima Kathleen M. FLores</t>
        </is>
      </c>
      <c r="G2272" t="inlineStr">
        <is>
          <t>Procurement</t>
        </is>
      </c>
      <c r="H2272"/>
      <c r="I2272"/>
      <c r="J2272" t="inlineStr">
        <is>
          <t>Project</t>
        </is>
      </c>
      <c r="K2272" t="inlineStr">
        <is>
          <t>GG - Event Service</t>
        </is>
      </c>
      <c r="L2272" t="inlineStr">
        <is>
          <t>PUBG Mobile 8th Anniversary Event</t>
        </is>
      </c>
      <c r="M2272" t="inlineStr">
        <is>
          <t>2026TEG-P0066</t>
        </is>
      </c>
      <c r="N2272" t="inlineStr">
        <is>
          <t>Randy Vince Fernandez Apura</t>
        </is>
      </c>
      <c r="O2272" t="inlineStr">
        <is>
          <t>202603250139-Randy Vince Fernandez Apura-费用报销 - 副本 - 副本 - 副本-2026-03-25 10:07:00</t>
        </is>
      </c>
      <c r="P2272" t="inlineStr">
        <is>
          <t>YES</t>
        </is>
      </c>
      <c r="Q2272"/>
      <c r="R2272" t="inlineStr">
        <is>
          <t>YES</t>
        </is>
      </c>
      <c r="S2272" t="inlineStr">
        <is>
          <t>Outsourced Logistics Coordinator</t>
        </is>
      </c>
      <c r="T2272">
        <v>1</v>
      </c>
      <c r="U2272">
        <v>30000</v>
      </c>
      <c r="V2272" t="inlineStr">
        <is>
          <t>PHP</t>
        </is>
      </c>
      <c r="W2272">
        <v>30000</v>
      </c>
      <c r="X2272" s="2" t="str">
        <f>=HYPERLINK("https://www.larksuite.com/approval/admin/previewAttachment?key=PMgxCgJBDAXQK_2fZPInXsZmh0XQBUFQLHJ2wWLbl5PIOehZiKIV2EpzF-HK0Bw0U1tTKogas9exX5drfY77Fnqu72P0-7bt68VRMoM8wicAXk53RURVBv6OXwAAAP__", "2 attachment(s)")</f>
        <v>2 attachment(s)</v>
      </c>
      <c r="Y2272" t="inlineStr">
        <is>
          <t>Bank Transfer</t>
        </is>
      </c>
      <c r="Z2272" t="inlineStr">
        <is>
          <t>Jose Miguel Gatchalian</t>
        </is>
      </c>
      <c r="AA2272" t="inlineStr">
        <is>
          <t>0586865032</t>
        </is>
      </c>
      <c r="AB2272" t="inlineStr">
        <is>
          <t>BPI</t>
        </is>
      </c>
      <c r="AC2272" t="inlineStr">
        <is>
          <t>#4 Edinburg Street, Greenland Phase 1, Nangka, Marikina City</t>
        </is>
      </c>
      <c r="AD2272" s="4">
        <v>46122</v>
      </c>
      <c r="AE2272" t="inlineStr">
        <is>
          <t>1st Payment - Apr. 10, 2026
Final Payment - Apr. 24, 2026</t>
        </is>
      </c>
      <c r="AF2272" s="2"/>
      <c r="AG2272" t="inlineStr">
        <is>
          <t>NzQyNTk5MTgyNzQ4MTg3MDM0MTpDNzg4QkI4OS1BMjA1LTREQzAtQkU1RC05MkM1QkI0REU4QUMtMTozY2ZmNGExYzgzNDZlNmUyOWZhMmQyYjQwMjg1OGZkYzox</t>
        </is>
      </c>
      <c r="AH2272" t="inlineStr">
        <is>
          <t>Jose Miguel Gatchalian</t>
        </is>
      </c>
      <c r="AI2272"/>
      <c r="AJ2272" t="inlineStr">
        <is>
          <t>No line item in internal CE - South Luzon &amp; MM. Unbudgeted.</t>
        </is>
      </c>
      <c r="AK2272"/>
    </row>
    <row r="2273" ht="25.5" customHeight="1">
      <c r="A2273" s="2" t="str">
        <f>=HYPERLINK("https://applink.larksuite.com/client/mini_program/open?appId=cli_9c7cc8a9a9edd105&amp;mode=appCenter&amp;path_pc=pc/pages/requested/index?instanceId=7623342115547877093&amp;source=bitable&amp;path=pages/detail/index?instanceId=7623342115547877093&amp;source=bitable", "202603310090")</f>
        <v>202603310090</v>
      </c>
      <c r="B2273" t="inlineStr">
        <is>
          <t>Approved</t>
        </is>
      </c>
      <c r="C2273" t="inlineStr">
        <is>
          <t>Procurement Order</t>
        </is>
      </c>
      <c r="D2273" s="3">
        <v>46112.70892361111</v>
      </c>
      <c r="E2273" s="3">
        <v>46122.6199537037</v>
      </c>
      <c r="F2273" t="inlineStr">
        <is>
          <t>Fatima Kathleen M. FLores</t>
        </is>
      </c>
      <c r="G2273" t="inlineStr">
        <is>
          <t>Procurement</t>
        </is>
      </c>
      <c r="H2273"/>
      <c r="I2273"/>
      <c r="J2273" t="inlineStr">
        <is>
          <t>Project</t>
        </is>
      </c>
      <c r="K2273" t="inlineStr">
        <is>
          <t>GG - Event Service</t>
        </is>
      </c>
      <c r="L2273" t="inlineStr">
        <is>
          <t>Philippine Kings League Spring Season 2026 (PKL)</t>
        </is>
      </c>
      <c r="M2273" t="inlineStr">
        <is>
          <t>2026TEG-P0037</t>
        </is>
      </c>
      <c r="N2273" t="inlineStr">
        <is>
          <t>Juvie Anne Asis Castres</t>
        </is>
      </c>
      <c r="O2273" t="inlineStr">
        <is>
          <t>202603260008-Juvie Anne Asis Castres-费用报销 - 副本 - 副本 - 副本-2026-03-26 02:35:48</t>
        </is>
      </c>
      <c r="P2273" t="inlineStr">
        <is>
          <t>YES</t>
        </is>
      </c>
      <c r="Q2273"/>
      <c r="R2273" t="inlineStr">
        <is>
          <t>YES</t>
        </is>
      </c>
      <c r="S2273" t="inlineStr">
        <is>
          <t>Outsourced Logistics Associate (Additional - Housekeeping)</t>
        </is>
      </c>
      <c r="T2273">
        <v>1</v>
      </c>
      <c r="U2273">
        <v>9800</v>
      </c>
      <c r="V2273" t="inlineStr">
        <is>
          <t>PHP</t>
        </is>
      </c>
      <c r="W2273">
        <v>9800</v>
      </c>
      <c r="X2273" s="2" t="str">
        <f>=HYPERLINK("https://www.larksuite.com/approval/admin/previewAttachment?key=PMhBCsIwEAXQK_0_M8nPeBk3hiCVgCCtdJGzCy66fbURtRV6TUTSElyq5h5GlhJqEtKXLUoJUSVXn-M-fB6v831u-_xufV_H8zH6hyVlBnmENwC8Xe6KiMwa-Dt-AQAA__8", "2 attachment(s)")</f>
        <v>2 attachment(s)</v>
      </c>
      <c r="Y2273" t="inlineStr">
        <is>
          <t>Bank Transfer</t>
        </is>
      </c>
      <c r="Z2273" t="inlineStr">
        <is>
          <t>Rizel John Obong</t>
        </is>
      </c>
      <c r="AA2273" t="inlineStr">
        <is>
          <t>09709731174</t>
        </is>
      </c>
      <c r="AB2273" t="inlineStr">
        <is>
          <t>GCash</t>
        </is>
      </c>
      <c r="AC2273" t="inlineStr">
        <is>
          <t>Blk 1j Lot 31 Phase 3 E-1 Dagat Dagatan Caloocan City</t>
        </is>
      </c>
      <c r="AD2273" s="4">
        <v>46122</v>
      </c>
      <c r="AE2273" t="inlineStr">
        <is>
          <t>100% Full Payment - Apr. 10, 2026</t>
        </is>
      </c>
      <c r="AF2273" s="2"/>
      <c r="AG2273" t="inlineStr">
        <is>
          <t>NzQyNTk5MTgyNzQ4MTg3MDM0MToxQTU5OEIxOC1GRDZBLTQ1MTktQUE1Mi05ODJCNEU4MjY5QzMtMTpmZmIwYjA2MmUyNzkyNzIyN2E4YjUzYjM3NDEyY2Q5NTox</t>
        </is>
      </c>
      <c r="AH2273" t="inlineStr">
        <is>
          <t>Rizel John Obong</t>
        </is>
      </c>
      <c r="AI2273"/>
      <c r="AJ2273" t="inlineStr">
        <is>
          <t>No line item in internal Playoffs CE.  UNBUDGETED</t>
        </is>
      </c>
      <c r="AK2273"/>
    </row>
    <row r="2274" ht="25.5" customHeight="1">
      <c r="A2274" s="2" t="str">
        <f>=HYPERLINK("https://applink.larksuite.com/client/mini_program/open?appId=cli_9c7cc8a9a9edd105&amp;mode=appCenter&amp;path_pc=pc/pages/requested/index?instanceId=7623340984125918942&amp;source=bitable&amp;path=pages/detail/index?instanceId=7623340984125918942&amp;source=bitable", "202603310088")</f>
        <v>202603310088</v>
      </c>
      <c r="B2274" t="inlineStr">
        <is>
          <t>Approved</t>
        </is>
      </c>
      <c r="C2274" t="inlineStr">
        <is>
          <t>Procurement Order</t>
        </is>
      </c>
      <c r="D2274" s="3">
        <v>46112.705879629626</v>
      </c>
      <c r="E2274" s="3">
        <v>46122.61914351852</v>
      </c>
      <c r="F2274" t="inlineStr">
        <is>
          <t>Fatima Kathleen M. FLores</t>
        </is>
      </c>
      <c r="G2274" t="inlineStr">
        <is>
          <t>Procurement</t>
        </is>
      </c>
      <c r="H2274"/>
      <c r="I2274"/>
      <c r="J2274" t="inlineStr">
        <is>
          <t>Project</t>
        </is>
      </c>
      <c r="K2274" t="inlineStr">
        <is>
          <t>GG - Event Service</t>
        </is>
      </c>
      <c r="L2274" t="inlineStr">
        <is>
          <t>Philippine Kings League Spring Season 2026 (PKL)</t>
        </is>
      </c>
      <c r="M2274" t="inlineStr">
        <is>
          <t>2026TEG-P0037</t>
        </is>
      </c>
      <c r="N2274" t="inlineStr">
        <is>
          <t>Juvie Anne Asis Castres</t>
        </is>
      </c>
      <c r="O2274" t="inlineStr">
        <is>
          <t>202603240065-Juvie Anne Asis Castres-费用报销 - 副本 - 副本 - 副本-2026-03-24 12:05:35</t>
        </is>
      </c>
      <c r="P2274" t="inlineStr">
        <is>
          <t>YES</t>
        </is>
      </c>
      <c r="Q2274"/>
      <c r="R2274" t="inlineStr">
        <is>
          <t>YES</t>
        </is>
      </c>
      <c r="S2274" t="inlineStr">
        <is>
          <t>Outsourced Asst. Broadcast Manager</t>
        </is>
      </c>
      <c r="T2274">
        <v>1</v>
      </c>
      <c r="U2274">
        <v>15000</v>
      </c>
      <c r="V2274" t="inlineStr">
        <is>
          <t>PHP</t>
        </is>
      </c>
      <c r="W2274">
        <v>15000</v>
      </c>
      <c r="X2274" s="2" t="str">
        <f>=HYPERLINK("https://www.larksuite.com/approval/admin/previewAttachment?key=PMhBqgJBDATQK1WSSqfrX-ZvZmgEUQSZgVnk7IILt29Mw5hpMQTKXLCu4RGEJs1TNkVvb6sSyirV-2P9X-flryNxxD2fa-vztq39balyRwUZE4D9_TyKpDSIr-MTAAD__w", "2 attachment(s)")</f>
        <v>2 attachment(s)</v>
      </c>
      <c r="Y2274" t="inlineStr">
        <is>
          <t>Bank Transfer</t>
        </is>
      </c>
      <c r="Z2274" t="inlineStr">
        <is>
          <t>Ma Kathrina Dela Cruz Buhay</t>
        </is>
      </c>
      <c r="AA2274" t="inlineStr">
        <is>
          <t>1093 2306 5431</t>
        </is>
      </c>
      <c r="AB2274" t="inlineStr">
        <is>
          <t>Union Bank</t>
        </is>
      </c>
      <c r="AC2274" t="inlineStr">
        <is>
          <t>1332 A.H. Lacson st., Sta Cruz, Manila</t>
        </is>
      </c>
      <c r="AD2274" s="4">
        <v>46129</v>
      </c>
      <c r="AE2274" t="inlineStr">
        <is>
          <t>100% Full Payment - Apr. 17, 2026</t>
        </is>
      </c>
      <c r="AF2274" s="2"/>
      <c r="AG2274" t="inlineStr">
        <is>
          <t>NzQyNTk5MTgyNzQ4MTg3MDM0MTowQ0Y2NzBDMC0yRjA4LTRGNEQtODJEQS0xMEU0NEUwNTVGQzAtMTo0MzAyZjZjNTJkYTUyZGY4YWQ5NDFhNTE1ZDgxN2M5Yjox</t>
        </is>
      </c>
      <c r="AH2274" t="inlineStr">
        <is>
          <t>Ma Kathrina Dela Cruz Buhay</t>
        </is>
      </c>
      <c r="AI2274"/>
      <c r="AJ2274" t="inlineStr">
        <is>
          <t>No line item in internal Playoffs CE.  UNBUDGETED</t>
        </is>
      </c>
      <c r="AK2274"/>
    </row>
    <row r="2275" ht="25.5" customHeight="1">
      <c r="A2275" s="2" t="str">
        <f>=HYPERLINK("https://applink.larksuite.com/client/mini_program/open?appId=cli_9c7cc8a9a9edd105&amp;mode=appCenter&amp;path_pc=pc/pages/requested/index?instanceId=7623339791484030686&amp;source=bitable&amp;path=pages/detail/index?instanceId=7623339791484030686&amp;source=bitable", "202603310087")</f>
        <v>202603310087</v>
      </c>
      <c r="B2275" t="inlineStr">
        <is>
          <t>Approved</t>
        </is>
      </c>
      <c r="C2275" t="inlineStr">
        <is>
          <t>Procurement Order</t>
        </is>
      </c>
      <c r="D2275" s="3">
        <v>46112.70266203704</v>
      </c>
      <c r="E2275" s="3">
        <v>46122.61835648148</v>
      </c>
      <c r="F2275" t="inlineStr">
        <is>
          <t>Fatima Kathleen M. FLores</t>
        </is>
      </c>
      <c r="G2275" t="inlineStr">
        <is>
          <t>Procurement</t>
        </is>
      </c>
      <c r="H2275"/>
      <c r="I2275"/>
      <c r="J2275" t="inlineStr">
        <is>
          <t>Project</t>
        </is>
      </c>
      <c r="K2275" t="inlineStr">
        <is>
          <t>GG - Event Service</t>
        </is>
      </c>
      <c r="L2275" t="inlineStr">
        <is>
          <t>Philippine Kings League Spring Season 2026 (PKL)</t>
        </is>
      </c>
      <c r="M2275" t="inlineStr">
        <is>
          <t>2026TEG-P0037</t>
        </is>
      </c>
      <c r="N2275" t="inlineStr">
        <is>
          <t>Juvie Anne Asis Castres</t>
        </is>
      </c>
      <c r="O2275" t="inlineStr">
        <is>
          <t>202603200025-Juvie Anne Asis Castres-费用报销 - 副本 - 副本 - 副本-2026-03-20 10:10:09</t>
        </is>
      </c>
      <c r="P2275" t="inlineStr">
        <is>
          <t>YES</t>
        </is>
      </c>
      <c r="Q2275"/>
      <c r="R2275" t="inlineStr">
        <is>
          <t>YES</t>
        </is>
      </c>
      <c r="S2275" t="inlineStr">
        <is>
          <t>Outsourced Assistant Stream Engineer</t>
        </is>
      </c>
      <c r="T2275">
        <v>1</v>
      </c>
      <c r="U2275">
        <v>6000</v>
      </c>
      <c r="V2275" t="inlineStr">
        <is>
          <t>PHP</t>
        </is>
      </c>
      <c r="W2275">
        <v>6000</v>
      </c>
      <c r="X2275" s="2" t="str">
        <f>=HYPERLINK("https://www.larksuite.com/approval/admin/previewAttachment?key=PMg7CgJBEATQK1V_pqvLy5i4DCqsCKJgMGcXDDZ91YbqYVFCylywxfKIEGXZiUB1LV9GCjQOrW2fZ9o-bt_nbH-Px73X53qZ28uG6A5GZjQAOx0ezEypEn_HLwAA__8", "2 attachment(s)")</f>
        <v>2 attachment(s)</v>
      </c>
      <c r="Y2275" t="inlineStr">
        <is>
          <t>Bank Transfer</t>
        </is>
      </c>
      <c r="Z2275" t="inlineStr">
        <is>
          <t>Joyce Y. Ramos</t>
        </is>
      </c>
      <c r="AA2275" t="inlineStr">
        <is>
          <t>0287-0610-05</t>
        </is>
      </c>
      <c r="AB2275" t="inlineStr">
        <is>
          <t>LandBank</t>
        </is>
      </c>
      <c r="AC2275" t="inlineStr">
        <is>
          <t>B57 L11 P2 Casimiro Townhomes Subd. Deparo, Caloocan City</t>
        </is>
      </c>
      <c r="AD2275" s="4">
        <v>46122</v>
      </c>
      <c r="AE2275" t="inlineStr">
        <is>
          <t>100% Full Payment - Apr. 10, 2026</t>
        </is>
      </c>
      <c r="AF2275" s="2"/>
      <c r="AG2275" t="inlineStr">
        <is>
          <t>NzQyNTk5MTgyNzQ4MTg3MDM0MTo1OEYwNDFBMC1GNzdBLTQ3RDgtQTlDQS1FRjcxMjBFQkFCOUUtMTplZWMzMDliNzQzY2ViYjUzMjlkMDdlNmNjZTMzNjVkMzox</t>
        </is>
      </c>
      <c r="AH2275" t="inlineStr">
        <is>
          <t>Joyce Y. Ramos</t>
        </is>
      </c>
      <c r="AI2275"/>
      <c r="AJ2275" t="inlineStr">
        <is>
          <t>No line item in internal CE. Additional manpower for stream set-up. UNBUDGETED</t>
        </is>
      </c>
      <c r="AK2275"/>
    </row>
    <row r="2276" ht="25.5" customHeight="1">
      <c r="A2276" s="2" t="str">
        <f>=HYPERLINK("https://applink.larksuite.com/client/mini_program/open?appId=cli_9c7cc8a9a9edd105&amp;mode=appCenter&amp;path_pc=pc/pages/requested/index?instanceId=7623311394849640155&amp;source=bitable&amp;path=pages/detail/index?instanceId=7623311394849640155&amp;source=bitable", "202603310056")</f>
        <v>202603310056</v>
      </c>
      <c r="B2276" t="inlineStr">
        <is>
          <t>Approved</t>
        </is>
      </c>
      <c r="C2276" t="inlineStr">
        <is>
          <t>Procurement Order</t>
        </is>
      </c>
      <c r="D2276" s="3">
        <v>46112.62614583333</v>
      </c>
      <c r="E2276" s="3">
        <v>46119.7674537037</v>
      </c>
      <c r="F2276" t="inlineStr">
        <is>
          <t>Fatima Kathleen M. FLores</t>
        </is>
      </c>
      <c r="G2276" t="inlineStr">
        <is>
          <t>Procurement</t>
        </is>
      </c>
      <c r="H2276"/>
      <c r="I2276"/>
      <c r="J2276" t="inlineStr">
        <is>
          <t>Project</t>
        </is>
      </c>
      <c r="K2276" t="inlineStr">
        <is>
          <t>GG - Event Service</t>
        </is>
      </c>
      <c r="L2276" t="inlineStr">
        <is>
          <t>Philippine Kings League Spring Season 2026 (PKL)</t>
        </is>
      </c>
      <c r="M2276" t="inlineStr">
        <is>
          <t>2026TEG-P0037</t>
        </is>
      </c>
      <c r="N2276" t="inlineStr">
        <is>
          <t>Juvie Anne Asis Castres</t>
        </is>
      </c>
      <c r="O2276" t="inlineStr">
        <is>
          <t>202603120081-Juvie Anne Asis Castres-费用报销 - 副本 - 副本 - 副本-2026-03-12 08:29:42</t>
        </is>
      </c>
      <c r="P2276" t="inlineStr">
        <is>
          <t>YES</t>
        </is>
      </c>
      <c r="Q2276"/>
      <c r="R2276" t="inlineStr">
        <is>
          <t>YES</t>
        </is>
      </c>
      <c r="S2276" t="inlineStr">
        <is>
          <t>Outsourced Resolume (LED) Operator</t>
        </is>
      </c>
      <c r="T2276">
        <v>1</v>
      </c>
      <c r="U2276">
        <v>8000</v>
      </c>
      <c r="V2276" t="inlineStr">
        <is>
          <t>PHP</t>
        </is>
      </c>
      <c r="W2276">
        <v>8000</v>
      </c>
      <c r="X2276" s="2" t="str">
        <f>=HYPERLINK("https://www.larksuite.com/approval/admin/previewAttachment?key=PMxBqgJBDATQK1V1kk7qX-ZvZmgERxkQ3eXsogu3b_FmEbOCNgUXh8DOOcxIk5drOhjRo5kpJDPU-239b8-066kjTq17Hf26bGt_MJRjIM3dCgD_fm7p7vp8X8c7AAD__w", "2 attachment(s)")</f>
        <v>2 attachment(s)</v>
      </c>
      <c r="Y2276" t="inlineStr">
        <is>
          <t>Bank Transfer</t>
        </is>
      </c>
      <c r="Z2276" t="inlineStr">
        <is>
          <t>Emir Ryan Concepcion</t>
        </is>
      </c>
      <c r="AA2276" t="inlineStr">
        <is>
          <t>3179710829</t>
        </is>
      </c>
      <c r="AB2276" t="inlineStr">
        <is>
          <t>bpi</t>
        </is>
      </c>
      <c r="AC2276" t="inlineStr">
        <is>
          <t>116 J.Molina Corner Blue Bird Street, Strip 70 Village, Concepcion Uno, Marikina City</t>
        </is>
      </c>
      <c r="AD2276" s="4">
        <v>46122</v>
      </c>
      <c r="AE2276" t="inlineStr">
        <is>
          <t>100% Full Payment - Apr. 10, 2026</t>
        </is>
      </c>
      <c r="AF2276" s="2"/>
      <c r="AG2276" t="inlineStr">
        <is>
          <t>NzQyNTk5MTgyNzQ4MTg3MDM0MTo3Rjc4MUU2Qy01Rjg4LTQ2RUUtODY2Ny1BQjMyMDI3RENDMjEtMTo5Njc4OTkxOWEzOWVkNDExMDlmYjg2MTk5MzI1ODM2Nzox</t>
        </is>
      </c>
      <c r="AH2276" t="inlineStr">
        <is>
          <t>Emir Ryan Concepcion</t>
        </is>
      </c>
      <c r="AI2276"/>
      <c r="AJ2276" t="inlineStr">
        <is>
          <t>LIQUIDITY PLAN (PAR # 202602120015 / 2026TEG-P0037) - MAR 9 VERSION
PLAYOFFS &gt; LABOR COST &gt;
ADDITIONAL BROADCAST MANPOWER &gt;
Resolume (LED) Operator
Total Budget = Php 6,400.00
Actual Cost = Php 8,000.00
Balance = (Php 1,600.00) OVER BUDGET</t>
        </is>
      </c>
      <c r="AK2276"/>
    </row>
    <row r="2277" ht="25.5" customHeight="1">
      <c r="A2277" s="2" t="str">
        <f>=HYPERLINK("https://applink.larksuite.com/client/mini_program/open?appId=cli_9c7cc8a9a9edd105&amp;mode=appCenter&amp;path_pc=pc/pages/requested/index?instanceId=7623304624493072094&amp;source=bitable&amp;path=pages/detail/index?instanceId=7623304624493072094&amp;source=bitable", "202603310046")</f>
        <v>202603310046</v>
      </c>
      <c r="B2277" t="inlineStr">
        <is>
          <t>Approved</t>
        </is>
      </c>
      <c r="C2277" t="inlineStr">
        <is>
          <t>Procurement Order</t>
        </is>
      </c>
      <c r="D2277" s="3">
        <v>46112.60789351852</v>
      </c>
      <c r="E2277" s="3">
        <v>46122.61760416667</v>
      </c>
      <c r="F2277" t="inlineStr">
        <is>
          <t>Fatima Kathleen M. FLores</t>
        </is>
      </c>
      <c r="G2277" t="inlineStr">
        <is>
          <t>Procurement</t>
        </is>
      </c>
      <c r="H2277"/>
      <c r="I2277"/>
      <c r="J2277" t="inlineStr">
        <is>
          <t>Project</t>
        </is>
      </c>
      <c r="K2277" t="inlineStr">
        <is>
          <t>GG - Event Service</t>
        </is>
      </c>
      <c r="L2277" t="inlineStr">
        <is>
          <t>Philippine Kings League Spring Season 2026 (PKL)</t>
        </is>
      </c>
      <c r="M2277" t="inlineStr">
        <is>
          <t>2026TEG-P0037</t>
        </is>
      </c>
      <c r="N2277" t="inlineStr">
        <is>
          <t>Juvie Anne Asis Castres</t>
        </is>
      </c>
      <c r="O2277" t="inlineStr">
        <is>
          <t>202603120073-Juvie Anne Asis Castres-费用报销 - 副本 - 副本 - 副本-2026-03-12 08:13:39</t>
        </is>
      </c>
      <c r="P2277" t="inlineStr">
        <is>
          <t>YES</t>
        </is>
      </c>
      <c r="Q2277"/>
      <c r="R2277" t="inlineStr">
        <is>
          <t>YES</t>
        </is>
      </c>
      <c r="S2277" t="inlineStr">
        <is>
          <t>Outsourced FOH Assistant Technical Director</t>
        </is>
      </c>
      <c r="T2277">
        <v>1</v>
      </c>
      <c r="U2277">
        <v>42000</v>
      </c>
      <c r="V2277" t="inlineStr">
        <is>
          <t>PHP</t>
        </is>
      </c>
      <c r="W2277">
        <v>42000</v>
      </c>
      <c r="X2277" s="2" t="str">
        <f>=HYPERLINK("https://www.larksuite.com/approval/admin/previewAttachment?key=PMgxrsJADATQK43tWXvnX-Y3iVZIgTRIiBQ-OxIF7ctpyDksUqDMBetKjwDTSQXKIba3VQllNdT7Y_0fTlvnvc7rfW129Ou2rf1pQ-WOCjImAPv7eRRJKYmv4xMAAP__", "2 attachment(s)")</f>
        <v>2 attachment(s)</v>
      </c>
      <c r="Y2277" t="inlineStr">
        <is>
          <t>Bank Transfer</t>
        </is>
      </c>
      <c r="Z2277" t="inlineStr">
        <is>
          <t>Ricardo Cuevas</t>
        </is>
      </c>
      <c r="AA2277" t="inlineStr">
        <is>
          <t>200039521228</t>
        </is>
      </c>
      <c r="AB2277" t="inlineStr">
        <is>
          <t>East West Bank</t>
        </is>
      </c>
      <c r="AC2277" t="inlineStr">
        <is>
          <t>130 F. Acab St. Caloocan City</t>
        </is>
      </c>
      <c r="AD2277" s="4">
        <v>46122</v>
      </c>
      <c r="AE2277" t="inlineStr">
        <is>
          <t>1st Payment - Apr. 10, 2026
Final Payment - Apr. 24, 2026</t>
        </is>
      </c>
      <c r="AF2277" s="2"/>
      <c r="AG2277" t="inlineStr">
        <is>
          <t>NzQyNTk5MTgyNzQ4MTg3MDM0MToyODU5MTJCMS1BN0ZFLTQ5MkQtQUE1Ni04MjQ0QUQ3OTcwOTctMTplNTMzYmU5NDQyNTE4NDhkNzc4NzI1NTVlNDNiY2Q5Yzox</t>
        </is>
      </c>
      <c r="AH2277" t="inlineStr">
        <is>
          <t>Ricardo Cuevas</t>
        </is>
      </c>
      <c r="AI2277"/>
      <c r="AJ2277" t="inlineStr">
        <is>
          <t>LIQUIDITY PLAN (PAR # 202602120015 / 2026TEG-P0037) - MAR 9 VERSION
PLAYOFFS &gt; LABOR COST &gt;
ADDITIONAL BROADCAST MANPOWER &gt;
FOH Assistant TD
Total Budget = Php 25,000.00
Actual Cost = Php 42,000.00
Balance = (Php 17,000.00) OVER BUDGET</t>
        </is>
      </c>
      <c r="AK2277"/>
    </row>
    <row r="2278" ht="25.5" customHeight="1">
      <c r="A2278" s="2" t="str">
        <f>=HYPERLINK("https://applink.larksuite.com/client/mini_program/open?appId=cli_9c7cc8a9a9edd105&amp;mode=appCenter&amp;path_pc=pc/pages/requested/index?instanceId=7625451922526310107&amp;source=bitable&amp;path=pages/detail/index?instanceId=7625451922526310107&amp;source=bitable", "202604060002")</f>
        <v>202604060002</v>
      </c>
      <c r="B2278" t="inlineStr">
        <is>
          <t>Approved</t>
        </is>
      </c>
      <c r="C2278" t="inlineStr">
        <is>
          <t>Procurement Order</t>
        </is>
      </c>
      <c r="D2278" s="3">
        <v>46118.39443287037</v>
      </c>
      <c r="E2278" s="3">
        <v>46119.72246527778</v>
      </c>
      <c r="F2278" t="inlineStr">
        <is>
          <t>Arlyn Castillo</t>
        </is>
      </c>
      <c r="G2278" t="inlineStr">
        <is>
          <t>Procurement</t>
        </is>
      </c>
      <c r="H2278"/>
      <c r="I2278"/>
      <c r="J2278" t="inlineStr">
        <is>
          <t>GAE</t>
        </is>
      </c>
      <c r="K2278"/>
      <c r="L2278"/>
      <c r="M2278"/>
      <c r="N2278"/>
      <c r="O2278" t="inlineStr">
        <is>
          <t>202603050106-Bernadeth Español Villaflor-费用报销 - 副本 - 副本 - 副本-2026-03-05 10:17:56</t>
        </is>
      </c>
      <c r="P2278"/>
      <c r="Q2278" t="inlineStr">
        <is>
          <t>Mineski PH</t>
        </is>
      </c>
      <c r="R2278"/>
      <c r="S2278" t="inlineStr">
        <is>
          <t>Outsourced Logistics Services (Truck)</t>
        </is>
      </c>
      <c r="T2278">
        <v>1</v>
      </c>
      <c r="U2278">
        <v>7000</v>
      </c>
      <c r="V2278" t="inlineStr">
        <is>
          <t>PHP</t>
        </is>
      </c>
      <c r="W2278">
        <v>7000</v>
      </c>
      <c r="X2278" s="2" t="str">
        <f>=HYPERLINK("https://www.larksuite.com/approval/admin/previewAttachment?key=PMi7DQIxEATQlmb266UZEqwTNhAhQbS1IxFc-mIQMZwaBStKgZ0hbs4ScQkliGxpZhaS6aPn67i6z8Xae83v42m7P_fbMd_0ShGkmukAwMvpmmZWFYa_4xcAAP__", "3 attachment(s)")</f>
        <v>3 attachment(s)</v>
      </c>
      <c r="Y2278" t="inlineStr">
        <is>
          <t>Bank Transfer</t>
        </is>
      </c>
      <c r="Z2278" t="inlineStr">
        <is>
          <t>Truckrentalph Transport Logistics Inc.</t>
        </is>
      </c>
      <c r="AA2278" t="inlineStr">
        <is>
          <t>121-700-001-557</t>
        </is>
      </c>
      <c r="AB2278" t="inlineStr">
        <is>
          <t>Chinabank Corp</t>
        </is>
      </c>
      <c r="AC2278" t="inlineStr">
        <is>
          <t>3878 Daffodil St., San Valley Paranaque City</t>
        </is>
      </c>
      <c r="AD2278" s="4">
        <v>46122</v>
      </c>
      <c r="AE2278" t="inlineStr">
        <is>
          <t>Full Payment after service</t>
        </is>
      </c>
      <c r="AF2278" s="2"/>
      <c r="AG2278" t="inlineStr">
        <is>
          <t>NzQyNTk5MTgyNzQ4MTg3MDM0MTowOEMwNzk5QS04Njc3LTQ0MjMtQURCNC1DNzJBRTJFNjE0OEMtMTowYTZjNjE0YzAxYWEwMTZiMTBhOTFiOTliZDkxZDczNDox</t>
        </is>
      </c>
      <c r="AH2278" t="inlineStr">
        <is>
          <t>Truckrentalph Transport Logistics Inc.</t>
        </is>
      </c>
      <c r="AI2278"/>
      <c r="AJ2278"/>
      <c r="AK2278" t="inlineStr">
        <is>
          <t>Bernadeth Español Villaflor</t>
        </is>
      </c>
    </row>
    <row r="2279" ht="25.5" customHeight="1">
      <c r="A2279" s="2" t="str">
        <f>=HYPERLINK("https://applink.larksuite.com/client/mini_program/open?appId=cli_9c7cc8a9a9edd105&amp;mode=appCenter&amp;path_pc=pc/pages/requested/index?instanceId=7623376114479566555&amp;source=bitable&amp;path=pages/detail/index?instanceId=7623376114479566555&amp;source=bitable", "202603310123")</f>
        <v>202603310123</v>
      </c>
      <c r="B2279" t="inlineStr">
        <is>
          <t>Approved</t>
        </is>
      </c>
      <c r="C2279" t="inlineStr">
        <is>
          <t>Procurement Order</t>
        </is>
      </c>
      <c r="D2279" s="3">
        <v>46112.80054398148</v>
      </c>
      <c r="E2279" s="3">
        <v>46122.606400462966</v>
      </c>
      <c r="F2279" t="inlineStr">
        <is>
          <t>Fatima Kathleen M. FLores</t>
        </is>
      </c>
      <c r="G2279" t="inlineStr">
        <is>
          <t>Procurement</t>
        </is>
      </c>
      <c r="H2279"/>
      <c r="I2279"/>
      <c r="J2279" t="inlineStr">
        <is>
          <t>Project</t>
        </is>
      </c>
      <c r="K2279" t="inlineStr">
        <is>
          <t>GG - Event Service</t>
        </is>
      </c>
      <c r="L2279" t="inlineStr">
        <is>
          <t>PUBG Mobile 8th Anniversary Event</t>
        </is>
      </c>
      <c r="M2279" t="inlineStr">
        <is>
          <t>2026TEG-P0066</t>
        </is>
      </c>
      <c r="N2279" t="inlineStr">
        <is>
          <t>Randy Vince Fernandez Apura</t>
        </is>
      </c>
      <c r="O2279" t="inlineStr">
        <is>
          <t>202603260075-Frances Angelita Arreglado-费用报销 - 副本 - 副本 - 副本-2026-03-26 06:55:53</t>
        </is>
      </c>
      <c r="P2279" t="inlineStr">
        <is>
          <t>YES</t>
        </is>
      </c>
      <c r="Q2279"/>
      <c r="R2279" t="inlineStr">
        <is>
          <t>YES</t>
        </is>
      </c>
      <c r="S2279" t="inlineStr">
        <is>
          <t>Outsourced Logistic Crew</t>
        </is>
      </c>
      <c r="T2279">
        <v>1</v>
      </c>
      <c r="U2279">
        <v>3000</v>
      </c>
      <c r="V2279" t="inlineStr">
        <is>
          <t>PHP</t>
        </is>
      </c>
      <c r="W2279">
        <v>3000</v>
      </c>
      <c r="X2279" s="2" t="str">
        <f>=HYPERLINK("https://www.larksuite.com/approval/admin/previewAttachment?key=PMgxCgJBDAXQK-UnP_kTL2PjMsi6VsKKxZxdsLB9NWA1ElFtbHgblsojVACpzqrMXL4gtQnKsbbnvB658_PgfB---3au836b2wvZcjcFGcPMcPl7iGR30X5u3wAAAP__", "2 attachment(s)")</f>
        <v>2 attachment(s)</v>
      </c>
      <c r="Y2279" t="inlineStr">
        <is>
          <t>Bank Transfer</t>
        </is>
      </c>
      <c r="Z2279" t="inlineStr">
        <is>
          <t>Romelia Avila</t>
        </is>
      </c>
      <c r="AA2279" t="inlineStr">
        <is>
          <t>09776253986</t>
        </is>
      </c>
      <c r="AB2279" t="inlineStr">
        <is>
          <t>GCash</t>
        </is>
      </c>
      <c r="AC2279" t="inlineStr">
        <is>
          <t>185 C Aguinaldo Salitran 1, Dasma, Cavite</t>
        </is>
      </c>
      <c r="AD2279" s="4">
        <v>46122</v>
      </c>
      <c r="AE2279" t="inlineStr">
        <is>
          <t>100% Full Payment - Apr. 10, 2026</t>
        </is>
      </c>
      <c r="AF2279" s="2"/>
      <c r="AG2279" t="inlineStr">
        <is>
          <t>NzQyNTk5MTgyNzQ4MTg3MDM0MTo2RjYyNUZCNy01RDhELTQ4NzQtOEIzQS0xQzRGM0M4QjU0RTctMTo1NjI2MjIyN2IwZTU4MTY0NGExMmEwMmNkZjRlYzkxNzox</t>
        </is>
      </c>
      <c r="AH2279" t="inlineStr">
        <is>
          <t>Romelia Avila</t>
        </is>
      </c>
      <c r="AI2279"/>
      <c r="AJ2279" t="inlineStr">
        <is>
          <t>LIQUIDITY PLAN (PAR # 202603150011 / 202603150011) - AS OF 03/24/26
SOUTH LUZON LEG - MARCH 28, 2026 &gt; MANPOWER &gt;
Logistics, Hospitality &gt; Logistic Crew
Total Remaining Budget = Php 1,500.00
Actual Cost = Php 3,000.00
Balance = (Php 1,500.00) OVER BUDGET</t>
        </is>
      </c>
      <c r="AK2279"/>
    </row>
    <row r="2280" ht="25.5" customHeight="1">
      <c r="A2280" s="2" t="str">
        <f>=HYPERLINK("https://applink.larksuite.com/client/mini_program/open?appId=cli_9c7cc8a9a9edd105&amp;mode=appCenter&amp;path_pc=pc/pages/requested/index?instanceId=7625527991904276187&amp;source=bitable&amp;path=pages/detail/index?instanceId=7625527991904276187&amp;source=bitable", "202604060090")</f>
        <v>202604060090</v>
      </c>
      <c r="B2280" t="inlineStr">
        <is>
          <t>Approved</t>
        </is>
      </c>
      <c r="C2280" t="inlineStr">
        <is>
          <t>Procurement Order</t>
        </is>
      </c>
      <c r="D2280" s="3">
        <v>46118.5994212963</v>
      </c>
      <c r="E2280" s="3">
        <v>46118.64747685185</v>
      </c>
      <c r="F2280" t="inlineStr">
        <is>
          <t>Arlyn Castillo</t>
        </is>
      </c>
      <c r="G2280" t="inlineStr">
        <is>
          <t>Procurement</t>
        </is>
      </c>
      <c r="H2280"/>
      <c r="I2280"/>
      <c r="J2280" t="inlineStr">
        <is>
          <t>Project</t>
        </is>
      </c>
      <c r="K2280" t="inlineStr">
        <is>
          <t>PDEI - Game Marketing</t>
        </is>
      </c>
      <c r="L2280" t="inlineStr">
        <is>
          <t>SportsPlus MPBL Roadtrip Watchparty 2026</t>
        </is>
      </c>
      <c r="M2280" t="inlineStr">
        <is>
          <t>2026TEG-P0028</t>
        </is>
      </c>
      <c r="N2280" t="inlineStr">
        <is>
          <t>Kervin</t>
        </is>
      </c>
      <c r="O2280" t="inlineStr">
        <is>
          <t>202603260029-Kervin-费用报销 - 副本 - 副本 - 副本-2026-03-26 04:23:00;202604060058-Kervin-费用报销 - 副本 - 副本 - 副本-2026-04-06 04:15:34</t>
        </is>
      </c>
      <c r="P2280" t="inlineStr">
        <is>
          <t>NO</t>
        </is>
      </c>
      <c r="Q2280"/>
      <c r="R2280" t="inlineStr">
        <is>
          <t>NO</t>
        </is>
      </c>
      <c r="S2280" t="inlineStr">
        <is>
          <t>Customize Feather Banner: Microfibber, 7x2ft, Full Subli</t>
        </is>
      </c>
      <c r="T2280">
        <v>4</v>
      </c>
      <c r="U2280">
        <v>5600</v>
      </c>
      <c r="V2280" t="inlineStr">
        <is>
          <t>PHP</t>
        </is>
      </c>
      <c r="W2280">
        <v>22400</v>
      </c>
      <c r="X2280" s="2" t="str">
        <f>=HYPERLINK("https://www.larksuite.com/approval/admin/previewAttachment?key=PMhLCgIxEATQK1V1Ol0pL-NmwuCHAUGQ2eTsggu3rwZRo7OVkWYYXKroPWTTyFBxaMWiZIjqXvPYr-047_Mxx77xdT7n-ty2fb7ZrQioZbYBgJe_N2WmXYmf4xsAAP__", "1 attachment(s)")</f>
        <v>1 attachment(s)</v>
      </c>
      <c r="Y2280" t="inlineStr">
        <is>
          <t>Bank Transfer</t>
        </is>
      </c>
      <c r="Z2280" t="inlineStr">
        <is>
          <t>Golden Arts Printing Services</t>
        </is>
      </c>
      <c r="AA2280" t="inlineStr">
        <is>
          <t>766-7-766000572</t>
        </is>
      </c>
      <c r="AB2280" t="inlineStr">
        <is>
          <t>METROBANK</t>
        </is>
      </c>
      <c r="AC2280" t="inlineStr">
        <is>
          <t>728 Raxabago St. Brgy. 154, Zone 14 102 Tondo, City of manila</t>
        </is>
      </c>
      <c r="AD2280" s="4">
        <v>46118</v>
      </c>
      <c r="AE2280" t="inlineStr">
        <is>
          <t>50% Down Payment upon confirmation
50% Final Payment upon compete delivery</t>
        </is>
      </c>
      <c r="AF2280" s="2" t="str">
        <f>=HYPERLINK("https://www.larksuite.com/approval/admin/previewAttachment?key=TMg7CgJBEATQK1XNTH_Ky5hss_hhQRBkkz67YGT6PAlP43RhiUNghw-zERKFNcKZ0aMZIQTD1HXs13mc93pU7htf57P6c9v2etNzOpZsLQoAL39OQjl9_hzfAAAA__8", "3 attachment(s)")</f>
        <v>3 attachment(s)</v>
      </c>
      <c r="AG2280" t="inlineStr">
        <is>
          <t>NzQyNTk5MTgyNzQ4MTg3MDM0MTo0QTZGMzhEOS1EOUE3LTQxMTgtOTIwRS01RTEyMEY5NTdCOTgtMTpjODQyNzRlNjE4ODcxNjM2NjlhYTgxYTNhYWU5ZGFkOTox</t>
        </is>
      </c>
      <c r="AH2280" t="inlineStr">
        <is>
          <t>Golden Arts Printing Services</t>
        </is>
      </c>
      <c r="AI2280"/>
      <c r="AJ2280" t="inlineStr">
        <is>
          <t>LIQUIDITY PLAN (PAR # 202604060049 / 2026TEG-P0088)
FABRICATIONS / COLLATERALS  &gt; Feather Banners (Particular 1)
Total Budget = Php 26,000.00
Actual Cost = Php 22,400.00
Balance = Php 4,400.00 
LIQUIDITY PLAN (PAR # 202603240070 / 2026TEG-P0028)
PRE-PURCHASED ITEMS &gt; Branded Tent (Particular 2)
Total Budget = Php 32,000.00
Actual Cost = Php 14,560.00
Balance = Php 17,440.00</t>
        </is>
      </c>
      <c r="AK2280"/>
    </row>
    <row r="2281" ht="25.5" customHeight="1">
      <c r="A2281" s="2" t="str">
        <f>=HYPERLINK("https://applink.larksuite.com/client/mini_program/open?appId=cli_9c7cc8a9a9edd105&amp;mode=appCenter&amp;path_pc=pc/pages/requested/index?instanceId=7625527991904276187&amp;source=bitable&amp;path=pages/detail/index?instanceId=7625527991904276187&amp;source=bitable", "202604060090")</f>
        <v>202604060090</v>
      </c>
      <c r="B2281" t="inlineStr">
        <is>
          <t>Approved</t>
        </is>
      </c>
      <c r="C2281" t="inlineStr">
        <is>
          <t>Procurement Order</t>
        </is>
      </c>
      <c r="D2281" s="3">
        <v>46118.5994212963</v>
      </c>
      <c r="E2281" s="3">
        <v>46118.64747685185</v>
      </c>
      <c r="F2281" t="inlineStr">
        <is>
          <t>Arlyn Castillo</t>
        </is>
      </c>
      <c r="G2281" t="inlineStr">
        <is>
          <t>Procurement</t>
        </is>
      </c>
      <c r="H2281"/>
      <c r="I2281"/>
      <c r="J2281" t="inlineStr">
        <is>
          <t>Project</t>
        </is>
      </c>
      <c r="K2281" t="inlineStr">
        <is>
          <t>PDEI - Game Marketing</t>
        </is>
      </c>
      <c r="L2281" t="inlineStr">
        <is>
          <t>SportsPlus MPBL Roadtrip Watchparty 2026</t>
        </is>
      </c>
      <c r="M2281" t="inlineStr">
        <is>
          <t>2026TEG-P0028</t>
        </is>
      </c>
      <c r="N2281" t="inlineStr">
        <is>
          <t>Kervin</t>
        </is>
      </c>
      <c r="O2281" t="inlineStr">
        <is>
          <t>202603260029-Kervin-费用报销 - 副本 - 副本 - 副本-2026-03-26 04:23:00;202604060058-Kervin-费用报销 - 副本 - 副本 - 副本-2026-04-06 04:15:34</t>
        </is>
      </c>
      <c r="P2281" t="inlineStr">
        <is>
          <t>NO</t>
        </is>
      </c>
      <c r="Q2281"/>
      <c r="R2281" t="inlineStr">
        <is>
          <t>NO</t>
        </is>
      </c>
      <c r="S2281" t="inlineStr">
        <is>
          <t>Customize Tent: Oxford, 3x3ft, Full Sublimation</t>
        </is>
      </c>
      <c r="T2281">
        <v>1</v>
      </c>
      <c r="U2281">
        <v>14560</v>
      </c>
      <c r="V2281" t="inlineStr">
        <is>
          <t>PHP</t>
        </is>
      </c>
      <c r="W2281">
        <v>14560</v>
      </c>
      <c r="X2281" s="2" t="str">
        <f>=HYPERLINK("https://www.larksuite.com/approval/admin/previewAttachment?key=PMhLCgIxEATQK1V1Ol0pL-NmwuCHAUGQ2eTsggu3rwZRo7OVkWYYXKroPWTTyFBxaMWiZIjqXvPYr-047_Mxx77xdT7n-ty2fb7ZrQioZbYBgJe_N2WmXYmf8xsAAP__", "2 attachment(s)")</f>
        <v>2 attachment(s)</v>
      </c>
      <c r="Y2281"/>
      <c r="Z2281"/>
      <c r="AA2281"/>
      <c r="AB2281"/>
      <c r="AC2281"/>
      <c r="AD2281" s="4"/>
      <c r="AE2281"/>
      <c r="AF2281" s="2"/>
      <c r="AG2281" t="inlineStr">
        <is>
          <t>NzQyNTk5MTgyNzQ4MTg3MDM0MTo0QTZGMzhEOS1EOUE3LTQxMTgtOTIwRS01RTEyMEY5NTdCOTgtMjpkMWE4ZWI0YzAzZmE5MzFlMWY4MDE1MDZiMGI3M2I0ZTox</t>
        </is>
      </c>
      <c r="AH2281"/>
      <c r="AI2281"/>
      <c r="AJ2281" t="inlineStr">
        <is>
          <t>LIQUIDITY PLAN (PAR # 202604060049 / 2026TEG-P0088)
FABRICATIONS / COLLATERALS  &gt; Feather Banners (Particular 1)
Total Budget = Php 26,000.00
Actual Cost = Php 22,400.00
Balance = Php 4,400.00 
LIQUIDITY PLAN (PAR # 202603240070 / 2026TEG-P0028)
PRE-PURCHASED ITEMS &gt; Branded Tent (Particular 2)
Total Budget = Php 32,000.00
Actual Cost = Php 14,560.00
Balance = Php 17,440.00</t>
        </is>
      </c>
      <c r="AK2281"/>
    </row>
    <row r="2282" ht="25.5" customHeight="1">
      <c r="A2282" s="2" t="str">
        <f>=HYPERLINK("https://applink.larksuite.com/client/mini_program/open?appId=cli_9c7cc8a9a9edd105&amp;mode=appCenter&amp;path_pc=pc/pages/requested/index?instanceId=7625546107275185893&amp;source=bitable&amp;path=pages/detail/index?instanceId=7625546107275185893&amp;source=bitable", "202604060108")</f>
        <v>202604060108</v>
      </c>
      <c r="B2282" t="inlineStr">
        <is>
          <t>Approved</t>
        </is>
      </c>
      <c r="C2282" t="inlineStr">
        <is>
          <t>Procurement Order</t>
        </is>
      </c>
      <c r="D2282" s="3">
        <v>46118.64824074074</v>
      </c>
      <c r="E2282" s="3">
        <v>46118.688368055555</v>
      </c>
      <c r="F2282" t="inlineStr">
        <is>
          <t>Zaira Villar</t>
        </is>
      </c>
      <c r="G2282" t="inlineStr">
        <is>
          <t>Procurement</t>
        </is>
      </c>
      <c r="H2282"/>
      <c r="I2282"/>
      <c r="J2282" t="inlineStr">
        <is>
          <t>Project</t>
        </is>
      </c>
      <c r="K2282" t="inlineStr">
        <is>
          <t>GG - Event Service</t>
        </is>
      </c>
      <c r="L2282" t="inlineStr">
        <is>
          <t>PUBG Mobile 8th Anniversary Event</t>
        </is>
      </c>
      <c r="M2282" t="inlineStr">
        <is>
          <t>2026TEG-P0066</t>
        </is>
      </c>
      <c r="N2282" t="inlineStr">
        <is>
          <t>Frances Angelita Arreglado</t>
        </is>
      </c>
      <c r="O2282" t="inlineStr">
        <is>
          <t>202603260092-Frances Angelita Arreglado-费用报销 - 副本 - 副本 - 副本-2026-03-26 07:43:06</t>
        </is>
      </c>
      <c r="P2282" t="inlineStr">
        <is>
          <t>YES</t>
        </is>
      </c>
      <c r="Q2282"/>
      <c r="R2282" t="inlineStr">
        <is>
          <t>NO</t>
        </is>
      </c>
      <c r="S2282" t="inlineStr">
        <is>
          <t>Outsourced Show Director/Producer</t>
        </is>
      </c>
      <c r="T2282">
        <v>1</v>
      </c>
      <c r="U2282">
        <v>14000</v>
      </c>
      <c r="V2282" t="inlineStr">
        <is>
          <t>PHP</t>
        </is>
      </c>
      <c r="W2282">
        <v>14000</v>
      </c>
      <c r="X2282" s="2" t="str">
        <f>=HYPERLINK("https://www.larksuite.com/approval/admin/previewAttachment?key=PMgxrsJADATQK814bY_9L_MboggpSoXIQrFnR6KgfVlEVnBkw5vW4FJahCchU7CieixblBqiotd27v-H-fu0OefrWXYd67rf9u3BaJlBw30UAP79fMjdu9PxdXwCAAD__w", "2 attachment(s)")</f>
        <v>2 attachment(s)</v>
      </c>
      <c r="Y2282" t="inlineStr">
        <is>
          <t>Bank Transfer</t>
        </is>
      </c>
      <c r="Z2282" t="inlineStr">
        <is>
          <t>Paolo Luis Navarro</t>
        </is>
      </c>
      <c r="AA2282" t="inlineStr">
        <is>
          <t>1669371663</t>
        </is>
      </c>
      <c r="AB2282" t="inlineStr">
        <is>
          <t>BPI</t>
        </is>
      </c>
      <c r="AC2282" t="inlineStr">
        <is>
          <t>Goodwill Homes 1, Quezon City</t>
        </is>
      </c>
      <c r="AD2282" s="4">
        <v>46122</v>
      </c>
      <c r="AE2282" t="inlineStr">
        <is>
          <t>April 10 - One time payment</t>
        </is>
      </c>
      <c r="AF2282" s="2"/>
      <c r="AG2282" t="inlineStr">
        <is>
          <t>NzQyNTk5MTgyNzQ4MTg3MDM0MTpBMzE0QUM0Qy02MkQ3LTQwODktQjFDOS04M0Y4Qjk3NDQ5QjItMToyM2VhMmYyYmJmNGY1NzU2YTU2OTEwNjQ3NmVhMjA1MDox</t>
        </is>
      </c>
      <c r="AH2282" t="inlineStr">
        <is>
          <t>Paolo Luis Navarro</t>
        </is>
      </c>
      <c r="AI2282"/>
      <c r="AJ2282" t="inlineStr">
        <is>
          <t>LIQUIDITY PLAN (PAR # 202603150011 / 202603150011) - AS OF 04/06/26
METRO MANILA LEG - MARCH 29, 2026 &gt; MANPOWER &gt;
Show Runner / Director (Cavite and Metro Manila)
Total Remaining Budget = Php 15,000.00
Actual Cost = Php 14,000.00
Balance = Php 1,000.00</t>
        </is>
      </c>
      <c r="AK2282"/>
    </row>
    <row r="2283" ht="25.5" customHeight="1">
      <c r="A2283" s="2" t="str">
        <f>=HYPERLINK("https://applink.larksuite.com/client/mini_program/open?appId=cli_9c7cc8a9a9edd105&amp;mode=appCenter&amp;path_pc=pc/pages/requested/index?instanceId=7625520716598775517&amp;source=bitable&amp;path=pages/detail/index?instanceId=7625520716598775517&amp;source=bitable", "202604060080")</f>
        <v>202604060080</v>
      </c>
      <c r="B2283" t="inlineStr">
        <is>
          <t>Approved</t>
        </is>
      </c>
      <c r="C2283" t="inlineStr">
        <is>
          <t>Procurement Order</t>
        </is>
      </c>
      <c r="D2283" s="3">
        <v>46118.57981481482</v>
      </c>
      <c r="E2283" s="3">
        <v>46119.76474537037</v>
      </c>
      <c r="F2283" t="inlineStr">
        <is>
          <t>Arlyn Castillo</t>
        </is>
      </c>
      <c r="G2283" t="inlineStr">
        <is>
          <t>Procurement</t>
        </is>
      </c>
      <c r="H2283"/>
      <c r="I2283"/>
      <c r="J2283" t="inlineStr">
        <is>
          <t>Project</t>
        </is>
      </c>
      <c r="K2283" t="inlineStr">
        <is>
          <t>PDEI - Game Marketing</t>
        </is>
      </c>
      <c r="L2283" t="inlineStr">
        <is>
          <t>SportsPlus MPBL Roadtrip Watchparty 2026</t>
        </is>
      </c>
      <c r="M2283" t="inlineStr">
        <is>
          <t>2026TEG-P0028</t>
        </is>
      </c>
      <c r="N2283" t="inlineStr">
        <is>
          <t>Kervin</t>
        </is>
      </c>
      <c r="O2283" t="inlineStr">
        <is>
          <t>202604060058-Kervin-费用报销 - 副本 - 副本 - 副本-2026-04-06 04:15:34;202603260041-Kervin-费用报销 - 副本 - 副本 - 副本-2026-03-26 04:34:46</t>
        </is>
      </c>
      <c r="P2283" t="inlineStr">
        <is>
          <t>NO</t>
        </is>
      </c>
      <c r="Q2283"/>
      <c r="R2283" t="inlineStr">
        <is>
          <t>YES</t>
        </is>
      </c>
      <c r="S2283" t="inlineStr">
        <is>
          <t>Tote Bag White - Material: Canvas, 12x14 inches, DTF print</t>
        </is>
      </c>
      <c r="T2283">
        <v>500</v>
      </c>
      <c r="U2283">
        <v>120</v>
      </c>
      <c r="V2283" t="inlineStr">
        <is>
          <t>PHP</t>
        </is>
      </c>
      <c r="W2283">
        <v>60000</v>
      </c>
      <c r="X2283" s="2"/>
      <c r="Y2283" t="inlineStr">
        <is>
          <t>Bank Transfer</t>
        </is>
      </c>
      <c r="Z2283" t="inlineStr">
        <is>
          <t>HiPive Printing Services</t>
        </is>
      </c>
      <c r="AA2283" t="inlineStr">
        <is>
          <t>013740046230</t>
        </is>
      </c>
      <c r="AB2283" t="inlineStr">
        <is>
          <t>BDO</t>
        </is>
      </c>
      <c r="AC2283" t="inlineStr">
        <is>
          <t>U-264 Cityland Delarosa Condo Brgy. Pio del Pilar Makati City</t>
        </is>
      </c>
      <c r="AD2283" s="4">
        <v>46118</v>
      </c>
      <c r="AE2283" t="inlineStr">
        <is>
          <t>50% Down Payment upon confirmation
50% Final Payment upon compete delivery</t>
        </is>
      </c>
      <c r="AF2283" s="2" t="str">
        <f>=HYPERLINK("https://www.larksuite.com/approval/admin/previewAttachment?key=TMg7CgJBEATQK1VNT3_Ky5g4LKIYye5i0GcXjExfFBHltBCmOAR2xnAfSIarMt2ZPZqZQjJdvV7bdf8cdvLxHKxzX97H_batN6MsMOVzUgB4-XMSKgv7Ob4BAAD__w", "5 attachment(s)")</f>
        <v>5 attachment(s)</v>
      </c>
      <c r="AG2283" t="inlineStr">
        <is>
          <t>NzQyNTk5MTgyNzQ4MTg3MDM0MTpBNUFDREIyNC1FMjlBLTQ2NTItQTM4Qi0yQUM0MEUxNEQ0OEEtMTo1OTkxOWFlMDhmM2EzMjNkODQ1YWU3NmE0OTYxYzA4NTox</t>
        </is>
      </c>
      <c r="AH2283" t="inlineStr">
        <is>
          <t>HiPive Printing Services</t>
        </is>
      </c>
      <c r="AI2283"/>
      <c r="AJ2283" t="inlineStr">
        <is>
          <t>LIQUIDITY PLAN (PAR # 202603240070 / 2026TEG-P0028)
MERCH &gt;
Tote Bags
Towel
Stickers
Tshirt
Cap
Total Budget = Php 363,967.59
Actual Cost = Php 363,300.00
Balance = Php 667.59
LIQUIDITY PLAN (PAR # 202604060049 / 2026TEG-P0088)
Merchandise &gt;
Balloon Clapper (Printed)
Foldable Fans (Colored)
Total Budget = Php 41,000.00
Actual Cost = Php 44,200.00
Balance = (Php -3,200.00 (OVERBUDGET)</t>
        </is>
      </c>
      <c r="AK2283"/>
    </row>
    <row r="2284" ht="25.5" customHeight="1">
      <c r="A2284" s="2" t="str">
        <f>=HYPERLINK("https://applink.larksuite.com/client/mini_program/open?appId=cli_9c7cc8a9a9edd105&amp;mode=appCenter&amp;path_pc=pc/pages/requested/index?instanceId=7625520716598775517&amp;source=bitable&amp;path=pages/detail/index?instanceId=7625520716598775517&amp;source=bitable", "202604060080")</f>
        <v>202604060080</v>
      </c>
      <c r="B2284" t="inlineStr">
        <is>
          <t>Approved</t>
        </is>
      </c>
      <c r="C2284" t="inlineStr">
        <is>
          <t>Procurement Order</t>
        </is>
      </c>
      <c r="D2284" s="3">
        <v>46118.57981481482</v>
      </c>
      <c r="E2284" s="3">
        <v>46119.76474537037</v>
      </c>
      <c r="F2284" t="inlineStr">
        <is>
          <t>Arlyn Castillo</t>
        </is>
      </c>
      <c r="G2284" t="inlineStr">
        <is>
          <t>Procurement</t>
        </is>
      </c>
      <c r="H2284"/>
      <c r="I2284"/>
      <c r="J2284" t="inlineStr">
        <is>
          <t>Project</t>
        </is>
      </c>
      <c r="K2284" t="inlineStr">
        <is>
          <t>PDEI - Game Marketing</t>
        </is>
      </c>
      <c r="L2284" t="inlineStr">
        <is>
          <t>SportsPlus MPBL Roadtrip Watchparty 2026</t>
        </is>
      </c>
      <c r="M2284" t="inlineStr">
        <is>
          <t>2026TEG-P0028</t>
        </is>
      </c>
      <c r="N2284" t="inlineStr">
        <is>
          <t>Kervin</t>
        </is>
      </c>
      <c r="O2284" t="inlineStr">
        <is>
          <t>202604060058-Kervin-费用报销 - 副本 - 副本 - 副本-2026-04-06 04:15:34;202603260041-Kervin-费用报销 - 副本 - 副本 - 副本-2026-03-26 04:34:46</t>
        </is>
      </c>
      <c r="P2284" t="inlineStr">
        <is>
          <t>NO</t>
        </is>
      </c>
      <c r="Q2284"/>
      <c r="R2284" t="inlineStr">
        <is>
          <t>YES</t>
        </is>
      </c>
      <c r="S2284" t="inlineStr">
        <is>
          <t>Tote Bag Navy Blue - Material: Canvas, 12x14 inches, DTF print</t>
        </is>
      </c>
      <c r="T2284">
        <v>500</v>
      </c>
      <c r="U2284">
        <v>120</v>
      </c>
      <c r="V2284" t="inlineStr">
        <is>
          <t>PHP</t>
        </is>
      </c>
      <c r="W2284">
        <v>60000</v>
      </c>
      <c r="X2284" s="2"/>
      <c r="Y2284"/>
      <c r="Z2284"/>
      <c r="AA2284"/>
      <c r="AB2284"/>
      <c r="AC2284"/>
      <c r="AD2284" s="4"/>
      <c r="AE2284"/>
      <c r="AF2284" s="2"/>
      <c r="AG2284" t="inlineStr">
        <is>
          <t>NzQyNTk5MTgyNzQ4MTg3MDM0MTpBNUFDREIyNC1FMjlBLTQ2NTItQTM4Qi0yQUM0MEUxNEQ0OEEtMjo1NDdjNWI5MDcwOGM1NmZmYjE2Zjc1YzgxOTFmZDhlNzox</t>
        </is>
      </c>
      <c r="AH2284"/>
      <c r="AI2284"/>
      <c r="AJ2284" t="inlineStr">
        <is>
          <t>LIQUIDITY PLAN (PAR # 202603240070 / 2026TEG-P0028)
MERCH &gt;
Tote Bags
Towel
Stickers
Tshirt
Cap
Total Budget = Php 363,967.59
Actual Cost = Php 363,300.00
Balance = Php 667.59
LIQUIDITY PLAN (PAR # 202604060049 / 2026TEG-P0088)
Merchandise &gt;
Balloon Clapper (Printed)
Foldable Fans (Colored)
Total Budget = Php 41,000.00
Actual Cost = Php 44,200.00
Balance = (Php -3,200.00 (OVERBUDGET)</t>
        </is>
      </c>
      <c r="AK2284"/>
    </row>
    <row r="2285" ht="25.5" customHeight="1">
      <c r="A2285" s="2" t="str">
        <f>=HYPERLINK("https://applink.larksuite.com/client/mini_program/open?appId=cli_9c7cc8a9a9edd105&amp;mode=appCenter&amp;path_pc=pc/pages/requested/index?instanceId=7625520716598775517&amp;source=bitable&amp;path=pages/detail/index?instanceId=7625520716598775517&amp;source=bitable", "202604060080")</f>
        <v>202604060080</v>
      </c>
      <c r="B2285" t="inlineStr">
        <is>
          <t>Approved</t>
        </is>
      </c>
      <c r="C2285" t="inlineStr">
        <is>
          <t>Procurement Order</t>
        </is>
      </c>
      <c r="D2285" s="3">
        <v>46118.57981481482</v>
      </c>
      <c r="E2285" s="3">
        <v>46119.76474537037</v>
      </c>
      <c r="F2285" t="inlineStr">
        <is>
          <t>Arlyn Castillo</t>
        </is>
      </c>
      <c r="G2285" t="inlineStr">
        <is>
          <t>Procurement</t>
        </is>
      </c>
      <c r="H2285"/>
      <c r="I2285"/>
      <c r="J2285" t="inlineStr">
        <is>
          <t>Project</t>
        </is>
      </c>
      <c r="K2285" t="inlineStr">
        <is>
          <t>PDEI - Game Marketing</t>
        </is>
      </c>
      <c r="L2285" t="inlineStr">
        <is>
          <t>SportsPlus MPBL Roadtrip Watchparty 2026</t>
        </is>
      </c>
      <c r="M2285" t="inlineStr">
        <is>
          <t>2026TEG-P0028</t>
        </is>
      </c>
      <c r="N2285" t="inlineStr">
        <is>
          <t>Kervin</t>
        </is>
      </c>
      <c r="O2285" t="inlineStr">
        <is>
          <t>202604060058-Kervin-费用报销 - 副本 - 副本 - 副本-2026-04-06 04:15:34;202603260041-Kervin-费用报销 - 副本 - 副本 - 副本-2026-03-26 04:34:46</t>
        </is>
      </c>
      <c r="P2285" t="inlineStr">
        <is>
          <t>NO</t>
        </is>
      </c>
      <c r="Q2285"/>
      <c r="R2285" t="inlineStr">
        <is>
          <t>YES</t>
        </is>
      </c>
      <c r="S2285" t="inlineStr">
        <is>
          <t>T-Shirt - Material:Cotton Polyeste, Navy Blue, L-150, XL-150</t>
        </is>
      </c>
      <c r="T2285">
        <v>300</v>
      </c>
      <c r="U2285">
        <v>225</v>
      </c>
      <c r="V2285" t="inlineStr">
        <is>
          <t>PHP</t>
        </is>
      </c>
      <c r="W2285">
        <v>67500</v>
      </c>
      <c r="X2285" s="2"/>
      <c r="Y2285"/>
      <c r="Z2285"/>
      <c r="AA2285"/>
      <c r="AB2285"/>
      <c r="AC2285"/>
      <c r="AD2285" s="4"/>
      <c r="AE2285"/>
      <c r="AF2285" s="2"/>
      <c r="AG2285" t="inlineStr">
        <is>
          <t>NzQyNTk5MTgyNzQ4MTg3MDM0MTpBNUFDREIyNC1FMjlBLTQ2NTItQTM4Qi0yQUM0MEUxNEQ0OEEtMzozNjZiZjdjMTlkNjg4ZjE4ZjU5ZjlmYTkxOTNmNTRjNjox</t>
        </is>
      </c>
      <c r="AH2285"/>
      <c r="AI2285"/>
      <c r="AJ2285" t="inlineStr">
        <is>
          <t>LIQUIDITY PLAN (PAR # 202603240070 / 2026TEG-P0028)
MERCH &gt;
Tote Bags
Towel
Stickers
Tshirt
Cap
Total Budget = Php 363,967.59
Actual Cost = Php 363,300.00
Balance = Php 667.59
LIQUIDITY PLAN (PAR # 202604060049 / 2026TEG-P0088)
Merchandise &gt;
Balloon Clapper (Printed)
Foldable Fans (Colored)
Total Budget = Php 41,000.00
Actual Cost = Php 44,200.00
Balance = (Php -3,200.00 (OVERBUDGET)</t>
        </is>
      </c>
      <c r="AK2285"/>
    </row>
    <row r="2286" ht="25.5" customHeight="1">
      <c r="A2286" s="2" t="str">
        <f>=HYPERLINK("https://applink.larksuite.com/client/mini_program/open?appId=cli_9c7cc8a9a9edd105&amp;mode=appCenter&amp;path_pc=pc/pages/requested/index?instanceId=7625520716598775517&amp;source=bitable&amp;path=pages/detail/index?instanceId=7625520716598775517&amp;source=bitable", "202604060080")</f>
        <v>202604060080</v>
      </c>
      <c r="B2286" t="inlineStr">
        <is>
          <t>Approved</t>
        </is>
      </c>
      <c r="C2286" t="inlineStr">
        <is>
          <t>Procurement Order</t>
        </is>
      </c>
      <c r="D2286" s="3">
        <v>46118.57981481482</v>
      </c>
      <c r="E2286" s="3">
        <v>46119.76474537037</v>
      </c>
      <c r="F2286" t="inlineStr">
        <is>
          <t>Arlyn Castillo</t>
        </is>
      </c>
      <c r="G2286" t="inlineStr">
        <is>
          <t>Procurement</t>
        </is>
      </c>
      <c r="H2286"/>
      <c r="I2286"/>
      <c r="J2286" t="inlineStr">
        <is>
          <t>Project</t>
        </is>
      </c>
      <c r="K2286" t="inlineStr">
        <is>
          <t>PDEI - Game Marketing</t>
        </is>
      </c>
      <c r="L2286" t="inlineStr">
        <is>
          <t>SportsPlus MPBL Roadtrip Watchparty 2026</t>
        </is>
      </c>
      <c r="M2286" t="inlineStr">
        <is>
          <t>2026TEG-P0028</t>
        </is>
      </c>
      <c r="N2286" t="inlineStr">
        <is>
          <t>Kervin</t>
        </is>
      </c>
      <c r="O2286" t="inlineStr">
        <is>
          <t>202604060058-Kervin-费用报销 - 副本 - 副本 - 副本-2026-04-06 04:15:34;202603260041-Kervin-费用报销 - 副本 - 副本 - 副本-2026-03-26 04:34:46</t>
        </is>
      </c>
      <c r="P2286" t="inlineStr">
        <is>
          <t>NO</t>
        </is>
      </c>
      <c r="Q2286"/>
      <c r="R2286" t="inlineStr">
        <is>
          <t>YES</t>
        </is>
      </c>
      <c r="S2286" t="inlineStr">
        <is>
          <t>T-Shirt - Material:Cotton Polyester, White, L-150, XL-150</t>
        </is>
      </c>
      <c r="T2286">
        <v>300</v>
      </c>
      <c r="U2286">
        <v>225</v>
      </c>
      <c r="V2286" t="inlineStr">
        <is>
          <t>PHP</t>
        </is>
      </c>
      <c r="W2286">
        <v>67500</v>
      </c>
      <c r="X2286" s="2"/>
      <c r="Y2286"/>
      <c r="Z2286"/>
      <c r="AA2286"/>
      <c r="AB2286"/>
      <c r="AC2286"/>
      <c r="AD2286" s="4"/>
      <c r="AE2286"/>
      <c r="AF2286" s="2"/>
      <c r="AG2286" t="inlineStr">
        <is>
          <t>NzQyNTk5MTgyNzQ4MTg3MDM0MTpBNUFDREIyNC1FMjlBLTQ2NTItQTM4Qi0yQUM0MEUxNEQ0OEEtNDpjYWUyOWFhMDNiMWMwNmY5ZmEwZjQ2YzNmOTAzYzFmMzox</t>
        </is>
      </c>
      <c r="AH2286"/>
      <c r="AI2286"/>
      <c r="AJ2286" t="inlineStr">
        <is>
          <t>LIQUIDITY PLAN (PAR # 202603240070 / 2026TEG-P0028)
MERCH &gt;
Tote Bags
Towel
Stickers
Tshirt
Cap
Total Budget = Php 363,967.59
Actual Cost = Php 363,300.00
Balance = Php 667.59
LIQUIDITY PLAN (PAR # 202604060049 / 2026TEG-P0088)
Merchandise &gt;
Balloon Clapper (Printed)
Foldable Fans (Colored)
Total Budget = Php 41,000.00
Actual Cost = Php 44,200.00
Balance = (Php -3,200.00 (OVERBUDGET)</t>
        </is>
      </c>
      <c r="AK2286"/>
    </row>
    <row r="2287" ht="25.5" customHeight="1">
      <c r="A2287" s="2" t="str">
        <f>=HYPERLINK("https://applink.larksuite.com/client/mini_program/open?appId=cli_9c7cc8a9a9edd105&amp;mode=appCenter&amp;path_pc=pc/pages/requested/index?instanceId=7625520716598775517&amp;source=bitable&amp;path=pages/detail/index?instanceId=7625520716598775517&amp;source=bitable", "202604060080")</f>
        <v>202604060080</v>
      </c>
      <c r="B2287" t="inlineStr">
        <is>
          <t>Approved</t>
        </is>
      </c>
      <c r="C2287" t="inlineStr">
        <is>
          <t>Procurement Order</t>
        </is>
      </c>
      <c r="D2287" s="3">
        <v>46118.57981481482</v>
      </c>
      <c r="E2287" s="3">
        <v>46119.76474537037</v>
      </c>
      <c r="F2287" t="inlineStr">
        <is>
          <t>Arlyn Castillo</t>
        </is>
      </c>
      <c r="G2287" t="inlineStr">
        <is>
          <t>Procurement</t>
        </is>
      </c>
      <c r="H2287"/>
      <c r="I2287"/>
      <c r="J2287" t="inlineStr">
        <is>
          <t>Project</t>
        </is>
      </c>
      <c r="K2287" t="inlineStr">
        <is>
          <t>PDEI - Game Marketing</t>
        </is>
      </c>
      <c r="L2287" t="inlineStr">
        <is>
          <t>SportsPlus MPBL Roadtrip Watchparty 2026</t>
        </is>
      </c>
      <c r="M2287" t="inlineStr">
        <is>
          <t>2026TEG-P0028</t>
        </is>
      </c>
      <c r="N2287" t="inlineStr">
        <is>
          <t>Kervin</t>
        </is>
      </c>
      <c r="O2287" t="inlineStr">
        <is>
          <t>202604060058-Kervin-费用报销 - 副本 - 副本 - 副本-2026-04-06 04:15:34;202603260041-Kervin-费用报销 - 副本 - 副本 - 副本-2026-03-26 04:34:46</t>
        </is>
      </c>
      <c r="P2287" t="inlineStr">
        <is>
          <t>NO</t>
        </is>
      </c>
      <c r="Q2287"/>
      <c r="R2287" t="inlineStr">
        <is>
          <t>YES</t>
        </is>
      </c>
      <c r="S2287" t="inlineStr">
        <is>
          <t>Towel - Navy Blue Material: Microfiber; Hand Towel, 14x29", DTF Print</t>
        </is>
      </c>
      <c r="T2287">
        <v>150</v>
      </c>
      <c r="U2287">
        <v>165</v>
      </c>
      <c r="V2287" t="inlineStr">
        <is>
          <t>PHP</t>
        </is>
      </c>
      <c r="W2287">
        <v>24750</v>
      </c>
      <c r="X2287" s="2"/>
      <c r="Y2287"/>
      <c r="Z2287"/>
      <c r="AA2287"/>
      <c r="AB2287"/>
      <c r="AC2287"/>
      <c r="AD2287" s="4"/>
      <c r="AE2287"/>
      <c r="AF2287" s="2"/>
      <c r="AG2287" t="inlineStr">
        <is>
          <t>NzQyNTk5MTgyNzQ4MTg3MDM0MTpBNUFDREIyNC1FMjlBLTQ2NTItQTM4Qi0yQUM0MEUxNEQ0OEEtNTplYTIzM2YwYWEzMDQ2YzIxNzY5ZmFlNzkyY2QyNThhNzox</t>
        </is>
      </c>
      <c r="AH2287"/>
      <c r="AI2287"/>
      <c r="AJ2287" t="inlineStr">
        <is>
          <t>LIQUIDITY PLAN (PAR # 202603240070 / 2026TEG-P0028)
MERCH &gt;
Tote Bags
Towel
Stickers
Tshirt
Cap
Total Budget = Php 363,967.59
Actual Cost = Php 363,300.00
Balance = Php 667.59
LIQUIDITY PLAN (PAR # 202604060049 / 2026TEG-P0088)
Merchandise &gt;
Balloon Clapper (Printed)
Foldable Fans (Colored)
Total Budget = Php 41,000.00
Actual Cost = Php 44,200.00
Balance = (Php -3,200.00 (OVERBUDGET)</t>
        </is>
      </c>
      <c r="AK2287"/>
    </row>
    <row r="2288" ht="25.5" customHeight="1">
      <c r="A2288" s="2" t="str">
        <f>=HYPERLINK("https://applink.larksuite.com/client/mini_program/open?appId=cli_9c7cc8a9a9edd105&amp;mode=appCenter&amp;path_pc=pc/pages/requested/index?instanceId=7625520716598775517&amp;source=bitable&amp;path=pages/detail/index?instanceId=7625520716598775517&amp;source=bitable", "202604060080")</f>
        <v>202604060080</v>
      </c>
      <c r="B2288" t="inlineStr">
        <is>
          <t>Approved</t>
        </is>
      </c>
      <c r="C2288" t="inlineStr">
        <is>
          <t>Procurement Order</t>
        </is>
      </c>
      <c r="D2288" s="3">
        <v>46118.57981481482</v>
      </c>
      <c r="E2288" s="3">
        <v>46119.76474537037</v>
      </c>
      <c r="F2288" t="inlineStr">
        <is>
          <t>Arlyn Castillo</t>
        </is>
      </c>
      <c r="G2288" t="inlineStr">
        <is>
          <t>Procurement</t>
        </is>
      </c>
      <c r="H2288"/>
      <c r="I2288"/>
      <c r="J2288" t="inlineStr">
        <is>
          <t>Project</t>
        </is>
      </c>
      <c r="K2288" t="inlineStr">
        <is>
          <t>PDEI - Game Marketing</t>
        </is>
      </c>
      <c r="L2288" t="inlineStr">
        <is>
          <t>SportsPlus MPBL Roadtrip Watchparty 2026</t>
        </is>
      </c>
      <c r="M2288" t="inlineStr">
        <is>
          <t>2026TEG-P0028</t>
        </is>
      </c>
      <c r="N2288" t="inlineStr">
        <is>
          <t>Kervin</t>
        </is>
      </c>
      <c r="O2288" t="inlineStr">
        <is>
          <t>202604060058-Kervin-费用报销 - 副本 - 副本 - 副本-2026-04-06 04:15:34;202603260041-Kervin-费用报销 - 副本 - 副本 - 副本-2026-03-26 04:34:46</t>
        </is>
      </c>
      <c r="P2288" t="inlineStr">
        <is>
          <t>NO</t>
        </is>
      </c>
      <c r="Q2288"/>
      <c r="R2288" t="inlineStr">
        <is>
          <t>YES</t>
        </is>
      </c>
      <c r="S2288" t="inlineStr">
        <is>
          <t>Towel - White Material: Microfiber; Hand Towel, 14x29", DTF Print</t>
        </is>
      </c>
      <c r="T2288">
        <v>150</v>
      </c>
      <c r="U2288">
        <v>165</v>
      </c>
      <c r="V2288" t="inlineStr">
        <is>
          <t>PHP</t>
        </is>
      </c>
      <c r="W2288">
        <v>24750</v>
      </c>
      <c r="X2288" s="2"/>
      <c r="Y2288"/>
      <c r="Z2288"/>
      <c r="AA2288"/>
      <c r="AB2288"/>
      <c r="AC2288"/>
      <c r="AD2288" s="4"/>
      <c r="AE2288"/>
      <c r="AF2288" s="2"/>
      <c r="AG2288" t="inlineStr">
        <is>
          <t>NzQyNTk5MTgyNzQ4MTg3MDM0MTpBNUFDREIyNC1FMjlBLTQ2NTItQTM4Qi0yQUM0MEUxNEQ0OEEtNjo2ZTgxYTI5MDQ3NTllZDQ5MzZiZmRmNDZhNjk0ZjQ0OTox</t>
        </is>
      </c>
      <c r="AH2288"/>
      <c r="AI2288"/>
      <c r="AJ2288" t="inlineStr">
        <is>
          <t>LIQUIDITY PLAN (PAR # 202603240070 / 2026TEG-P0028)
MERCH &gt;
Tote Bags
Towel
Stickers
Tshirt
Cap
Total Budget = Php 363,967.59
Actual Cost = Php 363,300.00
Balance = Php 667.59
LIQUIDITY PLAN (PAR # 202604060049 / 2026TEG-P0088)
Merchandise &gt;
Balloon Clapper (Printed)
Foldable Fans (Colored)
Total Budget = Php 41,000.00
Actual Cost = Php 44,200.00
Balance = (Php -3,200.00 (OVERBUDGET)</t>
        </is>
      </c>
      <c r="AK2288"/>
    </row>
    <row r="2289" ht="25.5" customHeight="1">
      <c r="A2289" s="2" t="str">
        <f>=HYPERLINK("https://applink.larksuite.com/client/mini_program/open?appId=cli_9c7cc8a9a9edd105&amp;mode=appCenter&amp;path_pc=pc/pages/requested/index?instanceId=7625520716598775517&amp;source=bitable&amp;path=pages/detail/index?instanceId=7625520716598775517&amp;source=bitable", "202604060080")</f>
        <v>202604060080</v>
      </c>
      <c r="B2289" t="inlineStr">
        <is>
          <t>Approved</t>
        </is>
      </c>
      <c r="C2289" t="inlineStr">
        <is>
          <t>Procurement Order</t>
        </is>
      </c>
      <c r="D2289" s="3">
        <v>46118.57981481482</v>
      </c>
      <c r="E2289" s="3">
        <v>46119.76474537037</v>
      </c>
      <c r="F2289" t="inlineStr">
        <is>
          <t>Arlyn Castillo</t>
        </is>
      </c>
      <c r="G2289" t="inlineStr">
        <is>
          <t>Procurement</t>
        </is>
      </c>
      <c r="H2289"/>
      <c r="I2289"/>
      <c r="J2289" t="inlineStr">
        <is>
          <t>Project</t>
        </is>
      </c>
      <c r="K2289" t="inlineStr">
        <is>
          <t>PDEI - Game Marketing</t>
        </is>
      </c>
      <c r="L2289" t="inlineStr">
        <is>
          <t>SportsPlus MPBL Roadtrip Watchparty 2026</t>
        </is>
      </c>
      <c r="M2289" t="inlineStr">
        <is>
          <t>2026TEG-P0028</t>
        </is>
      </c>
      <c r="N2289" t="inlineStr">
        <is>
          <t>Kervin</t>
        </is>
      </c>
      <c r="O2289" t="inlineStr">
        <is>
          <t>202604060058-Kervin-费用报销 - 副本 - 副本 - 副本-2026-04-06 04:15:34;202603260041-Kervin-费用报销 - 副本 - 副本 - 副本-2026-03-26 04:34:46</t>
        </is>
      </c>
      <c r="P2289" t="inlineStr">
        <is>
          <t>NO</t>
        </is>
      </c>
      <c r="Q2289"/>
      <c r="R2289" t="inlineStr">
        <is>
          <t>YES</t>
        </is>
      </c>
      <c r="S2289" t="inlineStr">
        <is>
          <t>CAP White with DTF print Size: Baseball Cap Size</t>
        </is>
      </c>
      <c r="T2289">
        <v>400</v>
      </c>
      <c r="U2289">
        <v>120</v>
      </c>
      <c r="V2289" t="inlineStr">
        <is>
          <t>PHP</t>
        </is>
      </c>
      <c r="W2289">
        <v>48000</v>
      </c>
      <c r="X2289" s="2"/>
      <c r="Y2289"/>
      <c r="Z2289"/>
      <c r="AA2289"/>
      <c r="AB2289"/>
      <c r="AC2289"/>
      <c r="AD2289" s="4"/>
      <c r="AE2289"/>
      <c r="AF2289" s="2"/>
      <c r="AG2289" t="inlineStr">
        <is>
          <t>NzQyNTk5MTgyNzQ4MTg3MDM0MTpBNUFDREIyNC1FMjlBLTQ2NTItQTM4Qi0yQUM0MEUxNEQ0OEEtNzoxOWE1ZGY1OTNkMzEzYjM1ZDQ5ZmE3MGJiM2FkNTk2Njox</t>
        </is>
      </c>
      <c r="AH2289"/>
      <c r="AI2289"/>
      <c r="AJ2289" t="inlineStr">
        <is>
          <t>LIQUIDITY PLAN (PAR # 202603240070 / 2026TEG-P0028)
MERCH &gt;
Tote Bags
Towel
Stickers
Tshirt
Cap
Total Budget = Php 363,967.59
Actual Cost = Php 363,300.00
Balance = Php 667.59
LIQUIDITY PLAN (PAR # 202604060049 / 2026TEG-P0088)
Merchandise &gt;
Balloon Clapper (Printed)
Foldable Fans (Colored)
Total Budget = Php 41,000.00
Actual Cost = Php 44,200.00
Balance = (Php -3,200.00 (OVERBUDGET)</t>
        </is>
      </c>
      <c r="AK2289"/>
    </row>
    <row r="2290" ht="25.5" customHeight="1">
      <c r="A2290" s="2" t="str">
        <f>=HYPERLINK("https://applink.larksuite.com/client/mini_program/open?appId=cli_9c7cc8a9a9edd105&amp;mode=appCenter&amp;path_pc=pc/pages/requested/index?instanceId=7625520716598775517&amp;source=bitable&amp;path=pages/detail/index?instanceId=7625520716598775517&amp;source=bitable", "202604060080")</f>
        <v>202604060080</v>
      </c>
      <c r="B2290" t="inlineStr">
        <is>
          <t>Approved</t>
        </is>
      </c>
      <c r="C2290" t="inlineStr">
        <is>
          <t>Procurement Order</t>
        </is>
      </c>
      <c r="D2290" s="3">
        <v>46118.57981481482</v>
      </c>
      <c r="E2290" s="3">
        <v>46119.76474537037</v>
      </c>
      <c r="F2290" t="inlineStr">
        <is>
          <t>Arlyn Castillo</t>
        </is>
      </c>
      <c r="G2290" t="inlineStr">
        <is>
          <t>Procurement</t>
        </is>
      </c>
      <c r="H2290"/>
      <c r="I2290"/>
      <c r="J2290" t="inlineStr">
        <is>
          <t>Project</t>
        </is>
      </c>
      <c r="K2290" t="inlineStr">
        <is>
          <t>PDEI - Game Marketing</t>
        </is>
      </c>
      <c r="L2290" t="inlineStr">
        <is>
          <t>SportsPlus MPBL Roadtrip Watchparty 2026</t>
        </is>
      </c>
      <c r="M2290" t="inlineStr">
        <is>
          <t>2026TEG-P0028</t>
        </is>
      </c>
      <c r="N2290" t="inlineStr">
        <is>
          <t>Kervin</t>
        </is>
      </c>
      <c r="O2290" t="inlineStr">
        <is>
          <t>202604060058-Kervin-费用报销 - 副本 - 副本 - 副本-2026-04-06 04:15:34;202603260041-Kervin-费用报销 - 副本 - 副本 - 副本-2026-03-26 04:34:46</t>
        </is>
      </c>
      <c r="P2290" t="inlineStr">
        <is>
          <t>NO</t>
        </is>
      </c>
      <c r="Q2290"/>
      <c r="R2290" t="inlineStr">
        <is>
          <t>YES</t>
        </is>
      </c>
      <c r="S2290" t="inlineStr">
        <is>
          <t>A7 Size sickers</t>
        </is>
      </c>
      <c r="T2290">
        <v>1800</v>
      </c>
      <c r="U2290">
        <v>6</v>
      </c>
      <c r="V2290" t="inlineStr">
        <is>
          <t>PHP</t>
        </is>
      </c>
      <c r="W2290">
        <v>10800</v>
      </c>
      <c r="X2290" s="2" t="str">
        <f>=HYPERLINK("https://www.larksuite.com/approval/admin/previewAttachment?key=PMgxCgJBDAXQK_2fSfInXsbGYRHFSnYXi5xdsLB9OYmcwZEFL1qBrbQIg5hRU4qg2ppSQVRUr9d23T_HOPl4Gue5r-jjftvWm1Eyg4b7mAB4-fuQu1el4-f6BgAA__8", "2 attachment(s)")</f>
        <v>2 attachment(s)</v>
      </c>
      <c r="Y2290"/>
      <c r="Z2290"/>
      <c r="AA2290"/>
      <c r="AB2290"/>
      <c r="AC2290"/>
      <c r="AD2290" s="4"/>
      <c r="AE2290"/>
      <c r="AF2290" s="2"/>
      <c r="AG2290" t="inlineStr">
        <is>
          <t>NzQyNTk5MTgyNzQ4MTg3MDM0MTpBNUFDREIyNC1FMjlBLTQ2NTItQTM4Qi0yQUM0MEUxNEQ0OEEtODpmMjNjZDM5YzY4NzVhZDUwZWZlNzhmYTJjM2I2YTZhOTox</t>
        </is>
      </c>
      <c r="AH2290"/>
      <c r="AI2290"/>
      <c r="AJ2290" t="inlineStr">
        <is>
          <t>LIQUIDITY PLAN (PAR # 202603240070 / 2026TEG-P0028)
MERCH &gt;
Tote Bags
Towel
Stickers
Tshirt
Cap
Total Budget = Php 363,967.59
Actual Cost = Php 363,300.00
Balance = Php 667.59
LIQUIDITY PLAN (PAR # 202604060049 / 2026TEG-P0088)
Merchandise &gt;
Balloon Clapper (Printed)
Foldable Fans (Colored)
Total Budget = Php 41,000.00
Actual Cost = Php 44,200.00
Balance = (Php -3,200.00 (OVERBUDGET)</t>
        </is>
      </c>
      <c r="AK2290"/>
    </row>
    <row r="2291" ht="25.5" customHeight="1">
      <c r="A2291" s="2" t="str">
        <f>=HYPERLINK("https://applink.larksuite.com/client/mini_program/open?appId=cli_9c7cc8a9a9edd105&amp;mode=appCenter&amp;path_pc=pc/pages/requested/index?instanceId=7625520716598775517&amp;source=bitable&amp;path=pages/detail/index?instanceId=7625520716598775517&amp;source=bitable", "202604060080")</f>
        <v>202604060080</v>
      </c>
      <c r="B2291" t="inlineStr">
        <is>
          <t>Approved</t>
        </is>
      </c>
      <c r="C2291" t="inlineStr">
        <is>
          <t>Procurement Order</t>
        </is>
      </c>
      <c r="D2291" s="3">
        <v>46118.57981481482</v>
      </c>
      <c r="E2291" s="3">
        <v>46119.76474537037</v>
      </c>
      <c r="F2291" t="inlineStr">
        <is>
          <t>Arlyn Castillo</t>
        </is>
      </c>
      <c r="G2291" t="inlineStr">
        <is>
          <t>Procurement</t>
        </is>
      </c>
      <c r="H2291"/>
      <c r="I2291"/>
      <c r="J2291" t="inlineStr">
        <is>
          <t>Project</t>
        </is>
      </c>
      <c r="K2291" t="inlineStr">
        <is>
          <t>PDEI - Game Marketing</t>
        </is>
      </c>
      <c r="L2291" t="inlineStr">
        <is>
          <t>SportsPlus MPBL Roadtrip Watchparty 2026</t>
        </is>
      </c>
      <c r="M2291" t="inlineStr">
        <is>
          <t>2026TEG-P0028</t>
        </is>
      </c>
      <c r="N2291" t="inlineStr">
        <is>
          <t>Kervin</t>
        </is>
      </c>
      <c r="O2291" t="inlineStr">
        <is>
          <t>202604060058-Kervin-费用报销 - 副本 - 副本 - 副本-2026-04-06 04:15:34;202603260041-Kervin-费用报销 - 副本 - 副本 - 副本-2026-03-26 04:34:46</t>
        </is>
      </c>
      <c r="P2291" t="inlineStr">
        <is>
          <t>NO</t>
        </is>
      </c>
      <c r="Q2291"/>
      <c r="R2291" t="inlineStr">
        <is>
          <t>YES</t>
        </is>
      </c>
      <c r="S2291" t="inlineStr">
        <is>
          <t>BALLOON CLAPPERS with 2" sticker print</t>
        </is>
      </c>
      <c r="T2291">
        <v>1600</v>
      </c>
      <c r="U2291">
        <v>12</v>
      </c>
      <c r="V2291" t="inlineStr">
        <is>
          <t>PHP</t>
        </is>
      </c>
      <c r="W2291">
        <v>19200</v>
      </c>
      <c r="X2291" s="2"/>
      <c r="Y2291"/>
      <c r="Z2291"/>
      <c r="AA2291"/>
      <c r="AB2291"/>
      <c r="AC2291"/>
      <c r="AD2291" s="4"/>
      <c r="AE2291"/>
      <c r="AF2291" s="2"/>
      <c r="AG2291" t="inlineStr">
        <is>
          <t>NzQyNTk5MTgyNzQ4MTg3MDM0MTpBNUFDREIyNC1FMjlBLTQ2NTItQTM4Qi0yQUM0MEUxNEQ0OEEtOToxNWMzMThlODY3NTgxMWFhYTNkZGNmZTk5MmJiMjRlNTox</t>
        </is>
      </c>
      <c r="AH2291"/>
      <c r="AI2291"/>
      <c r="AJ2291" t="inlineStr">
        <is>
          <t>LIQUIDITY PLAN (PAR # 202603240070 / 2026TEG-P0028)
MERCH &gt;
Tote Bags
Towel
Stickers
Tshirt
Cap
Total Budget = Php 363,967.59
Actual Cost = Php 363,300.00
Balance = Php 667.59
LIQUIDITY PLAN (PAR # 202604060049 / 2026TEG-P0088)
Merchandise &gt;
Balloon Clapper (Printed)
Foldable Fans (Colored)
Total Budget = Php 41,000.00
Actual Cost = Php 44,200.00
Balance = (Php -3,200.00 (OVERBUDGET)</t>
        </is>
      </c>
      <c r="AK2291"/>
    </row>
    <row r="2292" ht="25.5" customHeight="1">
      <c r="A2292" s="2" t="str">
        <f>=HYPERLINK("https://applink.larksuite.com/client/mini_program/open?appId=cli_9c7cc8a9a9edd105&amp;mode=appCenter&amp;path_pc=pc/pages/requested/index?instanceId=7625520716598775517&amp;source=bitable&amp;path=pages/detail/index?instanceId=7625520716598775517&amp;source=bitable", "202604060080")</f>
        <v>202604060080</v>
      </c>
      <c r="B2292" t="inlineStr">
        <is>
          <t>Approved</t>
        </is>
      </c>
      <c r="C2292" t="inlineStr">
        <is>
          <t>Procurement Order</t>
        </is>
      </c>
      <c r="D2292" s="3">
        <v>46118.57981481482</v>
      </c>
      <c r="E2292" s="3">
        <v>46119.76474537037</v>
      </c>
      <c r="F2292" t="inlineStr">
        <is>
          <t>Arlyn Castillo</t>
        </is>
      </c>
      <c r="G2292" t="inlineStr">
        <is>
          <t>Procurement</t>
        </is>
      </c>
      <c r="H2292"/>
      <c r="I2292"/>
      <c r="J2292" t="inlineStr">
        <is>
          <t>Project</t>
        </is>
      </c>
      <c r="K2292" t="inlineStr">
        <is>
          <t>PDEI - Game Marketing</t>
        </is>
      </c>
      <c r="L2292" t="inlineStr">
        <is>
          <t>SportsPlus MPBL Roadtrip Watchparty 2026</t>
        </is>
      </c>
      <c r="M2292" t="inlineStr">
        <is>
          <t>2026TEG-P0028</t>
        </is>
      </c>
      <c r="N2292" t="inlineStr">
        <is>
          <t>Kervin</t>
        </is>
      </c>
      <c r="O2292" t="inlineStr">
        <is>
          <t>202604060058-Kervin-费用报销 - 副本 - 副本 - 副本-2026-04-06 04:15:34;202603260041-Kervin-费用报销 - 副本 - 副本 - 副本-2026-03-26 04:34:46</t>
        </is>
      </c>
      <c r="P2292" t="inlineStr">
        <is>
          <t>NO</t>
        </is>
      </c>
      <c r="Q2292"/>
      <c r="R2292" t="inlineStr">
        <is>
          <t>YES</t>
        </is>
      </c>
      <c r="S2292" t="inlineStr">
        <is>
          <t>Foldable Round Fan, DTF print</t>
        </is>
      </c>
      <c r="T2292">
        <v>1000</v>
      </c>
      <c r="U2292">
        <v>25</v>
      </c>
      <c r="V2292" t="inlineStr">
        <is>
          <t>PHP</t>
        </is>
      </c>
      <c r="W2292">
        <v>25000</v>
      </c>
      <c r="X2292" s="2" t="str">
        <f>=HYPERLINK("https://www.larksuite.com/approval/admin/previewAttachment?key=PMgxCgJBDAXQK-Vnkvz5XsbGYRHFSnYXi5xdsLB9NWE1E6NkIbgMzfJMN6JSk8wE2xukjGCq12u77p9jnHg8HfPcV_Zxv23rjRTdjSNiTDPD5e-DESFV2M_1DQAA__8", "2 attachment(s)")</f>
        <v>2 attachment(s)</v>
      </c>
      <c r="Y2292"/>
      <c r="Z2292"/>
      <c r="AA2292"/>
      <c r="AB2292"/>
      <c r="AC2292"/>
      <c r="AD2292" s="4"/>
      <c r="AE2292"/>
      <c r="AF2292" s="2"/>
      <c r="AG2292" t="inlineStr">
        <is>
          <t>NzQyNTk5MTgyNzQ4MTg3MDM0MTpBNUFDREIyNC1FMjlBLTQ2NTItQTM4Qi0yQUM0MEUxNEQ0OEEtMTA6NDc3Njc5NjIyZjgyNmVjYmRjZTFmNTRkY2U4Mjg1MWI6MQ==</t>
        </is>
      </c>
      <c r="AH2292"/>
      <c r="AI2292"/>
      <c r="AJ2292" t="inlineStr">
        <is>
          <t>LIQUIDITY PLAN (PAR # 202603240070 / 2026TEG-P0028)
MERCH &gt;
Tote Bags
Towel
Stickers
Tshirt
Cap
Total Budget = Php 363,967.59
Actual Cost = Php 363,300.00
Balance = Php 667.59
LIQUIDITY PLAN (PAR # 202604060049 / 2026TEG-P0088)
Merchandise &gt;
Balloon Clapper (Printed)
Foldable Fans (Colored)
Total Budget = Php 41,000.00
Actual Cost = Php 44,200.00
Balance = (Php -3,200.00 (OVERBUDGET)</t>
        </is>
      </c>
      <c r="AK2292"/>
    </row>
    <row r="2293" ht="25.5" customHeight="1">
      <c r="A2293" s="2" t="str">
        <f>=HYPERLINK("https://applink.larksuite.com/client/mini_program/open?appId=cli_9c7cc8a9a9edd105&amp;mode=appCenter&amp;path_pc=pc/pages/requested/index?instanceId=7625534927542488799&amp;source=bitable&amp;path=pages/detail/index?instanceId=7625534927542488799&amp;source=bitable", "202604060097")</f>
        <v>202604060097</v>
      </c>
      <c r="B2293" t="inlineStr">
        <is>
          <t>Approved</t>
        </is>
      </c>
      <c r="C2293" t="inlineStr">
        <is>
          <t>Procurement Order</t>
        </is>
      </c>
      <c r="D2293" s="3">
        <v>46118.618113425924</v>
      </c>
      <c r="E2293" s="3">
        <v>46118.691203703704</v>
      </c>
      <c r="F2293" t="inlineStr">
        <is>
          <t>Arlyn Castillo</t>
        </is>
      </c>
      <c r="G2293" t="inlineStr">
        <is>
          <t>Procurement</t>
        </is>
      </c>
      <c r="H2293"/>
      <c r="I2293"/>
      <c r="J2293" t="inlineStr">
        <is>
          <t>Project</t>
        </is>
      </c>
      <c r="K2293" t="inlineStr">
        <is>
          <t>PDEI - Game Marketing</t>
        </is>
      </c>
      <c r="L2293" t="inlineStr">
        <is>
          <t>SportsPlus MPBL Fan Zone Opening Day</t>
        </is>
      </c>
      <c r="M2293" t="inlineStr">
        <is>
          <t>2026TEG-P0088</t>
        </is>
      </c>
      <c r="N2293" t="inlineStr">
        <is>
          <t>Kervin</t>
        </is>
      </c>
      <c r="O2293" t="inlineStr">
        <is>
          <t>202604060058-Kervin-费用报销 - 副本 - 副本 - 副本-2026-04-06 04:15:34</t>
        </is>
      </c>
      <c r="P2293" t="inlineStr">
        <is>
          <t>NO</t>
        </is>
      </c>
      <c r="Q2293"/>
      <c r="R2293" t="inlineStr">
        <is>
          <t>NO</t>
        </is>
      </c>
      <c r="S2293" t="inlineStr">
        <is>
          <t>Customized Entrance Arch;6.0m W x 4.2m H x 0.45m D - Alonte Sports Stadium</t>
        </is>
      </c>
      <c r="T2293">
        <v>1</v>
      </c>
      <c r="U2293">
        <v>38528</v>
      </c>
      <c r="V2293" t="inlineStr">
        <is>
          <t>PHP</t>
        </is>
      </c>
      <c r="W2293">
        <v>38528</v>
      </c>
      <c r="X2293" s="2"/>
      <c r="Y2293" t="inlineStr">
        <is>
          <t>Bank Transfer</t>
        </is>
      </c>
      <c r="Z2293" t="inlineStr">
        <is>
          <t>Pangilinan Fabric and Leather Supply</t>
        </is>
      </c>
      <c r="AA2293" t="inlineStr">
        <is>
          <t>011698004345</t>
        </is>
      </c>
      <c r="AB2293" t="inlineStr">
        <is>
          <t>BDO</t>
        </is>
      </c>
      <c r="AC2293" t="inlineStr">
        <is>
          <t>3 jasmin St, Marikina City</t>
        </is>
      </c>
      <c r="AD2293" s="4">
        <v>46118</v>
      </c>
      <c r="AE2293" t="inlineStr">
        <is>
          <t>50% Down Payment upon confirmation
50% Final Payment upon compete delivery</t>
        </is>
      </c>
      <c r="AF2293" s="2" t="str">
        <f>=HYPERLINK("https://www.larksuite.com/approval/admin/previewAttachment?key=TMg9CsJAFATgK828fX_jZWwMwQSSRiJY7NkFK9svm8gOjhRcNIGz0iKGyyrcvLukaZNVQrFCcznW-8lz_xwbzt36urb5fj7W5cXskXCFOwWAtz8noR45fo5vAAAA__8", "2 attachment(s)")</f>
        <v>2 attachment(s)</v>
      </c>
      <c r="AG2293" t="inlineStr">
        <is>
          <t>NzQyNTk5MTgyNzQ4MTg3MDM0MTowNTBCODk3Ny0wQTk0LTQxQUQtQjJENS01NEJEN0UzRjAzOTgtMTpiODhlZDM3OWFiNzZlMTg0NWVkZDQzY2M5MWIwZmY3ZTox</t>
        </is>
      </c>
      <c r="AH2293" t="inlineStr">
        <is>
          <t>Pangilinan Fabric and Leather Supply</t>
        </is>
      </c>
      <c r="AI2293"/>
      <c r="AJ2293" t="inlineStr">
        <is>
          <t>LIQUIDITY PLAN (PAR # 202604060049 / 2026TEG-P0088)
FABRICATIONS / COLLATERALS
Branded Booth Table
Collapsible Booth (Lemonade Stand)
Entrance Arc
Standees
Column Post Tarpaulins
Total Budget = Php 225,500.00
Actual Cost = Php 225,000.00
Balance = Php 500.00</t>
        </is>
      </c>
      <c r="AK2293"/>
    </row>
    <row r="2294" ht="25.5" customHeight="1">
      <c r="A2294" s="2" t="str">
        <f>=HYPERLINK("https://applink.larksuite.com/client/mini_program/open?appId=cli_9c7cc8a9a9edd105&amp;mode=appCenter&amp;path_pc=pc/pages/requested/index?instanceId=7625534927542488799&amp;source=bitable&amp;path=pages/detail/index?instanceId=7625534927542488799&amp;source=bitable", "202604060097")</f>
        <v>202604060097</v>
      </c>
      <c r="B2294" t="inlineStr">
        <is>
          <t>Approved</t>
        </is>
      </c>
      <c r="C2294" t="inlineStr">
        <is>
          <t>Procurement Order</t>
        </is>
      </c>
      <c r="D2294" s="3">
        <v>46118.618113425924</v>
      </c>
      <c r="E2294" s="3">
        <v>46118.691203703704</v>
      </c>
      <c r="F2294" t="inlineStr">
        <is>
          <t>Arlyn Castillo</t>
        </is>
      </c>
      <c r="G2294" t="inlineStr">
        <is>
          <t>Procurement</t>
        </is>
      </c>
      <c r="H2294"/>
      <c r="I2294"/>
      <c r="J2294" t="inlineStr">
        <is>
          <t>Project</t>
        </is>
      </c>
      <c r="K2294" t="inlineStr">
        <is>
          <t>PDEI - Game Marketing</t>
        </is>
      </c>
      <c r="L2294" t="inlineStr">
        <is>
          <t>SportsPlus MPBL Fan Zone Opening Day</t>
        </is>
      </c>
      <c r="M2294" t="inlineStr">
        <is>
          <t>2026TEG-P0088</t>
        </is>
      </c>
      <c r="N2294" t="inlineStr">
        <is>
          <t>Kervin</t>
        </is>
      </c>
      <c r="O2294" t="inlineStr">
        <is>
          <t>202604060058-Kervin-费用报销 - 副本 - 副本 - 副本-2026-04-06 04:15:34</t>
        </is>
      </c>
      <c r="P2294" t="inlineStr">
        <is>
          <t>NO</t>
        </is>
      </c>
      <c r="Q2294"/>
      <c r="R2294" t="inlineStr">
        <is>
          <t>NO</t>
        </is>
      </c>
      <c r="S2294" t="inlineStr">
        <is>
          <t>Customized Side Column Cladding;(10ft H x 121 cm W) - Alonte Sports Stadium</t>
        </is>
      </c>
      <c r="T2294">
        <v>4</v>
      </c>
      <c r="U2294">
        <v>2016</v>
      </c>
      <c r="V2294" t="inlineStr">
        <is>
          <t>PHP</t>
        </is>
      </c>
      <c r="W2294">
        <v>8064</v>
      </c>
      <c r="X2294" s="2"/>
      <c r="Y2294"/>
      <c r="Z2294"/>
      <c r="AA2294"/>
      <c r="AB2294"/>
      <c r="AC2294"/>
      <c r="AD2294" s="4"/>
      <c r="AE2294"/>
      <c r="AF2294" s="2"/>
      <c r="AG2294" t="inlineStr">
        <is>
          <t>NzQyNTk5MTgyNzQ4MTg3MDM0MTowNTBCODk3Ny0wQTk0LTQxQUQtQjJENS01NEJEN0UzRjAzOTgtMjpiYmFkODZiZjkzOTQyYzI2YjJlYjZhZjczZmZlYmJiNTox</t>
        </is>
      </c>
      <c r="AH2294"/>
      <c r="AI2294"/>
      <c r="AJ2294" t="inlineStr">
        <is>
          <t>LIQUIDITY PLAN (PAR # 202604060049 / 2026TEG-P0088)
FABRICATIONS / COLLATERALS
Branded Booth Table
Collapsible Booth (Lemonade Stand)
Entrance Arc
Standees
Column Post Tarpaulins
Total Budget = Php 225,500.00
Actual Cost = Php 225,000.00
Balance = Php 500.00</t>
        </is>
      </c>
      <c r="AK2294"/>
    </row>
    <row r="2295" ht="25.5" customHeight="1">
      <c r="A2295" s="2" t="str">
        <f>=HYPERLINK("https://applink.larksuite.com/client/mini_program/open?appId=cli_9c7cc8a9a9edd105&amp;mode=appCenter&amp;path_pc=pc/pages/requested/index?instanceId=7625534927542488799&amp;source=bitable&amp;path=pages/detail/index?instanceId=7625534927542488799&amp;source=bitable", "202604060097")</f>
        <v>202604060097</v>
      </c>
      <c r="B2295" t="inlineStr">
        <is>
          <t>Approved</t>
        </is>
      </c>
      <c r="C2295" t="inlineStr">
        <is>
          <t>Procurement Order</t>
        </is>
      </c>
      <c r="D2295" s="3">
        <v>46118.618113425924</v>
      </c>
      <c r="E2295" s="3">
        <v>46118.691203703704</v>
      </c>
      <c r="F2295" t="inlineStr">
        <is>
          <t>Arlyn Castillo</t>
        </is>
      </c>
      <c r="G2295" t="inlineStr">
        <is>
          <t>Procurement</t>
        </is>
      </c>
      <c r="H2295"/>
      <c r="I2295"/>
      <c r="J2295" t="inlineStr">
        <is>
          <t>Project</t>
        </is>
      </c>
      <c r="K2295" t="inlineStr">
        <is>
          <t>PDEI - Game Marketing</t>
        </is>
      </c>
      <c r="L2295" t="inlineStr">
        <is>
          <t>SportsPlus MPBL Fan Zone Opening Day</t>
        </is>
      </c>
      <c r="M2295" t="inlineStr">
        <is>
          <t>2026TEG-P0088</t>
        </is>
      </c>
      <c r="N2295" t="inlineStr">
        <is>
          <t>Kervin</t>
        </is>
      </c>
      <c r="O2295" t="inlineStr">
        <is>
          <t>202604060058-Kervin-费用报销 - 副本 - 副本 - 副本-2026-04-06 04:15:34</t>
        </is>
      </c>
      <c r="P2295" t="inlineStr">
        <is>
          <t>NO</t>
        </is>
      </c>
      <c r="Q2295"/>
      <c r="R2295" t="inlineStr">
        <is>
          <t>NO</t>
        </is>
      </c>
      <c r="S2295" t="inlineStr">
        <is>
          <t>Customized Branded Booth Table - Alonte Sports Stadium</t>
        </is>
      </c>
      <c r="T2295">
        <v>1</v>
      </c>
      <c r="U2295">
        <v>10080</v>
      </c>
      <c r="V2295" t="inlineStr">
        <is>
          <t>PHP</t>
        </is>
      </c>
      <c r="W2295">
        <v>10080</v>
      </c>
      <c r="X2295" s="2"/>
      <c r="Y2295"/>
      <c r="Z2295"/>
      <c r="AA2295"/>
      <c r="AB2295"/>
      <c r="AC2295"/>
      <c r="AD2295" s="4"/>
      <c r="AE2295"/>
      <c r="AF2295" s="2"/>
      <c r="AG2295" t="inlineStr">
        <is>
          <t>NzQyNTk5MTgyNzQ4MTg3MDM0MTowNTBCODk3Ny0wQTk0LTQxQUQtQjJENS01NEJEN0UzRjAzOTgtMzozNzdiYTgzYzFjMGFmZWZhYzViZDk4NDZhNzg5ZmViNTox</t>
        </is>
      </c>
      <c r="AH2295"/>
      <c r="AI2295"/>
      <c r="AJ2295" t="inlineStr">
        <is>
          <t>LIQUIDITY PLAN (PAR # 202604060049 / 2026TEG-P0088)
FABRICATIONS / COLLATERALS
Branded Booth Table
Collapsible Booth (Lemonade Stand)
Entrance Arc
Standees
Column Post Tarpaulins
Total Budget = Php 225,500.00
Actual Cost = Php 225,000.00
Balance = Php 500.00</t>
        </is>
      </c>
      <c r="AK2295"/>
    </row>
    <row r="2296" ht="25.5" customHeight="1">
      <c r="A2296" s="2" t="str">
        <f>=HYPERLINK("https://applink.larksuite.com/client/mini_program/open?appId=cli_9c7cc8a9a9edd105&amp;mode=appCenter&amp;path_pc=pc/pages/requested/index?instanceId=7625534927542488799&amp;source=bitable&amp;path=pages/detail/index?instanceId=7625534927542488799&amp;source=bitable", "202604060097")</f>
        <v>202604060097</v>
      </c>
      <c r="B2296" t="inlineStr">
        <is>
          <t>Approved</t>
        </is>
      </c>
      <c r="C2296" t="inlineStr">
        <is>
          <t>Procurement Order</t>
        </is>
      </c>
      <c r="D2296" s="3">
        <v>46118.618113425924</v>
      </c>
      <c r="E2296" s="3">
        <v>46118.691203703704</v>
      </c>
      <c r="F2296" t="inlineStr">
        <is>
          <t>Arlyn Castillo</t>
        </is>
      </c>
      <c r="G2296" t="inlineStr">
        <is>
          <t>Procurement</t>
        </is>
      </c>
      <c r="H2296"/>
      <c r="I2296"/>
      <c r="J2296" t="inlineStr">
        <is>
          <t>Project</t>
        </is>
      </c>
      <c r="K2296" t="inlineStr">
        <is>
          <t>PDEI - Game Marketing</t>
        </is>
      </c>
      <c r="L2296" t="inlineStr">
        <is>
          <t>SportsPlus MPBL Fan Zone Opening Day</t>
        </is>
      </c>
      <c r="M2296" t="inlineStr">
        <is>
          <t>2026TEG-P0088</t>
        </is>
      </c>
      <c r="N2296" t="inlineStr">
        <is>
          <t>Kervin</t>
        </is>
      </c>
      <c r="O2296" t="inlineStr">
        <is>
          <t>202604060058-Kervin-费用报销 - 副本 - 副本 - 副本-2026-04-06 04:15:34</t>
        </is>
      </c>
      <c r="P2296" t="inlineStr">
        <is>
          <t>NO</t>
        </is>
      </c>
      <c r="Q2296"/>
      <c r="R2296" t="inlineStr">
        <is>
          <t>NO</t>
        </is>
      </c>
      <c r="S2296" t="inlineStr">
        <is>
          <t>Customized Lemonade Stand - Alonte Sports Stadium</t>
        </is>
      </c>
      <c r="T2296">
        <v>1</v>
      </c>
      <c r="U2296">
        <v>4256</v>
      </c>
      <c r="V2296" t="inlineStr">
        <is>
          <t>PHP</t>
        </is>
      </c>
      <c r="W2296">
        <v>4256</v>
      </c>
      <c r="X2296" s="2"/>
      <c r="Y2296"/>
      <c r="Z2296"/>
      <c r="AA2296"/>
      <c r="AB2296"/>
      <c r="AC2296"/>
      <c r="AD2296" s="4"/>
      <c r="AE2296"/>
      <c r="AF2296" s="2"/>
      <c r="AG2296" t="inlineStr">
        <is>
          <t>NzQyNTk5MTgyNzQ4MTg3MDM0MTowNTBCODk3Ny0wQTk0LTQxQUQtQjJENS01NEJEN0UzRjAzOTgtNDoyZDA5YTQ4Njg2YmYyOWY2OGJmZWQ0ZmUzMjZhMTFiNzox</t>
        </is>
      </c>
      <c r="AH2296"/>
      <c r="AI2296"/>
      <c r="AJ2296" t="inlineStr">
        <is>
          <t>LIQUIDITY PLAN (PAR # 202604060049 / 2026TEG-P0088)
FABRICATIONS / COLLATERALS
Branded Booth Table
Collapsible Booth (Lemonade Stand)
Entrance Arc
Standees
Column Post Tarpaulins
Total Budget = Php 225,500.00
Actual Cost = Php 225,000.00
Balance = Php 500.00</t>
        </is>
      </c>
      <c r="AK2296"/>
    </row>
    <row r="2297" ht="25.5" customHeight="1">
      <c r="A2297" s="2" t="str">
        <f>=HYPERLINK("https://applink.larksuite.com/client/mini_program/open?appId=cli_9c7cc8a9a9edd105&amp;mode=appCenter&amp;path_pc=pc/pages/requested/index?instanceId=7625534927542488799&amp;source=bitable&amp;path=pages/detail/index?instanceId=7625534927542488799&amp;source=bitable", "202604060097")</f>
        <v>202604060097</v>
      </c>
      <c r="B2297" t="inlineStr">
        <is>
          <t>Approved</t>
        </is>
      </c>
      <c r="C2297" t="inlineStr">
        <is>
          <t>Procurement Order</t>
        </is>
      </c>
      <c r="D2297" s="3">
        <v>46118.618113425924</v>
      </c>
      <c r="E2297" s="3">
        <v>46118.691203703704</v>
      </c>
      <c r="F2297" t="inlineStr">
        <is>
          <t>Arlyn Castillo</t>
        </is>
      </c>
      <c r="G2297" t="inlineStr">
        <is>
          <t>Procurement</t>
        </is>
      </c>
      <c r="H2297"/>
      <c r="I2297"/>
      <c r="J2297" t="inlineStr">
        <is>
          <t>Project</t>
        </is>
      </c>
      <c r="K2297" t="inlineStr">
        <is>
          <t>PDEI - Game Marketing</t>
        </is>
      </c>
      <c r="L2297" t="inlineStr">
        <is>
          <t>SportsPlus MPBL Fan Zone Opening Day</t>
        </is>
      </c>
      <c r="M2297" t="inlineStr">
        <is>
          <t>2026TEG-P0088</t>
        </is>
      </c>
      <c r="N2297" t="inlineStr">
        <is>
          <t>Kervin</t>
        </is>
      </c>
      <c r="O2297" t="inlineStr">
        <is>
          <t>202604060058-Kervin-费用报销 - 副本 - 副本 - 副本-2026-04-06 04:15:34</t>
        </is>
      </c>
      <c r="P2297" t="inlineStr">
        <is>
          <t>NO</t>
        </is>
      </c>
      <c r="Q2297"/>
      <c r="R2297" t="inlineStr">
        <is>
          <t>NO</t>
        </is>
      </c>
      <c r="S2297" t="inlineStr">
        <is>
          <t>Delivery Fee</t>
        </is>
      </c>
      <c r="T2297">
        <v>1</v>
      </c>
      <c r="U2297">
        <v>40320</v>
      </c>
      <c r="V2297" t="inlineStr">
        <is>
          <t>PHP</t>
        </is>
      </c>
      <c r="W2297">
        <v>40320</v>
      </c>
      <c r="X2297" s="2"/>
      <c r="Y2297"/>
      <c r="Z2297"/>
      <c r="AA2297"/>
      <c r="AB2297"/>
      <c r="AC2297"/>
      <c r="AD2297" s="4"/>
      <c r="AE2297"/>
      <c r="AF2297" s="2"/>
      <c r="AG2297" t="inlineStr">
        <is>
          <t>NzQyNTk5MTgyNzQ4MTg3MDM0MTowNTBCODk3Ny0wQTk0LTQxQUQtQjJENS01NEJEN0UzRjAzOTgtNTo3Y2ZkZmNjMTJkYTYzMjBjYzZmMGI5ZDc5ODUxN2NlYzox</t>
        </is>
      </c>
      <c r="AH2297"/>
      <c r="AI2297"/>
      <c r="AJ2297" t="inlineStr">
        <is>
          <t>LIQUIDITY PLAN (PAR # 202604060049 / 2026TEG-P0088)
FABRICATIONS / COLLATERALS
Branded Booth Table
Collapsible Booth (Lemonade Stand)
Entrance Arc
Standees
Column Post Tarpaulins
Total Budget = Php 225,500.00
Actual Cost = Php 225,000.00
Balance = Php 500.00</t>
        </is>
      </c>
      <c r="AK2297"/>
    </row>
    <row r="2298" ht="25.5" customHeight="1">
      <c r="A2298" s="2" t="str">
        <f>=HYPERLINK("https://applink.larksuite.com/client/mini_program/open?appId=cli_9c7cc8a9a9edd105&amp;mode=appCenter&amp;path_pc=pc/pages/requested/index?instanceId=7625534927542488799&amp;source=bitable&amp;path=pages/detail/index?instanceId=7625534927542488799&amp;source=bitable", "202604060097")</f>
        <v>202604060097</v>
      </c>
      <c r="B2298" t="inlineStr">
        <is>
          <t>Approved</t>
        </is>
      </c>
      <c r="C2298" t="inlineStr">
        <is>
          <t>Procurement Order</t>
        </is>
      </c>
      <c r="D2298" s="3">
        <v>46118.618113425924</v>
      </c>
      <c r="E2298" s="3">
        <v>46118.691203703704</v>
      </c>
      <c r="F2298" t="inlineStr">
        <is>
          <t>Arlyn Castillo</t>
        </is>
      </c>
      <c r="G2298" t="inlineStr">
        <is>
          <t>Procurement</t>
        </is>
      </c>
      <c r="H2298"/>
      <c r="I2298"/>
      <c r="J2298" t="inlineStr">
        <is>
          <t>Project</t>
        </is>
      </c>
      <c r="K2298" t="inlineStr">
        <is>
          <t>PDEI - Game Marketing</t>
        </is>
      </c>
      <c r="L2298" t="inlineStr">
        <is>
          <t>SportsPlus MPBL Fan Zone Opening Day</t>
        </is>
      </c>
      <c r="M2298" t="inlineStr">
        <is>
          <t>2026TEG-P0088</t>
        </is>
      </c>
      <c r="N2298" t="inlineStr">
        <is>
          <t>Kervin</t>
        </is>
      </c>
      <c r="O2298" t="inlineStr">
        <is>
          <t>202604060058-Kervin-费用报销 - 副本 - 副本 - 副本-2026-04-06 04:15:34</t>
        </is>
      </c>
      <c r="P2298" t="inlineStr">
        <is>
          <t>NO</t>
        </is>
      </c>
      <c r="Q2298"/>
      <c r="R2298" t="inlineStr">
        <is>
          <t>NO</t>
        </is>
      </c>
      <c r="S2298" t="inlineStr">
        <is>
          <t>Discount</t>
        </is>
      </c>
      <c r="T2298">
        <v>1</v>
      </c>
      <c r="U2298">
        <v>-904</v>
      </c>
      <c r="V2298" t="inlineStr">
        <is>
          <t>PHP</t>
        </is>
      </c>
      <c r="W2298">
        <v>-904</v>
      </c>
      <c r="X2298" s="2" t="str">
        <f>=HYPERLINK("https://www.larksuite.com/approval/admin/previewAttachment?key=PMhBCsJQDATQKyX5kz8ZL-PGUmyh3UgFFzm74MLtm-U2K31MGeQh8-aMzAEFE4EqSh3tpIzOVC_Hej_93D_HZucedV1bv5-PdXl5ihHGAYwyM7_9fRCANGE_z28AAAD__w", "2 attachment(s)")</f>
        <v>2 attachment(s)</v>
      </c>
      <c r="Y2298"/>
      <c r="Z2298"/>
      <c r="AA2298"/>
      <c r="AB2298"/>
      <c r="AC2298"/>
      <c r="AD2298" s="4"/>
      <c r="AE2298"/>
      <c r="AF2298" s="2"/>
      <c r="AG2298" t="inlineStr">
        <is>
          <t>NzQyNTk5MTgyNzQ4MTg3MDM0MTowNTBCODk3Ny0wQTk0LTQxQUQtQjJENS01NEJEN0UzRjAzOTgtNjpiYmI3MTY5YWVkMDk4MWE1MzE1YTAxYjk5MWI5NGQwYjox</t>
        </is>
      </c>
      <c r="AH2298"/>
      <c r="AI2298"/>
      <c r="AJ2298" t="inlineStr">
        <is>
          <t>LIQUIDITY PLAN (PAR # 202604060049 / 2026TEG-P0088)
FABRICATIONS / COLLATERALS
Branded Booth Table
Collapsible Booth (Lemonade Stand)
Entrance Arc
Standees
Column Post Tarpaulins
Total Budget = Php 225,500.00
Actual Cost = Php 225,000.00
Balance = Php 500.00</t>
        </is>
      </c>
      <c r="AK2298"/>
    </row>
    <row r="2299" ht="25.5" customHeight="1">
      <c r="A2299" s="2" t="str">
        <f>=HYPERLINK("https://applink.larksuite.com/client/mini_program/open?appId=cli_9c7cc8a9a9edd105&amp;mode=appCenter&amp;path_pc=pc/pages/requested/index?instanceId=7625534927542488799&amp;source=bitable&amp;path=pages/detail/index?instanceId=7625534927542488799&amp;source=bitable", "202604060097")</f>
        <v>202604060097</v>
      </c>
      <c r="B2299" t="inlineStr">
        <is>
          <t>Approved</t>
        </is>
      </c>
      <c r="C2299" t="inlineStr">
        <is>
          <t>Procurement Order</t>
        </is>
      </c>
      <c r="D2299" s="3">
        <v>46118.618113425924</v>
      </c>
      <c r="E2299" s="3">
        <v>46118.691203703704</v>
      </c>
      <c r="F2299" t="inlineStr">
        <is>
          <t>Arlyn Castillo</t>
        </is>
      </c>
      <c r="G2299" t="inlineStr">
        <is>
          <t>Procurement</t>
        </is>
      </c>
      <c r="H2299"/>
      <c r="I2299"/>
      <c r="J2299" t="inlineStr">
        <is>
          <t>Project</t>
        </is>
      </c>
      <c r="K2299" t="inlineStr">
        <is>
          <t>PDEI - Game Marketing</t>
        </is>
      </c>
      <c r="L2299" t="inlineStr">
        <is>
          <t>SportsPlus MPBL Fan Zone Opening Day</t>
        </is>
      </c>
      <c r="M2299" t="inlineStr">
        <is>
          <t>2026TEG-P0088</t>
        </is>
      </c>
      <c r="N2299" t="inlineStr">
        <is>
          <t>Kervin</t>
        </is>
      </c>
      <c r="O2299" t="inlineStr">
        <is>
          <t>202604060058-Kervin-费用报销 - 副本 - 副本 - 副本-2026-04-06 04:15:34</t>
        </is>
      </c>
      <c r="P2299" t="inlineStr">
        <is>
          <t>NO</t>
        </is>
      </c>
      <c r="Q2299"/>
      <c r="R2299" t="inlineStr">
        <is>
          <t>NO</t>
        </is>
      </c>
      <c r="S2299" t="inlineStr">
        <is>
          <t>Customized Entrance Arch;6.0m W x 4.2m H x 0.45m D - Caloocan Sport Complex</t>
        </is>
      </c>
      <c r="T2299">
        <v>1</v>
      </c>
      <c r="U2299">
        <v>38528</v>
      </c>
      <c r="V2299" t="inlineStr">
        <is>
          <t>PHP</t>
        </is>
      </c>
      <c r="W2299">
        <v>38528</v>
      </c>
      <c r="X2299" s="2"/>
      <c r="Y2299"/>
      <c r="Z2299"/>
      <c r="AA2299"/>
      <c r="AB2299"/>
      <c r="AC2299"/>
      <c r="AD2299" s="4"/>
      <c r="AE2299"/>
      <c r="AF2299" s="2"/>
      <c r="AG2299" t="inlineStr">
        <is>
          <t>NzQyNTk5MTgyNzQ4MTg3MDM0MTowNTBCODk3Ny0wQTk0LTQxQUQtQjJENS01NEJEN0UzRjAzOTgtNzo1NmYyYjE0ZDJjMTIxZTEzZjQwODBmYTQ2YzYyZDY2NDox</t>
        </is>
      </c>
      <c r="AH2299"/>
      <c r="AI2299"/>
      <c r="AJ2299" t="inlineStr">
        <is>
          <t>LIQUIDITY PLAN (PAR # 202604060049 / 2026TEG-P0088)
FABRICATIONS / COLLATERALS
Branded Booth Table
Collapsible Booth (Lemonade Stand)
Entrance Arc
Standees
Column Post Tarpaulins
Total Budget = Php 225,500.00
Actual Cost = Php 225,000.00
Balance = Php 500.00</t>
        </is>
      </c>
      <c r="AK2299"/>
    </row>
    <row r="2300" ht="25.5" customHeight="1">
      <c r="A2300" s="2" t="str">
        <f>=HYPERLINK("https://applink.larksuite.com/client/mini_program/open?appId=cli_9c7cc8a9a9edd105&amp;mode=appCenter&amp;path_pc=pc/pages/requested/index?instanceId=7625534927542488799&amp;source=bitable&amp;path=pages/detail/index?instanceId=7625534927542488799&amp;source=bitable", "202604060097")</f>
        <v>202604060097</v>
      </c>
      <c r="B2300" t="inlineStr">
        <is>
          <t>Approved</t>
        </is>
      </c>
      <c r="C2300" t="inlineStr">
        <is>
          <t>Procurement Order</t>
        </is>
      </c>
      <c r="D2300" s="3">
        <v>46118.618113425924</v>
      </c>
      <c r="E2300" s="3">
        <v>46118.691203703704</v>
      </c>
      <c r="F2300" t="inlineStr">
        <is>
          <t>Arlyn Castillo</t>
        </is>
      </c>
      <c r="G2300" t="inlineStr">
        <is>
          <t>Procurement</t>
        </is>
      </c>
      <c r="H2300"/>
      <c r="I2300"/>
      <c r="J2300" t="inlineStr">
        <is>
          <t>Project</t>
        </is>
      </c>
      <c r="K2300" t="inlineStr">
        <is>
          <t>PDEI - Game Marketing</t>
        </is>
      </c>
      <c r="L2300" t="inlineStr">
        <is>
          <t>SportsPlus MPBL Fan Zone Opening Day</t>
        </is>
      </c>
      <c r="M2300" t="inlineStr">
        <is>
          <t>2026TEG-P0088</t>
        </is>
      </c>
      <c r="N2300" t="inlineStr">
        <is>
          <t>Kervin</t>
        </is>
      </c>
      <c r="O2300" t="inlineStr">
        <is>
          <t>202604060058-Kervin-费用报销 - 副本 - 副本 - 副本-2026-04-06 04:15:34</t>
        </is>
      </c>
      <c r="P2300" t="inlineStr">
        <is>
          <t>NO</t>
        </is>
      </c>
      <c r="Q2300"/>
      <c r="R2300" t="inlineStr">
        <is>
          <t>NO</t>
        </is>
      </c>
      <c r="S2300" t="inlineStr">
        <is>
          <t>Customized Side Column Cladding;(1.21m W x 3.0m H / column) - Caloocan Sport Complex</t>
        </is>
      </c>
      <c r="T2300">
        <v>4</v>
      </c>
      <c r="U2300">
        <v>8064</v>
      </c>
      <c r="V2300" t="inlineStr">
        <is>
          <t>PHP</t>
        </is>
      </c>
      <c r="W2300">
        <v>32256</v>
      </c>
      <c r="X2300" s="2"/>
      <c r="Y2300"/>
      <c r="Z2300"/>
      <c r="AA2300"/>
      <c r="AB2300"/>
      <c r="AC2300"/>
      <c r="AD2300" s="4"/>
      <c r="AE2300"/>
      <c r="AF2300" s="2"/>
      <c r="AG2300" t="inlineStr">
        <is>
          <t>NzQyNTk5MTgyNzQ4MTg3MDM0MTowNTBCODk3Ny0wQTk0LTQxQUQtQjJENS01NEJEN0UzRjAzOTgtODpmNDFiZDQwYjAxZmZhZWVjZjIwMDVlY2E3ZDkyODZiZjox</t>
        </is>
      </c>
      <c r="AH2300"/>
      <c r="AI2300"/>
      <c r="AJ2300" t="inlineStr">
        <is>
          <t>LIQUIDITY PLAN (PAR # 202604060049 / 2026TEG-P0088)
FABRICATIONS / COLLATERALS
Branded Booth Table
Collapsible Booth (Lemonade Stand)
Entrance Arc
Standees
Column Post Tarpaulins
Total Budget = Php 225,500.00
Actual Cost = Php 225,000.00
Balance = Php 500.00</t>
        </is>
      </c>
      <c r="AK2300"/>
    </row>
    <row r="2301" ht="25.5" customHeight="1">
      <c r="A2301" s="2" t="str">
        <f>=HYPERLINK("https://applink.larksuite.com/client/mini_program/open?appId=cli_9c7cc8a9a9edd105&amp;mode=appCenter&amp;path_pc=pc/pages/requested/index?instanceId=7625534927542488799&amp;source=bitable&amp;path=pages/detail/index?instanceId=7625534927542488799&amp;source=bitable", "202604060097")</f>
        <v>202604060097</v>
      </c>
      <c r="B2301" t="inlineStr">
        <is>
          <t>Approved</t>
        </is>
      </c>
      <c r="C2301" t="inlineStr">
        <is>
          <t>Procurement Order</t>
        </is>
      </c>
      <c r="D2301" s="3">
        <v>46118.618113425924</v>
      </c>
      <c r="E2301" s="3">
        <v>46118.691203703704</v>
      </c>
      <c r="F2301" t="inlineStr">
        <is>
          <t>Arlyn Castillo</t>
        </is>
      </c>
      <c r="G2301" t="inlineStr">
        <is>
          <t>Procurement</t>
        </is>
      </c>
      <c r="H2301"/>
      <c r="I2301"/>
      <c r="J2301" t="inlineStr">
        <is>
          <t>Project</t>
        </is>
      </c>
      <c r="K2301" t="inlineStr">
        <is>
          <t>PDEI - Game Marketing</t>
        </is>
      </c>
      <c r="L2301" t="inlineStr">
        <is>
          <t>SportsPlus MPBL Fan Zone Opening Day</t>
        </is>
      </c>
      <c r="M2301" t="inlineStr">
        <is>
          <t>2026TEG-P0088</t>
        </is>
      </c>
      <c r="N2301" t="inlineStr">
        <is>
          <t>Kervin</t>
        </is>
      </c>
      <c r="O2301" t="inlineStr">
        <is>
          <t>202604060058-Kervin-费用报销 - 副本 - 副本 - 副本-2026-04-06 04:15:34</t>
        </is>
      </c>
      <c r="P2301" t="inlineStr">
        <is>
          <t>NO</t>
        </is>
      </c>
      <c r="Q2301"/>
      <c r="R2301" t="inlineStr">
        <is>
          <t>NO</t>
        </is>
      </c>
      <c r="S2301" t="inlineStr">
        <is>
          <t>Customized Branded Booth Table - Caloocan Sport Complex</t>
        </is>
      </c>
      <c r="T2301">
        <v>1</v>
      </c>
      <c r="U2301">
        <v>9072</v>
      </c>
      <c r="V2301" t="inlineStr">
        <is>
          <t>PHP</t>
        </is>
      </c>
      <c r="W2301">
        <v>9072</v>
      </c>
      <c r="X2301" s="2"/>
      <c r="Y2301"/>
      <c r="Z2301"/>
      <c r="AA2301"/>
      <c r="AB2301"/>
      <c r="AC2301"/>
      <c r="AD2301" s="4"/>
      <c r="AE2301"/>
      <c r="AF2301" s="2"/>
      <c r="AG2301" t="inlineStr">
        <is>
          <t>NzQyNTk5MTgyNzQ4MTg3MDM0MTowNTBCODk3Ny0wQTk0LTQxQUQtQjJENS01NEJEN0UzRjAzOTgtOToxYjE3MjY3ODg1YzEyMjI3MTRkOGFmMGZhZDEzMGVmYzox</t>
        </is>
      </c>
      <c r="AH2301"/>
      <c r="AI2301"/>
      <c r="AJ2301" t="inlineStr">
        <is>
          <t>LIQUIDITY PLAN (PAR # 202604060049 / 2026TEG-P0088)
FABRICATIONS / COLLATERALS
Branded Booth Table
Collapsible Booth (Lemonade Stand)
Entrance Arc
Standees
Column Post Tarpaulins
Total Budget = Php 225,500.00
Actual Cost = Php 225,000.00
Balance = Php 500.00</t>
        </is>
      </c>
      <c r="AK2301"/>
    </row>
    <row r="2302" ht="25.5" customHeight="1">
      <c r="A2302" s="2" t="str">
        <f>=HYPERLINK("https://applink.larksuite.com/client/mini_program/open?appId=cli_9c7cc8a9a9edd105&amp;mode=appCenter&amp;path_pc=pc/pages/requested/index?instanceId=7625534927542488799&amp;source=bitable&amp;path=pages/detail/index?instanceId=7625534927542488799&amp;source=bitable", "202604060097")</f>
        <v>202604060097</v>
      </c>
      <c r="B2302" t="inlineStr">
        <is>
          <t>Approved</t>
        </is>
      </c>
      <c r="C2302" t="inlineStr">
        <is>
          <t>Procurement Order</t>
        </is>
      </c>
      <c r="D2302" s="3">
        <v>46118.618113425924</v>
      </c>
      <c r="E2302" s="3">
        <v>46118.691203703704</v>
      </c>
      <c r="F2302" t="inlineStr">
        <is>
          <t>Arlyn Castillo</t>
        </is>
      </c>
      <c r="G2302" t="inlineStr">
        <is>
          <t>Procurement</t>
        </is>
      </c>
      <c r="H2302"/>
      <c r="I2302"/>
      <c r="J2302" t="inlineStr">
        <is>
          <t>Project</t>
        </is>
      </c>
      <c r="K2302" t="inlineStr">
        <is>
          <t>PDEI - Game Marketing</t>
        </is>
      </c>
      <c r="L2302" t="inlineStr">
        <is>
          <t>SportsPlus MPBL Fan Zone Opening Day</t>
        </is>
      </c>
      <c r="M2302" t="inlineStr">
        <is>
          <t>2026TEG-P0088</t>
        </is>
      </c>
      <c r="N2302" t="inlineStr">
        <is>
          <t>Kervin</t>
        </is>
      </c>
      <c r="O2302" t="inlineStr">
        <is>
          <t>202604060058-Kervin-费用报销 - 副本 - 副本 - 副本-2026-04-06 04:15:34</t>
        </is>
      </c>
      <c r="P2302" t="inlineStr">
        <is>
          <t>NO</t>
        </is>
      </c>
      <c r="Q2302"/>
      <c r="R2302" t="inlineStr">
        <is>
          <t>NO</t>
        </is>
      </c>
      <c r="S2302" t="inlineStr">
        <is>
          <t>Customized Lemonade Stand - Caloocan Sport Complex</t>
        </is>
      </c>
      <c r="T2302">
        <v>1</v>
      </c>
      <c r="U2302">
        <v>4480</v>
      </c>
      <c r="V2302" t="inlineStr">
        <is>
          <t>PHP</t>
        </is>
      </c>
      <c r="W2302">
        <v>4480</v>
      </c>
      <c r="X2302" s="2"/>
      <c r="Y2302"/>
      <c r="Z2302"/>
      <c r="AA2302"/>
      <c r="AB2302"/>
      <c r="AC2302"/>
      <c r="AD2302" s="4"/>
      <c r="AE2302"/>
      <c r="AF2302" s="2"/>
      <c r="AG2302" t="inlineStr">
        <is>
          <t>NzQyNTk5MTgyNzQ4MTg3MDM0MTowNTBCODk3Ny0wQTk0LTQxQUQtQjJENS01NEJEN0UzRjAzOTgtMTA6MTRjYzgwMjM0ZTg2ZmYwMmU1ZDVkNWJlMmNmOGQ5NDM6MQ==</t>
        </is>
      </c>
      <c r="AH2302"/>
      <c r="AI2302"/>
      <c r="AJ2302" t="inlineStr">
        <is>
          <t>LIQUIDITY PLAN (PAR # 202604060049 / 2026TEG-P0088)
FABRICATIONS / COLLATERALS
Branded Booth Table
Collapsible Booth (Lemonade Stand)
Entrance Arc
Standees
Column Post Tarpaulins
Total Budget = Php 225,500.00
Actual Cost = Php 225,000.00
Balance = Php 500.00</t>
        </is>
      </c>
      <c r="AK2302"/>
    </row>
    <row r="2303" ht="25.5" customHeight="1">
      <c r="A2303" s="2" t="str">
        <f>=HYPERLINK("https://applink.larksuite.com/client/mini_program/open?appId=cli_9c7cc8a9a9edd105&amp;mode=appCenter&amp;path_pc=pc/pages/requested/index?instanceId=7625534927542488799&amp;source=bitable&amp;path=pages/detail/index?instanceId=7625534927542488799&amp;source=bitable", "202604060097")</f>
        <v>202604060097</v>
      </c>
      <c r="B2303" t="inlineStr">
        <is>
          <t>Approved</t>
        </is>
      </c>
      <c r="C2303" t="inlineStr">
        <is>
          <t>Procurement Order</t>
        </is>
      </c>
      <c r="D2303" s="3">
        <v>46118.618113425924</v>
      </c>
      <c r="E2303" s="3">
        <v>46118.691203703704</v>
      </c>
      <c r="F2303" t="inlineStr">
        <is>
          <t>Arlyn Castillo</t>
        </is>
      </c>
      <c r="G2303" t="inlineStr">
        <is>
          <t>Procurement</t>
        </is>
      </c>
      <c r="H2303"/>
      <c r="I2303"/>
      <c r="J2303" t="inlineStr">
        <is>
          <t>Project</t>
        </is>
      </c>
      <c r="K2303" t="inlineStr">
        <is>
          <t>PDEI - Game Marketing</t>
        </is>
      </c>
      <c r="L2303" t="inlineStr">
        <is>
          <t>SportsPlus MPBL Fan Zone Opening Day</t>
        </is>
      </c>
      <c r="M2303" t="inlineStr">
        <is>
          <t>2026TEG-P0088</t>
        </is>
      </c>
      <c r="N2303" t="inlineStr">
        <is>
          <t>Kervin</t>
        </is>
      </c>
      <c r="O2303" t="inlineStr">
        <is>
          <t>202604060058-Kervin-费用报销 - 副本 - 副本 - 副本-2026-04-06 04:15:34</t>
        </is>
      </c>
      <c r="P2303" t="inlineStr">
        <is>
          <t>NO</t>
        </is>
      </c>
      <c r="Q2303"/>
      <c r="R2303" t="inlineStr">
        <is>
          <t>NO</t>
        </is>
      </c>
      <c r="S2303" t="inlineStr">
        <is>
          <t>Delivery Fee - Caloocan Sport Complex</t>
        </is>
      </c>
      <c r="T2303">
        <v>1</v>
      </c>
      <c r="U2303">
        <v>40320</v>
      </c>
      <c r="V2303" t="inlineStr">
        <is>
          <t>PHP</t>
        </is>
      </c>
      <c r="W2303">
        <v>40320</v>
      </c>
      <c r="X2303" s="2" t="str">
        <f>=HYPERLINK("https://www.larksuite.com/approval/admin/previewAttachment?key=PMhBCsJQDATQK03ykz8ZL-PGUmyh3UgFFzm74MLtm2WYlTamEDIXrDk9c4ScGR5VlNrbSIHGVC_Hej_t3D_HhnP3uq6t38_HurwsRXdwRIwCYLe_D0aENAM_N3wDAAD__w", "2 attachment(s)")</f>
        <v>2 attachment(s)</v>
      </c>
      <c r="Y2303"/>
      <c r="Z2303"/>
      <c r="AA2303"/>
      <c r="AB2303"/>
      <c r="AC2303"/>
      <c r="AD2303" s="4"/>
      <c r="AE2303"/>
      <c r="AF2303" s="2"/>
      <c r="AG2303" t="inlineStr">
        <is>
          <t>NzQyNTk5MTgyNzQ4MTg3MDM0MTowNTBCODk3Ny0wQTk0LTQxQUQtQjJENS01NEJEN0UzRjAzOTgtMTE6MTkxZWNlN2U2NjQzYTdjNWI4OGU2YmM4MmVhMzY1ZmE6MQ==</t>
        </is>
      </c>
      <c r="AH2303"/>
      <c r="AI2303"/>
      <c r="AJ2303" t="inlineStr">
        <is>
          <t>LIQUIDITY PLAN (PAR # 202604060049 / 2026TEG-P0088)
FABRICATIONS / COLLATERALS
Branded Booth Table
Collapsible Booth (Lemonade Stand)
Entrance Arc
Standees
Column Post Tarpaulins
Total Budget = Php 225,500.00
Actual Cost = Php 225,000.00
Balance = Php 500.00</t>
        </is>
      </c>
      <c r="AK2303"/>
    </row>
    <row r="2304" ht="25.5" customHeight="1">
      <c r="A2304" s="2" t="str">
        <f>=HYPERLINK("https://applink.larksuite.com/client/mini_program/open?appId=cli_9c7cc8a9a9edd105&amp;mode=appCenter&amp;path_pc=pc/pages/requested/index?instanceId=7625551605975813856&amp;source=bitable&amp;path=pages/detail/index?instanceId=7625551605975813856&amp;source=bitable", "202604060118")</f>
        <v>202604060118</v>
      </c>
      <c r="B2304" t="inlineStr">
        <is>
          <t>Approved</t>
        </is>
      </c>
      <c r="C2304" t="inlineStr">
        <is>
          <t>Procurement Order</t>
        </is>
      </c>
      <c r="D2304" s="3">
        <v>46118.66305555555</v>
      </c>
      <c r="E2304" s="3">
        <v>46118.68221064815</v>
      </c>
      <c r="F2304" t="inlineStr">
        <is>
          <t>Zaira Villar</t>
        </is>
      </c>
      <c r="G2304" t="inlineStr">
        <is>
          <t>Procurement</t>
        </is>
      </c>
      <c r="H2304"/>
      <c r="I2304"/>
      <c r="J2304" t="inlineStr">
        <is>
          <t>Project</t>
        </is>
      </c>
      <c r="K2304" t="inlineStr">
        <is>
          <t>GG - Event Service</t>
        </is>
      </c>
      <c r="L2304" t="inlineStr">
        <is>
          <t>PUBG Mobile 8th Anniversary Event</t>
        </is>
      </c>
      <c r="M2304" t="inlineStr">
        <is>
          <t>2026TEG-P0066</t>
        </is>
      </c>
      <c r="N2304" t="inlineStr">
        <is>
          <t>Frances Angelita Arreglado</t>
        </is>
      </c>
      <c r="O2304" t="inlineStr">
        <is>
          <t>202603260118-Frances Angelita Arreglado-费用报销 - 副本 - 副本 - 副本-2026-03-26 08:16:02</t>
        </is>
      </c>
      <c r="P2304" t="inlineStr">
        <is>
          <t>YES</t>
        </is>
      </c>
      <c r="Q2304"/>
      <c r="R2304" t="inlineStr">
        <is>
          <t>NO</t>
        </is>
      </c>
      <c r="S2304" t="inlineStr">
        <is>
          <t>Outsourced Event Usher</t>
        </is>
      </c>
      <c r="T2304">
        <v>1</v>
      </c>
      <c r="U2304">
        <v>1500</v>
      </c>
      <c r="V2304" t="inlineStr">
        <is>
          <t>PHP</t>
        </is>
      </c>
      <c r="W2304">
        <v>1500</v>
      </c>
      <c r="X2304" s="2" t="str">
        <f>=HYPERLINK("https://www.larksuite.com/approval/admin/previewAttachment?key=PMhBCsJADAXQK_1kkvx8L-OmQxG0IAhCF3N2wUW3r9pQnTZKCJkLtliemVZIMdtGZy1fRgo0ptY89vvT4zywtfia59vX97Ht82MpuoMjYjQAu10-GBFSBf6OXwAAAP__", "2 attachment(s)")</f>
        <v>2 attachment(s)</v>
      </c>
      <c r="Y2304" t="inlineStr">
        <is>
          <t>Bank Transfer</t>
        </is>
      </c>
      <c r="Z2304" t="inlineStr">
        <is>
          <t>Marjie S. Olaybal</t>
        </is>
      </c>
      <c r="AA2304" t="inlineStr">
        <is>
          <t>09924055707</t>
        </is>
      </c>
      <c r="AB2304" t="inlineStr">
        <is>
          <t>GCASH</t>
        </is>
      </c>
      <c r="AC2304" t="inlineStr">
        <is>
          <t>Blk 26 Lot 15 Rd 23 Purok2 Maguindanao St New Lower Bicutan</t>
        </is>
      </c>
      <c r="AD2304" s="4">
        <v>46122</v>
      </c>
      <c r="AE2304" t="inlineStr">
        <is>
          <t>April 10 - One time payment</t>
        </is>
      </c>
      <c r="AF2304" s="2"/>
      <c r="AG2304" t="inlineStr">
        <is>
          <t>NzQyNTk5MTgyNzQ4MTg3MDM0MTowRUY2RTc4RC03NEEwLTRBRUYtOEM4RS0wN0RGMENBRUIyMTktMTo1YmNiY2EyYmY2YTg4MWQ2Yjc2M2UzMmM3NWIyYTBkMjox</t>
        </is>
      </c>
      <c r="AH2304" t="inlineStr">
        <is>
          <t>Marjie S. Olaybal</t>
        </is>
      </c>
      <c r="AI2304"/>
      <c r="AJ2304" t="inlineStr">
        <is>
          <t>LIQUIDITY PLAN (PAR # 202603150011 / 202603150011) - AS OF 04/06/26
METRO MANILA LEG - MARCH 29, 2026 &gt; MANPOWER &gt;
Usher Event / Personnel
Total Remaining Budget = Php 3,000.00
Actual Cost = Php 1,500.00
Balance = Php 1,500.00</t>
        </is>
      </c>
      <c r="AK2304"/>
    </row>
    <row r="2305" ht="25.5" customHeight="1">
      <c r="A2305" s="2" t="str">
        <f>=HYPERLINK("https://applink.larksuite.com/client/mini_program/open?appId=cli_9c7cc8a9a9edd105&amp;mode=appCenter&amp;path_pc=pc/pages/requested/index?instanceId=7625547063282945755&amp;source=bitable&amp;path=pages/detail/index?instanceId=7625547063282945755&amp;source=bitable", "202604060111")</f>
        <v>202604060111</v>
      </c>
      <c r="B2305" t="inlineStr">
        <is>
          <t>Approved</t>
        </is>
      </c>
      <c r="C2305" t="inlineStr">
        <is>
          <t>Procurement Order</t>
        </is>
      </c>
      <c r="D2305" s="3">
        <v>46118.650821759256</v>
      </c>
      <c r="E2305" s="3">
        <v>46118.6812037037</v>
      </c>
      <c r="F2305" t="inlineStr">
        <is>
          <t>Arlyn Castillo</t>
        </is>
      </c>
      <c r="G2305" t="inlineStr">
        <is>
          <t>Procurement</t>
        </is>
      </c>
      <c r="H2305"/>
      <c r="I2305"/>
      <c r="J2305" t="inlineStr">
        <is>
          <t>Project</t>
        </is>
      </c>
      <c r="K2305" t="inlineStr">
        <is>
          <t>PDEI - Event Service</t>
        </is>
      </c>
      <c r="L2305" t="inlineStr">
        <is>
          <t>SportsPlus MPBL Fan Zone Opening Day</t>
        </is>
      </c>
      <c r="M2305" t="inlineStr">
        <is>
          <t>2026TEG-P0088</t>
        </is>
      </c>
      <c r="N2305" t="inlineStr">
        <is>
          <t>Kervin</t>
        </is>
      </c>
      <c r="O2305" t="inlineStr">
        <is>
          <t>202604060064-Kervin-费用报销 - 副本 - 副本 - 副本-2026-04-06 04:26:35</t>
        </is>
      </c>
      <c r="P2305" t="inlineStr">
        <is>
          <t>NO</t>
        </is>
      </c>
      <c r="Q2305"/>
      <c r="R2305" t="inlineStr">
        <is>
          <t>NO</t>
        </is>
      </c>
      <c r="S2305" t="inlineStr">
        <is>
          <t>Basketball Arcade Machine Rental (Binan, Laguna)</t>
        </is>
      </c>
      <c r="T2305">
        <v>1</v>
      </c>
      <c r="U2305">
        <v>10000</v>
      </c>
      <c r="V2305" t="inlineStr">
        <is>
          <t>PHP</t>
        </is>
      </c>
      <c r="W2305">
        <v>10000</v>
      </c>
      <c r="X2305" s="2"/>
      <c r="Y2305" t="inlineStr">
        <is>
          <t>Bank Transfer</t>
        </is>
      </c>
      <c r="Z2305" t="inlineStr">
        <is>
          <t>Quantum Trade</t>
        </is>
      </c>
      <c r="AA2305" t="inlineStr">
        <is>
          <t>2606195705</t>
        </is>
      </c>
      <c r="AB2305" t="inlineStr">
        <is>
          <t>LandBank</t>
        </is>
      </c>
      <c r="AC2305" t="inlineStr">
        <is>
          <t>15 Ruby Street, Diamond Village Subdivision, Lagundi, Mexico, Pampanga</t>
        </is>
      </c>
      <c r="AD2305" s="4">
        <v>46113</v>
      </c>
      <c r="AE2305" t="inlineStr">
        <is>
          <t>50% Down payment upon confirmation
50% Balance upon delivery</t>
        </is>
      </c>
      <c r="AF2305" s="2"/>
      <c r="AG2305" t="inlineStr">
        <is>
          <t>NzQyNTk5MTgyNzQ4MTg3MDM0MTo4MTU4NDkzQi00QkZELTRFMTktODkzRS05ODQwQTBDRDhDMTItMTo4OWY3ZDNmMmI0ODE3YzdjNGYzZTljYTU3OTMyZDgwOTox</t>
        </is>
      </c>
      <c r="AH2305" t="inlineStr">
        <is>
          <t>Quantum Trade</t>
        </is>
      </c>
      <c r="AI2305"/>
      <c r="AJ2305" t="inlineStr">
        <is>
          <t>LIQUIDITY PLAN (PAR # 202604060049 / 2026TEG-P0088)
FABRICATIONS / COLLATERALS &gt; 
Arcade Rental
Total Budget = Php 16,000.00
Actual Cost = Php 16,000.00</t>
        </is>
      </c>
      <c r="AK2305"/>
    </row>
    <row r="2306" ht="25.5" customHeight="1">
      <c r="A2306" s="2" t="str">
        <f>=HYPERLINK("https://applink.larksuite.com/client/mini_program/open?appId=cli_9c7cc8a9a9edd105&amp;mode=appCenter&amp;path_pc=pc/pages/requested/index?instanceId=7625547063282945755&amp;source=bitable&amp;path=pages/detail/index?instanceId=7625547063282945755&amp;source=bitable", "202604060111")</f>
        <v>202604060111</v>
      </c>
      <c r="B2306" t="inlineStr">
        <is>
          <t>Approved</t>
        </is>
      </c>
      <c r="C2306" t="inlineStr">
        <is>
          <t>Procurement Order</t>
        </is>
      </c>
      <c r="D2306" s="3">
        <v>46118.650821759256</v>
      </c>
      <c r="E2306" s="3">
        <v>46118.6812037037</v>
      </c>
      <c r="F2306" t="inlineStr">
        <is>
          <t>Arlyn Castillo</t>
        </is>
      </c>
      <c r="G2306" t="inlineStr">
        <is>
          <t>Procurement</t>
        </is>
      </c>
      <c r="H2306"/>
      <c r="I2306"/>
      <c r="J2306" t="inlineStr">
        <is>
          <t>Project</t>
        </is>
      </c>
      <c r="K2306" t="inlineStr">
        <is>
          <t>PDEI - Event Service</t>
        </is>
      </c>
      <c r="L2306" t="inlineStr">
        <is>
          <t>SportsPlus MPBL Fan Zone Opening Day</t>
        </is>
      </c>
      <c r="M2306" t="inlineStr">
        <is>
          <t>2026TEG-P0088</t>
        </is>
      </c>
      <c r="N2306" t="inlineStr">
        <is>
          <t>Kervin</t>
        </is>
      </c>
      <c r="O2306" t="inlineStr">
        <is>
          <t>202604060064-Kervin-费用报销 - 副本 - 副本 - 副本-2026-04-06 04:26:35</t>
        </is>
      </c>
      <c r="P2306" t="inlineStr">
        <is>
          <t>NO</t>
        </is>
      </c>
      <c r="Q2306"/>
      <c r="R2306" t="inlineStr">
        <is>
          <t>NO</t>
        </is>
      </c>
      <c r="S2306" t="inlineStr">
        <is>
          <t>Delivery Fee</t>
        </is>
      </c>
      <c r="T2306">
        <v>1</v>
      </c>
      <c r="U2306">
        <v>6000</v>
      </c>
      <c r="V2306" t="inlineStr">
        <is>
          <t>PHP</t>
        </is>
      </c>
      <c r="W2306">
        <v>6000</v>
      </c>
      <c r="X2306" s="2" t="str">
        <f>=HYPERLINK("https://www.larksuite.com/approval/admin/previewAttachment?key=PMgxCkJBDATQK2Wyk8zGy9i4LDYfBPGjRc4uWNi-nLCcgZFlLHgZWukRlOXw6cVQRHtDKhMU1evY1xPHeuC99voE96vP-22vJ6LkbhrkmGaGy9-HSFYl7ef4BgAA__8", "2 attachment(s)")</f>
        <v>2 attachment(s)</v>
      </c>
      <c r="Y2306"/>
      <c r="Z2306"/>
      <c r="AA2306"/>
      <c r="AB2306"/>
      <c r="AC2306"/>
      <c r="AD2306" s="4"/>
      <c r="AE2306"/>
      <c r="AF2306" s="2"/>
      <c r="AG2306" t="inlineStr">
        <is>
          <t>NzQyNTk5MTgyNzQ4MTg3MDM0MTo4MTU4NDkzQi00QkZELTRFMTktODkzRS05ODQwQTBDRDhDMTItMjo1MjA1ZDBhNzc3MWZkZGEwOTIzYmQ4NjEwYWQ3MTNhODox</t>
        </is>
      </c>
      <c r="AH2306"/>
      <c r="AI2306"/>
      <c r="AJ2306" t="inlineStr">
        <is>
          <t>LIQUIDITY PLAN (PAR # 202604060049 / 2026TEG-P0088)
FABRICATIONS / COLLATERALS &gt; 
Arcade Rental
Total Budget = Php 16,000.00
Actual Cost = Php 16,000.00</t>
        </is>
      </c>
      <c r="AK2306"/>
    </row>
    <row r="2307" ht="25.5" customHeight="1">
      <c r="A2307" s="2" t="str">
        <f>=HYPERLINK("https://applink.larksuite.com/client/mini_program/open?appId=cli_9c7cc8a9a9edd105&amp;mode=appCenter&amp;path_pc=pc/pages/requested/index?instanceId=7622977414691344096&amp;source=bitable&amp;path=pages/detail/index?instanceId=7622977414691344096&amp;source=bitable", "202603300117")</f>
        <v>202603300117</v>
      </c>
      <c r="B2307" t="inlineStr">
        <is>
          <t>Approved</t>
        </is>
      </c>
      <c r="C2307" t="inlineStr">
        <is>
          <t>Procurement Order</t>
        </is>
      </c>
      <c r="D2307" s="3">
        <v>46111.72613425926</v>
      </c>
      <c r="E2307" s="3">
        <v>46122.47670138889</v>
      </c>
      <c r="F2307" t="inlineStr">
        <is>
          <t>Fatima Kathleen M. FLores</t>
        </is>
      </c>
      <c r="G2307" t="inlineStr">
        <is>
          <t>Procurement</t>
        </is>
      </c>
      <c r="H2307"/>
      <c r="I2307"/>
      <c r="J2307" t="inlineStr">
        <is>
          <t>Project</t>
        </is>
      </c>
      <c r="K2307" t="inlineStr">
        <is>
          <t>PDEI - Event Service</t>
        </is>
      </c>
      <c r="L2307" t="inlineStr">
        <is>
          <t>MPL PH S17</t>
        </is>
      </c>
      <c r="M2307" t="inlineStr">
        <is>
          <t>2026TEG-P0009</t>
        </is>
      </c>
      <c r="N2307" t="inlineStr">
        <is>
          <t>Katherine Denise Lee Sy</t>
        </is>
      </c>
      <c r="O2307" t="inlineStr">
        <is>
          <t>202603110084-Katherine Denise Lee Sy-费用报销 - 副本 - 副本 - 副本-2026-03-11 12:12:35</t>
        </is>
      </c>
      <c r="P2307" t="inlineStr">
        <is>
          <t>YES</t>
        </is>
      </c>
      <c r="Q2307"/>
      <c r="R2307" t="inlineStr">
        <is>
          <t>YES</t>
        </is>
      </c>
      <c r="S2307" t="inlineStr">
        <is>
          <t>Outsourced Referee (RS &amp; PO)</t>
        </is>
      </c>
      <c r="T2307">
        <v>1</v>
      </c>
      <c r="U2307">
        <v>54450</v>
      </c>
      <c r="V2307" t="inlineStr">
        <is>
          <t>PHP</t>
        </is>
      </c>
      <c r="W2307">
        <v>54450</v>
      </c>
      <c r="X2307" s="2" t="str">
        <f>=HYPERLINK("https://www.larksuite.com/approval/admin/previewAttachment?key=PMhBqgIxEATQK1V1Kt1T_zJ_kzDIYFai4CJnF1y4fXkQeXS2NGSGwV0Z4SpRaTYJzh2bVUaxuvdc5_-1-Hbva45r8P7cr9s454PdFYFqUjsA8O_nrSTZKXwdnwAAAP__", "2 attachment(s)")</f>
        <v>2 attachment(s)</v>
      </c>
      <c r="Y2307" t="inlineStr">
        <is>
          <t>Bank Transfer</t>
        </is>
      </c>
      <c r="Z2307" t="inlineStr">
        <is>
          <t>Louis Martin Olaguer</t>
        </is>
      </c>
      <c r="AA2307" t="inlineStr">
        <is>
          <t>0959043473</t>
        </is>
      </c>
      <c r="AB2307" t="inlineStr">
        <is>
          <t>BPI</t>
        </is>
      </c>
      <c r="AC2307" t="inlineStr">
        <is>
          <t>2264 Tramo, Pasay City</t>
        </is>
      </c>
      <c r="AD2307" s="4">
        <v>46122</v>
      </c>
      <c r="AE2307" t="inlineStr">
        <is>
          <t>1st Payment - Apr. 10, 2026
2nd Payment - May 8, 2026
3rd Payment - May 29, 2026
Final Payment - Jun. 19, 2026</t>
        </is>
      </c>
      <c r="AF2307" s="2"/>
      <c r="AG2307" t="inlineStr">
        <is>
          <t>NzQyNTk5MTgyNzQ4MTg3MDM0MTo0NkRBODUwOC02NDY5LTQ2RUItOEQ3Ni03OUNCOTZFOEU2MEEtMTo2MDlhN2MwMTJlYmRmYWUxZDQyOTllOWJkNDE3MjAwOTox</t>
        </is>
      </c>
      <c r="AH2307" t="inlineStr">
        <is>
          <t>Louis Martin Olaguer</t>
        </is>
      </c>
      <c r="AI2307"/>
      <c r="AJ2307" t="inlineStr">
        <is>
          <t>LIQUIDITY PLAN (PAR # 202602190021 / 2026TEG-P0009) - AS OF 031626
MANPOWER &gt; League Operations &gt;
Referee 3
PLAYOFFS SPECIFIC &gt; MANPOWER &gt;
LOPS &gt; Referee 3
Total Budget = Php 52,500.00
Actual Cost = Php 54,450.00
Balance = (Php 1,950.00) OVER BUDGET</t>
        </is>
      </c>
      <c r="AK2307"/>
    </row>
    <row r="2308" ht="25.5" customHeight="1">
      <c r="A2308" s="2" t="str">
        <f>=HYPERLINK("https://applink.larksuite.com/client/mini_program/open?appId=cli_9c7cc8a9a9edd105&amp;mode=appCenter&amp;path_pc=pc/pages/requested/index?instanceId=7622978766179978975&amp;source=bitable&amp;path=pages/detail/index?instanceId=7622978766179978975&amp;source=bitable", "202603300118")</f>
        <v>202603300118</v>
      </c>
      <c r="B2308" t="inlineStr">
        <is>
          <t>Approved</t>
        </is>
      </c>
      <c r="C2308" t="inlineStr">
        <is>
          <t>Procurement Order</t>
        </is>
      </c>
      <c r="D2308" s="3">
        <v>46111.72976851852</v>
      </c>
      <c r="E2308" s="3">
        <v>46122.47883101852</v>
      </c>
      <c r="F2308" t="inlineStr">
        <is>
          <t>Fatima Kathleen M. FLores</t>
        </is>
      </c>
      <c r="G2308" t="inlineStr">
        <is>
          <t>Procurement</t>
        </is>
      </c>
      <c r="H2308"/>
      <c r="I2308"/>
      <c r="J2308" t="inlineStr">
        <is>
          <t>Project</t>
        </is>
      </c>
      <c r="K2308" t="inlineStr">
        <is>
          <t>PDEI - Event Service</t>
        </is>
      </c>
      <c r="L2308" t="inlineStr">
        <is>
          <t>MPL PH S17</t>
        </is>
      </c>
      <c r="M2308" t="inlineStr">
        <is>
          <t>2026TEG-P0009</t>
        </is>
      </c>
      <c r="N2308" t="inlineStr">
        <is>
          <t>Katherine Denise Lee Sy</t>
        </is>
      </c>
      <c r="O2308" t="inlineStr">
        <is>
          <t>202603110084-Katherine Denise Lee Sy-费用报销 - 副本 - 副本 - 副本-2026-03-11 12:12:35</t>
        </is>
      </c>
      <c r="P2308" t="inlineStr">
        <is>
          <t>YES</t>
        </is>
      </c>
      <c r="Q2308"/>
      <c r="R2308" t="inlineStr">
        <is>
          <t>YES</t>
        </is>
      </c>
      <c r="S2308" t="inlineStr">
        <is>
          <t>Outsourced Referee (RS &amp; PO)</t>
        </is>
      </c>
      <c r="T2308">
        <v>1</v>
      </c>
      <c r="U2308">
        <v>59500</v>
      </c>
      <c r="V2308" t="inlineStr">
        <is>
          <t>PHP</t>
        </is>
      </c>
      <c r="W2308">
        <v>59500</v>
      </c>
      <c r="X2308" s="2" t="str">
        <f>=HYPERLINK("https://www.larksuite.com/approval/admin/previewAttachment?key=PMhBqgIxEATQK1V1Ol2pf5m_yRBkYNyIgoucXXDh9tUganS2MtIMg1sVYQ1VUbaG1XdsSoao7n1c6_96-5xs6M8z7mvu122u48FuRUAtsw0A_Pt5U2balfg6PgEAAP__", "2 attachment(s)")</f>
        <v>2 attachment(s)</v>
      </c>
      <c r="Y2308" t="inlineStr">
        <is>
          <t>Bank Transfer</t>
        </is>
      </c>
      <c r="Z2308" t="inlineStr">
        <is>
          <t>Mico Tabernilla</t>
        </is>
      </c>
      <c r="AA2308" t="inlineStr">
        <is>
          <t>303-900-2977</t>
        </is>
      </c>
      <c r="AB2308" t="inlineStr">
        <is>
          <t>BPI</t>
        </is>
      </c>
      <c r="AC2308" t="inlineStr">
        <is>
          <t>4004 Yague St. Brgy Tejeros, Makati City</t>
        </is>
      </c>
      <c r="AD2308" s="4">
        <v>46122</v>
      </c>
      <c r="AE2308" t="inlineStr">
        <is>
          <t>1st Payment - Apr. 10, 2026
2nd Payment - May 8, 2026
3rd Payment - May 29, 2026
Final Payment - Jun. 19, 2026</t>
        </is>
      </c>
      <c r="AF2308" s="2"/>
      <c r="AG2308" t="inlineStr">
        <is>
          <t>NzQyNTk5MTgyNzQ4MTg3MDM0MTpDRjk1NkNFMi1GNjQ5LTRFM0EtOEY4Ri00MDQ4RjIxQTQ3QUItMTozNTZkNjJhMjBjZjZjOTI5OTQ5ZGM0MmIyOGIzZjEzZTox</t>
        </is>
      </c>
      <c r="AH2308" t="inlineStr">
        <is>
          <t>Mico Tabernilla</t>
        </is>
      </c>
      <c r="AI2308"/>
      <c r="AJ2308" t="inlineStr">
        <is>
          <t>LIQUIDITY PLAN (PAR # 202602190021 / 2026TEG-P0009) - AS OF 031626
MANPOWER &gt; League Operations &gt;
Referee 4
PLAYOFFS SPECIFIC &gt; MANPOWER &gt;
LOPS &gt; Referee 4
Total Budget = Php 52,500.00
Actual Cost = Php 59,500.00
Balance = (Php 7,000.00) OVER BUDGET</t>
        </is>
      </c>
      <c r="AK2308"/>
    </row>
    <row r="2309" ht="25.5" customHeight="1">
      <c r="A2309" s="2" t="str">
        <f>=HYPERLINK("https://applink.larksuite.com/client/mini_program/open?appId=cli_9c7cc8a9a9edd105&amp;mode=appCenter&amp;path_pc=pc/pages/requested/index?instanceId=7622979901469019877&amp;source=bitable&amp;path=pages/detail/index?instanceId=7622979901469019877&amp;source=bitable", "202603300120")</f>
        <v>202603300120</v>
      </c>
      <c r="B2309" t="inlineStr">
        <is>
          <t>Approved</t>
        </is>
      </c>
      <c r="C2309" t="inlineStr">
        <is>
          <t>Procurement Order</t>
        </is>
      </c>
      <c r="D2309" s="3">
        <v>46111.732835648145</v>
      </c>
      <c r="E2309" s="3">
        <v>46122.48023148148</v>
      </c>
      <c r="F2309" t="inlineStr">
        <is>
          <t>Fatima Kathleen M. FLores</t>
        </is>
      </c>
      <c r="G2309" t="inlineStr">
        <is>
          <t>Procurement</t>
        </is>
      </c>
      <c r="H2309"/>
      <c r="I2309"/>
      <c r="J2309" t="inlineStr">
        <is>
          <t>Project</t>
        </is>
      </c>
      <c r="K2309" t="inlineStr">
        <is>
          <t>PDEI - Event Service</t>
        </is>
      </c>
      <c r="L2309" t="inlineStr">
        <is>
          <t>MPL PH S17</t>
        </is>
      </c>
      <c r="M2309" t="inlineStr">
        <is>
          <t>2026TEG-P0009</t>
        </is>
      </c>
      <c r="N2309" t="inlineStr">
        <is>
          <t>Katherine Denise Lee Sy</t>
        </is>
      </c>
      <c r="O2309" t="inlineStr">
        <is>
          <t>202603110084-Katherine Denise Lee Sy-费用报销 - 副本 - 副本 - 副本-2026-03-11 12:12:35</t>
        </is>
      </c>
      <c r="P2309" t="inlineStr">
        <is>
          <t>YES</t>
        </is>
      </c>
      <c r="Q2309"/>
      <c r="R2309" t="inlineStr">
        <is>
          <t>YES</t>
        </is>
      </c>
      <c r="S2309" t="inlineStr">
        <is>
          <t>Outsourced Referee (RS &amp; PO)</t>
        </is>
      </c>
      <c r="T2309">
        <v>1</v>
      </c>
      <c r="U2309">
        <v>54450</v>
      </c>
      <c r="V2309" t="inlineStr">
        <is>
          <t>PHP</t>
        </is>
      </c>
      <c r="W2309">
        <v>54450</v>
      </c>
      <c r="X2309" s="2" t="str">
        <f>=HYPERLINK("https://www.larksuite.com/approval/admin/previewAttachment?key=PMgxDkIxDAPQK9lpGtdchoWvL4RgQmXL2ZEYWF8totbkKCPNMNiqCMsGswx6SR1NyRA13cfrvPoxucBnUDs3-nO_nceb04qARuZYAHj5-1Bm2pX4Ob4BAAD__w", "2 attachment(s)")</f>
        <v>2 attachment(s)</v>
      </c>
      <c r="Y2309" t="inlineStr">
        <is>
          <t>Bank Transfer</t>
        </is>
      </c>
      <c r="Z2309" t="inlineStr">
        <is>
          <t>MIKO B SEVILLA</t>
        </is>
      </c>
      <c r="AA2309" t="inlineStr">
        <is>
          <t>010640090958</t>
        </is>
      </c>
      <c r="AB2309" t="inlineStr">
        <is>
          <t>BDO</t>
        </is>
      </c>
      <c r="AC2309" t="inlineStr">
        <is>
          <t>1790 Varona St. Tondo Manila</t>
        </is>
      </c>
      <c r="AD2309" s="4">
        <v>46122</v>
      </c>
      <c r="AE2309" t="inlineStr">
        <is>
          <t>1st Payment - Apr. 10, 2026
2nd Payment - May 8, 2026
3rd Payment - May 29, 2026
Final Payment - Jun. 19, 2026</t>
        </is>
      </c>
      <c r="AF2309" s="2"/>
      <c r="AG2309" t="inlineStr">
        <is>
          <t>NzQyNTk5MTgyNzQ4MTg3MDM0MToxQkJFMUNGRC00MUQxLTREOEQtODNDRC04RUQzRDM3RTZBMTItMTphMzhjOTUxYjI5ODY0MTEwODM3NWExNzU4YmY1NDcwYTox</t>
        </is>
      </c>
      <c r="AH2309" t="inlineStr">
        <is>
          <t>MIKO B SEVILLA</t>
        </is>
      </c>
      <c r="AI2309"/>
      <c r="AJ2309" t="inlineStr">
        <is>
          <t>LIQUIDITY PLAN (PAR # 202602190021 / 2026TEG-P0009) - AS OF 031626
MANPOWER &gt; League Operations &gt;
Referee 5
PLAYOFFS SPECIFIC &gt; MANPOWER &gt;
LOPS &gt; Referee 5
Total Budget = Php 50,750.00
Actual Cost = Php 54,450.00
Balance = (Php 3,700.00) OVER BUDGET</t>
        </is>
      </c>
      <c r="AK2309"/>
    </row>
    <row r="2310" ht="25.5" customHeight="1">
      <c r="A2310" s="2" t="str">
        <f>=HYPERLINK("https://applink.larksuite.com/client/mini_program/open?appId=cli_9c7cc8a9a9edd105&amp;mode=appCenter&amp;path_pc=pc/pages/requested/index?instanceId=7622980825100947163&amp;source=bitable&amp;path=pages/detail/index?instanceId=7622980825100947163&amp;source=bitable", "202603300121")</f>
        <v>202603300121</v>
      </c>
      <c r="B2310" t="inlineStr">
        <is>
          <t>Approved</t>
        </is>
      </c>
      <c r="C2310" t="inlineStr">
        <is>
          <t>Procurement Order</t>
        </is>
      </c>
      <c r="D2310" s="3">
        <v>46111.73532407408</v>
      </c>
      <c r="E2310" s="3">
        <v>46122.48143518518</v>
      </c>
      <c r="F2310" t="inlineStr">
        <is>
          <t>Fatima Kathleen M. FLores</t>
        </is>
      </c>
      <c r="G2310" t="inlineStr">
        <is>
          <t>Procurement</t>
        </is>
      </c>
      <c r="H2310"/>
      <c r="I2310"/>
      <c r="J2310" t="inlineStr">
        <is>
          <t>Project</t>
        </is>
      </c>
      <c r="K2310" t="inlineStr">
        <is>
          <t>PDEI - Event Service</t>
        </is>
      </c>
      <c r="L2310" t="inlineStr">
        <is>
          <t>MPL PH S17</t>
        </is>
      </c>
      <c r="M2310" t="inlineStr">
        <is>
          <t>2026TEG-P0009</t>
        </is>
      </c>
      <c r="N2310" t="inlineStr">
        <is>
          <t>Katherine Denise Lee Sy</t>
        </is>
      </c>
      <c r="O2310" t="inlineStr">
        <is>
          <t>202603110084-Katherine Denise Lee Sy-费用报销 - 副本 - 副本 - 副本-2026-03-11 12:12:35</t>
        </is>
      </c>
      <c r="P2310" t="inlineStr">
        <is>
          <t>YES</t>
        </is>
      </c>
      <c r="Q2310"/>
      <c r="R2310" t="inlineStr">
        <is>
          <t>YES</t>
        </is>
      </c>
      <c r="S2310" t="inlineStr">
        <is>
          <t>Outsourced Referee (RS &amp; PO)</t>
        </is>
      </c>
      <c r="T2310">
        <v>1</v>
      </c>
      <c r="U2310">
        <v>54450</v>
      </c>
      <c r="V2310" t="inlineStr">
        <is>
          <t>PHP</t>
        </is>
      </c>
      <c r="W2310">
        <v>54450</v>
      </c>
      <c r="X2310" s="2" t="str">
        <f>=HYPERLINK("https://www.larksuite.com/approval/admin/previewAttachment?key=PMhBCgIxDAXQK_2fpkm_l3HjMFhHQRAqLnJ2wYXbF4OI0dlCcNEEVoaZBoZ1AvJktLJippDMrtoe-3muT7_N9zqO5_Q7al0v-_ZiV5ohm3sbAHj6e0t3l8Lxc3wDAAD__w", "2 attachment(s)")</f>
        <v>2 attachment(s)</v>
      </c>
      <c r="Y2310" t="inlineStr">
        <is>
          <t>Bank Transfer</t>
        </is>
      </c>
      <c r="Z2310" t="inlineStr">
        <is>
          <t>Andreij Hosea Dayo Albar</t>
        </is>
      </c>
      <c r="AA2310" t="inlineStr">
        <is>
          <t>5626727869</t>
        </is>
      </c>
      <c r="AB2310" t="inlineStr">
        <is>
          <t>BPI</t>
        </is>
      </c>
      <c r="AC2310" t="inlineStr">
        <is>
          <t>54, Camia Street, San Antonio Valley 17, Talon 4, Las Piñas</t>
        </is>
      </c>
      <c r="AD2310" s="4">
        <v>46122</v>
      </c>
      <c r="AE2310" t="inlineStr">
        <is>
          <t>1st Payment - Apr. 10, 2026
2nd Payment - May 8, 2026
3rd Payment - May 29, 2026
Final Payment - Jun. 19, 2026</t>
        </is>
      </c>
      <c r="AF2310" s="2"/>
      <c r="AG2310" t="inlineStr">
        <is>
          <t>NzQyNTk5MTgyNzQ4MTg3MDM0MTo0RkJEQjJCRS03Q0VFLTREM0ItODRDNi02ODk2Qjk4RUY4QTktMTo5NTQwYWQ4NmFmZTVlMWM2MDI0NGFmNmY0ZGJlZWJhNjox</t>
        </is>
      </c>
      <c r="AH2310" t="inlineStr">
        <is>
          <t>Andreij Hosea Dayo Albar</t>
        </is>
      </c>
      <c r="AI2310"/>
      <c r="AJ2310" t="inlineStr">
        <is>
          <t>LIQUIDITY PLAN (PAR # 202602190021 / 2026TEG-P0009) - AS OF 031626
MANPOWER &gt; League Operations &gt;
Referee 6
PLAYOFFS SPECIFIC &gt; MANPOWER &gt;
LOPS &gt; Referee 6
Total Budget = Php 50,750.00
Actual Cost = Php 54,450.00
Balance = (Php 3,700.00) OVER BUDGET</t>
        </is>
      </c>
      <c r="AK2310"/>
    </row>
    <row r="2311" ht="25.5" customHeight="1">
      <c r="A2311" s="2" t="str">
        <f>=HYPERLINK("https://applink.larksuite.com/client/mini_program/open?appId=cli_9c7cc8a9a9edd105&amp;mode=appCenter&amp;path_pc=pc/pages/requested/index?instanceId=7625578776356720348&amp;source=bitable&amp;path=pages/detail/index?instanceId=7625578776356720348&amp;source=bitable", "202604060146")</f>
        <v>202604060146</v>
      </c>
      <c r="B2311" t="inlineStr">
        <is>
          <t>Approved</t>
        </is>
      </c>
      <c r="C2311" t="inlineStr">
        <is>
          <t>Procurement Order</t>
        </is>
      </c>
      <c r="D2311" s="3">
        <v>46118.73627314815</v>
      </c>
      <c r="E2311" s="3">
        <v>46122.472337962965</v>
      </c>
      <c r="F2311" t="inlineStr">
        <is>
          <t>Zaira Villar</t>
        </is>
      </c>
      <c r="G2311" t="inlineStr">
        <is>
          <t>Procurement</t>
        </is>
      </c>
      <c r="H2311"/>
      <c r="I2311"/>
      <c r="J2311" t="inlineStr">
        <is>
          <t>Project</t>
        </is>
      </c>
      <c r="K2311" t="inlineStr">
        <is>
          <t>PDEI - Game Marketing</t>
        </is>
      </c>
      <c r="L2311" t="inlineStr">
        <is>
          <t>SM Cyberzone Trading Card Game (TCG) Activations</t>
        </is>
      </c>
      <c r="M2311" t="inlineStr">
        <is>
          <t>2025TEG-P0278</t>
        </is>
      </c>
      <c r="N2311" t="inlineStr">
        <is>
          <t>Alessandra Mae Villanueva Boado</t>
        </is>
      </c>
      <c r="O2311" t="inlineStr">
        <is>
          <t>202602180077-Alessandra Mae Villanueva Boado-费用报销 - 副本 - 副本 - 副本-2026-02-18 09:20:40</t>
        </is>
      </c>
      <c r="P2311" t="inlineStr">
        <is>
          <t>YES</t>
        </is>
      </c>
      <c r="Q2311"/>
      <c r="R2311" t="inlineStr">
        <is>
          <t>YES</t>
        </is>
      </c>
      <c r="S2311" t="inlineStr">
        <is>
          <t>Outsourced Road Manager</t>
        </is>
      </c>
      <c r="T2311">
        <v>1</v>
      </c>
      <c r="U2311">
        <v>3400</v>
      </c>
      <c r="V2311" t="inlineStr">
        <is>
          <t>PHP</t>
        </is>
      </c>
      <c r="W2311">
        <v>3400</v>
      </c>
      <c r="X2311" s="2" t="str">
        <f>=HYPERLINK("https://www.larksuite.com/approval/admin/previewAttachment?key=PMg7CsJgEATgK80-518vY-MSRCIEBMVizy5YpP1yCXKFWBa8RAsyTI3gItMiqTBfoyNkgcKo6ed23eMh-q3D9uPT3fO-37Z-SRRVQXO3BUAupxvdvSodf8cvAAD__w", "2 attachment(s)")</f>
        <v>2 attachment(s)</v>
      </c>
      <c r="Y2311" t="inlineStr">
        <is>
          <t>Bank Transfer</t>
        </is>
      </c>
      <c r="Z2311" t="inlineStr">
        <is>
          <t>Jaizel Joy Gonzaga</t>
        </is>
      </c>
      <c r="AA2311" t="inlineStr">
        <is>
          <t>09464076623</t>
        </is>
      </c>
      <c r="AB2311" t="inlineStr">
        <is>
          <t>MAYA WALLET</t>
        </is>
      </c>
      <c r="AC2311" t="inlineStr">
        <is>
          <t>Blk 1 Sitio Pusawan, Brgy. Ususan, Taguig City</t>
        </is>
      </c>
      <c r="AD2311" s="4">
        <v>46122</v>
      </c>
      <c r="AE2311" t="inlineStr">
        <is>
          <t>April 10, 2026 - One time payment</t>
        </is>
      </c>
      <c r="AF2311" s="2"/>
      <c r="AG2311" t="inlineStr">
        <is>
          <t>NzQyNTk5MTgyNzQ4MTg3MDM0MToyRTFDNUY2OS0zRDVBLTREQUMtOTVFQy0zQjYzQTVENUVENDctMTpiYjFjZDExZjdiZTU0MDUwNWNjNTliN2MzMzY1MWFhMDox</t>
        </is>
      </c>
      <c r="AH2311" t="inlineStr">
        <is>
          <t>Jaizel Joy Gonzaga</t>
        </is>
      </c>
      <c r="AI2311"/>
      <c r="AJ2311" t="inlineStr">
        <is>
          <t>No line item in internal CE.
Unbudgeted.</t>
        </is>
      </c>
      <c r="AK2311"/>
    </row>
    <row r="2312" ht="25.5" customHeight="1">
      <c r="A2312" s="2" t="str">
        <f>=HYPERLINK("https://applink.larksuite.com/client/mini_program/open?appId=cli_9c7cc8a9a9edd105&amp;mode=appCenter&amp;path_pc=pc/pages/requested/index?instanceId=7625954704542961372&amp;source=bitable&amp;path=pages/detail/index?instanceId=7625954704542961372&amp;source=bitable", "202604070144")</f>
        <v>202604070144</v>
      </c>
      <c r="B2312" t="inlineStr">
        <is>
          <t>Approved</t>
        </is>
      </c>
      <c r="C2312" t="inlineStr">
        <is>
          <t>Procurement Order</t>
        </is>
      </c>
      <c r="D2312" s="3">
        <v>46119.74932870371</v>
      </c>
      <c r="E2312" s="3">
        <v>46120.46435185185</v>
      </c>
      <c r="F2312" t="inlineStr">
        <is>
          <t>Fatima Kathleen M. FLores</t>
        </is>
      </c>
      <c r="G2312" t="inlineStr">
        <is>
          <t>Procurement</t>
        </is>
      </c>
      <c r="H2312"/>
      <c r="I2312"/>
      <c r="J2312" t="inlineStr">
        <is>
          <t>Project</t>
        </is>
      </c>
      <c r="K2312" t="inlineStr">
        <is>
          <t>PDEI - Game Marketing</t>
        </is>
      </c>
      <c r="L2312" t="inlineStr">
        <is>
          <t>SM Cyberzone Trading Card Game (TCG) Activations</t>
        </is>
      </c>
      <c r="M2312" t="inlineStr">
        <is>
          <t>2025TEG-P0278</t>
        </is>
      </c>
      <c r="N2312" t="inlineStr">
        <is>
          <t>Alessandra Mae Villanueva Boado</t>
        </is>
      </c>
      <c r="O2312" t="inlineStr">
        <is>
          <t>202602130084-Alessandra Mae Villanueva Boado-费用报销 - 副本 - 副本 - 副本-2026-02-13 10:13:32</t>
        </is>
      </c>
      <c r="P2312" t="inlineStr">
        <is>
          <t>YES</t>
        </is>
      </c>
      <c r="Q2312"/>
      <c r="R2312" t="inlineStr">
        <is>
          <t>NO</t>
        </is>
      </c>
      <c r="S2312" t="inlineStr">
        <is>
          <t>Outsourced Usher (2 days)</t>
        </is>
      </c>
      <c r="T2312">
        <v>1</v>
      </c>
      <c r="U2312">
        <v>3000</v>
      </c>
      <c r="V2312" t="inlineStr">
        <is>
          <t>PHP</t>
        </is>
      </c>
      <c r="W2312">
        <v>3000</v>
      </c>
      <c r="X2312" s="2" t="str">
        <f>=HYPERLINK("https://www.larksuite.com/approval/admin/previewAttachment?key=PMgxDsJADATAL619azvLZ2hyiriCNEiBxm9HoqCd3Ay5hY0UKHPButJDwQKDrrRR3t5WJZRVqOfzuEfM5e91zs86uV99PfZjvixU7qhBjg2A3f4-iqSUxM_xDQAA__8", "2 attachment(s)")</f>
        <v>2 attachment(s)</v>
      </c>
      <c r="Y2312" t="inlineStr">
        <is>
          <t>Bank Transfer</t>
        </is>
      </c>
      <c r="Z2312" t="inlineStr">
        <is>
          <t>John Martin Nery</t>
        </is>
      </c>
      <c r="AA2312" t="inlineStr">
        <is>
          <t>002090549439</t>
        </is>
      </c>
      <c r="AB2312" t="inlineStr">
        <is>
          <t>BDO</t>
        </is>
      </c>
      <c r="AC2312" t="inlineStr">
        <is>
          <t>12 Little Tagaytay St. Marulas Valenzuela City</t>
        </is>
      </c>
      <c r="AD2312" s="4">
        <v>46101</v>
      </c>
      <c r="AE2312" t="inlineStr">
        <is>
          <t>100% Full Payment - Apr. 10, 2026</t>
        </is>
      </c>
      <c r="AF2312" s="2"/>
      <c r="AG2312" t="inlineStr">
        <is>
          <t>NzQyNTk5MTgyNzQ4MTg3MDM0MTpFRTA5N0NGMy02QzRCLTRCNDEtQjc3Ny1CMDY3RTRCN0Q5MTItMToxYmFiM2Q3ZWY3Y2JjMjMzMjg3YTc4NzU3OTIzZjU2ZDox</t>
        </is>
      </c>
      <c r="AH2312" t="inlineStr">
        <is>
          <t>John Martin Nery</t>
        </is>
      </c>
      <c r="AI2312"/>
      <c r="AJ2312" t="inlineStr">
        <is>
          <t>LIQUIDITY PLAN (PAR # 202602090082 / 2025TEG-P0278)
SM North EDSA &gt; Ushers
SM BF Paranaque &gt; Ushers
Total Remaining Budget = Php 4,200.00
Actual Cost = Php 3,000.00
Balance = Php 1,200.00</t>
        </is>
      </c>
      <c r="AK2312"/>
    </row>
    <row r="2313" ht="25.5" customHeight="1">
      <c r="A2313" s="2" t="str">
        <f>=HYPERLINK("https://applink.larksuite.com/client/mini_program/open?appId=cli_9c7cc8a9a9edd105&amp;mode=appCenter&amp;path_pc=pc/pages/requested/index?instanceId=7625955758500237020&amp;source=bitable&amp;path=pages/detail/index?instanceId=7625955758500237020&amp;source=bitable", "202604070146")</f>
        <v>202604070146</v>
      </c>
      <c r="B2313" t="inlineStr">
        <is>
          <t>Approved</t>
        </is>
      </c>
      <c r="C2313" t="inlineStr">
        <is>
          <t>Procurement Order</t>
        </is>
      </c>
      <c r="D2313" s="3">
        <v>46119.75216435185</v>
      </c>
      <c r="E2313" s="3">
        <v>46120.46518518519</v>
      </c>
      <c r="F2313" t="inlineStr">
        <is>
          <t>Fatima Kathleen M. FLores</t>
        </is>
      </c>
      <c r="G2313" t="inlineStr">
        <is>
          <t>Procurement</t>
        </is>
      </c>
      <c r="H2313"/>
      <c r="I2313"/>
      <c r="J2313" t="inlineStr">
        <is>
          <t>Project</t>
        </is>
      </c>
      <c r="K2313" t="inlineStr">
        <is>
          <t>PDEI - Game Marketing</t>
        </is>
      </c>
      <c r="L2313" t="inlineStr">
        <is>
          <t>SM Cyberzone Trading Card Game (TCG) Activations</t>
        </is>
      </c>
      <c r="M2313" t="inlineStr">
        <is>
          <t>2025TEG-P0278</t>
        </is>
      </c>
      <c r="N2313" t="inlineStr">
        <is>
          <t>Alessandra Mae Villanueva Boado</t>
        </is>
      </c>
      <c r="O2313" t="inlineStr">
        <is>
          <t>202602130096-Alessandra Mae Villanueva Boado-费用报销 - 副本 - 副本 - 副本-2026-02-13 10:35:39</t>
        </is>
      </c>
      <c r="P2313" t="inlineStr">
        <is>
          <t>YES</t>
        </is>
      </c>
      <c r="Q2313"/>
      <c r="R2313" t="inlineStr">
        <is>
          <t>NO</t>
        </is>
      </c>
      <c r="S2313" t="inlineStr">
        <is>
          <t>Outsourced League Operations (1 day)</t>
        </is>
      </c>
      <c r="T2313">
        <v>1</v>
      </c>
      <c r="U2313">
        <v>1700</v>
      </c>
      <c r="V2313" t="inlineStr">
        <is>
          <t>PHP</t>
        </is>
      </c>
      <c r="W2313">
        <v>1700</v>
      </c>
      <c r="X2313" s="2" t="str">
        <f>=HYPERLINK("https://www.larksuite.com/approval/admin/previewAttachment?key=PMi7DcJAEATQlmZ_Nzc0Q4J1wmBIkMi2diQCp29Mw5hlMYSUuWDN4aUq1izAg3C0t5ECjaXeXuuKOPb3_jjwJGJFf--3tX2sRHcwMmMCsMvpwcyURuLv-AUAAP__", "2 attachment(s)")</f>
        <v>2 attachment(s)</v>
      </c>
      <c r="Y2313" t="inlineStr">
        <is>
          <t>Bank Transfer</t>
        </is>
      </c>
      <c r="Z2313" t="inlineStr">
        <is>
          <t>Gerwin Kenneth Borja</t>
        </is>
      </c>
      <c r="AA2313" t="inlineStr">
        <is>
          <t>015354166508</t>
        </is>
      </c>
      <c r="AB2313" t="inlineStr">
        <is>
          <t>GOTyme</t>
        </is>
      </c>
      <c r="AC2313" t="inlineStr">
        <is>
          <t>21 Saint Benedict st. Tierra Vista, Nangka, Marikina City</t>
        </is>
      </c>
      <c r="AD2313" s="4">
        <v>46122</v>
      </c>
      <c r="AE2313" t="inlineStr">
        <is>
          <t>100% Full Payment - Apr. 10, 2026</t>
        </is>
      </c>
      <c r="AF2313" s="2"/>
      <c r="AG2313" t="inlineStr">
        <is>
          <t>NzQyNTk5MTgyNzQ4MTg3MDM0MTo4MUVEQjcwRS00MTAzLTRCQ0MtQTM0Mi0zNjgxNUQ2NDUyNDktMTo3ZjI0NmJkY2VkZDg2ZWY3MWE0MWFjZTFiMmU2YzBlODox</t>
        </is>
      </c>
      <c r="AH2313" t="inlineStr">
        <is>
          <t>Gerwin Kenneth Borja</t>
        </is>
      </c>
      <c r="AI2313"/>
      <c r="AJ2313" t="inlineStr">
        <is>
          <t>LIQUIDITY PLAN (PAR # 202602090082 / 2025TEG-P0278)
SM North EDSA &gt; League ops - MLBB
SM BF Paranaque &gt; League ops - MLBB
Total Remaining Budget = Php 6,800.00
Actual Cost = Php 1,700.00
Balance = Php 5,100.00</t>
        </is>
      </c>
      <c r="AK2313"/>
    </row>
    <row r="2314" ht="25.5" customHeight="1">
      <c r="A2314" s="2" t="str">
        <f>=HYPERLINK("https://applink.larksuite.com/client/mini_program/open?appId=cli_9c7cc8a9a9edd105&amp;mode=appCenter&amp;path_pc=pc/pages/requested/index?instanceId=7625956432046821093&amp;source=bitable&amp;path=pages/detail/index?instanceId=7625956432046821093&amp;source=bitable", "202604070148")</f>
        <v>202604070148</v>
      </c>
      <c r="B2314" t="inlineStr">
        <is>
          <t>Approved</t>
        </is>
      </c>
      <c r="C2314" t="inlineStr">
        <is>
          <t>Procurement Order</t>
        </is>
      </c>
      <c r="D2314" s="3">
        <v>46119.75398148148</v>
      </c>
      <c r="E2314" s="3">
        <v>46120.46313657407</v>
      </c>
      <c r="F2314" t="inlineStr">
        <is>
          <t>Fatima Kathleen M. FLores</t>
        </is>
      </c>
      <c r="G2314" t="inlineStr">
        <is>
          <t>Procurement</t>
        </is>
      </c>
      <c r="H2314"/>
      <c r="I2314"/>
      <c r="J2314" t="inlineStr">
        <is>
          <t>Project</t>
        </is>
      </c>
      <c r="K2314" t="inlineStr">
        <is>
          <t>PDEI - Game Marketing</t>
        </is>
      </c>
      <c r="L2314" t="inlineStr">
        <is>
          <t>SM Cyberzone Trading Card Game (TCG) Activations</t>
        </is>
      </c>
      <c r="M2314" t="inlineStr">
        <is>
          <t>2025TEG-P0278</t>
        </is>
      </c>
      <c r="N2314" t="inlineStr">
        <is>
          <t>Alessandra Mae Villanueva Boado</t>
        </is>
      </c>
      <c r="O2314" t="inlineStr">
        <is>
          <t>202602130096-Alessandra Mae Villanueva Boado-费用报销 - 副本 - 副本 - 副本-2026-02-13 10:35:39</t>
        </is>
      </c>
      <c r="P2314" t="inlineStr">
        <is>
          <t>YES</t>
        </is>
      </c>
      <c r="Q2314"/>
      <c r="R2314" t="inlineStr">
        <is>
          <t>NO</t>
        </is>
      </c>
      <c r="S2314" t="inlineStr">
        <is>
          <t>Outsourced League Operations (1 day)</t>
        </is>
      </c>
      <c r="T2314">
        <v>1</v>
      </c>
      <c r="U2314">
        <v>1700</v>
      </c>
      <c r="V2314" t="inlineStr">
        <is>
          <t>PHP</t>
        </is>
      </c>
      <c r="W2314">
        <v>1700</v>
      </c>
      <c r="X2314" s="2" t="str">
        <f>=HYPERLINK("https://www.larksuite.com/approval/admin/previewAttachment?key=PMg9isNADAXgKz39jDRvL7NNjMgQDAMB40ZnD6RI-8UUxBxiQThFCekMHRzhpvCYKqC1tmQSKTnYx1n_dt7rWrV27X2_qq_no463DKYq0txtApC_n1u6OxmOr-MTAAD__w", "2 attachment(s)")</f>
        <v>2 attachment(s)</v>
      </c>
      <c r="Y2314" t="inlineStr">
        <is>
          <t>Bank Transfer</t>
        </is>
      </c>
      <c r="Z2314" t="inlineStr">
        <is>
          <t>Nathaniel Valenzuela</t>
        </is>
      </c>
      <c r="AA2314" t="inlineStr">
        <is>
          <t>09816998223</t>
        </is>
      </c>
      <c r="AB2314" t="inlineStr">
        <is>
          <t>GCash</t>
        </is>
      </c>
      <c r="AC2314" t="inlineStr">
        <is>
          <t>3 Camia St., Tanguile HOA, Marikina Heights, Marikina City</t>
        </is>
      </c>
      <c r="AD2314" s="4">
        <v>46122</v>
      </c>
      <c r="AE2314" t="inlineStr">
        <is>
          <t>100% Full Payment - Apr. 10, 2026</t>
        </is>
      </c>
      <c r="AF2314" s="2"/>
      <c r="AG2314" t="inlineStr">
        <is>
          <t>NzQyNTk5MTgyNzQ4MTg3MDM0MTpFQzg4MkMxQy1EMzY1LTQ4N0QtQjRCRS00MkU4Qjg1NUQ2OTYtMTo0NjllZTQ3YmJiZTMyN2EwMDY5YjE1MjZhYjc5NjJlODox</t>
        </is>
      </c>
      <c r="AH2314" t="inlineStr">
        <is>
          <t>Nathaniel Valenzuela</t>
        </is>
      </c>
      <c r="AI2314"/>
      <c r="AJ2314" t="inlineStr">
        <is>
          <t>LIQUIDITY PLAN (PAR # 202602090082 / 2025TEG-P0278)
SM North EDSA &gt; League ops - MLBB
SM BF Paranaque &gt; League ops - MLBB
Total Remaining Budget = Php 5,100.00
Actual Cost = Php 1,700.00
Balance = Php 3,400.00</t>
        </is>
      </c>
      <c r="AK2314"/>
    </row>
    <row r="2315" ht="25.5" customHeight="1">
      <c r="A2315" s="2" t="str">
        <f>=HYPERLINK("https://applink.larksuite.com/client/mini_program/open?appId=cli_9c7cc8a9a9edd105&amp;mode=appCenter&amp;path_pc=pc/pages/requested/index?instanceId=7625958965062455007&amp;source=bitable&amp;path=pages/detail/index?instanceId=7625958965062455007&amp;source=bitable", "202604070154")</f>
        <v>202604070154</v>
      </c>
      <c r="B2315" t="inlineStr">
        <is>
          <t>Approved</t>
        </is>
      </c>
      <c r="C2315" t="inlineStr">
        <is>
          <t>Procurement Order</t>
        </is>
      </c>
      <c r="D2315" s="3">
        <v>46119.76081018519</v>
      </c>
      <c r="E2315" s="3">
        <v>46120.49166666667</v>
      </c>
      <c r="F2315" t="inlineStr">
        <is>
          <t>Fatima Kathleen M. FLores</t>
        </is>
      </c>
      <c r="G2315" t="inlineStr">
        <is>
          <t>Procurement</t>
        </is>
      </c>
      <c r="H2315"/>
      <c r="I2315"/>
      <c r="J2315" t="inlineStr">
        <is>
          <t>Project</t>
        </is>
      </c>
      <c r="K2315" t="inlineStr">
        <is>
          <t>PDEI - Event Service</t>
        </is>
      </c>
      <c r="L2315" t="inlineStr">
        <is>
          <t>MPL PH S17</t>
        </is>
      </c>
      <c r="M2315" t="inlineStr">
        <is>
          <t>2026TEG-P0009</t>
        </is>
      </c>
      <c r="N2315" t="inlineStr">
        <is>
          <t>Katherine Denise Lee Sy</t>
        </is>
      </c>
      <c r="O2315" t="inlineStr">
        <is>
          <t>202602190048-Katherine Denise Lee Sy-费用报销 - 副本 - 副本 - 副本-2026-02-19 07:02:08</t>
        </is>
      </c>
      <c r="P2315" t="inlineStr">
        <is>
          <t>YES</t>
        </is>
      </c>
      <c r="Q2315"/>
      <c r="R2315" t="inlineStr">
        <is>
          <t>NO</t>
        </is>
      </c>
      <c r="S2315" t="inlineStr">
        <is>
          <t>Outsourced Stream Engineer</t>
        </is>
      </c>
      <c r="T2315">
        <v>1</v>
      </c>
      <c r="U2315">
        <v>66000</v>
      </c>
      <c r="V2315" t="inlineStr">
        <is>
          <t>PHP</t>
        </is>
      </c>
      <c r="W2315">
        <v>66000</v>
      </c>
      <c r="X2315" s="2" t="str">
        <f>=HYPERLINK("https://www.larksuite.com/approval/admin/previewAttachment?key=PMhBCsJADAXQK_1kkvz5XsZNyyBiS0Fwl7MLLty-moaaaaOEkLlgzfJUTlWiPDIBtreRAo2p3o91v57b6bJzrRHH6-rPY1v721J0B0fEmADs9vfBiJAq8HN8AwAA__8", "2 attachment(s)")</f>
        <v>2 attachment(s)</v>
      </c>
      <c r="Y2315" t="inlineStr">
        <is>
          <t>Bank Transfer</t>
        </is>
      </c>
      <c r="Z2315" t="inlineStr">
        <is>
          <t>Annejeleeka Cherrell Ho</t>
        </is>
      </c>
      <c r="AA2315" t="inlineStr">
        <is>
          <t>1093 2537 7435</t>
        </is>
      </c>
      <c r="AB2315" t="inlineStr">
        <is>
          <t>Unionbank</t>
        </is>
      </c>
      <c r="AC2315" t="inlineStr">
        <is>
          <t>24B Camia St. Brgy Talipapa Quezon City</t>
        </is>
      </c>
      <c r="AD2315" s="4">
        <v>46122</v>
      </c>
      <c r="AE2315" t="inlineStr">
        <is>
          <t>1st Payment - Apr. 10, 2026
2nd Payment - Apr. 24, 2026
3rd Payment - May 8, 2026
4th Payment - May 29, 2026
Final Payment - Jun. 19, 2026</t>
        </is>
      </c>
      <c r="AF2315" s="2"/>
      <c r="AG2315" t="inlineStr">
        <is>
          <t>NzQyNTk5MTgyNzQ4MTg3MDM0MToyRkJGMjJBRS0xQTQ2LTREQ0EtODg4QS1DM0IyQUUxMTg2MDktMTpiYmYwZmU3M2Q0ODMwMjQ4NzFiMDNlZWNkM2I4ODJjOTox</t>
        </is>
      </c>
      <c r="AH2315" t="inlineStr">
        <is>
          <t>Annejeleeka Cherrell Ho</t>
        </is>
      </c>
      <c r="AI2315"/>
      <c r="AJ2315" t="inlineStr">
        <is>
          <t>LIQUIDITY PLAN (PAR # 202602190021 / 2026TEG-P0009) - AS OF 031626
MANPOWER &gt; Broadcast &amp; Production &gt;
Lead Stream Engineer
PLAYOFFS SPECIFIC &gt; MANPOWER &gt;
Broadcast &amp; Production &gt; Lead Stream Engineer
Total Budget = Php 103,600.00
Actual Cost = Php 66,000.00
Balance = Php 37,600.00</t>
        </is>
      </c>
      <c r="AK2315"/>
    </row>
    <row r="2316" ht="25.5" customHeight="1">
      <c r="A2316" s="2" t="str">
        <f>=HYPERLINK("https://applink.larksuite.com/client/mini_program/open?appId=cli_9c7cc8a9a9edd105&amp;mode=appCenter&amp;path_pc=pc/pages/requested/index?instanceId=7625960930527596254&amp;source=bitable&amp;path=pages/detail/index?instanceId=7625960930527596254&amp;source=bitable", "202604070157")</f>
        <v>202604070157</v>
      </c>
      <c r="B2316" t="inlineStr">
        <is>
          <t>Approved</t>
        </is>
      </c>
      <c r="C2316" t="inlineStr">
        <is>
          <t>Procurement Order</t>
        </is>
      </c>
      <c r="D2316" s="3">
        <v>46119.76611111111</v>
      </c>
      <c r="E2316" s="3">
        <v>46120.48818287037</v>
      </c>
      <c r="F2316" t="inlineStr">
        <is>
          <t>Fatima Kathleen M. FLores</t>
        </is>
      </c>
      <c r="G2316" t="inlineStr">
        <is>
          <t>Procurement</t>
        </is>
      </c>
      <c r="H2316"/>
      <c r="I2316"/>
      <c r="J2316" t="inlineStr">
        <is>
          <t>Project</t>
        </is>
      </c>
      <c r="K2316" t="inlineStr">
        <is>
          <t>GG - Event Service</t>
        </is>
      </c>
      <c r="L2316" t="inlineStr">
        <is>
          <t>PUBG Mobile 8th Anniversary Event</t>
        </is>
      </c>
      <c r="M2316" t="inlineStr">
        <is>
          <t>2026TEG-P0066</t>
        </is>
      </c>
      <c r="N2316" t="inlineStr">
        <is>
          <t>Frances Angelita Arreglado</t>
        </is>
      </c>
      <c r="O2316" t="inlineStr">
        <is>
          <t>202603260115-Frances Angelita Arreglado-费用报销 - 副本 - 副本 - 副本-2026-03-26 08:13:01</t>
        </is>
      </c>
      <c r="P2316" t="inlineStr">
        <is>
          <t>YES</t>
        </is>
      </c>
      <c r="Q2316"/>
      <c r="R2316" t="inlineStr">
        <is>
          <t>NO</t>
        </is>
      </c>
      <c r="S2316" t="inlineStr">
        <is>
          <t>Outsourced Logistics Associates (Mar. 28 &amp; 29, 2026)</t>
        </is>
      </c>
      <c r="T2316">
        <v>1</v>
      </c>
      <c r="U2316">
        <v>3000</v>
      </c>
      <c r="V2316" t="inlineStr">
        <is>
          <t>PHP</t>
        </is>
      </c>
      <c r="W2316">
        <v>3000</v>
      </c>
      <c r="X2316" s="2" t="str">
        <f>=HYPERLINK("https://www.larksuite.com/approval/admin/previewAttachment?key=PMg5CgJBFATQK9Vfq8vLmNgM4pYIgwZ9dsFg0tfD0KMsWkiZC7bYXmooUM5Se-XyZaRAY2nN53b-3IqP16zp-318Y-3XyzbfVqI7GJkxANjp8GBmSp34O34BAAD__w", "2 attachment(s)")</f>
        <v>2 attachment(s)</v>
      </c>
      <c r="Y2316" t="inlineStr">
        <is>
          <t>Bank Transfer</t>
        </is>
      </c>
      <c r="Z2316" t="inlineStr">
        <is>
          <t>Jasper Lance Bajala</t>
        </is>
      </c>
      <c r="AA2316" t="inlineStr">
        <is>
          <t>09651222445</t>
        </is>
      </c>
      <c r="AB2316" t="inlineStr">
        <is>
          <t>GCash</t>
        </is>
      </c>
      <c r="AC2316" t="inlineStr">
        <is>
          <t>6D Kalayaan A Ext., Brgy. Batasan Hills, Quezon City</t>
        </is>
      </c>
      <c r="AD2316" s="4">
        <v>46122</v>
      </c>
      <c r="AE2316" t="inlineStr">
        <is>
          <t>100% Full Payment - Apr. 10, 2026</t>
        </is>
      </c>
      <c r="AF2316" s="2"/>
      <c r="AG2316" t="inlineStr">
        <is>
          <t>NzQyNTk5MTgyNzQ4MTg3MDM0MTozQ0JFM0U3Qy0zRDNGLTQ2NUEtQUM1OS00OTY1OUIyODNCNDAtMTo2YTk5YWUzMDVlYzA2MTEzYjk3ZDIxMmI0ZTczMWQ0YTox</t>
        </is>
      </c>
      <c r="AH2316" t="inlineStr">
        <is>
          <t>Jasper Lance Bajala</t>
        </is>
      </c>
      <c r="AI2316"/>
      <c r="AJ2316" t="inlineStr">
        <is>
          <t>LIQUIDITY PLAN (PAR # 202603150011 / 202603150011) - AS OF 03/24/26
METRO MANILA LEG - MARCH 29, 2026 &gt; MANPOWER &gt;
Logistics, Hospitality &gt; Logistics Crew
Total Budget = Php 6,000.00
Actual Cost = Php 3,000.00
Balance = Php 3,000.00</t>
        </is>
      </c>
      <c r="AK2316"/>
    </row>
    <row r="2317" ht="25.5" customHeight="1">
      <c r="A2317" s="2" t="str">
        <f>=HYPERLINK("https://applink.larksuite.com/client/mini_program/open?appId=cli_9c7cc8a9a9edd105&amp;mode=appCenter&amp;path_pc=pc/pages/requested/index?instanceId=7625963733545651934&amp;source=bitable&amp;path=pages/detail/index?instanceId=7625963733545651934&amp;source=bitable", "202604070161")</f>
        <v>202604070161</v>
      </c>
      <c r="B2317" t="inlineStr">
        <is>
          <t>Approved</t>
        </is>
      </c>
      <c r="C2317" t="inlineStr">
        <is>
          <t>Procurement Order</t>
        </is>
      </c>
      <c r="D2317" s="3">
        <v>46119.77365740741</v>
      </c>
      <c r="E2317" s="3">
        <v>46120.487442129626</v>
      </c>
      <c r="F2317" t="inlineStr">
        <is>
          <t>Fatima Kathleen M. FLores</t>
        </is>
      </c>
      <c r="G2317" t="inlineStr">
        <is>
          <t>Procurement</t>
        </is>
      </c>
      <c r="H2317"/>
      <c r="I2317"/>
      <c r="J2317" t="inlineStr">
        <is>
          <t>Project</t>
        </is>
      </c>
      <c r="K2317" t="inlineStr">
        <is>
          <t>GG - Event Service</t>
        </is>
      </c>
      <c r="L2317" t="inlineStr">
        <is>
          <t>PUBG Mobile 8th Anniversary Event</t>
        </is>
      </c>
      <c r="M2317" t="inlineStr">
        <is>
          <t>2026TEG-P0066</t>
        </is>
      </c>
      <c r="N2317" t="inlineStr">
        <is>
          <t>Randy Vince Fernandez Apura</t>
        </is>
      </c>
      <c r="O2317" t="inlineStr">
        <is>
          <t>202603170004-Randy Vince Fernandez Apura-费用报销 - 副本 - 副本 - 副本-2026-03-17 01:29:44;202603170021-Randy Vince Fernandez Apura-费用报销 - 副本 - 副本 - 副本-2026-03-17 01:45:48;202603170019-Randy Vince Fernandez Apura-费用报销 - 副本 - 副本 - 副本-2026-03-17 01:43:11</t>
        </is>
      </c>
      <c r="P2317" t="inlineStr">
        <is>
          <t>YES</t>
        </is>
      </c>
      <c r="Q2317"/>
      <c r="R2317" t="inlineStr">
        <is>
          <t>NO</t>
        </is>
      </c>
      <c r="S2317" t="inlineStr">
        <is>
          <t>Outsourced Event Coordinator (Davao)</t>
        </is>
      </c>
      <c r="T2317">
        <v>1</v>
      </c>
      <c r="U2317">
        <v>16000</v>
      </c>
      <c r="V2317" t="inlineStr">
        <is>
          <t>PHP</t>
        </is>
      </c>
      <c r="W2317">
        <v>16000</v>
      </c>
      <c r="X2317" s="2" t="str">
        <f>=HYPERLINK("https://www.larksuite.com/approval/admin/previewAttachment?key=PMg7DgJBDAPQKzkTJ15zGRpWI8SvQUs3Z0eioH29BXqryDboGEYs9Sh3KrNYXeHkGiskQ6Hy2p_z7FsdfNxTnC8cWJ_rZe7vKGsMKMncAMTp7ymSdhM_xzcAAP__", "4 attachment(s)")</f>
        <v>4 attachment(s)</v>
      </c>
      <c r="Y2317" t="inlineStr">
        <is>
          <t>Bank Transfer</t>
        </is>
      </c>
      <c r="Z2317" t="inlineStr">
        <is>
          <t>Beatrize Anne Rico</t>
        </is>
      </c>
      <c r="AA2317" t="inlineStr">
        <is>
          <t>1096 4682 1404</t>
        </is>
      </c>
      <c r="AB2317" t="inlineStr">
        <is>
          <t>Unionbank</t>
        </is>
      </c>
      <c r="AC2317" t="inlineStr">
        <is>
          <t>0164 Jacinto Gomez St, Digos City</t>
        </is>
      </c>
      <c r="AD2317" s="4">
        <v>46122</v>
      </c>
      <c r="AE2317" t="inlineStr">
        <is>
          <t>100% Full Payment - Apr. 10, 2026</t>
        </is>
      </c>
      <c r="AF2317" s="2"/>
      <c r="AG2317" t="inlineStr">
        <is>
          <t>NzQyNTk5MTgyNzQ4MTg3MDM0MTo0OTIwRTkwRS1ENTJCLTQ3OTUtQTZFRC0wNzlGMzNGMUU4MjgtMTo4ODc1MjNhYzkzM2FmZWFiZjM5Mjg3ZmI4ZGZhMGIzMTox</t>
        </is>
      </c>
      <c r="AH2317" t="inlineStr">
        <is>
          <t>Beatrize Anne Rico</t>
        </is>
      </c>
      <c r="AI2317"/>
      <c r="AJ2317" t="inlineStr">
        <is>
          <t>LIQUIDITY PLAN (PAR # 202603150011 / 2026TEG-P0066)
MINDANAO LEG - MARCH 22, 2026 &gt; MANPOWER &gt;
Production Team &gt;
Event Coordinator
Road Manager / Floor Manager
Logistics, Hospitality &gt; 
Usher Event / Personnel
Logistics Crew
Total Budget = Php 18,000.00
Actual Cost = Php 16,000.00
Balance = Php 2,000.00</t>
        </is>
      </c>
      <c r="AK2317"/>
    </row>
    <row r="2318" ht="25.5" customHeight="1">
      <c r="A2318" s="2" t="str">
        <f>=HYPERLINK("https://applink.larksuite.com/client/mini_program/open?appId=cli_9c7cc8a9a9edd105&amp;mode=appCenter&amp;path_pc=pc/pages/requested/index?instanceId=7623355385038081759&amp;source=bitable&amp;path=pages/detail/index?instanceId=7623355385038081759&amp;source=bitable", "202603310104")</f>
        <v>202603310104</v>
      </c>
      <c r="B2318" t="inlineStr">
        <is>
          <t>Approved</t>
        </is>
      </c>
      <c r="C2318" t="inlineStr">
        <is>
          <t>Procurement Order</t>
        </is>
      </c>
      <c r="D2318" s="3">
        <v>46112.7446875</v>
      </c>
      <c r="E2318" s="3">
        <v>46120.4903125</v>
      </c>
      <c r="F2318" t="inlineStr">
        <is>
          <t>Fatima Kathleen M. FLores</t>
        </is>
      </c>
      <c r="G2318" t="inlineStr">
        <is>
          <t>Procurement</t>
        </is>
      </c>
      <c r="H2318"/>
      <c r="I2318"/>
      <c r="J2318" t="inlineStr">
        <is>
          <t>Project</t>
        </is>
      </c>
      <c r="K2318" t="inlineStr">
        <is>
          <t>GG - Event Service</t>
        </is>
      </c>
      <c r="L2318" t="inlineStr">
        <is>
          <t>PUBG Mobile 8th Anniversary Event</t>
        </is>
      </c>
      <c r="M2318" t="inlineStr">
        <is>
          <t>2026TEG-P0066</t>
        </is>
      </c>
      <c r="N2318" t="inlineStr">
        <is>
          <t>Randy Vince Fernandez Apura</t>
        </is>
      </c>
      <c r="O2318" t="inlineStr">
        <is>
          <t>202603160039-Randy Vince Fernandez Apura-费用报销 - 副本 - 副本 - 副本-2026-03-16 06:40:30;202603160042-Randy Vince Fernandez Apura-费用报销 - 副本 - 副本 - 副本-2026-03-16 06:44:31;202603160043-Randy Vince Fernandez Apura-费用报销 - 副本 - 副本 - 副本-2026-03-16 06:45:22;202603160044-Randy Vince Fernandez Apura-费用报销 - 副本 - 副本 - 副本-2026-03-16 06:46:23;202603160046-Randy Vince Fernandez Apura-费用报销 - 副本 - 副本 - 副本-2026-03-16 06:52:08;202603160049-Randy Vince Fernandez Apura-费用报销 - 副本 - 副本 - 副本-2026-03-16 06:57:41;202603190003-Randy Vince Fernandez Apura-费用报销 - 副本 - 副本 - 副本-2026-03-19 00:25:54</t>
        </is>
      </c>
      <c r="P2318" t="inlineStr">
        <is>
          <t>YES</t>
        </is>
      </c>
      <c r="Q2318"/>
      <c r="R2318" t="inlineStr">
        <is>
          <t>NO</t>
        </is>
      </c>
      <c r="S2318" t="inlineStr">
        <is>
          <t>Laptop Rental (2 days)</t>
        </is>
      </c>
      <c r="T2318">
        <v>1</v>
      </c>
      <c r="U2318">
        <v>3000</v>
      </c>
      <c r="V2318" t="inlineStr">
        <is>
          <t>PHP</t>
        </is>
      </c>
      <c r="W2318">
        <v>3000</v>
      </c>
      <c r="X2318" s="2"/>
      <c r="Y2318"/>
      <c r="Z2318"/>
      <c r="AA2318"/>
      <c r="AB2318"/>
      <c r="AC2318"/>
      <c r="AD2318" s="4"/>
      <c r="AE2318"/>
      <c r="AF2318" s="2"/>
      <c r="AG2318" t="inlineStr">
        <is>
          <t>NzQyNTk5MTgyNzQ4MTg3MDM0MTo5ODMzRjNGMC0xOEYwLTQ2NzAtOTU4Ri0yMTc4MTdFREM2MkYtMjpkYjQxNjBiZmQxOWYzNGUxZDJiZjNiNDExN2U1YzUxMjox</t>
        </is>
      </c>
      <c r="AH2318"/>
      <c r="AI2318"/>
      <c r="AJ2318" t="inlineStr">
        <is>
          <t>LIQUIDITY PLAN (PAR # 202603150011 / 2026TEG-P0066)
VISAYAS LEG - MARCH 21, 2026 &gt; MANPOWER &gt;
Production Team &gt;
Event Coordinator
Director / Broadcast Specialist
Game Observer
IT Personnel
Photo and Video team
Logistics, Hospitality &gt; Logistic Crew
Total Budget = Php 38,000.00
Actual Cost = Php 36,300.00
Balance = Php 1,700.00</t>
        </is>
      </c>
      <c r="AK2318"/>
    </row>
    <row r="2319" ht="25.5" customHeight="1">
      <c r="A2319" s="2" t="str">
        <f>=HYPERLINK("https://applink.larksuite.com/client/mini_program/open?appId=cli_9c7cc8a9a9edd105&amp;mode=appCenter&amp;path_pc=pc/pages/requested/index?instanceId=7626252817459613413&amp;source=bitable&amp;path=pages/detail/index?instanceId=7626252817459613413&amp;source=bitable", "202604080043")</f>
        <v>202604080043</v>
      </c>
      <c r="B2319" t="inlineStr">
        <is>
          <t>Approved</t>
        </is>
      </c>
      <c r="C2319" t="inlineStr">
        <is>
          <t>Procurement Order</t>
        </is>
      </c>
      <c r="D2319" s="3">
        <v>46120.55268518518</v>
      </c>
      <c r="E2319" s="3">
        <v>46120.63601851852</v>
      </c>
      <c r="F2319" t="inlineStr">
        <is>
          <t>Fatima Kathleen M. FLores</t>
        </is>
      </c>
      <c r="G2319" t="inlineStr">
        <is>
          <t>Procurement</t>
        </is>
      </c>
      <c r="H2319"/>
      <c r="I2319"/>
      <c r="J2319" t="inlineStr">
        <is>
          <t>Project</t>
        </is>
      </c>
      <c r="K2319" t="inlineStr">
        <is>
          <t>GG - Event Service</t>
        </is>
      </c>
      <c r="L2319" t="inlineStr">
        <is>
          <t>Addendum - Philippine Kings League Spring Season 2026 (PKL)</t>
        </is>
      </c>
      <c r="M2319" t="inlineStr">
        <is>
          <t>2026TEG-P0046</t>
        </is>
      </c>
      <c r="N2319" t="inlineStr">
        <is>
          <t>Juvie Anne Asis Castres</t>
        </is>
      </c>
      <c r="O2319" t="inlineStr">
        <is>
          <t>202603200034-Juvie Anne Asis Castres-费用报销 - 副本 - 副本 - 副本-2026-03-20 13:58:26</t>
        </is>
      </c>
      <c r="P2319" t="inlineStr">
        <is>
          <t>YES</t>
        </is>
      </c>
      <c r="Q2319"/>
      <c r="R2319" t="inlineStr">
        <is>
          <t>NO</t>
        </is>
      </c>
      <c r="S2319" t="inlineStr">
        <is>
          <t>Outsourced Talent / Caster (Butters)</t>
        </is>
      </c>
      <c r="T2319">
        <v>1</v>
      </c>
      <c r="U2319">
        <v>36200</v>
      </c>
      <c r="V2319" t="inlineStr">
        <is>
          <t>PHP</t>
        </is>
      </c>
      <c r="W2319">
        <v>36200</v>
      </c>
      <c r="X2319" s="2" t="str">
        <f>=HYPERLINK("https://www.larksuite.com/approval/admin/previewAttachment?key=PMgxrsJADATQK83YXnvnX-Y3rCIQSoUIofDZkShoX04i56CnEKIJ7EpLGzZZMZT0oLc1q4RiDfXat_-D-3qdN2o97-_T-7hetvXgUJmhPMInAP793CsipAx8HZ8AAAD__w", "2 attachment(s)")</f>
        <v>2 attachment(s)</v>
      </c>
      <c r="Y2319" t="inlineStr">
        <is>
          <t>Bank Transfer</t>
        </is>
      </c>
      <c r="Z2319" t="inlineStr">
        <is>
          <t>Mark Adrian Jison</t>
        </is>
      </c>
      <c r="AA2319" t="inlineStr">
        <is>
          <t>112302110673</t>
        </is>
      </c>
      <c r="AB2319" t="inlineStr">
        <is>
          <t>Chinabank</t>
        </is>
      </c>
      <c r="AC2319" t="inlineStr">
        <is>
          <t>2019 San Pascual St Malate Manila</t>
        </is>
      </c>
      <c r="AD2319" s="4">
        <v>46122</v>
      </c>
      <c r="AE2319" t="inlineStr">
        <is>
          <t>1st Payment - Apr. 10, 2026
Final Payment - Apr. 17, 2026</t>
        </is>
      </c>
      <c r="AF2319" s="2"/>
      <c r="AG2319" t="inlineStr">
        <is>
          <t>NzQyNTk5MTgyNzQ4MTg3MDM0MTpCQzNDOEI1MC0xMUJBLTQ2OTctQjExMy1CMTgzMTIwNzU2RTEtMToyZGM2ZTc1NzRmOTExOWM4NDI5ODM5NGQzYTIxYmRiYTox</t>
        </is>
      </c>
      <c r="AH2319" t="inlineStr">
        <is>
          <t>Mark Adrian Jison</t>
        </is>
      </c>
      <c r="AI2319"/>
      <c r="AJ2319" t="inlineStr">
        <is>
          <t>LIQUIDITY PLAN (PAR # 202602160036 / 2026TEG-P0046) - AS OF 03/24/26
PLAYOFFS &gt;
Butters (offline)
Butters (online)
Total Budget = Php 36,200.00
Actual Cost = Php 36,200.00</t>
        </is>
      </c>
      <c r="AK2319"/>
    </row>
    <row r="2320" ht="25.5" customHeight="1">
      <c r="A2320" s="2" t="str">
        <f>=HYPERLINK("https://applink.larksuite.com/client/mini_program/open?appId=cli_9c7cc8a9a9edd105&amp;mode=appCenter&amp;path_pc=pc/pages/requested/index?instanceId=7626252035804974821&amp;source=bitable&amp;path=pages/detail/index?instanceId=7626252035804974821&amp;source=bitable", "202604080042")</f>
        <v>202604080042</v>
      </c>
      <c r="B2320" t="inlineStr">
        <is>
          <t>Approved</t>
        </is>
      </c>
      <c r="C2320" t="inlineStr">
        <is>
          <t>Procurement Order</t>
        </is>
      </c>
      <c r="D2320" s="3">
        <v>46120.550578703704</v>
      </c>
      <c r="E2320" s="3">
        <v>46120.63726851852</v>
      </c>
      <c r="F2320" t="inlineStr">
        <is>
          <t>Fatima Kathleen M. FLores</t>
        </is>
      </c>
      <c r="G2320" t="inlineStr">
        <is>
          <t>Procurement</t>
        </is>
      </c>
      <c r="H2320"/>
      <c r="I2320"/>
      <c r="J2320" t="inlineStr">
        <is>
          <t>Project</t>
        </is>
      </c>
      <c r="K2320" t="inlineStr">
        <is>
          <t>GG - Event Service</t>
        </is>
      </c>
      <c r="L2320" t="inlineStr">
        <is>
          <t>Addendum - Philippine Kings League Spring Season 2026 (PKL)</t>
        </is>
      </c>
      <c r="M2320" t="inlineStr">
        <is>
          <t>2026TEG-P0046</t>
        </is>
      </c>
      <c r="N2320" t="inlineStr">
        <is>
          <t>Juvie Anne Asis Castres</t>
        </is>
      </c>
      <c r="O2320" t="inlineStr">
        <is>
          <t>202603200033-Juvie Anne Asis Castres-费用报销 - 副本 - 副本 - 副本-2026-03-20 13:55:37</t>
        </is>
      </c>
      <c r="P2320" t="inlineStr">
        <is>
          <t>YES</t>
        </is>
      </c>
      <c r="Q2320"/>
      <c r="R2320" t="inlineStr">
        <is>
          <t>NO</t>
        </is>
      </c>
      <c r="S2320" t="inlineStr">
        <is>
          <t>Outsourced Talent / Caster</t>
        </is>
      </c>
      <c r="T2320">
        <v>1</v>
      </c>
      <c r="U2320">
        <v>109600</v>
      </c>
      <c r="V2320" t="inlineStr">
        <is>
          <t>PHP</t>
        </is>
      </c>
      <c r="W2320">
        <v>109600</v>
      </c>
      <c r="X2320" s="2" t="str">
        <f>=HYPERLINK("https://www.larksuite.com/approval/admin/previewAttachment?key=PMg7qsJgEAXgLZ15npm7mdsk_KhEGyFoMWsXLGy_LEFWiGXDW7Qhw9TUUFgUvOmlMjpCNiiMnv2-_mHH9aXGx3a-j3Wb87Kt_SnRVAXN3QqA_P3c6O7d6fg6PgEAAP__", "2 attachment(s)")</f>
        <v>2 attachment(s)</v>
      </c>
      <c r="Y2320" t="inlineStr">
        <is>
          <t>Bank Transfer</t>
        </is>
      </c>
      <c r="Z2320" t="inlineStr">
        <is>
          <t>Inna Chantelle B. Hernandez</t>
        </is>
      </c>
      <c r="AA2320" t="inlineStr">
        <is>
          <t>0989517023</t>
        </is>
      </c>
      <c r="AB2320" t="inlineStr">
        <is>
          <t>BPI</t>
        </is>
      </c>
      <c r="AC2320" t="inlineStr">
        <is>
          <t>30L Paseo de Roces Condominium, Chino Roces Ave, Brgy. Pio del Pilar, Makati City</t>
        </is>
      </c>
      <c r="AD2320" s="4">
        <v>46122</v>
      </c>
      <c r="AE2320" t="inlineStr">
        <is>
          <t>1st Payment - Apr. 10, 2026
2nd Payment - Apr. 17, 2026
Final Payment - May 1, 2026</t>
        </is>
      </c>
      <c r="AF2320" s="2"/>
      <c r="AG2320" t="inlineStr">
        <is>
          <t>NzQyNTk5MTgyNzQ4MTg3MDM0MTpGNEIyRTRGMS00RTZDLTQ1RUItOUY4NS1GNTI5QzRGODU3NUYtMTpkMGNhYjAyMGY1ODcxMGVjZTM3ZDdiZmRjYmM5ZTg1Zjox</t>
        </is>
      </c>
      <c r="AH2320" t="inlineStr">
        <is>
          <t>Inna Chantelle B. Hernandez</t>
        </is>
      </c>
      <c r="AI2320"/>
      <c r="AJ2320" t="inlineStr">
        <is>
          <t>LIQUIDITY PLAN (PAR # 202602160036 / 2026TEG-P0046) - AS OF 03/24/26
PLAYOFFS &gt;
Chantelle
Chantelle (online)
Chantelle (rehearsals)
Total Budget = Php 109,600.00
Actual Cost = Php 109,600.00</t>
        </is>
      </c>
      <c r="AK2320"/>
    </row>
    <row r="2321" ht="25.5" customHeight="1">
      <c r="A2321" s="2" t="str">
        <f>=HYPERLINK("https://applink.larksuite.com/client/mini_program/open?appId=cli_9c7cc8a9a9edd105&amp;mode=appCenter&amp;path_pc=pc/pages/requested/index?instanceId=7626253913108319968&amp;source=bitable&amp;path=pages/detail/index?instanceId=7626253913108319968&amp;source=bitable", "202604080045")</f>
        <v>202604080045</v>
      </c>
      <c r="B2321" t="inlineStr">
        <is>
          <t>Approved</t>
        </is>
      </c>
      <c r="C2321" t="inlineStr">
        <is>
          <t>Procurement Order</t>
        </is>
      </c>
      <c r="D2321" s="3">
        <v>46120.55563657408</v>
      </c>
      <c r="E2321" s="3">
        <v>46120.63894675926</v>
      </c>
      <c r="F2321" t="inlineStr">
        <is>
          <t>Fatima Kathleen M. FLores</t>
        </is>
      </c>
      <c r="G2321" t="inlineStr">
        <is>
          <t>Procurement</t>
        </is>
      </c>
      <c r="H2321"/>
      <c r="I2321"/>
      <c r="J2321" t="inlineStr">
        <is>
          <t>Project</t>
        </is>
      </c>
      <c r="K2321" t="inlineStr">
        <is>
          <t>GG - Event Service</t>
        </is>
      </c>
      <c r="L2321" t="inlineStr">
        <is>
          <t>Addendum - Philippine Kings League Spring Season 2026 (PKL)</t>
        </is>
      </c>
      <c r="M2321" t="inlineStr">
        <is>
          <t>2026TEG-P0046</t>
        </is>
      </c>
      <c r="N2321" t="inlineStr">
        <is>
          <t>Juvie Anne Asis Castres</t>
        </is>
      </c>
      <c r="O2321" t="inlineStr">
        <is>
          <t>202603240037-Juvie Anne Asis Castres-费用报销 - 副本 - 副本 - 副本-2026-03-24 08:39:36</t>
        </is>
      </c>
      <c r="P2321" t="inlineStr">
        <is>
          <t>YES</t>
        </is>
      </c>
      <c r="Q2321"/>
      <c r="R2321" t="inlineStr">
        <is>
          <t>NO</t>
        </is>
      </c>
      <c r="S2321" t="inlineStr">
        <is>
          <t>Outsourced Talent / Caster (OSX)</t>
        </is>
      </c>
      <c r="T2321">
        <v>1</v>
      </c>
      <c r="U2321">
        <v>87500</v>
      </c>
      <c r="V2321" t="inlineStr">
        <is>
          <t>PHP</t>
        </is>
      </c>
      <c r="W2321">
        <v>87500</v>
      </c>
      <c r="X2321" s="2" t="str">
        <f>=HYPERLINK("https://www.larksuite.com/approval/admin/previewAttachment?key=PMgxCgJBDAXQK_2fZJJ8L2PjsOiiNoJoMWcXLLZ92UT2oKcQoglclZY2XHSinVL2ssUqoVhDaz62M_x--zw5v227uK_39bLNF4fKDOUR3gB4OtwrIqQM_B2_AAAA__8", "2 attachment(s)")</f>
        <v>2 attachment(s)</v>
      </c>
      <c r="Y2321" t="inlineStr">
        <is>
          <t>Bank Transfer</t>
        </is>
      </c>
      <c r="Z2321" t="inlineStr">
        <is>
          <t>Francis Joses Cantero</t>
        </is>
      </c>
      <c r="AA2321" t="inlineStr">
        <is>
          <t>109327122609</t>
        </is>
      </c>
      <c r="AB2321" t="inlineStr">
        <is>
          <t>Unionbank</t>
        </is>
      </c>
      <c r="AC2321" t="inlineStr">
        <is>
          <t>4L T3, Tres Palmas, Levi Mariano Drive, Taguig City</t>
        </is>
      </c>
      <c r="AD2321" s="4">
        <v>46122</v>
      </c>
      <c r="AE2321" t="inlineStr">
        <is>
          <t>1st Payment - Apr. 10, 2026
2nd Payment - Apr. 17, 2026
Final Payment - May 1, 2026</t>
        </is>
      </c>
      <c r="AF2321" s="2"/>
      <c r="AG2321" t="inlineStr">
        <is>
          <t>NzQyNTk5MTgyNzQ4MTg3MDM0MTo3M0M1N0M1RC1CRkU3LTRCNzktOTZEMC02MjUxMkIwMDhCQjMtMTo5N2E2ZTFjMmY0YWY2OWM3M2NiYTNlYzZkNDJmMzNkODox</t>
        </is>
      </c>
      <c r="AH2321" t="inlineStr">
        <is>
          <t>Francis Joses Cantero</t>
        </is>
      </c>
      <c r="AI2321"/>
      <c r="AJ2321" t="inlineStr">
        <is>
          <t>LIQUIDITY PLAN (PAR # 202602160036 / 2026TEG-P0046) - AS OF 03/24/26
PLAYOFFS &gt;
OSX (offline)
OSX (rehearsals)
Total Budget = Php 87,500.00
Actual Cost = Php 87,500.00</t>
        </is>
      </c>
      <c r="AK2321"/>
    </row>
    <row r="2322" ht="25.5" customHeight="1">
      <c r="A2322" s="2" t="str">
        <f>=HYPERLINK("https://applink.larksuite.com/client/mini_program/open?appId=cli_9c7cc8a9a9edd105&amp;mode=appCenter&amp;path_pc=pc/pages/requested/index?instanceId=7626270989042650847&amp;source=bitable&amp;path=pages/detail/index?instanceId=7626270989042650847&amp;source=bitable", "202604080063")</f>
        <v>202604080063</v>
      </c>
      <c r="B2322" t="inlineStr">
        <is>
          <t>Approved</t>
        </is>
      </c>
      <c r="C2322" t="inlineStr">
        <is>
          <t>Procurement Order</t>
        </is>
      </c>
      <c r="D2322" s="3">
        <v>46120.60165509259</v>
      </c>
      <c r="E2322" s="3">
        <v>46120.64366898148</v>
      </c>
      <c r="F2322" t="inlineStr">
        <is>
          <t>Fatima Kathleen M. FLores</t>
        </is>
      </c>
      <c r="G2322" t="inlineStr">
        <is>
          <t>Procurement</t>
        </is>
      </c>
      <c r="H2322"/>
      <c r="I2322"/>
      <c r="J2322" t="inlineStr">
        <is>
          <t>Project</t>
        </is>
      </c>
      <c r="K2322" t="inlineStr">
        <is>
          <t>GG - Event Service</t>
        </is>
      </c>
      <c r="L2322" t="inlineStr">
        <is>
          <t>Addendum - Philippine Kings League Spring Season 2026 (PKL)</t>
        </is>
      </c>
      <c r="M2322" t="inlineStr">
        <is>
          <t>2026TEG-P0046</t>
        </is>
      </c>
      <c r="N2322" t="inlineStr">
        <is>
          <t>Juvie Anne Asis Castres</t>
        </is>
      </c>
      <c r="O2322" t="inlineStr">
        <is>
          <t>202603200039-Juvie Anne Asis Castres-费用报销 - 副本 - 副本 - 副本-2026-03-20 14:25:58</t>
        </is>
      </c>
      <c r="P2322" t="inlineStr">
        <is>
          <t>YES</t>
        </is>
      </c>
      <c r="Q2322"/>
      <c r="R2322" t="inlineStr">
        <is>
          <t>NO</t>
        </is>
      </c>
      <c r="S2322" t="inlineStr">
        <is>
          <t>Outsourced Talent / Caster (Dash)</t>
        </is>
      </c>
      <c r="T2322">
        <v>1</v>
      </c>
      <c r="U2322">
        <v>44800</v>
      </c>
      <c r="V2322" t="inlineStr">
        <is>
          <t>PHP</t>
        </is>
      </c>
      <c r="W2322">
        <v>44800</v>
      </c>
      <c r="X2322" s="2" t="str">
        <f>=HYPERLINK("https://www.larksuite.com/approval/admin/previewAttachment?key=PMgxCkIxEATQK81uJjs7XsbGT9DiV8IHi5xdsLB91YHqGaMMOtKIrcpKwW0wa6KpnTskQ6HpfZzrrjhf8_os083Z-3o-1vGOaWVCgxwNIG5_HyJpF_FzfAMAAP__", "2 attachment(s)")</f>
        <v>2 attachment(s)</v>
      </c>
      <c r="Y2322" t="inlineStr">
        <is>
          <t>Bank Transfer</t>
        </is>
      </c>
      <c r="Z2322" t="inlineStr">
        <is>
          <t>Eugene I. Esteban</t>
        </is>
      </c>
      <c r="AA2322" t="inlineStr">
        <is>
          <t>2000 5182 8177</t>
        </is>
      </c>
      <c r="AB2322" t="inlineStr">
        <is>
          <t>East West Banking Corporation</t>
        </is>
      </c>
      <c r="AC2322" t="inlineStr">
        <is>
          <t>131 P. Pablo St. 10th Ave. Caloocan City</t>
        </is>
      </c>
      <c r="AD2322" s="4">
        <v>46122</v>
      </c>
      <c r="AE2322" t="inlineStr">
        <is>
          <t>1st Payment - Apr. 10, 2026
2nd Payment - Apr. 17, 2026
Final Payment - May 1, 2026</t>
        </is>
      </c>
      <c r="AF2322" s="2"/>
      <c r="AG2322" t="inlineStr">
        <is>
          <t>NzQyNTk5MTgyNzQ4MTg3MDM0MToyMjVDQzJBMy1GRUVCLTRFRUMtQjdGMy01NTlFQkI1OUU4NTEtMTo1ODc5OGE1MjJkZGZiMGUyMWNmYmQyMmJkMDFjMThmODox</t>
        </is>
      </c>
      <c r="AH2322" t="inlineStr">
        <is>
          <t>Eugene I. Esteban</t>
        </is>
      </c>
      <c r="AI2322"/>
      <c r="AJ2322" t="inlineStr">
        <is>
          <t>LIQUIDITY PLAN (PAR # 202602160036 / 2026TEG-P0046) - AS OF 03/24/26
PLAYOFFS &gt;
Dash (online)
Dash (rehearsals)
Total Budget = Php 44,800.00
Actual Cost = Php 44,800.00</t>
        </is>
      </c>
      <c r="AK2322"/>
    </row>
    <row r="2323" ht="25.5" customHeight="1">
      <c r="A2323" s="2" t="str">
        <f>=HYPERLINK("https://applink.larksuite.com/client/mini_program/open?appId=cli_9c7cc8a9a9edd105&amp;mode=appCenter&amp;path_pc=pc/pages/requested/index?instanceId=7626272237884182238&amp;source=bitable&amp;path=pages/detail/index?instanceId=7626272237884182238&amp;source=bitable", "202604080066")</f>
        <v>202604080066</v>
      </c>
      <c r="B2323" t="inlineStr">
        <is>
          <t>Approved</t>
        </is>
      </c>
      <c r="C2323" t="inlineStr">
        <is>
          <t>Procurement Order</t>
        </is>
      </c>
      <c r="D2323" s="3">
        <v>46120.60502314815</v>
      </c>
      <c r="E2323" s="3">
        <v>46120.64262731482</v>
      </c>
      <c r="F2323" t="inlineStr">
        <is>
          <t>Fatima Kathleen M. FLores</t>
        </is>
      </c>
      <c r="G2323" t="inlineStr">
        <is>
          <t>Procurement</t>
        </is>
      </c>
      <c r="H2323"/>
      <c r="I2323"/>
      <c r="J2323" t="inlineStr">
        <is>
          <t>Project</t>
        </is>
      </c>
      <c r="K2323" t="inlineStr">
        <is>
          <t>GG - Event Service</t>
        </is>
      </c>
      <c r="L2323" t="inlineStr">
        <is>
          <t>Addendum - Philippine Kings League Spring Season 2026 (PKL)</t>
        </is>
      </c>
      <c r="M2323" t="inlineStr">
        <is>
          <t>2026TEG-P0046</t>
        </is>
      </c>
      <c r="N2323" t="inlineStr">
        <is>
          <t>Juvie Anne Asis Castres</t>
        </is>
      </c>
      <c r="O2323" t="inlineStr">
        <is>
          <t>202603200040-Juvie Anne Asis Castres-费用报销 - 副本 - 副本 - 副本-2026-03-20 14:42:02</t>
        </is>
      </c>
      <c r="P2323" t="inlineStr">
        <is>
          <t>YES</t>
        </is>
      </c>
      <c r="Q2323"/>
      <c r="R2323" t="inlineStr">
        <is>
          <t>NO</t>
        </is>
      </c>
      <c r="S2323" t="inlineStr">
        <is>
          <t>Outsourced Talent / Caster (Osiris)</t>
        </is>
      </c>
      <c r="T2323">
        <v>1</v>
      </c>
      <c r="U2323">
        <v>31300</v>
      </c>
      <c r="V2323" t="inlineStr">
        <is>
          <t>PHP</t>
        </is>
      </c>
      <c r="W2323">
        <v>31300</v>
      </c>
      <c r="X2323" s="2" t="str">
        <f>=HYPERLINK("https://www.larksuite.com/approval/admin/previewAttachment?key=PMg7DsJADATQK40_67G5DE1WKyKgQopC4bMjUaR9kYLIIRYFL9GCNENDqWrMdElVy9YWskDhqJ7vdYe99nP77jbX8Tytj8e25kdGURU0d0sAcrvc6O5V4fg7fgEAAP__", "2 attachment(s)")</f>
        <v>2 attachment(s)</v>
      </c>
      <c r="Y2323" t="inlineStr">
        <is>
          <t>Bank Transfer</t>
        </is>
      </c>
      <c r="Z2323" t="inlineStr">
        <is>
          <t>Rogyn Raphael S. Manansala</t>
        </is>
      </c>
      <c r="AA2323" t="inlineStr">
        <is>
          <t>1096 6002 4240</t>
        </is>
      </c>
      <c r="AB2323" t="inlineStr">
        <is>
          <t>Unionbank</t>
        </is>
      </c>
      <c r="AC2323" t="inlineStr">
        <is>
          <t>Blk 5 Lot 2 Daisy St. Ferretville Subdivision, Brgy. San Roque, Rizal, Antipolo</t>
        </is>
      </c>
      <c r="AD2323" s="4">
        <v>46122</v>
      </c>
      <c r="AE2323" t="inlineStr">
        <is>
          <t>1st Payment - Apr. 10, 2026
Final Payment - Apr. 17, 2026</t>
        </is>
      </c>
      <c r="AF2323" s="2"/>
      <c r="AG2323" t="inlineStr">
        <is>
          <t>NzQyNTk5MTgyNzQ4MTg3MDM0MToxN0FDNEJEMi0wMUUwLTQ2NzYtODIyNy03RTMwQzMxQUM5RTgtMTo5NzgzMmMyNjU2MTlmNGM2OWZmNTZkODBjYjI2YWI1ODox</t>
        </is>
      </c>
      <c r="AH2323" t="inlineStr">
        <is>
          <t>Rogyn Raphael S. Manansala</t>
        </is>
      </c>
      <c r="AI2323"/>
      <c r="AJ2323" t="inlineStr">
        <is>
          <t>LIQUIDITY PLAN (PAR # 202602160036 / 2026TEG-P0046) - AS OF 03/24/26
PLAYOFFS &gt;
Osiris (offline)
Osiris (online)
Osiris (rehearsals)
Total Budget = Php 31,300.00
Actual Cost = Php 31,300.00</t>
        </is>
      </c>
      <c r="AK2323"/>
    </row>
    <row r="2324" ht="25.5" customHeight="1">
      <c r="A2324" s="2" t="str">
        <f>=HYPERLINK("https://applink.larksuite.com/client/mini_program/open?appId=cli_9c7cc8a9a9edd105&amp;mode=appCenter&amp;path_pc=pc/pages/requested/index?instanceId=7625569168814362334&amp;source=bitable&amp;path=pages/detail/index?instanceId=7625569168814362334&amp;source=bitable", "202604060136")</f>
        <v>202604060136</v>
      </c>
      <c r="B2324" t="inlineStr">
        <is>
          <t>Approved</t>
        </is>
      </c>
      <c r="C2324" t="inlineStr">
        <is>
          <t>Procurement Order</t>
        </is>
      </c>
      <c r="D2324" s="3">
        <v>46118.710381944446</v>
      </c>
      <c r="E2324" s="3">
        <v>46122.61586805555</v>
      </c>
      <c r="F2324" t="inlineStr">
        <is>
          <t>Zaira Villar</t>
        </is>
      </c>
      <c r="G2324" t="inlineStr">
        <is>
          <t>Procurement</t>
        </is>
      </c>
      <c r="H2324"/>
      <c r="I2324"/>
      <c r="J2324" t="inlineStr">
        <is>
          <t>Project</t>
        </is>
      </c>
      <c r="K2324" t="inlineStr">
        <is>
          <t>GG - Event Service</t>
        </is>
      </c>
      <c r="L2324" t="inlineStr">
        <is>
          <t>PUBG Mobile 8th Anniversary Event</t>
        </is>
      </c>
      <c r="M2324" t="inlineStr">
        <is>
          <t>2026TEG-P0066</t>
        </is>
      </c>
      <c r="N2324" t="inlineStr">
        <is>
          <t>Frances Angelita Arreglado</t>
        </is>
      </c>
      <c r="O2324" t="inlineStr">
        <is>
          <t>202603260107-Frances Angelita Arreglado-费用报销 - 副本 - 副本 - 副本-2026-03-26 08:02:57</t>
        </is>
      </c>
      <c r="P2324" t="inlineStr">
        <is>
          <t>YES</t>
        </is>
      </c>
      <c r="Q2324"/>
      <c r="R2324" t="inlineStr">
        <is>
          <t>YES</t>
        </is>
      </c>
      <c r="S2324" t="inlineStr">
        <is>
          <t>PUBG Mobile 8th Anniversary Event</t>
        </is>
      </c>
      <c r="T2324">
        <v>1</v>
      </c>
      <c r="U2324">
        <v>2000</v>
      </c>
      <c r="V2324" t="inlineStr">
        <is>
          <t>PHP</t>
        </is>
      </c>
      <c r="W2324">
        <v>2000</v>
      </c>
      <c r="X2324" s="2" t="str">
        <f>=HYPERLINK("https://www.larksuite.com/approval/admin/previewAttachment?key=PMgxDgIxDATAL-3ajjfmMzSJTkgRFeKgyduRKK6d7ET2Rs9CFK3ArbTWspi9MzzNPbZtSgVRrfZ8Hvfx1qKmjXOt7_rs8zGO-WIrmUEe4R0Ab5e7IqIqA3_HLwAA__8", "2 attachment(s)")</f>
        <v>2 attachment(s)</v>
      </c>
      <c r="Y2324" t="inlineStr">
        <is>
          <t>Bank Transfer</t>
        </is>
      </c>
      <c r="Z2324" t="inlineStr">
        <is>
          <t>Cloe Giether F Salitrero</t>
        </is>
      </c>
      <c r="AA2324" t="inlineStr">
        <is>
          <t>0636459617</t>
        </is>
      </c>
      <c r="AB2324" t="inlineStr">
        <is>
          <t>BPI</t>
        </is>
      </c>
      <c r="AC2324" t="inlineStr">
        <is>
          <t>51-C Justice Lourdes Paredes San Diego Avenue Brgy Socorro QC</t>
        </is>
      </c>
      <c r="AD2324" s="4">
        <v>46122</v>
      </c>
      <c r="AE2324" t="inlineStr">
        <is>
          <t>April 10, 2026 - One Time Payment</t>
        </is>
      </c>
      <c r="AF2324" s="2"/>
      <c r="AG2324" t="inlineStr">
        <is>
          <t>NzQyNTk5MTgyNzQ4MTg3MDM0MTpCNjMyMDYzMi01RjY5LTQ4MTktQjRCMS1GQTMxNUEzRTk3OUEtMTozMmQyOTcyYmFjNzI5MzM5ZTM2MDA3ODg4MDNmMzIyYzox</t>
        </is>
      </c>
      <c r="AH2324" t="inlineStr">
        <is>
          <t>Cloe Giether F. Salitrero</t>
        </is>
      </c>
      <c r="AI2324"/>
      <c r="AJ2324" t="inlineStr">
        <is>
          <t>LIQUIDITY PLAN (PAR # 202603150011 / 202603150011) - AS OF 04/06/26
METRO MANILA LEG - MARCH 29, 2026 &gt; MANPOWER &gt;
Road Manager / Floor Manager
Total Remaining Budget = -Php 1,400.00
Actual Cost = Php 2,000.00
Balance = (-Php 3,400) OVERBUDGET</t>
        </is>
      </c>
      <c r="AK2324"/>
    </row>
    <row r="2325" ht="25.5" customHeight="1">
      <c r="A2325" s="2" t="str">
        <f>=HYPERLINK("https://applink.larksuite.com/client/mini_program/open?appId=cli_9c7cc8a9a9edd105&amp;mode=appCenter&amp;path_pc=pc/pages/requested/index?instanceId=7625563576987586277&amp;source=bitable&amp;path=pages/detail/index?instanceId=7625563576987586277&amp;source=bitable", "202604060133")</f>
        <v>202604060133</v>
      </c>
      <c r="B2325" t="inlineStr">
        <is>
          <t>Approved</t>
        </is>
      </c>
      <c r="C2325" t="inlineStr">
        <is>
          <t>Procurement Order</t>
        </is>
      </c>
      <c r="D2325" s="3">
        <v>46118.69532407408</v>
      </c>
      <c r="E2325" s="3">
        <v>46122.61194444444</v>
      </c>
      <c r="F2325" t="inlineStr">
        <is>
          <t>Zaira Villar</t>
        </is>
      </c>
      <c r="G2325" t="inlineStr">
        <is>
          <t>Procurement</t>
        </is>
      </c>
      <c r="H2325"/>
      <c r="I2325"/>
      <c r="J2325" t="inlineStr">
        <is>
          <t>Project</t>
        </is>
      </c>
      <c r="K2325" t="inlineStr">
        <is>
          <t>GG - Event Service</t>
        </is>
      </c>
      <c r="L2325" t="inlineStr">
        <is>
          <t>PUBG Mobile 8th Anniversary Event</t>
        </is>
      </c>
      <c r="M2325" t="inlineStr">
        <is>
          <t>2026TEG-P0066</t>
        </is>
      </c>
      <c r="N2325" t="inlineStr">
        <is>
          <t>Frances Angelita Arreglado</t>
        </is>
      </c>
      <c r="O2325" t="inlineStr">
        <is>
          <t>202603260107-Frances Angelita Arreglado-费用报销 - 副本 - 副本 - 副本-2026-03-26 08:02:57</t>
        </is>
      </c>
      <c r="P2325" t="inlineStr">
        <is>
          <t>YES</t>
        </is>
      </c>
      <c r="Q2325"/>
      <c r="R2325" t="inlineStr">
        <is>
          <t>YES</t>
        </is>
      </c>
      <c r="S2325" t="inlineStr">
        <is>
          <t>Outsourced Manpower (Cavite &amp; Metro Manila)</t>
        </is>
      </c>
      <c r="T2325">
        <v>1</v>
      </c>
      <c r="U2325">
        <v>21400</v>
      </c>
      <c r="V2325" t="inlineStr">
        <is>
          <t>PHP</t>
        </is>
      </c>
      <c r="W2325">
        <v>21400</v>
      </c>
      <c r="X2325" s="2" t="str">
        <f>=HYPERLINK("https://www.larksuite.com/approval/admin/previewAttachment?key=PMg5CgJhDAXgK72sL_EyNg4_gguCOFPl7IKF7ZclyAqxbHiLNmSYGpEWzC5GpZKjI2SDwujZHut8uB6ftW8vX3J_3ma_Xtb2lmiqguZuBUBOfze6e3c6fo5vAAAA__8", "4 attachment(s)")</f>
        <v>4 attachment(s)</v>
      </c>
      <c r="Y2325" t="inlineStr">
        <is>
          <t>Bank Transfer</t>
        </is>
      </c>
      <c r="Z2325" t="inlineStr">
        <is>
          <t>Marc Kevin Serrano</t>
        </is>
      </c>
      <c r="AA2325" t="inlineStr">
        <is>
          <t>1519218972</t>
        </is>
      </c>
      <c r="AB2325" t="inlineStr">
        <is>
          <t>BPI</t>
        </is>
      </c>
      <c r="AC2325" t="inlineStr">
        <is>
          <t>3 Don Guillermo Street, Barangay Holy Spirit, Commonwealth, Quezon City, Metro Manila,</t>
        </is>
      </c>
      <c r="AD2325" s="4">
        <v>46122</v>
      </c>
      <c r="AE2325" t="inlineStr">
        <is>
          <t>1st Payment - April 10
Final Payment - April 17</t>
        </is>
      </c>
      <c r="AF2325" s="2"/>
      <c r="AG2325" t="inlineStr">
        <is>
          <t>NzQyNTk5MTgyNzQ4MTg3MDM0MTo5RTAwRkRCMi0yMjM2LTQ1NjktQTlFNC01NjlCMjEzQUU3MjktMTo4OTI2YTc5MDdmNjZiZmVjNTgxZmY0YWMzOThhYjQ3YTox</t>
        </is>
      </c>
      <c r="AH2325" t="inlineStr">
        <is>
          <t>Marc Kevin Torrijos Serrano</t>
        </is>
      </c>
      <c r="AI2325"/>
      <c r="AJ2325" t="inlineStr">
        <is>
          <t>LIQUIDITY PLAN (PAR # 202603150011 / 202603150011) - AS OF 04/06/26
SOUTH LUZON LEG - MARCH 28, 2026 &gt; MANPOWER &gt; Road Manager / Floor Manager &gt; League Operations Crew &gt; Usher Event / Personnel
METRO MANILA LEG - MARCH 29, 2026 &gt; MANPOWER &gt; Road Manager / Floor Manager &gt; League Operations Crew &gt; Usher Event / Personnel
League Operations Crew:
Total Budget = Php 12,000.00
Actual Cost = Php 6,000.00
Balance = Php 6,000.00
Road Manager / Floor Manager:
Total Budget = Php 8,000.00
Actual Cost = Php 9,400.00
Balance = (-Php 1,400) Overbudget
Usher Event / Personnel: 
Total Budget = Php 4,500.00
Actual Cost = Php 6,000.00
Balance = (-Php 1,500) Overbudget</t>
        </is>
      </c>
      <c r="AK2325"/>
    </row>
    <row r="2326" ht="25.5" customHeight="1">
      <c r="A2326" s="2" t="str">
        <f>=HYPERLINK("https://applink.larksuite.com/client/mini_program/open?appId=cli_9c7cc8a9a9edd105&amp;mode=appCenter&amp;path_pc=pc/pages/requested/index?instanceId=7625549121025216224&amp;source=bitable&amp;path=pages/detail/index?instanceId=7625549121025216224&amp;source=bitable", "202604060113")</f>
        <v>202604060113</v>
      </c>
      <c r="B2326" t="inlineStr">
        <is>
          <t>Approved</t>
        </is>
      </c>
      <c r="C2326" t="inlineStr">
        <is>
          <t>Procurement Order</t>
        </is>
      </c>
      <c r="D2326" s="3">
        <v>46118.65636574074</v>
      </c>
      <c r="E2326" s="3">
        <v>46122.614340277774</v>
      </c>
      <c r="F2326" t="inlineStr">
        <is>
          <t>Zaira Villar</t>
        </is>
      </c>
      <c r="G2326" t="inlineStr">
        <is>
          <t>Procurement</t>
        </is>
      </c>
      <c r="H2326"/>
      <c r="I2326"/>
      <c r="J2326" t="inlineStr">
        <is>
          <t>Project</t>
        </is>
      </c>
      <c r="K2326" t="inlineStr">
        <is>
          <t>GG - Event Service</t>
        </is>
      </c>
      <c r="L2326" t="inlineStr">
        <is>
          <t>PUBG Mobile 8th Anniversary Event</t>
        </is>
      </c>
      <c r="M2326" t="inlineStr">
        <is>
          <t>2026TEG-P0066</t>
        </is>
      </c>
      <c r="N2326" t="inlineStr">
        <is>
          <t>Frances Angelita Arreglado</t>
        </is>
      </c>
      <c r="O2326" t="inlineStr">
        <is>
          <t>202603260096-Frances Angelita Arreglado-费用报销 - 副本 - 副本 - 副本-2026-03-26 07:47:43</t>
        </is>
      </c>
      <c r="P2326" t="inlineStr">
        <is>
          <t>YES</t>
        </is>
      </c>
      <c r="Q2326"/>
      <c r="R2326" t="inlineStr">
        <is>
          <t>YES</t>
        </is>
      </c>
      <c r="S2326" t="inlineStr">
        <is>
          <t>Outsourced CG OP/Game OBS</t>
        </is>
      </c>
      <c r="T2326">
        <v>1</v>
      </c>
      <c r="U2326">
        <v>8000</v>
      </c>
      <c r="V2326" t="inlineStr">
        <is>
          <t>PHP</t>
        </is>
      </c>
      <c r="W2326">
        <v>8000</v>
      </c>
      <c r="X2326" s="2" t="str">
        <f>=HYPERLINK("https://www.larksuite.com/approval/admin/previewAttachment?key=PMg7CsIAEATQK83sN-tlbFyCUQKCGGz27KKF5XuxELE4NQpWlAInQ9y_IMSFIWIjw8xCMr2m9_Ws-3vrex-9PW76whzXy9pPeqUIUs10AcDT_zXNrCoMv8cnAAD__w", "2 attachment(s)")</f>
        <v>2 attachment(s)</v>
      </c>
      <c r="Y2326" t="inlineStr">
        <is>
          <t>Bank Transfer</t>
        </is>
      </c>
      <c r="Z2326" t="inlineStr">
        <is>
          <t>Kenneth Singian</t>
        </is>
      </c>
      <c r="AA2326" t="inlineStr">
        <is>
          <t>0917-655-9151</t>
        </is>
      </c>
      <c r="AB2326" t="inlineStr">
        <is>
          <t>GCASH</t>
        </is>
      </c>
      <c r="AC2326" t="inlineStr">
        <is>
          <t>84 Montreal St. Cubao Quezon City</t>
        </is>
      </c>
      <c r="AD2326" s="4">
        <v>46122</v>
      </c>
      <c r="AE2326" t="inlineStr">
        <is>
          <t>April 10 - One time payment</t>
        </is>
      </c>
      <c r="AF2326" s="2"/>
      <c r="AG2326" t="inlineStr">
        <is>
          <t>NzQyNTk5MTgyNzQ4MTg3MDM0MToxMUI4MjQ2Qi0xOTg0LTRFQjUtQjEzRi03MTQ4RDczNzk3NTItMTo0Mjk1NzA4OGFmOTU5ODg0ZjhiZmY1NzBhYThkMDZkMjox</t>
        </is>
      </c>
      <c r="AH2326" t="inlineStr">
        <is>
          <t>Kenneth Singian</t>
        </is>
      </c>
      <c r="AI2326"/>
      <c r="AJ2326" t="inlineStr">
        <is>
          <t>LIQUIDITY PLAN (PAR # 202603150011 / 202603150011) - AS OF 04/06/26
METRO MANILA LEG - MARCH 29, 2026 &gt; MANPOWER &gt;
Game Observer
SOUTH LUZON LEG - MARCH 28, 2026 &gt; MANPOWER &gt;
Game Observer
Total Remaining Budget = Php 4,000.00
Actual Cost = Php 8,000.00
Balance = (-Php 4,000) OVERBUDGET</t>
        </is>
      </c>
      <c r="AK2326"/>
    </row>
    <row r="2327" ht="25.5" customHeight="1">
      <c r="A2327" s="2" t="str">
        <f>=HYPERLINK("https://applink.larksuite.com/client/mini_program/open?appId=cli_9c7cc8a9a9edd105&amp;mode=appCenter&amp;path_pc=pc/pages/requested/index?instanceId=7626269439817764571&amp;source=bitable&amp;path=pages/detail/index?instanceId=7626269439817764571&amp;source=bitable", "202604080058")</f>
        <v>202604080058</v>
      </c>
      <c r="B2327" t="inlineStr">
        <is>
          <t>Approved</t>
        </is>
      </c>
      <c r="C2327" t="inlineStr">
        <is>
          <t>Procurement Order</t>
        </is>
      </c>
      <c r="D2327" s="3">
        <v>46120.59747685185</v>
      </c>
      <c r="E2327" s="3">
        <v>46120.64015046296</v>
      </c>
      <c r="F2327" t="inlineStr">
        <is>
          <t>Fatima Kathleen M. FLores</t>
        </is>
      </c>
      <c r="G2327" t="inlineStr">
        <is>
          <t>Procurement</t>
        </is>
      </c>
      <c r="H2327"/>
      <c r="I2327"/>
      <c r="J2327" t="inlineStr">
        <is>
          <t>Project</t>
        </is>
      </c>
      <c r="K2327" t="inlineStr">
        <is>
          <t>GG - Event Service</t>
        </is>
      </c>
      <c r="L2327" t="inlineStr">
        <is>
          <t>Addendum - Philippine Kings League Spring Season 2026 (PKL)</t>
        </is>
      </c>
      <c r="M2327" t="inlineStr">
        <is>
          <t>2026TEG-P0046</t>
        </is>
      </c>
      <c r="N2327" t="inlineStr">
        <is>
          <t>Juvie Anne Asis Castres</t>
        </is>
      </c>
      <c r="O2327" t="inlineStr">
        <is>
          <t>202603200038-Juvie Anne Asis Castres-费用报销 - 副本 - 副本 - 副本-2026-03-20 14:24:28</t>
        </is>
      </c>
      <c r="P2327" t="inlineStr">
        <is>
          <t>YES</t>
        </is>
      </c>
      <c r="Q2327"/>
      <c r="R2327" t="inlineStr">
        <is>
          <t>NO</t>
        </is>
      </c>
      <c r="S2327" t="inlineStr">
        <is>
          <t>Outsourced Talent / Caster (Shinboo)</t>
        </is>
      </c>
      <c r="T2327">
        <v>1</v>
      </c>
      <c r="U2327">
        <v>22300</v>
      </c>
      <c r="V2327" t="inlineStr">
        <is>
          <t>PHP</t>
        </is>
      </c>
      <c r="W2327">
        <v>22300</v>
      </c>
      <c r="X2327" s="2" t="str">
        <f>=HYPERLINK("https://www.larksuite.com/approval/admin/previewAttachment?key=PMg9CkIxEATgK83-ZCfjZWx8BEGfjZhuzy5Y2H41DTWHRQkpc8Ga5eWlDE0jKwetvY0UaBzq41zXFedjbzzDx16vT-_7bR1vG6I7GJkxAdjl78HMlCrxc3wDAAD__w", "2 attachment(s)")</f>
        <v>2 attachment(s)</v>
      </c>
      <c r="Y2327" t="inlineStr">
        <is>
          <t>Bank Transfer</t>
        </is>
      </c>
      <c r="Z2327" t="inlineStr">
        <is>
          <t>SHIN BOO C PONFERRADA</t>
        </is>
      </c>
      <c r="AA2327" t="inlineStr">
        <is>
          <t>4359 4142 05</t>
        </is>
      </c>
      <c r="AB2327" t="inlineStr">
        <is>
          <t>BPI</t>
        </is>
      </c>
      <c r="AC2327" t="inlineStr">
        <is>
          <t>44H 20th Avenue, Brgy. San Roque, Quezon City</t>
        </is>
      </c>
      <c r="AD2327" s="4">
        <v>46122</v>
      </c>
      <c r="AE2327" t="inlineStr">
        <is>
          <t>1st Payment - Apr. 10, 2026
Final Payment - Apr. 17, 2026</t>
        </is>
      </c>
      <c r="AF2327" s="2"/>
      <c r="AG2327" t="inlineStr">
        <is>
          <t>NzQyNTk5MTgyNzQ4MTg3MDM0MTpDOTZGQjQ4OS04N0RDLTQ4MUYtQjk0NC02M0Y2NDZFOTBCMzQtMTo2ZmMzOWNjY2U1Y2Y4NzkyMWJiNmRjYmZiOGVmNTVjMjox</t>
        </is>
      </c>
      <c r="AH2327" t="inlineStr">
        <is>
          <t>SHIN BOO C PONFERRADA</t>
        </is>
      </c>
      <c r="AI2327"/>
      <c r="AJ2327" t="inlineStr">
        <is>
          <t>LIQUIDITY PLAN (PAR # 202602160036 / 2026TEG-P0046) - AS OF 03/24/26
PLAYOFFS &gt;
Sh1nboo
Total Budget = Php 22,300.00
Actual Cost = Php 22,300.00</t>
        </is>
      </c>
      <c r="AK2327"/>
    </row>
    <row r="2328" ht="25.5" customHeight="1">
      <c r="A2328" s="2" t="str">
        <f>=HYPERLINK("https://applink.larksuite.com/client/mini_program/open?appId=cli_9c7cc8a9a9edd105&amp;mode=appCenter&amp;path_pc=pc/pages/requested/index?instanceId=7626278186623536862&amp;source=bitable&amp;path=pages/detail/index?instanceId=7626278186623536862&amp;source=bitable", "202604080076")</f>
        <v>202604080076</v>
      </c>
      <c r="B2328" t="inlineStr">
        <is>
          <t>Approved</t>
        </is>
      </c>
      <c r="C2328" t="inlineStr">
        <is>
          <t>Procurement Order</t>
        </is>
      </c>
      <c r="D2328" s="3">
        <v>46120.62105324074</v>
      </c>
      <c r="E2328" s="3">
        <v>46120.7390625</v>
      </c>
      <c r="F2328" t="inlineStr">
        <is>
          <t>Fatima Kathleen M. FLores</t>
        </is>
      </c>
      <c r="G2328" t="inlineStr">
        <is>
          <t>Procurement</t>
        </is>
      </c>
      <c r="H2328"/>
      <c r="I2328"/>
      <c r="J2328" t="inlineStr">
        <is>
          <t>Project</t>
        </is>
      </c>
      <c r="K2328" t="inlineStr">
        <is>
          <t>GG - Event Service</t>
        </is>
      </c>
      <c r="L2328" t="inlineStr">
        <is>
          <t>Addendum - Philippine Kings League Spring Season 2026 (PKL)</t>
        </is>
      </c>
      <c r="M2328" t="inlineStr">
        <is>
          <t>2026TEG-P0046</t>
        </is>
      </c>
      <c r="N2328" t="inlineStr">
        <is>
          <t>Juvie Anne Asis Castres</t>
        </is>
      </c>
      <c r="O2328" t="inlineStr">
        <is>
          <t>202603200044-Juvie Anne Asis Castres-费用报销 - 副本 - 副本 - 副本-2026-03-20 14:48:10</t>
        </is>
      </c>
      <c r="P2328" t="inlineStr">
        <is>
          <t>YES</t>
        </is>
      </c>
      <c r="Q2328"/>
      <c r="R2328" t="inlineStr">
        <is>
          <t>NO</t>
        </is>
      </c>
      <c r="S2328" t="inlineStr">
        <is>
          <t>Outsourced Talent / Caster (Autolose)</t>
        </is>
      </c>
      <c r="T2328">
        <v>1</v>
      </c>
      <c r="U2328">
        <v>15000</v>
      </c>
      <c r="V2328" t="inlineStr">
        <is>
          <t>PHP</t>
        </is>
      </c>
      <c r="W2328">
        <v>15000</v>
      </c>
      <c r="X2328" s="2" t="str">
        <f>=HYPERLINK("https://www.larksuite.com/approval/admin/previewAttachment?key=PMg7CgJBEATQK1V_pqrby5i4DCpqIiwazNkFg00fy8AaFmxkmzdsiU5XWZEeI1j05cukhkzE2p7znB63fXzv8pyvz2Pt18vc3jZa7lBkRgGw0-GhzOxm4u_4BQAA__8", "2 attachment(s)")</f>
        <v>2 attachment(s)</v>
      </c>
      <c r="Y2328" t="inlineStr">
        <is>
          <t>Bank Transfer</t>
        </is>
      </c>
      <c r="Z2328" t="inlineStr">
        <is>
          <t>Bryan J. Quiazon</t>
        </is>
      </c>
      <c r="AA2328" t="inlineStr">
        <is>
          <t>006781132589</t>
        </is>
      </c>
      <c r="AB2328" t="inlineStr">
        <is>
          <t>BDO</t>
        </is>
      </c>
      <c r="AC2328" t="inlineStr">
        <is>
          <t>29A Schilling St. Phase 8 North Fairview Q.C.</t>
        </is>
      </c>
      <c r="AD2328" s="4">
        <v>46122</v>
      </c>
      <c r="AE2328" t="inlineStr">
        <is>
          <t>100% Full Payment - Apr. 10, 2026</t>
        </is>
      </c>
      <c r="AF2328" s="2"/>
      <c r="AG2328" t="inlineStr">
        <is>
          <t>NzQyNTk5MTgyNzQ4MTg3MDM0MToyNUEzNTA5Ri05N0RGLTQ2NzYtQUYxRi1FOEIwNzE1OUVCMEEtMTpjYmEwMjI1ZGZjY2FiMTFiZGNlM2I0YzQ5MDFhYTA0Mzox</t>
        </is>
      </c>
      <c r="AH2328" t="inlineStr">
        <is>
          <t>Bryan J. Quiazon</t>
        </is>
      </c>
      <c r="AI2328"/>
      <c r="AJ2328" t="inlineStr">
        <is>
          <t>LIQUIDITY PLAN (PAR # 202602160036 / 2026TEG-P0046) - AS OF 03/24/26
PLAYOFFS &gt; Autolose
Total Budget = Php 15,000.00
Actual Cost = Php 15,000.00</t>
        </is>
      </c>
      <c r="AK2328"/>
    </row>
    <row r="2329" ht="25.5" customHeight="1">
      <c r="A2329" s="2" t="str">
        <f>=HYPERLINK("https://applink.larksuite.com/client/mini_program/open?appId=cli_9c7cc8a9a9edd105&amp;mode=appCenter&amp;path_pc=pc/pages/requested/index?instanceId=7626279016198229733&amp;source=bitable&amp;path=pages/detail/index?instanceId=7626279016198229733&amp;source=bitable", "202604080078")</f>
        <v>202604080078</v>
      </c>
      <c r="B2329" t="inlineStr">
        <is>
          <t>Approved</t>
        </is>
      </c>
      <c r="C2329" t="inlineStr">
        <is>
          <t>Procurement Order</t>
        </is>
      </c>
      <c r="D2329" s="3">
        <v>46120.62328703704</v>
      </c>
      <c r="E2329" s="3">
        <v>46120.73658564815</v>
      </c>
      <c r="F2329" t="inlineStr">
        <is>
          <t>Fatima Kathleen M. FLores</t>
        </is>
      </c>
      <c r="G2329" t="inlineStr">
        <is>
          <t>Procurement</t>
        </is>
      </c>
      <c r="H2329"/>
      <c r="I2329"/>
      <c r="J2329" t="inlineStr">
        <is>
          <t>Project</t>
        </is>
      </c>
      <c r="K2329" t="inlineStr">
        <is>
          <t>GG - Event Service</t>
        </is>
      </c>
      <c r="L2329" t="inlineStr">
        <is>
          <t>Addendum - Philippine Kings League Spring Season 2026 (PKL)</t>
        </is>
      </c>
      <c r="M2329" t="inlineStr">
        <is>
          <t>2026TEG-P0046</t>
        </is>
      </c>
      <c r="N2329" t="inlineStr">
        <is>
          <t>Juvie Anne Asis Castres</t>
        </is>
      </c>
      <c r="O2329" t="inlineStr">
        <is>
          <t>202603200044-Juvie Anne Asis Castres-费用报销 - 副本 - 副本 - 副本-2026-03-20 14:48:10</t>
        </is>
      </c>
      <c r="P2329" t="inlineStr">
        <is>
          <t>YES</t>
        </is>
      </c>
      <c r="Q2329"/>
      <c r="R2329" t="inlineStr">
        <is>
          <t>NO</t>
        </is>
      </c>
      <c r="S2329" t="inlineStr">
        <is>
          <t>Outsourced Talent / Caster (Chuplaks) - Cebu</t>
        </is>
      </c>
      <c r="T2329">
        <v>1</v>
      </c>
      <c r="U2329">
        <v>17500</v>
      </c>
      <c r="V2329" t="inlineStr">
        <is>
          <t>PHP</t>
        </is>
      </c>
      <c r="W2329">
        <v>17500</v>
      </c>
      <c r="X2329" s="2"/>
      <c r="Y2329" t="inlineStr">
        <is>
          <t>Bank Transfer</t>
        </is>
      </c>
      <c r="Z2329" t="inlineStr">
        <is>
          <t>Ariel A. Beltran</t>
        </is>
      </c>
      <c r="AA2329" t="inlineStr">
        <is>
          <t>9059249077</t>
        </is>
      </c>
      <c r="AB2329" t="inlineStr">
        <is>
          <t>BPI</t>
        </is>
      </c>
      <c r="AC2329" t="inlineStr">
        <is>
          <t>Tres de Abril St. Cor. Fllamas Punta Princesa, Cebu City</t>
        </is>
      </c>
      <c r="AD2329" s="4">
        <v>46122</v>
      </c>
      <c r="AE2329" t="inlineStr">
        <is>
          <t>100% Full Payment - Apr. 10, 2026</t>
        </is>
      </c>
      <c r="AF2329" s="2"/>
      <c r="AG2329" t="inlineStr">
        <is>
          <t>NzQyNTk5MTgyNzQ4MTg3MDM0MTo4NjJCMENBNy0zMDNELTRFN0MtQTBDOS0yRkI1NzM0NjhBMzUtMTo5NDhkMTY5Zjg2NmNiMzgxNzQ4YmJkYTZiY2NmOTYwMzox</t>
        </is>
      </c>
      <c r="AH2329" t="inlineStr">
        <is>
          <t>Ariel A. Beltran</t>
        </is>
      </c>
      <c r="AI2329"/>
      <c r="AJ2329" t="inlineStr">
        <is>
          <t>LIQUIDITY PLAN (PAR # 202602160036 / 2026TEG-P0046) - AS OF 03/24/26
PLAYOFFS &gt; Casters CEB
Total Budget = Php 30,000.00
Actual Cost = Php 17,500.00
Balance = Php 12,500.00</t>
        </is>
      </c>
      <c r="AK2329"/>
    </row>
    <row r="2330" ht="25.5" customHeight="1">
      <c r="A2330" s="2" t="str">
        <f>=HYPERLINK("https://applink.larksuite.com/client/mini_program/open?appId=cli_9c7cc8a9a9edd105&amp;mode=appCenter&amp;path_pc=pc/pages/requested/index?instanceId=7626279847161024229&amp;source=bitable&amp;path=pages/detail/index?instanceId=7626279847161024229&amp;source=bitable", "202604080079")</f>
        <v>202604080079</v>
      </c>
      <c r="B2330" t="inlineStr">
        <is>
          <t>Approved</t>
        </is>
      </c>
      <c r="C2330" t="inlineStr">
        <is>
          <t>Procurement Order</t>
        </is>
      </c>
      <c r="D2330" s="3">
        <v>46120.62552083333</v>
      </c>
      <c r="E2330" s="3">
        <v>46120.73755787037</v>
      </c>
      <c r="F2330" t="inlineStr">
        <is>
          <t>Fatima Kathleen M. FLores</t>
        </is>
      </c>
      <c r="G2330" t="inlineStr">
        <is>
          <t>Procurement</t>
        </is>
      </c>
      <c r="H2330"/>
      <c r="I2330"/>
      <c r="J2330" t="inlineStr">
        <is>
          <t>Project</t>
        </is>
      </c>
      <c r="K2330" t="inlineStr">
        <is>
          <t>GG - Event Service</t>
        </is>
      </c>
      <c r="L2330" t="inlineStr">
        <is>
          <t>Addendum - Philippine Kings League Spring Season 2026 (PKL)</t>
        </is>
      </c>
      <c r="M2330" t="inlineStr">
        <is>
          <t>2026TEG-P0046</t>
        </is>
      </c>
      <c r="N2330" t="inlineStr">
        <is>
          <t>Juvie Anne Asis Castres</t>
        </is>
      </c>
      <c r="O2330" t="inlineStr">
        <is>
          <t>202603200046-Juvie Anne Asis Castres-费用报销 - 副本 - 副本 - 副本-2026-03-20 14:50:08</t>
        </is>
      </c>
      <c r="P2330" t="inlineStr">
        <is>
          <t>YES</t>
        </is>
      </c>
      <c r="Q2330"/>
      <c r="R2330" t="inlineStr">
        <is>
          <t>NO</t>
        </is>
      </c>
      <c r="S2330" t="inlineStr">
        <is>
          <t>Outsourced Talent / Caster (Bulala) - Cebu</t>
        </is>
      </c>
      <c r="T2330">
        <v>1</v>
      </c>
      <c r="U2330">
        <v>17500</v>
      </c>
      <c r="V2330" t="inlineStr">
        <is>
          <t>PHP</t>
        </is>
      </c>
      <c r="W2330">
        <v>17500</v>
      </c>
      <c r="X2330" s="2" t="str">
        <f>=HYPERLINK("https://www.larksuite.com/approval/admin/previewAttachment?key=PMgxCsJQEATQK83On-z-8TI2ho8ErITEZs8uWNi-nIGcW4w05KARXclkeaoiAxTpZkeVUVGJ3l_rfonX6f2QuD4H-3w-1v6OzUWihjQmgLj9fZQkO4Wf4xsAAP__", "2 attachment(s)")</f>
        <v>2 attachment(s)</v>
      </c>
      <c r="Y2330" t="inlineStr">
        <is>
          <t>Bank Transfer</t>
        </is>
      </c>
      <c r="Z2330" t="inlineStr">
        <is>
          <t>Kemuel Bob Tagulob</t>
        </is>
      </c>
      <c r="AA2330" t="inlineStr">
        <is>
          <t>109321621387</t>
        </is>
      </c>
      <c r="AB2330" t="inlineStr">
        <is>
          <t>Unionbank</t>
        </is>
      </c>
      <c r="AC2330" t="inlineStr">
        <is>
          <t>Sitio Candaya, Upper Mohon, Talisay City, Cebu</t>
        </is>
      </c>
      <c r="AD2330" s="4">
        <v>46122</v>
      </c>
      <c r="AE2330" t="inlineStr">
        <is>
          <t>100% Full Payment - Apr. 10, 2026</t>
        </is>
      </c>
      <c r="AF2330" s="2"/>
      <c r="AG2330" t="inlineStr">
        <is>
          <t>NzQyNTk5MTgyNzQ4MTg3MDM0MTpDQTkzQkZGNS1FNjlFLTRBODYtOTQwRi1CMkJBNTYwQ0NCMjQtMTo4NDljMzJjNWVkNWY2ZjU5MTkwMTdkMDVlZjVmMmEyODox</t>
        </is>
      </c>
      <c r="AH2330" t="inlineStr">
        <is>
          <t>Kemuel Bob Tagulob</t>
        </is>
      </c>
      <c r="AI2330"/>
      <c r="AJ2330" t="inlineStr">
        <is>
          <t>LIQUIDITY PLAN (PAR # 202602160036 / 2026TEG-P0046) - AS OF 03/24/26
PLAYOFFS &gt; 
Casters CEB
Casters CEB (rehearsals)
Total Remaining Budget = Php 17,500.00
Actual Cost = Php 17,500.00</t>
        </is>
      </c>
      <c r="AK2330"/>
    </row>
    <row r="2331" ht="25.5" customHeight="1">
      <c r="A2331" s="2" t="str">
        <f>=HYPERLINK("https://applink.larksuite.com/client/mini_program/open?appId=cli_9c7cc8a9a9edd105&amp;mode=appCenter&amp;path_pc=pc/pages/requested/index?instanceId=7626274931923635934&amp;source=bitable&amp;path=pages/detail/index?instanceId=7626274931923635934&amp;source=bitable", "202604080069")</f>
        <v>202604080069</v>
      </c>
      <c r="B2331" t="inlineStr">
        <is>
          <t>Approved</t>
        </is>
      </c>
      <c r="C2331" t="inlineStr">
        <is>
          <t>Procurement Order</t>
        </is>
      </c>
      <c r="D2331" s="3">
        <v>46120.612280092595</v>
      </c>
      <c r="E2331" s="3">
        <v>46120.64163194445</v>
      </c>
      <c r="F2331" t="inlineStr">
        <is>
          <t>Fatima Kathleen M. FLores</t>
        </is>
      </c>
      <c r="G2331" t="inlineStr">
        <is>
          <t>Procurement</t>
        </is>
      </c>
      <c r="H2331"/>
      <c r="I2331"/>
      <c r="J2331" t="inlineStr">
        <is>
          <t>Project</t>
        </is>
      </c>
      <c r="K2331" t="inlineStr">
        <is>
          <t>GG - Event Service</t>
        </is>
      </c>
      <c r="L2331" t="inlineStr">
        <is>
          <t>Addendum - Philippine Kings League Spring Season 2026 (PKL)</t>
        </is>
      </c>
      <c r="M2331" t="inlineStr">
        <is>
          <t>2026TEG-P0046</t>
        </is>
      </c>
      <c r="N2331" t="inlineStr">
        <is>
          <t>Juvie Anne Asis Castres</t>
        </is>
      </c>
      <c r="O2331" t="inlineStr">
        <is>
          <t>202603200041-Juvie Anne Asis Castres-费用报销 - 副本 - 副本 - 副本-2026-03-20 14:43:51</t>
        </is>
      </c>
      <c r="P2331" t="inlineStr">
        <is>
          <t>YES</t>
        </is>
      </c>
      <c r="Q2331"/>
      <c r="R2331" t="inlineStr">
        <is>
          <t>NO</t>
        </is>
      </c>
      <c r="S2331" t="inlineStr">
        <is>
          <t>Outsourced Talent / Caster (Beebimbap)</t>
        </is>
      </c>
      <c r="T2331">
        <v>1</v>
      </c>
      <c r="U2331">
        <v>41750</v>
      </c>
      <c r="V2331" t="inlineStr">
        <is>
          <t>PHP</t>
        </is>
      </c>
      <c r="W2331">
        <v>41750</v>
      </c>
      <c r="X2331" s="2" t="str">
        <f>=HYPERLINK("https://www.larksuite.com/approval/admin/previewAttachment?key=PMg9CsJAEAXgK83P23n7vIxNlqBoKiHYzNkFi7RfTbeaw7NkkIfMmxUVhNIVWTmU6GgnZXQO9Tr2O_14jve24jVPfdHnY9vXx4cYYUwgp5n57fIkAKlgf7dfAAAA__8", "2 attachment(s)")</f>
        <v>2 attachment(s)</v>
      </c>
      <c r="Y2331" t="inlineStr">
        <is>
          <t>Bank Transfer</t>
        </is>
      </c>
      <c r="Z2331" t="inlineStr">
        <is>
          <t>Laurise Martinez</t>
        </is>
      </c>
      <c r="AA2331" t="inlineStr">
        <is>
          <t>006980522247</t>
        </is>
      </c>
      <c r="AB2331" t="inlineStr">
        <is>
          <t>BDO</t>
        </is>
      </c>
      <c r="AC2331" t="inlineStr">
        <is>
          <t>203 Monte Carlo Residences Sucat Parañaque</t>
        </is>
      </c>
      <c r="AD2331" s="4">
        <v>46122</v>
      </c>
      <c r="AE2331" t="inlineStr">
        <is>
          <t>1st Payment - Apr. 10, 2026
Final Payment - Apr. 17, 2026</t>
        </is>
      </c>
      <c r="AF2331" s="2"/>
      <c r="AG2331" t="inlineStr">
        <is>
          <t>NzQyNTk5MTgyNzQ4MTg3MDM0MTpEMDNBQjQ5OC0xRUM5LTQ1OUYtQUVCOS02QjlBNUU4OUU3MEMtMToxZTBkNDYwZjhmYjU2YzAzNmE3YWM0OTExOWJiZTE2ZTox</t>
        </is>
      </c>
      <c r="AH2331" t="inlineStr">
        <is>
          <t>Laurise Martinez</t>
        </is>
      </c>
      <c r="AI2331"/>
      <c r="AJ2331" t="inlineStr">
        <is>
          <t>LIQUIDITY PLAN (PAR # 202602160036 / 2026TEG-P0046) - AS OF 03/24/26
PLAYOFFS &gt;
Beebimbapp
Beebimbapp (rehearsals)
Total Budget = Php 41,750.00
Actual Cost = Php 41,750.00</t>
        </is>
      </c>
      <c r="AK2331"/>
    </row>
    <row r="2332" ht="25.5" customHeight="1">
      <c r="A2332" s="2" t="str">
        <f>=HYPERLINK("https://applink.larksuite.com/client/mini_program/open?appId=cli_9c7cc8a9a9edd105&amp;mode=appCenter&amp;path_pc=pc/pages/requested/index?instanceId=7626277447970393824&amp;source=bitable&amp;path=pages/detail/index?instanceId=7626277447970393824&amp;source=bitable", "202604080075")</f>
        <v>202604080075</v>
      </c>
      <c r="B2332" t="inlineStr">
        <is>
          <t>Approved</t>
        </is>
      </c>
      <c r="C2332" t="inlineStr">
        <is>
          <t>Procurement Order</t>
        </is>
      </c>
      <c r="D2332" s="3">
        <v>46120.6190625</v>
      </c>
      <c r="E2332" s="3">
        <v>46120.64431712963</v>
      </c>
      <c r="F2332" t="inlineStr">
        <is>
          <t>Fatima Kathleen M. FLores</t>
        </is>
      </c>
      <c r="G2332" t="inlineStr">
        <is>
          <t>Procurement</t>
        </is>
      </c>
      <c r="H2332"/>
      <c r="I2332"/>
      <c r="J2332" t="inlineStr">
        <is>
          <t>Project</t>
        </is>
      </c>
      <c r="K2332" t="inlineStr">
        <is>
          <t>GG - Event Service</t>
        </is>
      </c>
      <c r="L2332" t="inlineStr">
        <is>
          <t>Addendum - Philippine Kings League Spring Season 2026 (PKL)</t>
        </is>
      </c>
      <c r="M2332" t="inlineStr">
        <is>
          <t>2026TEG-P0046</t>
        </is>
      </c>
      <c r="N2332" t="inlineStr">
        <is>
          <t>Juvie Anne Asis Castres</t>
        </is>
      </c>
      <c r="O2332" t="inlineStr">
        <is>
          <t>202603200043-Juvie Anne Asis Castres-费用报销 - 副本 - 副本 - 副本-2026-03-20 14:47:22</t>
        </is>
      </c>
      <c r="P2332" t="inlineStr">
        <is>
          <t>YES</t>
        </is>
      </c>
      <c r="Q2332"/>
      <c r="R2332" t="inlineStr">
        <is>
          <t>NO</t>
        </is>
      </c>
      <c r="S2332" t="inlineStr">
        <is>
          <t>Outsourced Talent / Caster (GGSphere)</t>
        </is>
      </c>
      <c r="T2332">
        <v>1</v>
      </c>
      <c r="U2332">
        <v>15000</v>
      </c>
      <c r="V2332" t="inlineStr">
        <is>
          <t>PHP</t>
        </is>
      </c>
      <c r="W2332">
        <v>15000</v>
      </c>
      <c r="X2332" s="2" t="str">
        <f>=HYPERLINK("https://www.larksuite.com/approval/admin/previewAttachment?key=PMg9jsJQDATgK43tiefNXmabRBEioUL8NO_sSBS0X49AjyWqDTrSiKnOTomUhXKN5MwZkqHQ4rnd9v_1oaO21_V8H6eL83lZ9-0ei5UJFVkDQPz9vETSbuLr-AQAAP__", "2 attachment(s)")</f>
        <v>2 attachment(s)</v>
      </c>
      <c r="Y2332" t="inlineStr">
        <is>
          <t>Bank Transfer</t>
        </is>
      </c>
      <c r="Z2332" t="inlineStr">
        <is>
          <t>Joseph Saratan</t>
        </is>
      </c>
      <c r="AA2332" t="inlineStr">
        <is>
          <t>109321660560</t>
        </is>
      </c>
      <c r="AB2332" t="inlineStr">
        <is>
          <t>Unionbank</t>
        </is>
      </c>
      <c r="AC2332" t="inlineStr">
        <is>
          <t>#11 Ninong Manuel Street, BF Homes Phase 1, Caloocan City</t>
        </is>
      </c>
      <c r="AD2332" s="4">
        <v>46122</v>
      </c>
      <c r="AE2332" t="inlineStr">
        <is>
          <t>100% Full Payment - Apr. 10, 2026</t>
        </is>
      </c>
      <c r="AF2332" s="2"/>
      <c r="AG2332" t="inlineStr">
        <is>
          <t>NzQyNTk5MTgyNzQ4MTg3MDM0MTpBODA3Q0UxQi1GMDI5LTQ3N0UtODNFQy1GREJDOTI1MDY2RjctMTpkZWIwZWYzMzJjNzQ1Y2U3ZGFmZWY3NzUzYmQ4ZDAwNjox</t>
        </is>
      </c>
      <c r="AH2332" t="inlineStr">
        <is>
          <t>Joseph Saratan</t>
        </is>
      </c>
      <c r="AI2332"/>
      <c r="AJ2332" t="inlineStr">
        <is>
          <t>LIQUIDITY PLAN (PAR # 202602160036 / 2026TEG-P0046) - AS OF 03/24/26
PLAYOFFS &gt; GGSphere
Total Budget = Php 15,000.00
Actual Cost = Php 15,000.00</t>
        </is>
      </c>
      <c r="AK2332"/>
    </row>
    <row r="2333" ht="25.5" customHeight="1">
      <c r="A2333" s="2" t="str">
        <f>=HYPERLINK("https://applink.larksuite.com/client/mini_program/open?appId=cli_9c7cc8a9a9edd105&amp;mode=appCenter&amp;path_pc=pc/pages/requested/index?instanceId=7626276657455730399&amp;source=bitable&amp;path=pages/detail/index?instanceId=7626276657455730399&amp;source=bitable", "202604080073")</f>
        <v>202604080073</v>
      </c>
      <c r="B2333" t="inlineStr">
        <is>
          <t>Approved</t>
        </is>
      </c>
      <c r="C2333" t="inlineStr">
        <is>
          <t>Procurement Order</t>
        </is>
      </c>
      <c r="D2333" s="3">
        <v>46120.61693287037</v>
      </c>
      <c r="E2333" s="3">
        <v>46120.64519675926</v>
      </c>
      <c r="F2333" t="inlineStr">
        <is>
          <t>Fatima Kathleen M. FLores</t>
        </is>
      </c>
      <c r="G2333" t="inlineStr">
        <is>
          <t>Procurement</t>
        </is>
      </c>
      <c r="H2333"/>
      <c r="I2333"/>
      <c r="J2333" t="inlineStr">
        <is>
          <t>Project</t>
        </is>
      </c>
      <c r="K2333" t="inlineStr">
        <is>
          <t>GG - Event Service</t>
        </is>
      </c>
      <c r="L2333" t="inlineStr">
        <is>
          <t>Addendum - Philippine Kings League Spring Season 2026 (PKL)</t>
        </is>
      </c>
      <c r="M2333" t="inlineStr">
        <is>
          <t>2026TEG-P0046</t>
        </is>
      </c>
      <c r="N2333" t="inlineStr">
        <is>
          <t>Juvie Anne Asis Castres</t>
        </is>
      </c>
      <c r="O2333" t="inlineStr">
        <is>
          <t>202603200042-Juvie Anne Asis Castres-费用报销 - 副本 - 副本 - 副本-2026-03-20 14:45:40</t>
        </is>
      </c>
      <c r="P2333" t="inlineStr">
        <is>
          <t>YES</t>
        </is>
      </c>
      <c r="Q2333"/>
      <c r="R2333" t="inlineStr">
        <is>
          <t>NO</t>
        </is>
      </c>
      <c r="S2333" t="inlineStr">
        <is>
          <t>Outsourced Talent / Caster (Manjean)</t>
        </is>
      </c>
      <c r="T2333">
        <v>1</v>
      </c>
      <c r="U2333">
        <v>46700</v>
      </c>
      <c r="V2333" t="inlineStr">
        <is>
          <t>PHP</t>
        </is>
      </c>
      <c r="W2333">
        <v>46700</v>
      </c>
      <c r="X2333" s="2" t="str">
        <f>=HYPERLINK("https://www.larksuite.com/approval/admin/previewAttachment?key=PMg7CsJAGATgK83_nIyXsXEJGkglJlrs2QUL268XQy9l0ULKXLDJ9nZ2F7OKgZCmTyMFGktz7Ov1sH2c8cjtdW6fd8zjflvH00p0ByMzFgB2-XswM6VO_BzfAAAA__8", "2 attachment(s)")</f>
        <v>2 attachment(s)</v>
      </c>
      <c r="Y2333" t="inlineStr">
        <is>
          <t>Bank Transfer</t>
        </is>
      </c>
      <c r="Z2333" t="inlineStr">
        <is>
          <t>Manjean F. Faldas</t>
        </is>
      </c>
      <c r="AA2333" t="inlineStr">
        <is>
          <t>6086272286</t>
        </is>
      </c>
      <c r="AB2333" t="inlineStr">
        <is>
          <t>BPI</t>
        </is>
      </c>
      <c r="AC2333" t="inlineStr">
        <is>
          <t>257 - 259 Galvez Building Unit 317 A. Arnaiz St. Pasay City</t>
        </is>
      </c>
      <c r="AD2333" s="4">
        <v>46122</v>
      </c>
      <c r="AE2333" t="inlineStr">
        <is>
          <t>1st Payment - Apr. 10, 2026
Final Payment - Apr. 17, 2026</t>
        </is>
      </c>
      <c r="AF2333" s="2"/>
      <c r="AG2333" t="inlineStr">
        <is>
          <t>NzQyNTk5MTgyNzQ4MTg3MDM0MToxRkUyNERCNS1DOTQzLTQ2MEItQTNFRC05OEIyRkU3RTVCQ0QtMTo1M2IzNzg5NDUyMGY5YzI1OWNhNGEyN2RkNWI2Njg1Njox</t>
        </is>
      </c>
      <c r="AH2333" t="inlineStr">
        <is>
          <t>Manjean F. Faldas</t>
        </is>
      </c>
      <c r="AI2333"/>
      <c r="AJ2333" t="inlineStr">
        <is>
          <t>LIQUIDITY PLAN (PAR # 202602160036 / 2026TEG-P0046) - AS OF 03/24/26
PLAYOFFS &gt;
Manjean
Manjean (online)
Total Budget = Php 46,700.00
Actual Cost = Php 46,700.00</t>
        </is>
      </c>
      <c r="AK2333"/>
    </row>
    <row r="2334" ht="25.5" customHeight="1">
      <c r="A2334" s="2" t="str">
        <f>=HYPERLINK("https://applink.larksuite.com/client/mini_program/open?appId=cli_9c7cc8a9a9edd105&amp;mode=appCenter&amp;path_pc=pc/pages/requested/index?instanceId=7626302381071797980&amp;source=bitable&amp;path=pages/detail/index?instanceId=7626302381071797980&amp;source=bitable", "202604080106")</f>
        <v>202604080106</v>
      </c>
      <c r="B2334" t="inlineStr">
        <is>
          <t>Approved</t>
        </is>
      </c>
      <c r="C2334" t="inlineStr">
        <is>
          <t>Procurement Order</t>
        </is>
      </c>
      <c r="D2334" s="3">
        <v>46120.68625</v>
      </c>
      <c r="E2334" s="3">
        <v>46120.75241898148</v>
      </c>
      <c r="F2334" t="inlineStr">
        <is>
          <t>Fatima Kathleen M. FLores</t>
        </is>
      </c>
      <c r="G2334" t="inlineStr">
        <is>
          <t>Procurement</t>
        </is>
      </c>
      <c r="H2334"/>
      <c r="I2334"/>
      <c r="J2334" t="inlineStr">
        <is>
          <t>Project</t>
        </is>
      </c>
      <c r="K2334" t="inlineStr">
        <is>
          <t>GG - Event Service</t>
        </is>
      </c>
      <c r="L2334" t="inlineStr">
        <is>
          <t>PUBG Mobile 8th Anniversary Event</t>
        </is>
      </c>
      <c r="M2334" t="inlineStr">
        <is>
          <t>2026TEG-P0066</t>
        </is>
      </c>
      <c r="N2334" t="inlineStr">
        <is>
          <t>Randy Vince Fernandez Apura</t>
        </is>
      </c>
      <c r="O2334" t="inlineStr">
        <is>
          <t>202603250166-Randy Vince Fernandez Apura-费用报销 - 副本 - 副本 - 副本-2026-03-25 23:55:22</t>
        </is>
      </c>
      <c r="P2334" t="inlineStr">
        <is>
          <t>YES</t>
        </is>
      </c>
      <c r="Q2334"/>
      <c r="R2334" t="inlineStr">
        <is>
          <t>NO</t>
        </is>
      </c>
      <c r="S2334" t="inlineStr">
        <is>
          <t>Outsourced Cosplayer / Caster (Chris Evan) - Ayala Malls Manila Bay</t>
        </is>
      </c>
      <c r="T2334">
        <v>1</v>
      </c>
      <c r="U2334">
        <v>10000</v>
      </c>
      <c r="V2334" t="inlineStr">
        <is>
          <t>PHP</t>
        </is>
      </c>
      <c r="W2334">
        <v>10000</v>
      </c>
      <c r="X2334" s="2" t="str">
        <f>=HYPERLINK("https://www.larksuite.com/approval/admin/previewAttachment?key=PMg7CkJBDAXQLd18Jsl1MzY-BgXnNcKARdYuWlieEyWIGmJBOEUJ6QwNg1oJUpLJQmtLJr8O9LHm9bHfOs8nsWqNc_a-3-bxksFURZq7FQC5_N_S3clw_B6fAAAA__8", "2 attachment(s)")</f>
        <v>2 attachment(s)</v>
      </c>
      <c r="Y2334" t="inlineStr">
        <is>
          <t>Bank Transfer</t>
        </is>
      </c>
      <c r="Z2334" t="inlineStr">
        <is>
          <t>Christian Joy Evangelista</t>
        </is>
      </c>
      <c r="AA2334" t="inlineStr">
        <is>
          <t>2053 1017 0450</t>
        </is>
      </c>
      <c r="AB2334" t="inlineStr">
        <is>
          <t>PNB</t>
        </is>
      </c>
      <c r="AC2334" t="inlineStr">
        <is>
          <t>13 Zamora st. Dinalupihan, Bataan</t>
        </is>
      </c>
      <c r="AD2334" s="4">
        <v>46122</v>
      </c>
      <c r="AE2334" t="inlineStr">
        <is>
          <t>100% Full Payment - Apr. 10, 2026</t>
        </is>
      </c>
      <c r="AF2334" s="2"/>
      <c r="AG2334" t="inlineStr">
        <is>
          <t>NzQyNTk5MTgyNzQ4MTg3MDM0MTo1Q0M5NDZEMi1DQkU0LTQ3NzEtODQ0Qi04OEMxMkZEQjUxM0ItMTpjMTY0NzgzNmZlNDFkYTU3ZGQxZTBkY2VmNWI2MTdhNDox</t>
        </is>
      </c>
      <c r="AH2334" t="inlineStr">
        <is>
          <t>Christian Joy Evangelista</t>
        </is>
      </c>
      <c r="AI2334"/>
      <c r="AJ2334" t="inlineStr">
        <is>
          <t>LIQUIDITY PLAN (PAR # 202603150011 / 202603150011) - AS OF 03/24/26
METRO MANILA LEG - MARCH 29, 2026
MARKETING COLLATERAL &amp; VENUE SKINNING &gt;
Cosplayer &gt; Cosplayer
Total Budget = Php 10,000.00
Actual Cost = Php 10,000.00</t>
        </is>
      </c>
      <c r="AK2334"/>
    </row>
    <row r="2335" ht="25.5" customHeight="1">
      <c r="A2335" s="2" t="str">
        <f>=HYPERLINK("https://applink.larksuite.com/client/mini_program/open?appId=cli_9c7cc8a9a9edd105&amp;mode=appCenter&amp;path_pc=pc/pages/requested/index?instanceId=7626299976427097829&amp;source=bitable&amp;path=pages/detail/index?instanceId=7626299976427097829&amp;source=bitable", "202604080104")</f>
        <v>202604080104</v>
      </c>
      <c r="B2335" t="inlineStr">
        <is>
          <t>Approved</t>
        </is>
      </c>
      <c r="C2335" t="inlineStr">
        <is>
          <t>Procurement Order</t>
        </is>
      </c>
      <c r="D2335" s="3">
        <v>46120.679768518516</v>
      </c>
      <c r="E2335" s="3">
        <v>46120.748032407406</v>
      </c>
      <c r="F2335" t="inlineStr">
        <is>
          <t>Fatima Kathleen M. FLores</t>
        </is>
      </c>
      <c r="G2335" t="inlineStr">
        <is>
          <t>Procurement</t>
        </is>
      </c>
      <c r="H2335"/>
      <c r="I2335"/>
      <c r="J2335" t="inlineStr">
        <is>
          <t>Project</t>
        </is>
      </c>
      <c r="K2335" t="inlineStr">
        <is>
          <t>GG - Event Service</t>
        </is>
      </c>
      <c r="L2335" t="inlineStr">
        <is>
          <t>PUBG Mobile 8th Anniversary Event</t>
        </is>
      </c>
      <c r="M2335" t="inlineStr">
        <is>
          <t>2026TEG-P0066</t>
        </is>
      </c>
      <c r="N2335" t="inlineStr">
        <is>
          <t>Randy Vince Fernandez Apura</t>
        </is>
      </c>
      <c r="O2335" t="inlineStr">
        <is>
          <t>202603250003-Randy Vince Fernandez Apura-费用报销 - 副本 - 副本 - 副本-2026-03-25 01:42:49</t>
        </is>
      </c>
      <c r="P2335" t="inlineStr">
        <is>
          <t>YES</t>
        </is>
      </c>
      <c r="Q2335"/>
      <c r="R2335" t="inlineStr">
        <is>
          <t>NO</t>
        </is>
      </c>
      <c r="S2335" t="inlineStr">
        <is>
          <t>Outsourced Cosplayer / Caster (Reneg4d3) - Cavite</t>
        </is>
      </c>
      <c r="T2335">
        <v>1</v>
      </c>
      <c r="U2335">
        <v>5500</v>
      </c>
      <c r="V2335" t="inlineStr">
        <is>
          <t>PHP</t>
        </is>
      </c>
      <c r="W2335">
        <v>5500</v>
      </c>
      <c r="X2335" s="2" t="str">
        <f>=HYPERLINK("https://www.larksuite.com/approval/admin/previewAttachment?key=PMhBqgIxEATQK1VXerpS_zJ_kyGI4kpwyCJnF1y4fdUD1Y9oZaSDRmwVi7ZVScHq9OYOyVCosM_n_H8w1xz3dS1dI7jftzHPVxwWCbXM1gHE38-bMtOuxNfxCQAA__8", "2 attachment(s)")</f>
        <v>2 attachment(s)</v>
      </c>
      <c r="Y2335" t="inlineStr">
        <is>
          <t>Bank Transfer</t>
        </is>
      </c>
      <c r="Z2335" t="inlineStr">
        <is>
          <t>Roji Pelayo</t>
        </is>
      </c>
      <c r="AA2335" t="inlineStr">
        <is>
          <t>012902749234</t>
        </is>
      </c>
      <c r="AB2335" t="inlineStr">
        <is>
          <t>GoTyme Bank</t>
        </is>
      </c>
      <c r="AC2335" t="inlineStr">
        <is>
          <t>S3 Basilio St., Republic Ave, Quezon City, Fairview</t>
        </is>
      </c>
      <c r="AD2335" s="4">
        <v>46122</v>
      </c>
      <c r="AE2335" t="inlineStr">
        <is>
          <t>100% Full Payment - Apr. 10, 2026</t>
        </is>
      </c>
      <c r="AF2335" s="2"/>
      <c r="AG2335" t="inlineStr">
        <is>
          <t>NzQyNTk5MTgyNzQ4MTg3MDM0MTpGMTY5M0MwMC0yREY4LTQxNUUtQUQ4Qy0zQzc1RjU0Mzk0NDAtMTphNzE5M2M2ZWJjYmJkOTM0ZGFjZDk3YWY3MWUzZDkzYzox</t>
        </is>
      </c>
      <c r="AH2335" t="inlineStr">
        <is>
          <t>Roji Pelayo</t>
        </is>
      </c>
      <c r="AI2335"/>
      <c r="AJ2335" t="inlineStr">
        <is>
          <t>LIQUIDITY PLAN (PAR # 202603150011 / 202603150011) - AS OF 03/24/26
SOUTH LUZON LEG - MARCH 28, 2026 &gt; 
MARKETING COLLATERAL &amp; VENUE SKINNING &gt;
Cosplayer &gt; Cosplayer
Total Budget = Php 10,000.00
Actual Cost = Php 5,500.00
Balance = Php 4,500.00</t>
        </is>
      </c>
      <c r="AK2335"/>
    </row>
    <row r="2336" ht="25.5" customHeight="1">
      <c r="A2336" s="2" t="str">
        <f>=HYPERLINK("https://applink.larksuite.com/client/mini_program/open?appId=cli_9c7cc8a9a9edd105&amp;mode=appCenter&amp;path_pc=pc/pages/requested/index?instanceId=7626297707325296349&amp;source=bitable&amp;path=pages/detail/index?instanceId=7626297707325296349&amp;source=bitable", "202604080102")</f>
        <v>202604080102</v>
      </c>
      <c r="B2336" t="inlineStr">
        <is>
          <t>Approved</t>
        </is>
      </c>
      <c r="C2336" t="inlineStr">
        <is>
          <t>Procurement Order</t>
        </is>
      </c>
      <c r="D2336" s="3">
        <v>46120.67365740741</v>
      </c>
      <c r="E2336" s="3">
        <v>46120.75072916667</v>
      </c>
      <c r="F2336" t="inlineStr">
        <is>
          <t>Fatima Kathleen M. FLores</t>
        </is>
      </c>
      <c r="G2336" t="inlineStr">
        <is>
          <t>Procurement</t>
        </is>
      </c>
      <c r="H2336"/>
      <c r="I2336"/>
      <c r="J2336" t="inlineStr">
        <is>
          <t>Project</t>
        </is>
      </c>
      <c r="K2336" t="inlineStr">
        <is>
          <t>GG - Event Service</t>
        </is>
      </c>
      <c r="L2336" t="inlineStr">
        <is>
          <t>PUBG Mobile 8th Anniversary Event</t>
        </is>
      </c>
      <c r="M2336" t="inlineStr">
        <is>
          <t>2026TEG-P0066</t>
        </is>
      </c>
      <c r="N2336" t="inlineStr">
        <is>
          <t>Randy Vince Fernandez Apura</t>
        </is>
      </c>
      <c r="O2336" t="inlineStr">
        <is>
          <t>202603160081-Randy Vince Fernandez Apura-费用报销 - 副本 - 副本 - 副本-2026-03-16 08:54:15</t>
        </is>
      </c>
      <c r="P2336" t="inlineStr">
        <is>
          <t>YES</t>
        </is>
      </c>
      <c r="Q2336"/>
      <c r="R2336" t="inlineStr">
        <is>
          <t>NO</t>
        </is>
      </c>
      <c r="S2336" t="inlineStr">
        <is>
          <t>Outsourced Cosplayer / Caster (Gunslinger Dirge) - Cebu</t>
        </is>
      </c>
      <c r="T2336">
        <v>1</v>
      </c>
      <c r="U2336">
        <v>10000</v>
      </c>
      <c r="V2336" t="inlineStr">
        <is>
          <t>PHP</t>
        </is>
      </c>
      <c r="W2336">
        <v>10000</v>
      </c>
      <c r="X2336" s="2" t="str">
        <f>=HYPERLINK("https://www.larksuite.com/approval/admin/previewAttachment?key=PMhNCsIwFATgK837yZuMl3HTUCwSEIRiFzm74MLtV91QvVmUkDIXbLG8XCQY3lwVqeXLSIHGwhpzv1_n9frMY_ac49ie63xs-3hbE93ByIwOwG5_D2amVImf4xsAAP__", "2 attachment(s)")</f>
        <v>2 attachment(s)</v>
      </c>
      <c r="Y2336" t="inlineStr">
        <is>
          <t>Bank Transfer</t>
        </is>
      </c>
      <c r="Z2336" t="inlineStr">
        <is>
          <t>Jack Daniel Soler</t>
        </is>
      </c>
      <c r="AA2336" t="inlineStr">
        <is>
          <t>13685701279</t>
        </is>
      </c>
      <c r="AB2336" t="inlineStr">
        <is>
          <t>MariBank</t>
        </is>
      </c>
      <c r="AC2336" t="inlineStr">
        <is>
          <t>Agus, Malinao Lapu-Lapu City Cebu</t>
        </is>
      </c>
      <c r="AD2336" s="4">
        <v>46122</v>
      </c>
      <c r="AE2336" t="inlineStr">
        <is>
          <t>100% Full Payment - Apr. 10, 2026</t>
        </is>
      </c>
      <c r="AF2336" s="2"/>
      <c r="AG2336" t="inlineStr">
        <is>
          <t>NzQyNTk5MTgyNzQ4MTg3MDM0MTo2QzlGRDUyMC1GMTFDLTQyRTctOThGMy0xQkQwRjVGMDBEQjEtMToyM2MzOWVhZThmOTNjMTY2ZjkxMDRjMzUxNTExNDUyODox</t>
        </is>
      </c>
      <c r="AH2336" t="inlineStr">
        <is>
          <t>Jack Daniel Soler</t>
        </is>
      </c>
      <c r="AI2336"/>
      <c r="AJ2336" t="inlineStr">
        <is>
          <t>LIQUIDITY PLAN (PAR # 202603150011 / 2026TEG-P0066)
VISAYAS LEG - MARCH 21, 2026 &gt;
MARKETING COLLATERAL &amp; VENUE SKINNING &gt;
Cosplayer &gt; Cosplayer
Total Budget = Php 10,000.00
Actual Cost = Php 10,000.00</t>
        </is>
      </c>
      <c r="AK2336"/>
    </row>
    <row r="2337" ht="25.5" customHeight="1">
      <c r="A2337" s="2" t="str">
        <f>=HYPERLINK("https://applink.larksuite.com/client/mini_program/open?appId=cli_9c7cc8a9a9edd105&amp;mode=appCenter&amp;path_pc=pc/pages/requested/index?instanceId=7626290510516260575&amp;source=bitable&amp;path=pages/detail/index?instanceId=7626290510516260575&amp;source=bitable", "202604080095")</f>
        <v>202604080095</v>
      </c>
      <c r="B2337" t="inlineStr">
        <is>
          <t>Approved</t>
        </is>
      </c>
      <c r="C2337" t="inlineStr">
        <is>
          <t>Procurement Order</t>
        </is>
      </c>
      <c r="D2337" s="3">
        <v>46120.65425925926</v>
      </c>
      <c r="E2337" s="3">
        <v>46129.60366898148</v>
      </c>
      <c r="F2337" t="inlineStr">
        <is>
          <t>Fatima Kathleen M. FLores</t>
        </is>
      </c>
      <c r="G2337" t="inlineStr">
        <is>
          <t>Procurement</t>
        </is>
      </c>
      <c r="H2337"/>
      <c r="I2337"/>
      <c r="J2337" t="inlineStr">
        <is>
          <t>Project</t>
        </is>
      </c>
      <c r="K2337" t="inlineStr">
        <is>
          <t>GG - Event Service</t>
        </is>
      </c>
      <c r="L2337" t="inlineStr">
        <is>
          <t>Add-Ons - PUBG Mobile 8th Anniversary Event</t>
        </is>
      </c>
      <c r="M2337" t="inlineStr">
        <is>
          <t>2026TEG-P0080</t>
        </is>
      </c>
      <c r="N2337" t="inlineStr">
        <is>
          <t>Frances Angelita Arreglado</t>
        </is>
      </c>
      <c r="O2337" t="inlineStr">
        <is>
          <t>202603300016-Randy Vince Fernandez Apura-费用报销 - 副本 - 副本 - 副本-2026-03-30 03:17:10</t>
        </is>
      </c>
      <c r="P2337" t="inlineStr">
        <is>
          <t>YES</t>
        </is>
      </c>
      <c r="Q2337"/>
      <c r="R2337" t="inlineStr">
        <is>
          <t>NO</t>
        </is>
      </c>
      <c r="S2337" t="inlineStr">
        <is>
          <t>Outsourced Camera Operator (Addtl) - Ayala Malls Manila Bay</t>
        </is>
      </c>
      <c r="T2337">
        <v>1</v>
      </c>
      <c r="U2337">
        <v>3710</v>
      </c>
      <c r="V2337" t="inlineStr">
        <is>
          <t>PHP</t>
        </is>
      </c>
      <c r="W2337">
        <v>3710</v>
      </c>
      <c r="X2337" s="2"/>
      <c r="Y2337" t="inlineStr">
        <is>
          <t>Bank Transfer</t>
        </is>
      </c>
      <c r="Z2337" t="inlineStr">
        <is>
          <t>VINCE RAFAEL GARCIA</t>
        </is>
      </c>
      <c r="AA2337" t="inlineStr">
        <is>
          <t>0576664233</t>
        </is>
      </c>
      <c r="AB2337" t="inlineStr">
        <is>
          <t>BPI</t>
        </is>
      </c>
      <c r="AC2337" t="inlineStr">
        <is>
          <t>7 Don Felipe St. Villa Cecilla Subdivision. Mambugan Antipolo City Rizal</t>
        </is>
      </c>
      <c r="AD2337" s="4">
        <v>46129</v>
      </c>
      <c r="AE2337" t="inlineStr">
        <is>
          <t>100% Full Payment - Apr. 24, 2026</t>
        </is>
      </c>
      <c r="AF2337" s="2"/>
      <c r="AG2337" t="inlineStr">
        <is>
          <t>NzQyNTk5MTgyNzQ4MTg3MDM0MTpFNTM5RjhGRC03QUNCLTQ3NTEtQTUwQy1EOTU3OEJENzhFRUItMTo2YTJiY2MzMDE1NGVmZmRmNGU3ODlmNWFhMjg0YWZjMjox</t>
        </is>
      </c>
      <c r="AH2337" t="inlineStr">
        <is>
          <t>VINCE RAFAEL GARCIA</t>
        </is>
      </c>
      <c r="AI2337"/>
      <c r="AJ2337" t="inlineStr">
        <is>
          <t>LIQUIDITY PLAN (PAR # 202603170065 / 2026TEG-P0080)
CE ADDENDUM &gt; METRO MANILA &gt;
TECHNICAL EQUIPMENT &gt; Tech Crew for Kiyo (Add. Incl. Gimbal Cam, Cam Operator)
Total Budget = Php 42,000.00
Actual Cost = Php 14,710.00
Balance = Php 27,290.00</t>
        </is>
      </c>
      <c r="AK2337"/>
    </row>
    <row r="2338" ht="25.5" customHeight="1">
      <c r="A2338" s="2" t="str">
        <f>=HYPERLINK("https://applink.larksuite.com/client/mini_program/open?appId=cli_9c7cc8a9a9edd105&amp;mode=appCenter&amp;path_pc=pc/pages/requested/index?instanceId=7626290510516260575&amp;source=bitable&amp;path=pages/detail/index?instanceId=7626290510516260575&amp;source=bitable", "202604080095")</f>
        <v>202604080095</v>
      </c>
      <c r="B2338" t="inlineStr">
        <is>
          <t>Approved</t>
        </is>
      </c>
      <c r="C2338" t="inlineStr">
        <is>
          <t>Procurement Order</t>
        </is>
      </c>
      <c r="D2338" s="3">
        <v>46120.65425925926</v>
      </c>
      <c r="E2338" s="3">
        <v>46129.60366898148</v>
      </c>
      <c r="F2338" t="inlineStr">
        <is>
          <t>Fatima Kathleen M. FLores</t>
        </is>
      </c>
      <c r="G2338" t="inlineStr">
        <is>
          <t>Procurement</t>
        </is>
      </c>
      <c r="H2338"/>
      <c r="I2338"/>
      <c r="J2338" t="inlineStr">
        <is>
          <t>Project</t>
        </is>
      </c>
      <c r="K2338" t="inlineStr">
        <is>
          <t>GG - Event Service</t>
        </is>
      </c>
      <c r="L2338" t="inlineStr">
        <is>
          <t>Add-Ons - PUBG Mobile 8th Anniversary Event</t>
        </is>
      </c>
      <c r="M2338" t="inlineStr">
        <is>
          <t>2026TEG-P0080</t>
        </is>
      </c>
      <c r="N2338" t="inlineStr">
        <is>
          <t>Frances Angelita Arreglado</t>
        </is>
      </c>
      <c r="O2338" t="inlineStr">
        <is>
          <t>202603300016-Randy Vince Fernandez Apura-费用报销 - 副本 - 副本 - 副本-2026-03-30 03:17:10</t>
        </is>
      </c>
      <c r="P2338" t="inlineStr">
        <is>
          <t>YES</t>
        </is>
      </c>
      <c r="Q2338"/>
      <c r="R2338" t="inlineStr">
        <is>
          <t>NO</t>
        </is>
      </c>
      <c r="S2338" t="inlineStr">
        <is>
          <t>Equipment Rental (Camera)</t>
        </is>
      </c>
      <c r="T2338">
        <v>1</v>
      </c>
      <c r="U2338">
        <v>11000</v>
      </c>
      <c r="V2338" t="inlineStr">
        <is>
          <t>PHP</t>
        </is>
      </c>
      <c r="W2338">
        <v>11000</v>
      </c>
      <c r="X2338" s="2" t="str">
        <f>=HYPERLINK("https://www.larksuite.com/approval/admin/previewAttachment?key=PMg9CsJAFATgK828v9nnZWw2BC1iIwlY7NkFC9uvBlEj6dWIpjW4VFbWSCJZVkjlskWpIaqwtmO_n5_LX_P0PNRTz3U95r69mS0zyCN8AODt766I6K7Az_kNAAD__w", "2 attachment(s)")</f>
        <v>2 attachment(s)</v>
      </c>
      <c r="Y2338"/>
      <c r="Z2338"/>
      <c r="AA2338"/>
      <c r="AB2338"/>
      <c r="AC2338"/>
      <c r="AD2338" s="4"/>
      <c r="AE2338"/>
      <c r="AF2338" s="2"/>
      <c r="AG2338" t="inlineStr">
        <is>
          <t>NzQyNTk5MTgyNzQ4MTg3MDM0MTpFNTM5RjhGRC03QUNCLTQ3NTEtQTUwQy1EOTU3OEJENzhFRUItMjpiNGFhY2I4YTYwMGY0YWM0ODMwNmJmYzQ1MDBlN2JiYjox</t>
        </is>
      </c>
      <c r="AH2338"/>
      <c r="AI2338"/>
      <c r="AJ2338" t="inlineStr">
        <is>
          <t>LIQUIDITY PLAN (PAR # 202603170065 / 2026TEG-P0080)
CE ADDENDUM &gt; METRO MANILA &gt;
TECHNICAL EQUIPMENT &gt; Tech Crew for Kiyo (Add. Incl. Gimbal Cam, Cam Operator)
Total Budget = Php 42,000.00
Actual Cost = Php 14,710.00
Balance = Php 27,290.00</t>
        </is>
      </c>
      <c r="AK2338"/>
    </row>
    <row r="2339" ht="25.5" customHeight="1">
      <c r="A2339" s="2" t="str">
        <f>=HYPERLINK("https://applink.larksuite.com/client/mini_program/open?appId=cli_9c7cc8a9a9edd105&amp;mode=appCenter&amp;path_pc=pc/pages/requested/index?instanceId=7625962032365358815&amp;source=bitable&amp;path=pages/detail/index?instanceId=7625962032365358815&amp;source=bitable", "202604070159")</f>
        <v>202604070159</v>
      </c>
      <c r="B2339" t="inlineStr">
        <is>
          <t>Approved</t>
        </is>
      </c>
      <c r="C2339" t="inlineStr">
        <is>
          <t>Procurement Order</t>
        </is>
      </c>
      <c r="D2339" s="3">
        <v>46119.76907407407</v>
      </c>
      <c r="E2339" s="3">
        <v>46125.73568287037</v>
      </c>
      <c r="F2339" t="inlineStr">
        <is>
          <t>Fatima Kathleen M. FLores</t>
        </is>
      </c>
      <c r="G2339" t="inlineStr">
        <is>
          <t>Procurement</t>
        </is>
      </c>
      <c r="H2339"/>
      <c r="I2339"/>
      <c r="J2339" t="inlineStr">
        <is>
          <t>Project</t>
        </is>
      </c>
      <c r="K2339" t="inlineStr">
        <is>
          <t>GG - Event Service</t>
        </is>
      </c>
      <c r="L2339" t="inlineStr">
        <is>
          <t>PUBG Mobile 8th Anniversary Event</t>
        </is>
      </c>
      <c r="M2339" t="inlineStr">
        <is>
          <t>2026TEG-P0066</t>
        </is>
      </c>
      <c r="N2339" t="inlineStr">
        <is>
          <t>Frances Angelita Arreglado</t>
        </is>
      </c>
      <c r="O2339" t="inlineStr">
        <is>
          <t>202603260115-Frances Angelita Arreglado-费用报销 - 副本 - 副本 - 副本-2026-03-26 08:13:01</t>
        </is>
      </c>
      <c r="P2339" t="inlineStr">
        <is>
          <t>YES</t>
        </is>
      </c>
      <c r="Q2339"/>
      <c r="R2339" t="inlineStr">
        <is>
          <t>YES</t>
        </is>
      </c>
      <c r="S2339" t="inlineStr">
        <is>
          <t>Outsourced Logistics Manpower (Mar. 28 &amp; 29, 2026)</t>
        </is>
      </c>
      <c r="T2339">
        <v>1</v>
      </c>
      <c r="U2339">
        <v>6000</v>
      </c>
      <c r="V2339" t="inlineStr">
        <is>
          <t>PHP</t>
        </is>
      </c>
      <c r="W2339">
        <v>6000</v>
      </c>
      <c r="X2339" s="2" t="str">
        <f>=HYPERLINK("https://www.larksuite.com/approval/admin/previewAttachment?key=PMg9CgIxEAXgK7158-9lbAxBBCvZqEXOLlhs-0UJolw0GtbChuwMegeh1HD1KvHNLZmNlAzs8ZzX47v0cdSqz-R7cK_7bY6XeCeJVDMtAHI5XdPMusPwd_wCAAD__w", "2 attachment(s)")</f>
        <v>2 attachment(s)</v>
      </c>
      <c r="Y2339" t="inlineStr">
        <is>
          <t>Bank Transfer</t>
        </is>
      </c>
      <c r="Z2339" t="inlineStr">
        <is>
          <t>John Benigno R. Magat</t>
        </is>
      </c>
      <c r="AA2339" t="inlineStr">
        <is>
          <t>046110005388</t>
        </is>
      </c>
      <c r="AB2339" t="inlineStr">
        <is>
          <t>PSBank</t>
        </is>
      </c>
      <c r="AC2339" t="inlineStr">
        <is>
          <t>228 Grissom st. Brgy Moonwalk Paranaque Metro Manila</t>
        </is>
      </c>
      <c r="AD2339" s="4">
        <v>46129</v>
      </c>
      <c r="AE2339" t="inlineStr">
        <is>
          <t>100% Full Payment - Apr. 17, 2026</t>
        </is>
      </c>
      <c r="AF2339" s="2"/>
      <c r="AG2339" t="inlineStr">
        <is>
          <t>NzQyNTk5MTgyNzQ4MTg3MDM0MTowQjIxRkQyOC1FN0VELTQyMTAtQTREQy04RTQ0NjA4RDc5OUUtMTpjYmU2YzE2MmE5OThhMzhmNmEyYWJjZjY4YjE5ZDIyYzox</t>
        </is>
      </c>
      <c r="AH2339" t="inlineStr">
        <is>
          <t>John Benigno R. Magat</t>
        </is>
      </c>
      <c r="AI2339"/>
      <c r="AJ2339" t="inlineStr">
        <is>
          <t>LIQUIDITY PLAN (PAR # 202603150011 / 202603150011) - AS OF 03/24/26
METRO MANILA LEG - MARCH 29, 2026 &gt; MANPOWER &gt;
Logistics, Hospitality &gt; Logistics Crew
Total Remaining Budget = Php 3,000.00
Actual Cost = Php 6,000.00
Balance = (Php 3,000.00) OVER BUDGET</t>
        </is>
      </c>
      <c r="AK2339"/>
    </row>
    <row r="2340" ht="25.5" customHeight="1">
      <c r="A2340" s="2" t="str">
        <f>=HYPERLINK("https://applink.larksuite.com/client/mini_program/open?appId=cli_9c7cc8a9a9edd105&amp;mode=appCenter&amp;path_pc=pc/pages/requested/index?instanceId=7626285624995106527&amp;source=bitable&amp;path=pages/detail/index?instanceId=7626285624995106527&amp;source=bitable", "202604080090")</f>
        <v>202604080090</v>
      </c>
      <c r="B2340" t="inlineStr">
        <is>
          <t>Approved</t>
        </is>
      </c>
      <c r="C2340" t="inlineStr">
        <is>
          <t>Procurement Order</t>
        </is>
      </c>
      <c r="D2340" s="3">
        <v>46120.64108796296</v>
      </c>
      <c r="E2340" s="3">
        <v>46129.606875</v>
      </c>
      <c r="F2340" t="inlineStr">
        <is>
          <t>Fatima Kathleen M. FLores</t>
        </is>
      </c>
      <c r="G2340" t="inlineStr">
        <is>
          <t>Procurement</t>
        </is>
      </c>
      <c r="H2340"/>
      <c r="I2340"/>
      <c r="J2340" t="inlineStr">
        <is>
          <t>Project</t>
        </is>
      </c>
      <c r="K2340" t="inlineStr">
        <is>
          <t>GG - Event Service</t>
        </is>
      </c>
      <c r="L2340" t="inlineStr">
        <is>
          <t>PUBG Mobile 8th Anniversary Event</t>
        </is>
      </c>
      <c r="M2340" t="inlineStr">
        <is>
          <t>2026TEG-P0066</t>
        </is>
      </c>
      <c r="N2340" t="inlineStr">
        <is>
          <t>Frances Angelita Arreglado</t>
        </is>
      </c>
      <c r="O2340" t="inlineStr">
        <is>
          <t>202603260124-Frances Angelita Arreglado-费用报销 - 副本 - 副本 - 副本-2026-03-26 08:25:15;202603300016-Randy Vince Fernandez Apura-费用报销 - 副本 - 副本 - 副本-2026-03-30 03:17:10</t>
        </is>
      </c>
      <c r="P2340" t="inlineStr">
        <is>
          <t>YES</t>
        </is>
      </c>
      <c r="Q2340"/>
      <c r="R2340" t="inlineStr">
        <is>
          <t>YES</t>
        </is>
      </c>
      <c r="S2340" t="inlineStr">
        <is>
          <t>Outsourced LED Operator / Production Team</t>
        </is>
      </c>
      <c r="T2340">
        <v>1</v>
      </c>
      <c r="U2340">
        <v>44500</v>
      </c>
      <c r="V2340" t="inlineStr">
        <is>
          <t>PHP</t>
        </is>
      </c>
      <c r="W2340">
        <v>44500</v>
      </c>
      <c r="X2340" s="2"/>
      <c r="Y2340" t="inlineStr">
        <is>
          <t>Bank Transfer</t>
        </is>
      </c>
      <c r="Z2340" t="inlineStr">
        <is>
          <t>VINCE RAFAEL GARCIA</t>
        </is>
      </c>
      <c r="AA2340" t="inlineStr">
        <is>
          <t>0576664233</t>
        </is>
      </c>
      <c r="AB2340" t="inlineStr">
        <is>
          <t>BPI</t>
        </is>
      </c>
      <c r="AC2340" t="inlineStr">
        <is>
          <t>7 Don Felipe St. Villa Cecilla Subdivision. Mambugan Antipolo City Rizal</t>
        </is>
      </c>
      <c r="AD2340" s="4">
        <v>46129</v>
      </c>
      <c r="AE2340" t="inlineStr">
        <is>
          <t>MANPOWER:
1st Payment - Apr. 17, 2026
Final Payment - Apr. 24, 2026
EQUIPMENT:
100% Full Payment - Apr. 24, 2026</t>
        </is>
      </c>
      <c r="AF2340" s="2"/>
      <c r="AG2340" t="inlineStr">
        <is>
          <t>NzQyNTk5MTgyNzQ4MTg3MDM0MTpDREI5ODAyNC01NDc1LTQ2MzMtOEVGRS1ERENDRENGN0MyN0MtMTo5YjI0YTZlZWI3YWVhNmFlMzFkZDhhNjNiYTI2YjdiNjox</t>
        </is>
      </c>
      <c r="AH2340" t="inlineStr">
        <is>
          <t>VINCE RAFAEL GARCIA</t>
        </is>
      </c>
      <c r="AI2340"/>
      <c r="AJ2340" t="inlineStr">
        <is>
          <t>LIQUIDITY PLAN (PAR # 202603150011 / 202603150011) - AS OF 03/24/26
METRO MANILA LEG - MARCH 29, 2026 &gt; MANPOWER &gt;
Production Team &gt; 
Audio Technician
LED Operator
RENTAL &amp; EQUIPMENT &gt; TECHNICALS &gt;
PC Equipment (for Tournament)
Total Budget = Php 13,000.00
Actual Cost = Php 64,400.00
Balance = (Php 51,400.00) OVER BUDGET</t>
        </is>
      </c>
      <c r="AK2340"/>
    </row>
    <row r="2341" ht="25.5" customHeight="1">
      <c r="A2341" s="2" t="str">
        <f>=HYPERLINK("https://applink.larksuite.com/client/mini_program/open?appId=cli_9c7cc8a9a9edd105&amp;mode=appCenter&amp;path_pc=pc/pages/requested/index?instanceId=7626285624995106527&amp;source=bitable&amp;path=pages/detail/index?instanceId=7626285624995106527&amp;source=bitable", "202604080090")</f>
        <v>202604080090</v>
      </c>
      <c r="B2341" t="inlineStr">
        <is>
          <t>Approved</t>
        </is>
      </c>
      <c r="C2341" t="inlineStr">
        <is>
          <t>Procurement Order</t>
        </is>
      </c>
      <c r="D2341" s="3">
        <v>46120.64108796296</v>
      </c>
      <c r="E2341" s="3">
        <v>46129.606875</v>
      </c>
      <c r="F2341" t="inlineStr">
        <is>
          <t>Fatima Kathleen M. FLores</t>
        </is>
      </c>
      <c r="G2341" t="inlineStr">
        <is>
          <t>Procurement</t>
        </is>
      </c>
      <c r="H2341"/>
      <c r="I2341"/>
      <c r="J2341" t="inlineStr">
        <is>
          <t>Project</t>
        </is>
      </c>
      <c r="K2341" t="inlineStr">
        <is>
          <t>GG - Event Service</t>
        </is>
      </c>
      <c r="L2341" t="inlineStr">
        <is>
          <t>PUBG Mobile 8th Anniversary Event</t>
        </is>
      </c>
      <c r="M2341" t="inlineStr">
        <is>
          <t>2026TEG-P0066</t>
        </is>
      </c>
      <c r="N2341" t="inlineStr">
        <is>
          <t>Frances Angelita Arreglado</t>
        </is>
      </c>
      <c r="O2341" t="inlineStr">
        <is>
          <t>202603260124-Frances Angelita Arreglado-费用报销 - 副本 - 副本 - 副本-2026-03-26 08:25:15;202603300016-Randy Vince Fernandez Apura-费用报销 - 副本 - 副本 - 副本-2026-03-30 03:17:10</t>
        </is>
      </c>
      <c r="P2341" t="inlineStr">
        <is>
          <t>YES</t>
        </is>
      </c>
      <c r="Q2341"/>
      <c r="R2341" t="inlineStr">
        <is>
          <t>YES</t>
        </is>
      </c>
      <c r="S2341" t="inlineStr">
        <is>
          <t>Equipment Rental (PC &amp; Communication Set)</t>
        </is>
      </c>
      <c r="T2341">
        <v>1</v>
      </c>
      <c r="U2341">
        <v>19900</v>
      </c>
      <c r="V2341" t="inlineStr">
        <is>
          <t>PHP</t>
        </is>
      </c>
      <c r="W2341">
        <v>19900</v>
      </c>
      <c r="X2341" s="2" t="str">
        <f>=HYPERLINK("https://www.larksuite.com/approval/admin/previewAttachment?key=PMg9CgIxFATgK828vJ-Ml7ExBEUiC8KCRc4uWNh-2YnswZaCiyZwV1pajzSXgsiw2rZZJRQrscea1_WRr-c8ztehGI993m9zvBkqM1Rzbx0AL39v5e5SOn7ObwAAAP__", "2 attachment(s)")</f>
        <v>2 attachment(s)</v>
      </c>
      <c r="Y2341"/>
      <c r="Z2341"/>
      <c r="AA2341"/>
      <c r="AB2341"/>
      <c r="AC2341"/>
      <c r="AD2341" s="4"/>
      <c r="AE2341"/>
      <c r="AF2341" s="2"/>
      <c r="AG2341" t="inlineStr">
        <is>
          <t>NzQyNTk5MTgyNzQ4MTg3MDM0MTpDREI5ODAyNC01NDc1LTQ2MzMtOEVGRS1ERENDRENGN0MyN0MtMjphN2VhOThmNGNkYWJmODNlYTMzY2JjMTg2ZmIxNjY4Njox</t>
        </is>
      </c>
      <c r="AH2341"/>
      <c r="AI2341"/>
      <c r="AJ2341" t="inlineStr">
        <is>
          <t>LIQUIDITY PLAN (PAR # 202603150011 / 202603150011) - AS OF 03/24/26
METRO MANILA LEG - MARCH 29, 2026 &gt; MANPOWER &gt;
Production Team &gt; 
Audio Technician
LED Operator
RENTAL &amp; EQUIPMENT &gt; TECHNICALS &gt;
PC Equipment (for Tournament)
Total Budget = Php 13,000.00
Actual Cost = Php 64,400.00
Balance = (Php 51,400.00) OVER BUDGET</t>
        </is>
      </c>
      <c r="AK2341"/>
    </row>
    <row r="2342" ht="25.5" customHeight="1">
      <c r="A2342" s="2" t="str">
        <f>=HYPERLINK("https://applink.larksuite.com/client/mini_program/open?appId=cli_9c7cc8a9a9edd105&amp;mode=appCenter&amp;path_pc=pc/pages/requested/index?instanceId=7626308740928622309&amp;source=bitable&amp;path=pages/detail/index?instanceId=7626308740928622309&amp;source=bitable", "202604080110")</f>
        <v>202604080110</v>
      </c>
      <c r="B2342" t="inlineStr">
        <is>
          <t>Approved</t>
        </is>
      </c>
      <c r="C2342" t="inlineStr">
        <is>
          <t>Procurement Order</t>
        </is>
      </c>
      <c r="D2342" s="3">
        <v>46120.70337962963</v>
      </c>
      <c r="E2342" s="3">
        <v>46120.73185185185</v>
      </c>
      <c r="F2342" t="inlineStr">
        <is>
          <t>Fatima Kathleen M. FLores</t>
        </is>
      </c>
      <c r="G2342" t="inlineStr">
        <is>
          <t>Procurement</t>
        </is>
      </c>
      <c r="H2342"/>
      <c r="I2342"/>
      <c r="J2342" t="inlineStr">
        <is>
          <t>Project</t>
        </is>
      </c>
      <c r="K2342" t="inlineStr">
        <is>
          <t>GG - Event Service</t>
        </is>
      </c>
      <c r="L2342" t="inlineStr">
        <is>
          <t>Add-Ons - PUBG Mobile 8th Anniversary Event</t>
        </is>
      </c>
      <c r="M2342" t="inlineStr">
        <is>
          <t>2026TEG-P0080</t>
        </is>
      </c>
      <c r="N2342" t="inlineStr">
        <is>
          <t>Randy Vince Fernandez Apura</t>
        </is>
      </c>
      <c r="O2342" t="inlineStr">
        <is>
          <t>202603200021-Randy Vince Fernandez Apura-费用报销 - 副本 - 副本 - 副本-2026-03-20 08:27:57</t>
        </is>
      </c>
      <c r="P2342" t="inlineStr">
        <is>
          <t>YES</t>
        </is>
      </c>
      <c r="Q2342"/>
      <c r="R2342" t="inlineStr">
        <is>
          <t>NO</t>
        </is>
      </c>
      <c r="S2342" t="inlineStr">
        <is>
          <t>Outsourced Local Band / Performer (Davao)</t>
        </is>
      </c>
      <c r="T2342">
        <v>1</v>
      </c>
      <c r="U2342">
        <v>35000</v>
      </c>
      <c r="V2342" t="inlineStr">
        <is>
          <t>PHP</t>
        </is>
      </c>
      <c r="W2342">
        <v>35000</v>
      </c>
      <c r="X2342" s="2" t="str">
        <f>=HYPERLINK("https://www.larksuite.com/approval/admin/previewAttachment?key=PMhBqsJgDATgK02SaZJ5l3mblh-LFgTBXc4uuHD7ZRuyN4sUKHPBptIz0EXIO90DGh-rEsoqMce1_pt-XjzXc3_Yivu8b_s6Xrap3FFBRgOwv59HkZSS-Do-AQAA__8", "2 attachment(s)")</f>
        <v>2 attachment(s)</v>
      </c>
      <c r="Y2342" t="inlineStr">
        <is>
          <t>Bank Transfer</t>
        </is>
      </c>
      <c r="Z2342" t="inlineStr">
        <is>
          <t>Melvin Jay Mejos</t>
        </is>
      </c>
      <c r="AA2342" t="inlineStr">
        <is>
          <t>1096 5529 1192</t>
        </is>
      </c>
      <c r="AB2342" t="inlineStr">
        <is>
          <t>UNIONBANK</t>
        </is>
      </c>
      <c r="AC2342" t="inlineStr">
        <is>
          <t>Sandawa Village, Buhangin, Davao City</t>
        </is>
      </c>
      <c r="AD2342" s="4">
        <v>46122</v>
      </c>
      <c r="AE2342" t="inlineStr">
        <is>
          <t>100% Full Payment - Apr. 10, 2026</t>
        </is>
      </c>
      <c r="AF2342" s="2"/>
      <c r="AG2342" t="inlineStr">
        <is>
          <t>NzQyNTk5MTgyNzQ4MTg3MDM0MTpGMEI0OUQzNS03MTJELTQ4MjUtQTBCQS1FMzU1REE4QUYyNzItMToxMmIyNWNhNmMyZWIxOTJlYTk3ZjM0YTk2ZTgyNDE3MDox</t>
        </is>
      </c>
      <c r="AH2342" t="inlineStr">
        <is>
          <t>Melvin Jay Mejos</t>
        </is>
      </c>
      <c r="AI2342"/>
      <c r="AJ2342" t="inlineStr">
        <is>
          <t>LIQUIDITY PLAN (PAR # 202603170065 / 2026TEG-P0080)
MINDANAO &gt; TALENTS &gt;
Local Band / Dancers / Singer
Total Budget = Php 35,000.00
Actual Cost = Php 35,000.00</t>
        </is>
      </c>
      <c r="AK2342"/>
    </row>
    <row r="2343" ht="25.5" customHeight="1">
      <c r="A2343" s="2" t="str">
        <f>=HYPERLINK("https://applink.larksuite.com/client/mini_program/open?appId=cli_9c7cc8a9a9edd105&amp;mode=appCenter&amp;path_pc=pc/pages/requested/index?instanceId=7626310515689574117&amp;source=bitable&amp;path=pages/detail/index?instanceId=7626310515689574117&amp;source=bitable", "202604080111")</f>
        <v>202604080111</v>
      </c>
      <c r="B2343" t="inlineStr">
        <is>
          <t>Approved</t>
        </is>
      </c>
      <c r="C2343" t="inlineStr">
        <is>
          <t>Procurement Order</t>
        </is>
      </c>
      <c r="D2343" s="3">
        <v>46120.7081712963</v>
      </c>
      <c r="E2343" s="3">
        <v>46120.73369212963</v>
      </c>
      <c r="F2343" t="inlineStr">
        <is>
          <t>Fatima Kathleen M. FLores</t>
        </is>
      </c>
      <c r="G2343" t="inlineStr">
        <is>
          <t>Procurement</t>
        </is>
      </c>
      <c r="H2343"/>
      <c r="I2343"/>
      <c r="J2343" t="inlineStr">
        <is>
          <t>Project</t>
        </is>
      </c>
      <c r="K2343" t="inlineStr">
        <is>
          <t>GG - Event Service</t>
        </is>
      </c>
      <c r="L2343" t="inlineStr">
        <is>
          <t>Add-Ons - PUBG Mobile 8th Anniversary Event</t>
        </is>
      </c>
      <c r="M2343" t="inlineStr">
        <is>
          <t>2026TEG-P0080</t>
        </is>
      </c>
      <c r="N2343" t="inlineStr">
        <is>
          <t>Randy Vince Fernandez Apura</t>
        </is>
      </c>
      <c r="O2343" t="inlineStr">
        <is>
          <t>202603250104-Randy Vince Fernandez Apura-费用报销 - 副本 - 副本 - 副本-2026-03-25 08:47:48</t>
        </is>
      </c>
      <c r="P2343" t="inlineStr">
        <is>
          <t>YES</t>
        </is>
      </c>
      <c r="Q2343"/>
      <c r="R2343" t="inlineStr">
        <is>
          <t>NO</t>
        </is>
      </c>
      <c r="S2343" t="inlineStr">
        <is>
          <t>Outsourced Local Band / Performer (Metro Manila)</t>
        </is>
      </c>
      <c r="T2343">
        <v>1</v>
      </c>
      <c r="U2343">
        <v>33400</v>
      </c>
      <c r="V2343" t="inlineStr">
        <is>
          <t>PHP</t>
        </is>
      </c>
      <c r="W2343">
        <v>33400</v>
      </c>
      <c r="X2343" s="2" t="str">
        <f>=HYPERLINK("https://www.larksuite.com/approval/admin/previewAttachment?key=PMhBikJBDATQK1Ul6VRnLjOb3zSCKIL4wUXOLrhw-3ISOQc9C1G0Altp6cTgyFlDQaqtKRVEJXrd9v9yXffrtPtcB9-PPi_HXk-OkhnkET4B8O_nroioysDX8QkAAP__", "2 attachment(s)")</f>
        <v>2 attachment(s)</v>
      </c>
      <c r="Y2343" t="inlineStr">
        <is>
          <t>Bank Transfer</t>
        </is>
      </c>
      <c r="Z2343" t="inlineStr">
        <is>
          <t>Zyra Mae Ebardaloza</t>
        </is>
      </c>
      <c r="AA2343" t="inlineStr">
        <is>
          <t>0596-3428-27</t>
        </is>
      </c>
      <c r="AB2343" t="inlineStr">
        <is>
          <t>BPI</t>
        </is>
      </c>
      <c r="AC2343" t="inlineStr">
        <is>
          <t>Road 5 GSIS Brgy 164, Talipapa, Novaliches, Caloocan City</t>
        </is>
      </c>
      <c r="AD2343" s="4">
        <v>46122</v>
      </c>
      <c r="AE2343" t="inlineStr">
        <is>
          <t>100% Full Payment - Apr. 10, 2026</t>
        </is>
      </c>
      <c r="AF2343" s="2"/>
      <c r="AG2343" t="inlineStr">
        <is>
          <t>NzQyNTk5MTgyNzQ4MTg3MDM0MToxNDkzNDQ4NS1CNDExLTQzQTAtQUVDOS0xRDY2MTE0QjIyQzUtMTpiM2Q1ODg0OTAzZTM5Y2EyOTI2ODViMTY1NTYzODMzYzox</t>
        </is>
      </c>
      <c r="AH2343" t="inlineStr">
        <is>
          <t>Zyra Mae Ebardaloza</t>
        </is>
      </c>
      <c r="AI2343"/>
      <c r="AJ2343" t="inlineStr">
        <is>
          <t>LIQUIDITY PLAN (PAR # 202603170065 / 2026TEG-P0080)
METRO MANILA
Local Band / Dancers / Singer
Total Budget = Php 45,000.00
Actual Cost = Php 33,400.00
Balance = Php 11,600.00</t>
        </is>
      </c>
      <c r="AK2343"/>
    </row>
    <row r="2344" ht="25.5" customHeight="1">
      <c r="A2344" s="2" t="str">
        <f>=HYPERLINK("https://applink.larksuite.com/client/mini_program/open?appId=cli_9c7cc8a9a9edd105&amp;mode=appCenter&amp;path_pc=pc/pages/requested/index?instanceId=7626313759924981472&amp;source=bitable&amp;path=pages/detail/index?instanceId=7626313759924981472&amp;source=bitable", "202604080115")</f>
        <v>202604080115</v>
      </c>
      <c r="B2344" t="inlineStr">
        <is>
          <t>Approved</t>
        </is>
      </c>
      <c r="C2344" t="inlineStr">
        <is>
          <t>Procurement Order</t>
        </is>
      </c>
      <c r="D2344" s="3">
        <v>46120.71690972222</v>
      </c>
      <c r="E2344" s="3">
        <v>46120.753541666665</v>
      </c>
      <c r="F2344" t="inlineStr">
        <is>
          <t>Fatima Kathleen M. FLores</t>
        </is>
      </c>
      <c r="G2344" t="inlineStr">
        <is>
          <t>Procurement</t>
        </is>
      </c>
      <c r="H2344"/>
      <c r="I2344"/>
      <c r="J2344" t="inlineStr">
        <is>
          <t>Project</t>
        </is>
      </c>
      <c r="K2344" t="inlineStr">
        <is>
          <t>GG - Event Service</t>
        </is>
      </c>
      <c r="L2344" t="inlineStr">
        <is>
          <t>PUBG Mobile 8th Anniversary Event</t>
        </is>
      </c>
      <c r="M2344" t="inlineStr">
        <is>
          <t>2026TEG-P0066</t>
        </is>
      </c>
      <c r="N2344" t="inlineStr">
        <is>
          <t>Randy Vince Fernandez Apura</t>
        </is>
      </c>
      <c r="O2344" t="inlineStr">
        <is>
          <t>202603160050-Randy Vince Fernandez Apura-费用报销 - 副本 - 副本 - 副本-2026-03-16 06:59:08</t>
        </is>
      </c>
      <c r="P2344" t="inlineStr">
        <is>
          <t>YES</t>
        </is>
      </c>
      <c r="Q2344"/>
      <c r="R2344" t="inlineStr">
        <is>
          <t>NO</t>
        </is>
      </c>
      <c r="S2344" t="inlineStr">
        <is>
          <t>Outsourced Talent / Caster (Cebu)</t>
        </is>
      </c>
      <c r="T2344">
        <v>1</v>
      </c>
      <c r="U2344">
        <v>10000</v>
      </c>
      <c r="V2344" t="inlineStr">
        <is>
          <t>PHP</t>
        </is>
      </c>
      <c r="W2344">
        <v>10000</v>
      </c>
      <c r="X2344" s="2" t="str">
        <f>=HYPERLINK("https://www.larksuite.com/approval/admin/previewAttachment?key=PMgxCsJQEATQK83s7t_542VsDEEFgyDY_bMLFmlfT6LnYLZRZhhc6uhkathRnizFikXJENVY22u_Hjye8bbGA9DA-t5v-_bhsCKgrMoJgJfTU1Vld-Hv-AUAAP__", "2 attachment(s)")</f>
        <v>2 attachment(s)</v>
      </c>
      <c r="Y2344" t="inlineStr">
        <is>
          <t>Bank Transfer</t>
        </is>
      </c>
      <c r="Z2344" t="inlineStr">
        <is>
          <t>Rafael A. Aliño</t>
        </is>
      </c>
      <c r="AA2344" t="inlineStr">
        <is>
          <t>0076 8026 5302</t>
        </is>
      </c>
      <c r="AB2344" t="inlineStr">
        <is>
          <t>BDO</t>
        </is>
      </c>
      <c r="AC2344" t="inlineStr">
        <is>
          <t>P1 B2 L3, Garden Bloom Villas, Cotcot, Liloan, Cebu City</t>
        </is>
      </c>
      <c r="AD2344" s="4">
        <v>46122</v>
      </c>
      <c r="AE2344" t="inlineStr">
        <is>
          <t>100% Full Payment - Apr. 10, 2026</t>
        </is>
      </c>
      <c r="AF2344" s="2"/>
      <c r="AG2344" t="inlineStr">
        <is>
          <t>NzQyNTk5MTgyNzQ4MTg3MDM0MTozMjFCMUVDRi1ERDQ3LTQ4QUMtQTBGQy02OTk0RjdDMkI2ODMtMTpkNmE1OTRhNTBiNTE2ODhkMjk5MWE2ZmRkZjhlNzgxZDox</t>
        </is>
      </c>
      <c r="AH2344" t="inlineStr">
        <is>
          <t>Rafael A. Aliño</t>
        </is>
      </c>
      <c r="AI2344"/>
      <c r="AJ2344" t="inlineStr">
        <is>
          <t>LIQUIDITY PLAN (PAR # 202603150011 / 2026TEG-P0066)
VISAYAS LEG - MARCH 21, 2026 &gt;
MANPOWER &gt; Talents &gt; Host / Caster
Total Budget = Php 10,000.00
Actual Cost = Php 10,000.00</t>
        </is>
      </c>
      <c r="AK2344"/>
    </row>
    <row r="2345" ht="25.5" customHeight="1">
      <c r="A2345" s="2" t="str">
        <f>=HYPERLINK("https://applink.larksuite.com/client/mini_program/open?appId=cli_9c7cc8a9a9edd105&amp;mode=appCenter&amp;path_pc=pc/pages/requested/index?instanceId=7626316760154263266&amp;source=bitable&amp;path=pages/detail/index?instanceId=7626316760154263266&amp;source=bitable", "202604080119")</f>
        <v>202604080119</v>
      </c>
      <c r="B2345" t="inlineStr">
        <is>
          <t>Approved</t>
        </is>
      </c>
      <c r="C2345" t="inlineStr">
        <is>
          <t>Procurement Order</t>
        </is>
      </c>
      <c r="D2345" s="3">
        <v>46120.725</v>
      </c>
      <c r="E2345" s="3">
        <v>46120.75438657407</v>
      </c>
      <c r="F2345" t="inlineStr">
        <is>
          <t>Fatima Kathleen M. FLores</t>
        </is>
      </c>
      <c r="G2345" t="inlineStr">
        <is>
          <t>Procurement</t>
        </is>
      </c>
      <c r="H2345"/>
      <c r="I2345"/>
      <c r="J2345" t="inlineStr">
        <is>
          <t>Project</t>
        </is>
      </c>
      <c r="K2345" t="inlineStr">
        <is>
          <t>GG - Event Service</t>
        </is>
      </c>
      <c r="L2345" t="inlineStr">
        <is>
          <t>PUBG Mobile 8th Anniversary Event</t>
        </is>
      </c>
      <c r="M2345" t="inlineStr">
        <is>
          <t>2026TEG-P0066</t>
        </is>
      </c>
      <c r="N2345" t="inlineStr">
        <is>
          <t>Randy Vince Fernandez Apura</t>
        </is>
      </c>
      <c r="O2345" t="inlineStr">
        <is>
          <t>202603160050-Randy Vince Fernandez Apura-费用报销 - 副本 - 副本 - 副本-2026-03-16 06:59:08</t>
        </is>
      </c>
      <c r="P2345" t="inlineStr">
        <is>
          <t>YES</t>
        </is>
      </c>
      <c r="Q2345"/>
      <c r="R2345" t="inlineStr">
        <is>
          <t>NO</t>
        </is>
      </c>
      <c r="S2345" t="inlineStr">
        <is>
          <t>Outsourced Talent / Caster (Cavite)</t>
        </is>
      </c>
      <c r="T2345">
        <v>1</v>
      </c>
      <c r="U2345">
        <v>8500</v>
      </c>
      <c r="V2345" t="inlineStr">
        <is>
          <t>PHP</t>
        </is>
      </c>
      <c r="W2345">
        <v>8500</v>
      </c>
      <c r="X2345" s="2" t="str">
        <f>=HYPERLINK("https://www.larksuite.com/approval/admin/previewAttachment?key=PMhBCsJADAXQK_2fZH4mXsZNh6JQoSBaXczZBRfdPnVCvdFViKIVOFMmp1JgC5ObNG0ys5BMYY7Hej3CjuUzXvd92777mO_bso4nW6UZ0iO8A-DldM-IqFLg7_gFAAD__w", "2 attachment(s)")</f>
        <v>2 attachment(s)</v>
      </c>
      <c r="Y2345" t="inlineStr">
        <is>
          <t>Bank Transfer</t>
        </is>
      </c>
      <c r="Z2345" t="inlineStr">
        <is>
          <t>John Phaulo V Bensan</t>
        </is>
      </c>
      <c r="AA2345" t="inlineStr">
        <is>
          <t>007340443204</t>
        </is>
      </c>
      <c r="AB2345" t="inlineStr">
        <is>
          <t>BDO</t>
        </is>
      </c>
      <c r="AC2345" t="inlineStr">
        <is>
          <t>B3 L7 Samat Street Montaña Subd. Brgy Burgos Rodriguez Rizal</t>
        </is>
      </c>
      <c r="AD2345" s="4">
        <v>46122</v>
      </c>
      <c r="AE2345" t="inlineStr">
        <is>
          <t>100% Full Payment - Apr. 10, 2026</t>
        </is>
      </c>
      <c r="AF2345" s="2"/>
      <c r="AG2345" t="inlineStr">
        <is>
          <t>NzQyNTk5MTgyNzQ4MTg3MDM0MTpGNUZBRDBEQy1GNDNCLTQwQkUtQTg2Ri02M0FEOTc3MTE5RDgtMTplZTQ5ZTgzY2MxMzRlZTEzOGMzMThhZGE4NmIxZGMxYjox</t>
        </is>
      </c>
      <c r="AH2345" t="inlineStr">
        <is>
          <t>John Phaulo V Bensan</t>
        </is>
      </c>
      <c r="AI2345"/>
      <c r="AJ2345" t="inlineStr">
        <is>
          <t>LIQUIDITY PLAN (PAR # 202603150011 / 202603150011) - AS OF 03/24/26
SOUTH LUZON LEG - MARCH 28, 2026 &gt; MANPOWER &gt;
Talents &gt; Host / Caster 
Total Budget = Php 10,000.00
Actual Cost = Php 8,500.00
Balance = Php 1,500.00</t>
        </is>
      </c>
      <c r="AK2345"/>
    </row>
    <row r="2346" ht="25.5" customHeight="1">
      <c r="A2346" s="2" t="str">
        <f>=HYPERLINK("https://applink.larksuite.com/client/mini_program/open?appId=cli_9c7cc8a9a9edd105&amp;mode=appCenter&amp;path_pc=pc/pages/requested/index?instanceId=7626318180406791904&amp;source=bitable&amp;path=pages/detail/index?instanceId=7626318180406791904&amp;source=bitable", "202604080122")</f>
        <v>202604080122</v>
      </c>
      <c r="B2346" t="inlineStr">
        <is>
          <t>Approved</t>
        </is>
      </c>
      <c r="C2346" t="inlineStr">
        <is>
          <t>Procurement Order</t>
        </is>
      </c>
      <c r="D2346" s="3">
        <v>46120.72881944444</v>
      </c>
      <c r="E2346" s="3">
        <v>46120.75503472222</v>
      </c>
      <c r="F2346" t="inlineStr">
        <is>
          <t>Fatima Kathleen M. FLores</t>
        </is>
      </c>
      <c r="G2346" t="inlineStr">
        <is>
          <t>Procurement</t>
        </is>
      </c>
      <c r="H2346"/>
      <c r="I2346"/>
      <c r="J2346" t="inlineStr">
        <is>
          <t>Project</t>
        </is>
      </c>
      <c r="K2346" t="inlineStr">
        <is>
          <t>GG - Event Service</t>
        </is>
      </c>
      <c r="L2346" t="inlineStr">
        <is>
          <t>PUBG Mobile 8th Anniversary Event</t>
        </is>
      </c>
      <c r="M2346" t="inlineStr">
        <is>
          <t>2026TEG-P0066</t>
        </is>
      </c>
      <c r="N2346" t="inlineStr">
        <is>
          <t>Randy Vince Fernandez Apura</t>
        </is>
      </c>
      <c r="O2346" t="inlineStr">
        <is>
          <t>202603270093-Frances Angelita Arreglado-费用报销 - 副本 - 副本 - 副本-2026-03-27 09:44:28</t>
        </is>
      </c>
      <c r="P2346" t="inlineStr">
        <is>
          <t>YES</t>
        </is>
      </c>
      <c r="Q2346"/>
      <c r="R2346" t="inlineStr">
        <is>
          <t>NO</t>
        </is>
      </c>
      <c r="S2346" t="inlineStr">
        <is>
          <t>Outsourced Talent / Caster (Mochii) - Metro Manila</t>
        </is>
      </c>
      <c r="T2346">
        <v>1</v>
      </c>
      <c r="U2346">
        <v>10000</v>
      </c>
      <c r="V2346" t="inlineStr">
        <is>
          <t>PHP</t>
        </is>
      </c>
      <c r="W2346">
        <v>10000</v>
      </c>
      <c r="X2346" s="2" t="str">
        <f>=HYPERLINK("https://www.larksuite.com/approval/admin/previewAttachment?key=PMg7CoIxEATgK80km52Ml7HJTxDFSnw0e3bBwvbLSeQc7GmE2QyWsmXn5EQgZRpRrSgZohJ13Pd5PXXbnzVMDFzf9bqsfTw4rNagHtEnAJ7-3hURdgZ-jm8AAAD__w", "2 attachment(s)")</f>
        <v>2 attachment(s)</v>
      </c>
      <c r="Y2346" t="inlineStr">
        <is>
          <t>Bank Transfer</t>
        </is>
      </c>
      <c r="Z2346" t="inlineStr">
        <is>
          <t>Michaella Gonzales</t>
        </is>
      </c>
      <c r="AA2346" t="inlineStr">
        <is>
          <t>0000048732838</t>
        </is>
      </c>
      <c r="AB2346" t="inlineStr">
        <is>
          <t>Security Bank</t>
        </is>
      </c>
      <c r="AC2346" t="inlineStr">
        <is>
          <t>1273 Carnation Street, Brgy. Malinta, Valenzuela City</t>
        </is>
      </c>
      <c r="AD2346" s="4">
        <v>46122</v>
      </c>
      <c r="AE2346" t="inlineStr">
        <is>
          <t>100% Full Payment - Apr. 10, 2026</t>
        </is>
      </c>
      <c r="AF2346" s="2"/>
      <c r="AG2346" t="inlineStr">
        <is>
          <t>NzQyNTk5MTgyNzQ4MTg3MDM0MTo4NUZBMzkxMC0wOUM0LTQ1M0YtODg3Qy05RUM0NTk2REMyQ0EtMTo4ZjJjMGJmNjQ1NTdlMWNmNmQxZTFmOTZhYTY2YmRjMzox</t>
        </is>
      </c>
      <c r="AH2346" t="inlineStr">
        <is>
          <t>Michaella Gonzales</t>
        </is>
      </c>
      <c r="AI2346"/>
      <c r="AJ2346" t="inlineStr">
        <is>
          <t>LIQUIDITY PLAN (PAR # 202603150011 / 202603150011) - AS OF 03/24/26
METRO MANILA LEG - MARCH 29, 2026 &gt; MANPOWER &gt;
Talents &gt; Host / Caster 
Total Budget = Php 10,000.00
Actual Cost = Php 10,000.00</t>
        </is>
      </c>
      <c r="AK2346"/>
    </row>
    <row r="2347" ht="25.5" customHeight="1">
      <c r="A2347" s="2" t="str">
        <f>=HYPERLINK("https://applink.larksuite.com/client/mini_program/open?appId=cli_9c7cc8a9a9edd105&amp;mode=appCenter&amp;path_pc=pc/pages/requested/index?instanceId=7626325006087147234&amp;source=bitable&amp;path=pages/detail/index?instanceId=7626325006087147234&amp;source=bitable", "202604080133")</f>
        <v>202604080133</v>
      </c>
      <c r="B2347" t="inlineStr">
        <is>
          <t>Rejected</t>
        </is>
      </c>
      <c r="C2347" t="inlineStr">
        <is>
          <t>Procurement Order</t>
        </is>
      </c>
      <c r="D2347" s="3">
        <v>46120.74722222222</v>
      </c>
      <c r="E2347" s="3">
        <v>46122.483125</v>
      </c>
      <c r="F2347" t="inlineStr">
        <is>
          <t>Fatima Kathleen M. FLores</t>
        </is>
      </c>
      <c r="G2347" t="inlineStr">
        <is>
          <t>Procurement</t>
        </is>
      </c>
      <c r="H2347"/>
      <c r="I2347"/>
      <c r="J2347" t="inlineStr">
        <is>
          <t>Project</t>
        </is>
      </c>
      <c r="K2347" t="inlineStr">
        <is>
          <t>GG - Event Service</t>
        </is>
      </c>
      <c r="L2347" t="inlineStr">
        <is>
          <t>Philippine Kings League Spring Season 2026 (PKL)</t>
        </is>
      </c>
      <c r="M2347" t="inlineStr">
        <is>
          <t>2026TEG-P0037</t>
        </is>
      </c>
      <c r="N2347" t="inlineStr">
        <is>
          <t>Reign Santos Fortea</t>
        </is>
      </c>
      <c r="O2347" t="inlineStr">
        <is>
          <t>202603120026-Reign Santos Fortea-费用报销 - 副本 - 副本 - 副本-2026-03-12 03:44:07</t>
        </is>
      </c>
      <c r="P2347" t="inlineStr">
        <is>
          <t>NO</t>
        </is>
      </c>
      <c r="Q2347"/>
      <c r="R2347" t="inlineStr">
        <is>
          <t>NO</t>
        </is>
      </c>
      <c r="S2347" t="inlineStr">
        <is>
          <t>Crew Meals - Ingress, Event Days &amp; Egress (Mar. 24 to 29, 2026)</t>
        </is>
      </c>
      <c r="T2347">
        <v>1613</v>
      </c>
      <c r="U2347">
        <v>130</v>
      </c>
      <c r="V2347" t="inlineStr">
        <is>
          <t>PHP</t>
        </is>
      </c>
      <c r="W2347">
        <v>209690</v>
      </c>
      <c r="X2347" s="2"/>
      <c r="Y2347" t="inlineStr">
        <is>
          <t>Bank Transfer</t>
        </is>
      </c>
      <c r="Z2347" t="inlineStr">
        <is>
          <t>Michelle Francine G. Manuntag</t>
        </is>
      </c>
      <c r="AA2347" t="inlineStr">
        <is>
          <t>000170292002</t>
        </is>
      </c>
      <c r="AB2347" t="inlineStr">
        <is>
          <t>BDO</t>
        </is>
      </c>
      <c r="AC2347" t="inlineStr">
        <is>
          <t>Makati City</t>
        </is>
      </c>
      <c r="AD2347" s="4">
        <v>46129</v>
      </c>
      <c r="AE2347" t="inlineStr">
        <is>
          <t>100% Full Payment</t>
        </is>
      </c>
      <c r="AF2347" s="2"/>
      <c r="AG2347" t="inlineStr">
        <is>
          <t>NzQyNTk5MTgyNzQ4MTg3MDM0MTo4RDEwM0M2NS1FMUIxLTQwRTctOTNCNy1EQkRGRTVDMzEwREQtMToxNmI2MWNlZDVmZjdmMGYwYTk5NTBlNDZmMDk2YWE4MDox</t>
        </is>
      </c>
      <c r="AH2347" t="inlineStr">
        <is>
          <t>Michelle Francine G. Manuntag</t>
        </is>
      </c>
      <c r="AI2347"/>
      <c r="AJ2347" t="inlineStr">
        <is>
          <t>LIQUIDITY PLAN (PAR # 202602120015 / 2026TEG-P0037) - MAR 9 VERSION
PLAYOFFS &gt; TRAVEL AND ACCOMMODATION &gt;
FOOD &amp; BEVERAGE &gt;
Crew Meals (Ingress, Rehearsals &amp; Egress)
Crew Meals (Event Days)
Total Budget = Php 137,400.00
Actual Cost = Php 217,768.00
Balance = (Php 80,638.00) OVER BUDGET</t>
        </is>
      </c>
      <c r="AK2347"/>
    </row>
    <row r="2348" ht="25.5" customHeight="1">
      <c r="A2348" s="2" t="str">
        <f>=HYPERLINK("https://applink.larksuite.com/client/mini_program/open?appId=cli_9c7cc8a9a9edd105&amp;mode=appCenter&amp;path_pc=pc/pages/requested/index?instanceId=7626325006087147234&amp;source=bitable&amp;path=pages/detail/index?instanceId=7626325006087147234&amp;source=bitable", "202604080133")</f>
        <v>202604080133</v>
      </c>
      <c r="B2348" t="inlineStr">
        <is>
          <t>Rejected</t>
        </is>
      </c>
      <c r="C2348" t="inlineStr">
        <is>
          <t>Procurement Order</t>
        </is>
      </c>
      <c r="D2348" s="3">
        <v>46120.74722222222</v>
      </c>
      <c r="E2348" s="3">
        <v>46122.483125</v>
      </c>
      <c r="F2348" t="inlineStr">
        <is>
          <t>Fatima Kathleen M. FLores</t>
        </is>
      </c>
      <c r="G2348" t="inlineStr">
        <is>
          <t>Procurement</t>
        </is>
      </c>
      <c r="H2348"/>
      <c r="I2348"/>
      <c r="J2348" t="inlineStr">
        <is>
          <t>Project</t>
        </is>
      </c>
      <c r="K2348" t="inlineStr">
        <is>
          <t>GG - Event Service</t>
        </is>
      </c>
      <c r="L2348" t="inlineStr">
        <is>
          <t>Philippine Kings League Spring Season 2026 (PKL)</t>
        </is>
      </c>
      <c r="M2348" t="inlineStr">
        <is>
          <t>2026TEG-P0037</t>
        </is>
      </c>
      <c r="N2348" t="inlineStr">
        <is>
          <t>Reign Santos Fortea</t>
        </is>
      </c>
      <c r="O2348" t="inlineStr">
        <is>
          <t>202603120026-Reign Santos Fortea-费用报销 - 副本 - 副本 - 副本-2026-03-12 03:44:07</t>
        </is>
      </c>
      <c r="P2348" t="inlineStr">
        <is>
          <t>NO</t>
        </is>
      </c>
      <c r="Q2348"/>
      <c r="R2348" t="inlineStr">
        <is>
          <t>NO</t>
        </is>
      </c>
      <c r="S2348" t="inlineStr">
        <is>
          <t>Delivery Fee</t>
        </is>
      </c>
      <c r="T2348">
        <v>1</v>
      </c>
      <c r="U2348">
        <v>8078</v>
      </c>
      <c r="V2348" t="inlineStr">
        <is>
          <t>PHP</t>
        </is>
      </c>
      <c r="W2348">
        <v>8078</v>
      </c>
      <c r="X2348" s="2" t="str">
        <f>=HYPERLINK("https://www.larksuite.com/approval/admin/previewAttachment?key=PMgxrsJADATQK43tWc_6X-Y3RBFIUKEsofDZkShoX05DzmGRBZZ5wVrpGT6AxJRRHmxvkwoyJXp77P--cDuPur-4jvc4e10v-_a0UXKHgowJwP5-HiJZlcTX7RMAAP__", "2 attachment(s)")</f>
        <v>2 attachment(s)</v>
      </c>
      <c r="Y2348"/>
      <c r="Z2348"/>
      <c r="AA2348"/>
      <c r="AB2348"/>
      <c r="AC2348"/>
      <c r="AD2348" s="4"/>
      <c r="AE2348"/>
      <c r="AF2348" s="2"/>
      <c r="AG2348" t="inlineStr">
        <is>
          <t>NzQyNTk5MTgyNzQ4MTg3MDM0MTo4RDEwM0M2NS1FMUIxLTQwRTctOTNCNy1EQkRGRTVDMzEwREQtMjowZTM0MTFkNDljZWJiYmYyN2EwMmJlODg2NWY0Y2JhNTox</t>
        </is>
      </c>
      <c r="AH2348"/>
      <c r="AI2348"/>
      <c r="AJ2348" t="inlineStr">
        <is>
          <t>LIQUIDITY PLAN (PAR # 202602120015 / 2026TEG-P0037) - MAR 9 VERSION
PLAYOFFS &gt; TRAVEL AND ACCOMMODATION &gt;
FOOD &amp; BEVERAGE &gt;
Crew Meals (Ingress, Rehearsals &amp; Egress)
Crew Meals (Event Days)
Total Budget = Php 137,400.00
Actual Cost = Php 217,768.00
Balance = (Php 80,638.00) OVER BUDGET</t>
        </is>
      </c>
      <c r="AK2348"/>
    </row>
    <row r="2349" ht="25.5" customHeight="1">
      <c r="A2349" s="2" t="str">
        <f>=HYPERLINK("https://applink.larksuite.com/client/mini_program/open?appId=cli_9c7cc8a9a9edd105&amp;mode=appCenter&amp;path_pc=pc/pages/requested/index?instanceId=7626362286352977634&amp;source=bitable&amp;path=pages/detail/index?instanceId=7626362286352977634&amp;source=bitable", "202604080181")</f>
        <v>202604080181</v>
      </c>
      <c r="B2349" t="inlineStr">
        <is>
          <t>Approved</t>
        </is>
      </c>
      <c r="C2349" t="inlineStr">
        <is>
          <t>Procurement Order</t>
        </is>
      </c>
      <c r="D2349" s="3">
        <v>46120.84768518519</v>
      </c>
      <c r="E2349" s="3">
        <v>46122.449791666666</v>
      </c>
      <c r="F2349" t="inlineStr">
        <is>
          <t>Fatima Kathleen M. FLores</t>
        </is>
      </c>
      <c r="G2349" t="inlineStr">
        <is>
          <t>Procurement</t>
        </is>
      </c>
      <c r="H2349"/>
      <c r="I2349"/>
      <c r="J2349" t="inlineStr">
        <is>
          <t>Project</t>
        </is>
      </c>
      <c r="K2349" t="inlineStr">
        <is>
          <t>PDEI - Game Marketing</t>
        </is>
      </c>
      <c r="L2349" t="inlineStr">
        <is>
          <t>SportsPlus MPBL Roadtrip Watchparty 2026</t>
        </is>
      </c>
      <c r="M2349" t="inlineStr">
        <is>
          <t>2026TEG-P0028</t>
        </is>
      </c>
      <c r="N2349" t="inlineStr">
        <is>
          <t>Kervin</t>
        </is>
      </c>
      <c r="O2349" t="inlineStr">
        <is>
          <t>202603260034-Kervin-费用报销 - 副本 - 副本 - 副本-2026-03-26 04:28:02</t>
        </is>
      </c>
      <c r="P2349" t="inlineStr">
        <is>
          <t>NO</t>
        </is>
      </c>
      <c r="Q2349"/>
      <c r="R2349" t="inlineStr">
        <is>
          <t>NO</t>
        </is>
      </c>
      <c r="S2349" t="inlineStr">
        <is>
          <t>Skyworth 65” Android Smart LED TV</t>
        </is>
      </c>
      <c r="T2349">
        <v>1</v>
      </c>
      <c r="U2349">
        <v>30500</v>
      </c>
      <c r="V2349" t="inlineStr">
        <is>
          <t>PHP</t>
        </is>
      </c>
      <c r="W2349">
        <v>30500</v>
      </c>
      <c r="X2349" s="2" t="str">
        <f>=HYPERLINK("https://www.larksuite.com/approval/admin/previewAttachment?key=PMg9CgIxFATgK837yUyel7FxCTZCQIhukbMLFtt-7Ab2ZsFClnnBtugMundG85IYuX2bVJCJ2Mdr3M91zvlJfb3GzLXX8zGOt7WSOxSZ0QHY7fJQZlYx8Xf8AgAA__8", "2 attachment(s)")</f>
        <v>2 attachment(s)</v>
      </c>
      <c r="Y2349" t="inlineStr">
        <is>
          <t>Bank Transfer</t>
        </is>
      </c>
      <c r="Z2349" t="inlineStr">
        <is>
          <t>Welcome Home Appliances Binondo Corp.</t>
        </is>
      </c>
      <c r="AA2349" t="inlineStr">
        <is>
          <t>0026 3808 4635</t>
        </is>
      </c>
      <c r="AB2349" t="inlineStr">
        <is>
          <t>BDO</t>
        </is>
      </c>
      <c r="AC2349" t="inlineStr">
        <is>
          <t>229 Wilson St., Greenhills, San Juan City</t>
        </is>
      </c>
      <c r="AD2349" s="4">
        <v>46122</v>
      </c>
      <c r="AE2349" t="inlineStr">
        <is>
          <t>100% Full Payment before delivery</t>
        </is>
      </c>
      <c r="AF2349" s="2" t="str">
        <f>=HYPERLINK("https://www.larksuite.com/approval/admin/previewAttachment?key=TMgxCgIxEAXQK_0_M_mT8TI2LsFGCAjRLXJ2wWrbp06oN7oKUbQCd8rkMuvyZpUpj22bmYVkCvt4jfu5zjk_kV-rMWPt9XyM4011F6JaBAsAbxcnUd3lf8cvAAD__w", "2 attachment(s)")</f>
        <v>2 attachment(s)</v>
      </c>
      <c r="AG2349" t="inlineStr">
        <is>
          <t>NzQyNTk5MTgyNzQ4MTg3MDM0MTo5QjY5ODFGMS04NDNCLTQ4RjYtQUM5QS00MzRBNzBEOTEzRTItMTpjYzc4YjlhZjIxNGQ3MmQwNjE3NjlkYzFhY2ViNmE1NTox</t>
        </is>
      </c>
      <c r="AH2349" t="inlineStr">
        <is>
          <t>Welcome Home Appliances Binondo Corporation</t>
        </is>
      </c>
      <c r="AI2349"/>
      <c r="AJ2349" t="inlineStr">
        <is>
          <t>LIQUIDITY PLAN (PAR # 202603240070 / 2026TEG-P0028)
PRE-PURCHASED ITEMS &gt;
Smart TV with stand (60")
Total Budget = Php 60,000.00
Actual Cost = Php 30,500.00
Balance = Php 29,500.00</t>
        </is>
      </c>
      <c r="AK2349"/>
    </row>
    <row r="2350" ht="25.5" customHeight="1">
      <c r="A2350" s="2" t="str">
        <f>=HYPERLINK("https://applink.larksuite.com/client/mini_program/open?appId=cli_9c7cc8a9a9edd105&amp;mode=appCenter&amp;path_pc=pc/pages/requested/index?instanceId=7626364178332126944&amp;source=bitable&amp;path=pages/detail/index?instanceId=7626364178332126944&amp;source=bitable", "202604080184")</f>
        <v>202604080184</v>
      </c>
      <c r="B2350" t="inlineStr">
        <is>
          <t>Approved</t>
        </is>
      </c>
      <c r="C2350" t="inlineStr">
        <is>
          <t>Procurement Order</t>
        </is>
      </c>
      <c r="D2350" s="3">
        <v>46120.85277777778</v>
      </c>
      <c r="E2350" s="3">
        <v>46122.45034722222</v>
      </c>
      <c r="F2350" t="inlineStr">
        <is>
          <t>Fatima Kathleen M. FLores</t>
        </is>
      </c>
      <c r="G2350" t="inlineStr">
        <is>
          <t>Procurement</t>
        </is>
      </c>
      <c r="H2350"/>
      <c r="I2350"/>
      <c r="J2350" t="inlineStr">
        <is>
          <t>Project</t>
        </is>
      </c>
      <c r="K2350" t="inlineStr">
        <is>
          <t>PDEI - Game Marketing</t>
        </is>
      </c>
      <c r="L2350" t="inlineStr">
        <is>
          <t>SportsPlus MPBL Roadtrip Watchparty 2026</t>
        </is>
      </c>
      <c r="M2350" t="inlineStr">
        <is>
          <t>2026TEG-P0028</t>
        </is>
      </c>
      <c r="N2350" t="inlineStr">
        <is>
          <t>Kervin</t>
        </is>
      </c>
      <c r="O2350" t="inlineStr">
        <is>
          <t>202603260034-Kervin-费用报销 - 副本 - 副本 - 副本-2026-03-26 04:28:02</t>
        </is>
      </c>
      <c r="P2350" t="inlineStr">
        <is>
          <t>NO</t>
        </is>
      </c>
      <c r="Q2350"/>
      <c r="R2350" t="inlineStr">
        <is>
          <t>NO</t>
        </is>
      </c>
      <c r="S2350" t="inlineStr">
        <is>
          <t>True Vision Mobile TV Stand/Cart for 37-70" TV1030T</t>
        </is>
      </c>
      <c r="T2350">
        <v>1</v>
      </c>
      <c r="U2350">
        <v>6490</v>
      </c>
      <c r="V2350" t="inlineStr">
        <is>
          <t>PHP</t>
        </is>
      </c>
      <c r="W2350">
        <v>6490</v>
      </c>
      <c r="X2350" s="2" t="str">
        <f>=HYPERLINK("https://www.larksuite.com/approval/admin/previewAttachment?key=PMixDcJQDATQle5sx_fNMjT5ikCICpFA4dmRKNK-HESOhZ6FKFqBrbT0DGq4Gy0roq0pFUQlej636_u7ux--Hnx8pu6939ZtvriUzCCP8AGAl9NdEVGVgb_jFwAA__8", "2 attachment(s)")</f>
        <v>2 attachment(s)</v>
      </c>
      <c r="Y2350" t="inlineStr">
        <is>
          <t>Bank Transfer</t>
        </is>
      </c>
      <c r="Z2350" t="inlineStr">
        <is>
          <t>MMG True Enterprises Incorporated</t>
        </is>
      </c>
      <c r="AA2350" t="inlineStr">
        <is>
          <t>000328025012</t>
        </is>
      </c>
      <c r="AB2350" t="inlineStr">
        <is>
          <t>BDO</t>
        </is>
      </c>
      <c r="AC2350" t="inlineStr">
        <is>
          <t>kM. 18, Polylite Houser Building., Alabang-Zapote Road, Talon Dos, Las Pinas City</t>
        </is>
      </c>
      <c r="AD2350" s="4">
        <v>46122</v>
      </c>
      <c r="AE2350" t="inlineStr">
        <is>
          <t>100% Full Payment before delivery</t>
        </is>
      </c>
      <c r="AF2350" s="2"/>
      <c r="AG2350" t="inlineStr">
        <is>
          <t>NzQyNTk5MTgyNzQ4MTg3MDM0MTozRUZFQjc2RC1ERUQ5LTQ1NTItQTAyNi0wNDY2NUFGRjQ0NDUtMTo5M2M1MGY3YjQ0MDQ2ZGM3OGJjZmY0NDY3NWQ3YjEwMTox</t>
        </is>
      </c>
      <c r="AH2350" t="inlineStr">
        <is>
          <t>MMG True Enterprises Incorporated</t>
        </is>
      </c>
      <c r="AI2350"/>
      <c r="AJ2350" t="inlineStr">
        <is>
          <t>LIQUIDITY PLAN (PAR # 202603240070 / 2026TEG-P0028)
PRE-PURCHASED ITEMS &gt;
Smart TV with stand (60")
Total Remaining Budget = Php 29,500.00
Actual Cost = Php 6,490.00
Balance = Php 23,010.00</t>
        </is>
      </c>
      <c r="AK2350"/>
    </row>
    <row r="2351" ht="25.5" customHeight="1">
      <c r="A2351" s="2" t="str">
        <f>=HYPERLINK("https://applink.larksuite.com/client/mini_program/open?appId=cli_9c7cc8a9a9edd105&amp;mode=appCenter&amp;path_pc=pc/pages/requested/index?instanceId=7626358363076447966&amp;source=bitable&amp;path=pages/detail/index?instanceId=7626358363076447966&amp;source=bitable", "202604080178")</f>
        <v>202604080178</v>
      </c>
      <c r="B2351" t="inlineStr">
        <is>
          <t>Approved</t>
        </is>
      </c>
      <c r="C2351" t="inlineStr">
        <is>
          <t>Procurement Order</t>
        </is>
      </c>
      <c r="D2351" s="3">
        <v>46120.83710648148</v>
      </c>
      <c r="E2351" s="3">
        <v>46120.86243055556</v>
      </c>
      <c r="F2351" t="inlineStr">
        <is>
          <t>Fatima Kathleen M. FLores</t>
        </is>
      </c>
      <c r="G2351" t="inlineStr">
        <is>
          <t>Procurement</t>
        </is>
      </c>
      <c r="H2351"/>
      <c r="I2351"/>
      <c r="J2351" t="inlineStr">
        <is>
          <t>Project</t>
        </is>
      </c>
      <c r="K2351" t="inlineStr">
        <is>
          <t>PDEI - Game Marketing</t>
        </is>
      </c>
      <c r="L2351" t="inlineStr">
        <is>
          <t>SportsPlus MPBL Roadtrip Watchparty 2026</t>
        </is>
      </c>
      <c r="M2351" t="inlineStr">
        <is>
          <t>2026TEG-P0028</t>
        </is>
      </c>
      <c r="N2351" t="inlineStr">
        <is>
          <t>Kervin</t>
        </is>
      </c>
      <c r="O2351" t="inlineStr">
        <is>
          <t>202603260030-Kervin-费用报销 - 副本 - 副本 - 副本-2026-03-26 04:23:41</t>
        </is>
      </c>
      <c r="P2351" t="inlineStr">
        <is>
          <t>NO</t>
        </is>
      </c>
      <c r="Q2351"/>
      <c r="R2351" t="inlineStr">
        <is>
          <t>NO</t>
        </is>
      </c>
      <c r="S2351" t="inlineStr">
        <is>
          <t>Collapsible Phototwall / Backdrop</t>
        </is>
      </c>
      <c r="T2351">
        <v>2</v>
      </c>
      <c r="U2351">
        <v>20160</v>
      </c>
      <c r="V2351" t="inlineStr">
        <is>
          <t>PHP</t>
        </is>
      </c>
      <c r="W2351">
        <v>40320</v>
      </c>
      <c r="X2351" s="2" t="str">
        <f>=HYPERLINK("https://www.larksuite.com/approval/admin/previewAttachment?key=PMgxrgIxEAPQK9mZiZ35l_nNRhFCLA3SUuXsSBS0T4PQ6AwVstgK3FZT9BEKWJkuabdNu2Ba2PNc_xfPOccy78f78cS-bseaL_Zya3BkxgDAv5-HM7NKia_jEwAA__8", "2 attachment(s)")</f>
        <v>2 attachment(s)</v>
      </c>
      <c r="Y2351" t="inlineStr">
        <is>
          <t>Bank Transfer</t>
        </is>
      </c>
      <c r="Z2351" t="inlineStr">
        <is>
          <t>GOLDEN ARTS PRINTING SERVICES</t>
        </is>
      </c>
      <c r="AA2351" t="inlineStr">
        <is>
          <t>766-7-766000572</t>
        </is>
      </c>
      <c r="AB2351" t="inlineStr">
        <is>
          <t>Metrobank</t>
        </is>
      </c>
      <c r="AC2351" t="inlineStr">
        <is>
          <t>728 Raxabago St., Brgy. 154, Zone 14, Tondo, Manila</t>
        </is>
      </c>
      <c r="AD2351" s="4">
        <v>46122</v>
      </c>
      <c r="AE2351" t="inlineStr">
        <is>
          <t>50% Down Payment upon confirmation
30% 2nd Payment upon complete delivery
20% Retention</t>
        </is>
      </c>
      <c r="AF2351" s="2" t="str">
        <f>=HYPERLINK("https://www.larksuite.com/approval/admin/previewAttachment?key=TMwxDsJADATAL-3GvrXNZ2hyOiFEaJBC5bcjqGinGCWhHDQVvLgV2KFNNtJkCLlHSb01IwrBEHoe63rymDNX8L6_H0_0edvXfFFpgtdwZwHg5c9J1G_9Oj4BAAD__w", "3 attachment(s)")</f>
        <v>3 attachment(s)</v>
      </c>
      <c r="AG2351" t="inlineStr">
        <is>
          <t>NzQyNTk5MTgyNzQ4MTg3MDM0MTowNkZENjlFQi1FOUNDLTRGN0QtOTMxMy04ODYwMDQ3QTU4MjEtMTpiZDk2MGU5YzBiZTJjNTBkZTgyYzViMmJjOTM3NzliMzox</t>
        </is>
      </c>
      <c r="AH2351" t="inlineStr">
        <is>
          <t>GOLDEN ARTS PRINTING SERVICES</t>
        </is>
      </c>
      <c r="AI2351"/>
      <c r="AJ2351" t="inlineStr">
        <is>
          <t>LIQUIDITY PLAN (PAR # 202603240070 / 2026TEG-P0028)
PRE-PURCHASED ITEMS &gt;
Collapsible Photowall
Total Budget = Php 55,000.00
Actual Cost = Php 40,320.00
Balance = Php 14,680.00</t>
        </is>
      </c>
      <c r="AK2351"/>
    </row>
    <row r="2352" ht="25.5" customHeight="1">
      <c r="A2352" s="2" t="str">
        <f>=HYPERLINK("https://applink.larksuite.com/client/mini_program/open?appId=cli_9c7cc8a9a9edd105&amp;mode=appCenter&amp;path_pc=pc/pages/requested/index?instanceId=7626366610613210850&amp;source=bitable&amp;path=pages/detail/index?instanceId=7626366610613210850&amp;source=bitable", "202604080187")</f>
        <v>202604080187</v>
      </c>
      <c r="B2352" t="inlineStr">
        <is>
          <t>Approved</t>
        </is>
      </c>
      <c r="C2352" t="inlineStr">
        <is>
          <t>Procurement Order</t>
        </is>
      </c>
      <c r="D2352" s="3">
        <v>46120.8593287037</v>
      </c>
      <c r="E2352" s="3">
        <v>46122.45434027778</v>
      </c>
      <c r="F2352" t="inlineStr">
        <is>
          <t>Fatima Kathleen M. FLores</t>
        </is>
      </c>
      <c r="G2352" t="inlineStr">
        <is>
          <t>Procurement</t>
        </is>
      </c>
      <c r="H2352"/>
      <c r="I2352"/>
      <c r="J2352" t="inlineStr">
        <is>
          <t>Project</t>
        </is>
      </c>
      <c r="K2352" t="inlineStr">
        <is>
          <t>PDEI - Game Marketing</t>
        </is>
      </c>
      <c r="L2352" t="inlineStr">
        <is>
          <t>SportsPlus MPBL Fan Zone Opening Day</t>
        </is>
      </c>
      <c r="M2352" t="inlineStr">
        <is>
          <t>2026TEG-P0088</t>
        </is>
      </c>
      <c r="N2352" t="inlineStr">
        <is>
          <t>Kervin</t>
        </is>
      </c>
      <c r="O2352" t="inlineStr">
        <is>
          <t>202604060064-Kervin-费用报销 - 副本 - 副本 - 副本-2026-04-06 04:26:35</t>
        </is>
      </c>
      <c r="P2352" t="inlineStr">
        <is>
          <t>NO</t>
        </is>
      </c>
      <c r="Q2352"/>
      <c r="R2352" t="inlineStr">
        <is>
          <t>NO</t>
        </is>
      </c>
      <c r="S2352" t="inlineStr">
        <is>
          <t>Rental of Arcade Machine (Basketball)</t>
        </is>
      </c>
      <c r="T2352">
        <v>2</v>
      </c>
      <c r="U2352">
        <v>6000</v>
      </c>
      <c r="V2352" t="inlineStr">
        <is>
          <t>PHP</t>
        </is>
      </c>
      <c r="W2352">
        <v>12000</v>
      </c>
      <c r="X2352" s="2"/>
      <c r="Y2352" t="inlineStr">
        <is>
          <t>Bank Transfer</t>
        </is>
      </c>
      <c r="Z2352" t="inlineStr">
        <is>
          <t>Mirasol Yubia</t>
        </is>
      </c>
      <c r="AA2352" t="inlineStr">
        <is>
          <t>001571161951</t>
        </is>
      </c>
      <c r="AB2352" t="inlineStr">
        <is>
          <t>BDO</t>
        </is>
      </c>
      <c r="AC2352" t="inlineStr">
        <is>
          <t>1730 Santiago St., Quiricada, Manila</t>
        </is>
      </c>
      <c r="AD2352" s="4">
        <v>46122</v>
      </c>
      <c r="AE2352" t="inlineStr">
        <is>
          <t>50% Down Payment upon confirmation
50% Final Payment upon delivery of machines</t>
        </is>
      </c>
      <c r="AF2352" s="2" t="str">
        <f>=HYPERLINK("https://www.larksuite.com/approval/admin/previewAttachment?key=TMgxCgJBDAXQK_0_yfwkXsZmh0XErYQVi5xdsNr2KQnlpKngxVFgh4ZMEiHaIHKiRzOiEAyh17Hfj2-5z-e51mafV_T52Pb1ptIEr-nOAsDbxUlUmuzv-AUAAP__", "4 attachment(s)")</f>
        <v>4 attachment(s)</v>
      </c>
      <c r="AG2352" t="inlineStr">
        <is>
          <t>NzQyNTk5MTgyNzQ4MTg3MDM0MTpDN0I0QUI4My05NzlBLTRGM0EtQjk5NC1GODc5Q0NGMDFBMTktMTo5NzFlMGM5ZjdhYThkZDhhMjJmYzU0NDk3MzhlN2ZiODox</t>
        </is>
      </c>
      <c r="AH2352" t="inlineStr">
        <is>
          <t>ARCADE RENTALS PHILIPPINES</t>
        </is>
      </c>
      <c r="AI2352"/>
      <c r="AJ2352" t="inlineStr">
        <is>
          <t>LIQUIDITY PLAN (PAR # 202603240070 / 2026TEG-P0028)
PRE-PURCHASED ITEMS &gt;
Arcade Basketball
Total Budget = Php 75,000.00
Actual Cost = Php 33,500.00
Balance = Php 41,500.00</t>
        </is>
      </c>
      <c r="AK2352"/>
    </row>
    <row r="2353" ht="25.5" customHeight="1">
      <c r="A2353" s="2" t="str">
        <f>=HYPERLINK("https://applink.larksuite.com/client/mini_program/open?appId=cli_9c7cc8a9a9edd105&amp;mode=appCenter&amp;path_pc=pc/pages/requested/index?instanceId=7626366610613210850&amp;source=bitable&amp;path=pages/detail/index?instanceId=7626366610613210850&amp;source=bitable", "202604080187")</f>
        <v>202604080187</v>
      </c>
      <c r="B2353" t="inlineStr">
        <is>
          <t>Approved</t>
        </is>
      </c>
      <c r="C2353" t="inlineStr">
        <is>
          <t>Procurement Order</t>
        </is>
      </c>
      <c r="D2353" s="3">
        <v>46120.8593287037</v>
      </c>
      <c r="E2353" s="3">
        <v>46122.45434027778</v>
      </c>
      <c r="F2353" t="inlineStr">
        <is>
          <t>Fatima Kathleen M. FLores</t>
        </is>
      </c>
      <c r="G2353" t="inlineStr">
        <is>
          <t>Procurement</t>
        </is>
      </c>
      <c r="H2353"/>
      <c r="I2353"/>
      <c r="J2353" t="inlineStr">
        <is>
          <t>Project</t>
        </is>
      </c>
      <c r="K2353" t="inlineStr">
        <is>
          <t>PDEI - Game Marketing</t>
        </is>
      </c>
      <c r="L2353" t="inlineStr">
        <is>
          <t>SportsPlus MPBL Fan Zone Opening Day</t>
        </is>
      </c>
      <c r="M2353" t="inlineStr">
        <is>
          <t>2026TEG-P0088</t>
        </is>
      </c>
      <c r="N2353" t="inlineStr">
        <is>
          <t>Kervin</t>
        </is>
      </c>
      <c r="O2353" t="inlineStr">
        <is>
          <t>202604060064-Kervin-费用报销 - 副本 - 副本 - 副本-2026-04-06 04:26:35</t>
        </is>
      </c>
      <c r="P2353" t="inlineStr">
        <is>
          <t>NO</t>
        </is>
      </c>
      <c r="Q2353"/>
      <c r="R2353" t="inlineStr">
        <is>
          <t>NO</t>
        </is>
      </c>
      <c r="S2353" t="inlineStr">
        <is>
          <t>Customization of Arcade Machine</t>
        </is>
      </c>
      <c r="T2353">
        <v>2</v>
      </c>
      <c r="U2353">
        <v>8500</v>
      </c>
      <c r="V2353" t="inlineStr">
        <is>
          <t>PHP</t>
        </is>
      </c>
      <c r="W2353">
        <v>17000</v>
      </c>
      <c r="X2353" s="2"/>
      <c r="Y2353"/>
      <c r="Z2353"/>
      <c r="AA2353"/>
      <c r="AB2353"/>
      <c r="AC2353"/>
      <c r="AD2353" s="4"/>
      <c r="AE2353"/>
      <c r="AF2353" s="2"/>
      <c r="AG2353" t="inlineStr">
        <is>
          <t>NzQyNTk5MTgyNzQ4MTg3MDM0MTpDN0I0QUI4My05NzlBLTRGM0EtQjk5NC1GODc5Q0NGMDFBMTktMjoyZjk5MjJhM2RkNzE5MzkyZGQ3NTY5MTcwYzBlNjk2Mzox</t>
        </is>
      </c>
      <c r="AH2353"/>
      <c r="AI2353"/>
      <c r="AJ2353" t="inlineStr">
        <is>
          <t>LIQUIDITY PLAN (PAR # 202603240070 / 2026TEG-P0028)
PRE-PURCHASED ITEMS &gt;
Arcade Basketball
Total Budget = Php 75,000.00
Actual Cost = Php 33,500.00
Balance = Php 41,500.00</t>
        </is>
      </c>
      <c r="AK2353"/>
    </row>
    <row r="2354" ht="25.5" customHeight="1">
      <c r="A2354" s="2" t="str">
        <f>=HYPERLINK("https://applink.larksuite.com/client/mini_program/open?appId=cli_9c7cc8a9a9edd105&amp;mode=appCenter&amp;path_pc=pc/pages/requested/index?instanceId=7626366610613210850&amp;source=bitable&amp;path=pages/detail/index?instanceId=7626366610613210850&amp;source=bitable", "202604080187")</f>
        <v>202604080187</v>
      </c>
      <c r="B2354" t="inlineStr">
        <is>
          <t>Approved</t>
        </is>
      </c>
      <c r="C2354" t="inlineStr">
        <is>
          <t>Procurement Order</t>
        </is>
      </c>
      <c r="D2354" s="3">
        <v>46120.8593287037</v>
      </c>
      <c r="E2354" s="3">
        <v>46122.45434027778</v>
      </c>
      <c r="F2354" t="inlineStr">
        <is>
          <t>Fatima Kathleen M. FLores</t>
        </is>
      </c>
      <c r="G2354" t="inlineStr">
        <is>
          <t>Procurement</t>
        </is>
      </c>
      <c r="H2354"/>
      <c r="I2354"/>
      <c r="J2354" t="inlineStr">
        <is>
          <t>Project</t>
        </is>
      </c>
      <c r="K2354" t="inlineStr">
        <is>
          <t>PDEI - Game Marketing</t>
        </is>
      </c>
      <c r="L2354" t="inlineStr">
        <is>
          <t>SportsPlus MPBL Fan Zone Opening Day</t>
        </is>
      </c>
      <c r="M2354" t="inlineStr">
        <is>
          <t>2026TEG-P0088</t>
        </is>
      </c>
      <c r="N2354" t="inlineStr">
        <is>
          <t>Kervin</t>
        </is>
      </c>
      <c r="O2354" t="inlineStr">
        <is>
          <t>202604060064-Kervin-费用报销 - 副本 - 副本 - 副本-2026-04-06 04:26:35</t>
        </is>
      </c>
      <c r="P2354" t="inlineStr">
        <is>
          <t>NO</t>
        </is>
      </c>
      <c r="Q2354"/>
      <c r="R2354" t="inlineStr">
        <is>
          <t>NO</t>
        </is>
      </c>
      <c r="S2354" t="inlineStr">
        <is>
          <t>Delivery Charge + Toll Fee</t>
        </is>
      </c>
      <c r="T2354">
        <v>1</v>
      </c>
      <c r="U2354">
        <v>4500</v>
      </c>
      <c r="V2354" t="inlineStr">
        <is>
          <t>PHP</t>
        </is>
      </c>
      <c r="W2354">
        <v>4500</v>
      </c>
      <c r="X2354" s="2" t="str">
        <f>=HYPERLINK("https://www.larksuite.com/approval/admin/previewAttachment?key=PMgxCgJBDAXQK_2fZH4mXsZmh0XErYQVi5xdsNj2aRKag65CFK3ATplcEiG6EXOgrZlZSKbQ69jvx7cixvNca_PPK_t8bPt6c1SaIT3CJwDeLveMiCoF_m6_AAAA__8", "2 attachment(s)")</f>
        <v>2 attachment(s)</v>
      </c>
      <c r="Y2354"/>
      <c r="Z2354"/>
      <c r="AA2354"/>
      <c r="AB2354"/>
      <c r="AC2354"/>
      <c r="AD2354" s="4"/>
      <c r="AE2354"/>
      <c r="AF2354" s="2"/>
      <c r="AG2354" t="inlineStr">
        <is>
          <t>NzQyNTk5MTgyNzQ4MTg3MDM0MTpDN0I0QUI4My05NzlBLTRGM0EtQjk5NC1GODc5Q0NGMDFBMTktMzo2YzhmZDY0NzE0MjJjN2ZhZWE5ZmRmYzI0OGYyNTUwZjox</t>
        </is>
      </c>
      <c r="AH2354"/>
      <c r="AI2354"/>
      <c r="AJ2354" t="inlineStr">
        <is>
          <t>LIQUIDITY PLAN (PAR # 202603240070 / 2026TEG-P0028)
PRE-PURCHASED ITEMS &gt;
Arcade Basketball
Total Budget = Php 75,000.00
Actual Cost = Php 33,500.00
Balance = Php 41,500.00</t>
        </is>
      </c>
      <c r="AK2354"/>
    </row>
    <row r="2355" ht="25.5" customHeight="1">
      <c r="A2355" s="2" t="str">
        <f>=HYPERLINK("https://applink.larksuite.com/client/mini_program/open?appId=cli_9c7cc8a9a9edd105&amp;mode=appCenter&amp;path_pc=pc/pages/requested/index?instanceId=7626335900189576925&amp;source=bitable&amp;path=pages/detail/index?instanceId=7626335900189576925&amp;source=bitable", "202604080153")</f>
        <v>202604080153</v>
      </c>
      <c r="B2355" t="inlineStr">
        <is>
          <t>Approved</t>
        </is>
      </c>
      <c r="C2355" t="inlineStr">
        <is>
          <t>Procurement Order</t>
        </is>
      </c>
      <c r="D2355" s="3">
        <v>46120.77657407407</v>
      </c>
      <c r="E2355" s="3">
        <v>46122.731145833335</v>
      </c>
      <c r="F2355" t="inlineStr">
        <is>
          <t>Fatima Kathleen M. FLores</t>
        </is>
      </c>
      <c r="G2355" t="inlineStr">
        <is>
          <t>Procurement</t>
        </is>
      </c>
      <c r="H2355"/>
      <c r="I2355"/>
      <c r="J2355" t="inlineStr">
        <is>
          <t>Project</t>
        </is>
      </c>
      <c r="K2355" t="inlineStr">
        <is>
          <t>PDEI - Game Marketing</t>
        </is>
      </c>
      <c r="L2355" t="inlineStr">
        <is>
          <t>SportsPlus MPBL Fan Zone Opening Day</t>
        </is>
      </c>
      <c r="M2355" t="inlineStr">
        <is>
          <t>2026TEG-P0088</t>
        </is>
      </c>
      <c r="N2355" t="inlineStr">
        <is>
          <t>Kervin</t>
        </is>
      </c>
      <c r="O2355" t="inlineStr">
        <is>
          <t>202604060060-Kervin-费用报销 - 副本 - 副本 - 副本-2026-04-06 04:20:01</t>
        </is>
      </c>
      <c r="P2355" t="inlineStr">
        <is>
          <t>NO</t>
        </is>
      </c>
      <c r="Q2355"/>
      <c r="R2355" t="inlineStr">
        <is>
          <t>YES</t>
        </is>
      </c>
      <c r="S2355" t="inlineStr">
        <is>
          <t>Rental of Lights and Audio System (April 10, 2026 / Laguna &amp; Caloocan)</t>
        </is>
      </c>
      <c r="T2355">
        <v>1</v>
      </c>
      <c r="U2355">
        <v>175000</v>
      </c>
      <c r="V2355" t="inlineStr">
        <is>
          <t>PHP</t>
        </is>
      </c>
      <c r="W2355">
        <v>175000</v>
      </c>
      <c r="X2355" s="2" t="str">
        <f>=HYPERLINK("https://www.larksuite.com/approval/admin/previewAttachment?key=PMg7DsIwEATQK81-vOPhMjRYFhClQoBS-OxIFGlfdUP1ZlFCylywxfKKaAKsq7HkbfkyUqCxsMY-ryO4zc0Ofp-P_X2sz_02x8ua6A5GZnQAdjk9mJlSJf6OXwAAAP__", "2 attachment(s)")</f>
        <v>2 attachment(s)</v>
      </c>
      <c r="Y2355" t="inlineStr">
        <is>
          <t>Bank Transfer</t>
        </is>
      </c>
      <c r="Z2355" t="inlineStr">
        <is>
          <t>Peter Angelo F. Somera</t>
        </is>
      </c>
      <c r="AA2355" t="inlineStr">
        <is>
          <t>006781125108</t>
        </is>
      </c>
      <c r="AB2355" t="inlineStr">
        <is>
          <t>BDO</t>
        </is>
      </c>
      <c r="AC2355" t="inlineStr">
        <is>
          <t>Blk 89 Lot 28 Domingo De Ramos St., Greater Lagro, QC</t>
        </is>
      </c>
      <c r="AD2355" s="4">
        <v>46122</v>
      </c>
      <c r="AE2355" t="inlineStr">
        <is>
          <t>50% Down Payment - Apr. 10, 2026
30% 2nd Payment - Apr. 17, 2026
20% Final Payment - Apr. 30, 2026</t>
        </is>
      </c>
      <c r="AF2355" s="2"/>
      <c r="AG2355" t="inlineStr">
        <is>
          <t>NzQyNTk5MTgyNzQ4MTg3MDM0MTpGNzUyQTg5OC04REM1LTRCMzEtQkJFNy0xNDlDOEZBODZFRjAtMTozMzI5ZDcyZGQ2ZjE2Y2VkM2I3NGExYmI2NmZhOGE1MTox</t>
        </is>
      </c>
      <c r="AH2355" t="inlineStr">
        <is>
          <t>Banda Pilipinas Events Management Services</t>
        </is>
      </c>
      <c r="AI2355"/>
      <c r="AJ2355" t="inlineStr">
        <is>
          <t>LIQUIDITY PLAN (PAR # 202604060049 / 2026TEG-P0088)                                                       
Festival &gt; TECHNICALS &gt;
Basic Lights &amp; Sounds
Genset (125KVA)
Total Budget = Php 160,000.00
Actual Cost = Php 175,000.00
Balance = (Php 15,000.00) OVER BUDGET</t>
        </is>
      </c>
      <c r="AK2355"/>
    </row>
    <row r="2356" ht="25.5" customHeight="1">
      <c r="A2356" s="2" t="str">
        <f>=HYPERLINK("https://applink.larksuite.com/client/mini_program/open?appId=cli_9c7cc8a9a9edd105&amp;mode=appCenter&amp;path_pc=pc/pages/requested/index?instanceId=7597381134007160542&amp;source=bitable&amp;path=pages/detail/index?instanceId=7597381134007160542&amp;source=bitable", "202601200096")</f>
        <v>202601200096</v>
      </c>
      <c r="B2356" t="inlineStr">
        <is>
          <t>Approved</t>
        </is>
      </c>
      <c r="C2356" t="inlineStr">
        <is>
          <t>Procurement Order</t>
        </is>
      </c>
      <c r="D2356" s="3">
        <v>46042.749293981484</v>
      </c>
      <c r="E2356" s="3">
        <v>46125.50890046296</v>
      </c>
      <c r="F2356" t="inlineStr">
        <is>
          <t>Fatima Kathleen M. FLores</t>
        </is>
      </c>
      <c r="G2356" t="inlineStr">
        <is>
          <t>Procurement</t>
        </is>
      </c>
      <c r="H2356"/>
      <c r="I2356"/>
      <c r="J2356" t="inlineStr">
        <is>
          <t>Project</t>
        </is>
      </c>
      <c r="K2356" t="inlineStr">
        <is>
          <t>PDEI - Event Service</t>
        </is>
      </c>
      <c r="L2356" t="inlineStr">
        <is>
          <t>MPL PH S16 Media Day</t>
        </is>
      </c>
      <c r="M2356" t="inlineStr">
        <is>
          <t>2025TEG-P0194</t>
        </is>
      </c>
      <c r="N2356" t="inlineStr">
        <is>
          <t>Jessica Jane Lor Felicilda</t>
        </is>
      </c>
      <c r="O2356" t="inlineStr">
        <is>
          <t>202507310011-Jessica Jane Lor Felicilda-费用报销 - 副本 - 副本 - 副本-2025-07-31 02:56:00</t>
        </is>
      </c>
      <c r="P2356" t="inlineStr">
        <is>
          <t>NO</t>
        </is>
      </c>
      <c r="Q2356"/>
      <c r="R2356" t="inlineStr">
        <is>
          <t>YES</t>
        </is>
      </c>
      <c r="S2356" t="inlineStr">
        <is>
          <t>Rental of LED</t>
        </is>
      </c>
      <c r="T2356">
        <v>1</v>
      </c>
      <c r="U2356">
        <v>119079.52</v>
      </c>
      <c r="V2356" t="inlineStr">
        <is>
          <t>PHP</t>
        </is>
      </c>
      <c r="W2356">
        <v>119079.52</v>
      </c>
      <c r="X2356" s="2" t="str">
        <f>=HYPERLINK("https://www.larksuite.com/approval/admin/previewAttachment?key=PMhBCsJADAXQK_2fZJL5XsZNSxGhgyBINzm74MLty0nkHPQUQjSBXUPlk_QAiokR1tasEoqV6P087nqOZZeuc71o2-rPYzv2N4fKDOURPgHw9neviJAy8HN8AwAA__8", "2 attachment(s)")</f>
        <v>2 attachment(s)</v>
      </c>
      <c r="Y2356" t="inlineStr">
        <is>
          <t>Bank Transfer</t>
        </is>
      </c>
      <c r="Z2356" t="inlineStr">
        <is>
          <t>APEX FRANCHISE VENTURES OPC.</t>
        </is>
      </c>
      <c r="AA2356" t="inlineStr">
        <is>
          <t>001620006872</t>
        </is>
      </c>
      <c r="AB2356" t="inlineStr">
        <is>
          <t>Unionbank of the Phils.</t>
        </is>
      </c>
      <c r="AC2356" t="inlineStr">
        <is>
          <t>9F Santolan Town Plaza, Santolan Road, San Juan City</t>
        </is>
      </c>
      <c r="AD2356" s="4">
        <v>46042</v>
      </c>
      <c r="AE2356" t="inlineStr">
        <is>
          <t>100% Full payment</t>
        </is>
      </c>
      <c r="AF2356" s="2"/>
      <c r="AG2356" t="inlineStr">
        <is>
          <t>NzQyNTk5MTgyNzQ4MTg3MDM0MTo3MUQ2MEFGQy1GNEZBLTQ3MTctQTU4Mi01ODE1NDI1ODZDQTktMTo4MzEyYWZiOGRiOTkyZDRjYTZiYTRmMDRiMjEyMDk4Yjox</t>
        </is>
      </c>
      <c r="AH2356" t="inlineStr">
        <is>
          <t>APEX FRANCHISE VENTURES OPC.</t>
        </is>
      </c>
      <c r="AI2356"/>
      <c r="AJ2356" t="inlineStr">
        <is>
          <t>No line item in internal CE. Unbudgeted.</t>
        </is>
      </c>
      <c r="AK2356"/>
    </row>
    <row r="2357" ht="25.5" customHeight="1">
      <c r="A2357" s="2" t="str">
        <f>=HYPERLINK("https://applink.larksuite.com/client/mini_program/open?appId=cli_9c7cc8a9a9edd105&amp;mode=appCenter&amp;path_pc=pc/pages/requested/index?instanceId=7626321493642727134&amp;source=bitable&amp;path=pages/detail/index?instanceId=7626321493642727134&amp;source=bitable", "202604080130")</f>
        <v>202604080130</v>
      </c>
      <c r="B2357" t="inlineStr">
        <is>
          <t>Approved</t>
        </is>
      </c>
      <c r="C2357" t="inlineStr">
        <is>
          <t>Procurement Order</t>
        </is>
      </c>
      <c r="D2357" s="3">
        <v>46120.73775462963</v>
      </c>
      <c r="E2357" s="3">
        <v>46122.698958333334</v>
      </c>
      <c r="F2357" t="inlineStr">
        <is>
          <t>Fatima Kathleen M. FLores</t>
        </is>
      </c>
      <c r="G2357" t="inlineStr">
        <is>
          <t>Procurement</t>
        </is>
      </c>
      <c r="H2357"/>
      <c r="I2357"/>
      <c r="J2357" t="inlineStr">
        <is>
          <t>Project</t>
        </is>
      </c>
      <c r="K2357" t="inlineStr">
        <is>
          <t>GG - Event Service</t>
        </is>
      </c>
      <c r="L2357" t="inlineStr">
        <is>
          <t>PUBG Mobile 8th Anniversary Event</t>
        </is>
      </c>
      <c r="M2357" t="inlineStr">
        <is>
          <t>2026TEG-P0066</t>
        </is>
      </c>
      <c r="N2357" t="inlineStr">
        <is>
          <t>Randy Vince Fernandez Apura</t>
        </is>
      </c>
      <c r="O2357" t="inlineStr">
        <is>
          <t>202603270092-Frances Angelita Arreglado-费用报销 - 副本 - 副本 - 副本-2026-03-27 09:42:19</t>
        </is>
      </c>
      <c r="P2357" t="inlineStr">
        <is>
          <t>YES</t>
        </is>
      </c>
      <c r="Q2357"/>
      <c r="R2357" t="inlineStr">
        <is>
          <t>YES</t>
        </is>
      </c>
      <c r="S2357" t="inlineStr">
        <is>
          <t>Outsourced Talent / Caster (Reyrey) - Metro Manila &amp; Cavite</t>
        </is>
      </c>
      <c r="T2357">
        <v>1</v>
      </c>
      <c r="U2357">
        <v>20500</v>
      </c>
      <c r="V2357" t="inlineStr">
        <is>
          <t>PHP</t>
        </is>
      </c>
      <c r="W2357">
        <v>20500</v>
      </c>
      <c r="X2357" s="2" t="str">
        <f>=HYPERLINK("https://www.larksuite.com/approval/admin/previewAttachment?key=PMgxrsJADATQK83YE8_6X-Y3WUUgQYUgNHt2JAraV4OosTGroWY0uFxRGVRnKRxmasWi3TBdWPN-_NP7FeN8n9O35xzrddmP-eDWjoBTygGAfz9PS-ou4ev4BAAA__8", "3 attachment(s)")</f>
        <v>3 attachment(s)</v>
      </c>
      <c r="Y2357" t="inlineStr">
        <is>
          <t>Bank Transfer</t>
        </is>
      </c>
      <c r="Z2357" t="inlineStr">
        <is>
          <t>Reycelle Anne Claravall Garrido</t>
        </is>
      </c>
      <c r="AA2357" t="inlineStr">
        <is>
          <t>6044 0200 6105</t>
        </is>
      </c>
      <c r="AB2357" t="inlineStr">
        <is>
          <t>China Bank Savings</t>
        </is>
      </c>
      <c r="AC2357" t="inlineStr">
        <is>
          <t>35-B Zamboanga Street, Brgy. Nayong Kanluran, West Avenue, Quezon City</t>
        </is>
      </c>
      <c r="AD2357" s="4">
        <v>46122</v>
      </c>
      <c r="AE2357" t="inlineStr">
        <is>
          <t>100% Full Payment - Apr. 10, 2026</t>
        </is>
      </c>
      <c r="AF2357" s="2"/>
      <c r="AG2357" t="inlineStr">
        <is>
          <t>NzQyNTk5MTgyNzQ4MTg3MDM0MTpERTM5RTc3OC00RDY4LTRDNDMtQkI2Qi04QTEzQTY3OEY0N0UtMTpiNjI2MTdmMjRlMTkwODhjNzc4ODFjOWRlNjNkMmI4OTox</t>
        </is>
      </c>
      <c r="AH2357" t="inlineStr">
        <is>
          <t>Reycelle Anne Claravall Garrido</t>
        </is>
      </c>
      <c r="AI2357"/>
      <c r="AJ2357" t="inlineStr">
        <is>
          <t>LIQUIDITY PLAN (PAR # 202603150011 / 202603150011) - AS OF 03/24/26
SOUTH LUZON LEG - MARCH 28, 2026 &gt; MANPOWER &gt;
Talents &gt; Host / Caster 
METRO MANILA LEG - MARCH 29, 2026 &gt; MANPOWER &gt;
Talents &gt; Host / Caster 
Total Remaining Budget = Php 1,500.00
Actual Cost = Php 20,500.00
Balance = (Php 19,000.00) OVER BUDGET</t>
        </is>
      </c>
      <c r="AK2357"/>
    </row>
    <row r="2358" ht="25.5" customHeight="1">
      <c r="A2358" s="2" t="str">
        <f>=HYPERLINK("https://applink.larksuite.com/client/mini_program/open?appId=cli_9c7cc8a9a9edd105&amp;mode=appCenter&amp;path_pc=pc/pages/requested/index?instanceId=7597639602039426780&amp;source=bitable&amp;path=pages/detail/index?instanceId=7597639602039426780&amp;source=bitable", "202601210013")</f>
        <v>202601210013</v>
      </c>
      <c r="B2358" t="inlineStr">
        <is>
          <t>Approved</t>
        </is>
      </c>
      <c r="C2358" t="inlineStr">
        <is>
          <t>Procurement Order</t>
        </is>
      </c>
      <c r="D2358" s="3">
        <v>46043.44582175926</v>
      </c>
      <c r="E2358" s="3">
        <v>46125.51954861111</v>
      </c>
      <c r="F2358" t="inlineStr">
        <is>
          <t>Fatima Kathleen M. FLores</t>
        </is>
      </c>
      <c r="G2358" t="inlineStr">
        <is>
          <t>Procurement</t>
        </is>
      </c>
      <c r="H2358"/>
      <c r="I2358"/>
      <c r="J2358" t="inlineStr">
        <is>
          <t>Project</t>
        </is>
      </c>
      <c r="K2358" t="inlineStr">
        <is>
          <t>PDEI - Game Marketing</t>
        </is>
      </c>
      <c r="L2358" t="inlineStr">
        <is>
          <t>realme Cup</t>
        </is>
      </c>
      <c r="M2358" t="inlineStr">
        <is>
          <t>2025TEG-P0094</t>
        </is>
      </c>
      <c r="N2358" t="inlineStr">
        <is>
          <t>Anteaus Villena</t>
        </is>
      </c>
      <c r="O2358" t="inlineStr">
        <is>
          <t>202505180015-Anteaus Villena-费用报销 - 副本 - 副本 - 副本-2025-05-18 11:22:28</t>
        </is>
      </c>
      <c r="P2358" t="inlineStr">
        <is>
          <t>NO</t>
        </is>
      </c>
      <c r="Q2358"/>
      <c r="R2358" t="inlineStr">
        <is>
          <t>YES</t>
        </is>
      </c>
      <c r="S2358" t="inlineStr">
        <is>
          <t>LED Rental, Logistics / Delivery</t>
        </is>
      </c>
      <c r="T2358">
        <v>1</v>
      </c>
      <c r="U2358">
        <v>127680</v>
      </c>
      <c r="V2358" t="inlineStr">
        <is>
          <t>PHP</t>
        </is>
      </c>
      <c r="W2358">
        <v>127680</v>
      </c>
      <c r="X2358" s="2" t="str">
        <f>=HYPERLINK("https://www.larksuite.com/approval/admin/previewAttachment?key=PMg9ikJBEATgK1X_TNfUXmYTh0HEB4L4MOmzCwamX01DzWFRQspcsOYQK1RwhNKLE-1tpEBjodex_8dYr7Tjfd_xuOXZ5_Wy19OG6A5GZkwA9vfzYGZKlfg6PgEAAP__", "2 attachment(s)")</f>
        <v>2 attachment(s)</v>
      </c>
      <c r="Y2358" t="inlineStr">
        <is>
          <t>Bank Transfer</t>
        </is>
      </c>
      <c r="Z2358" t="inlineStr">
        <is>
          <t>APEX FRANCHISE VENTURES OPC.</t>
        </is>
      </c>
      <c r="AA2358" t="inlineStr">
        <is>
          <t>001620006872</t>
        </is>
      </c>
      <c r="AB2358" t="inlineStr">
        <is>
          <t>UnionBank of the Philippines</t>
        </is>
      </c>
      <c r="AC2358" t="inlineStr">
        <is>
          <t>9th Floor Santolan Town Plaza 276 Santolan Road Little Baguio 1500 City of San Juan</t>
        </is>
      </c>
      <c r="AD2358" s="4">
        <v>46043</v>
      </c>
      <c r="AE2358" t="inlineStr">
        <is>
          <t>100% Full Payment</t>
        </is>
      </c>
      <c r="AF2358" s="2"/>
      <c r="AG2358" t="inlineStr">
        <is>
          <t>NzQyNTk5MTgyNzQ4MTg3MDM0MTpFQjY0RjhEMS0wQjVBLTQ1MzItOTVCMC1CRDI2NkMzOEJDQUItMTo2YjRhNDAyZTQ1ODY1YTVjMDIxZGFiZmVkZDc0NTRmODox</t>
        </is>
      </c>
      <c r="AH2358" t="inlineStr">
        <is>
          <t>APEX FRANCHISE VENTURES OPC.</t>
        </is>
      </c>
      <c r="AI2358"/>
      <c r="AJ2358" t="inlineStr">
        <is>
          <t>LIQUIDITY PLAN (PAR # 202504230101)
Stage Technical Package
Total Remaing Budget = Php 85,600.00
Actual Cost = Php 127,680.00
Balance = (Php 42,080.00) OVER BUDGET</t>
        </is>
      </c>
      <c r="AK2358"/>
    </row>
    <row r="2359" ht="25.5" customHeight="1">
      <c r="A2359" s="2" t="str">
        <f>=HYPERLINK("https://applink.larksuite.com/client/mini_program/open?appId=cli_9c7cc8a9a9edd105&amp;mode=appCenter&amp;path_pc=pc/pages/requested/index?instanceId=7628070698292186844&amp;source=bitable&amp;path=pages/detail/index?instanceId=7628070698292186844&amp;source=bitable", "202604130022")</f>
        <v>202604130022</v>
      </c>
      <c r="B2359" t="inlineStr">
        <is>
          <t>Approved</t>
        </is>
      </c>
      <c r="C2359" t="inlineStr">
        <is>
          <t>Procurement Order</t>
        </is>
      </c>
      <c r="D2359" s="3">
        <v>46125.45150462963</v>
      </c>
      <c r="E2359" s="3">
        <v>46125.601689814815</v>
      </c>
      <c r="F2359" t="inlineStr">
        <is>
          <t>Fatima Kathleen M. FLores</t>
        </is>
      </c>
      <c r="G2359" t="inlineStr">
        <is>
          <t>Procurement</t>
        </is>
      </c>
      <c r="H2359"/>
      <c r="I2359"/>
      <c r="J2359" t="inlineStr">
        <is>
          <t>Project</t>
        </is>
      </c>
      <c r="K2359" t="inlineStr">
        <is>
          <t>PDEI - Event Service</t>
        </is>
      </c>
      <c r="L2359" t="inlineStr">
        <is>
          <t>MPL PH S17</t>
        </is>
      </c>
      <c r="M2359" t="inlineStr">
        <is>
          <t>2026TEG-P0009</t>
        </is>
      </c>
      <c r="N2359" t="inlineStr">
        <is>
          <t>Katherine Denise Lee Sy</t>
        </is>
      </c>
      <c r="O2359" t="inlineStr">
        <is>
          <t>202603030075-Katherine Denise Lee Sy-费用报销 - 副本 - 副本 - 副本-2026-03-03 06:58:21</t>
        </is>
      </c>
      <c r="P2359" t="inlineStr">
        <is>
          <t>NO</t>
        </is>
      </c>
      <c r="Q2359"/>
      <c r="R2359" t="inlineStr">
        <is>
          <t>NO</t>
        </is>
      </c>
      <c r="S2359" t="inlineStr">
        <is>
          <t>Direct Internet Access (500Mbps)</t>
        </is>
      </c>
      <c r="T2359">
        <v>1</v>
      </c>
      <c r="U2359">
        <v>280000</v>
      </c>
      <c r="V2359" t="inlineStr">
        <is>
          <t>PHP</t>
        </is>
      </c>
      <c r="W2359">
        <v>280000</v>
      </c>
      <c r="X2359" s="2" t="str">
        <f>=HYPERLINK("https://www.larksuite.com/approval/admin/previewAttachment?key=PMgxCsJQEATQK83sn7-z62VsDEEIqYSk-mcXLGxfFpE1ObKhZjS4nFEwsis6WFnSikW7YTqxtnN_HqHpez_vyYrrWNf7tW8fznYEPKRRAPj4-7Ck7hR-jm8AAAD__w", "3 attachment(s)")</f>
        <v>3 attachment(s)</v>
      </c>
      <c r="Y2359" t="inlineStr">
        <is>
          <t>Bank Transfer</t>
        </is>
      </c>
      <c r="Z2359" t="inlineStr">
        <is>
          <t>INNOVE COMMUNICATIONS INC.</t>
        </is>
      </c>
      <c r="AA2359" t="inlineStr">
        <is>
          <t>1891004105 / Swift Code: BOPIPHMMXXX</t>
        </is>
      </c>
      <c r="AB2359" t="inlineStr">
        <is>
          <t>BPI</t>
        </is>
      </c>
      <c r="AC2359" t="inlineStr">
        <is>
          <t>32nd Street cor. 7th Ave., BGC, Taguig City</t>
        </is>
      </c>
      <c r="AD2359" s="4">
        <v>46127</v>
      </c>
      <c r="AE2359" t="inlineStr">
        <is>
          <t>100% Full Payment</t>
        </is>
      </c>
      <c r="AF2359" s="2"/>
      <c r="AG2359" t="inlineStr">
        <is>
          <t>NzQyNTk5MTgyNzQ4MTg3MDM0MTpCMTMyMUY0Ni02MEVGLTRCRkMtOUJDNC0yRkFGQjIzODE0MDItMTo1ODBjODAzYmUzNWE4MTZkYmM4MGEzNDA1MGI2ZjEyZDox</t>
        </is>
      </c>
      <c r="AH2359" t="inlineStr">
        <is>
          <t>INNOVE COMMUNICATIONS INC.</t>
        </is>
      </c>
      <c r="AI2359"/>
      <c r="AJ2359" t="inlineStr">
        <is>
          <t>LIQUIDITY PLAN (PAR # 202602190021 / 2026TEG-P0009) - AS OF 031626
INTERNET &amp; NETWORK &gt; ISP Regular Season (Globe)
Total Budget = Php 280,000.00
Actual Cost = Php 280,000.00</t>
        </is>
      </c>
      <c r="AK2359"/>
    </row>
    <row r="2360" ht="25.5" customHeight="1">
      <c r="A2360" s="2" t="str">
        <f>=HYPERLINK("https://applink.larksuite.com/client/mini_program/open?appId=cli_9c7cc8a9a9edd105&amp;mode=appCenter&amp;path_pc=pc/pages/requested/index?instanceId=7628103136778079973&amp;source=bitable&amp;path=pages/detail/index?instanceId=7628103136778079973&amp;source=bitable", "202604130053")</f>
        <v>202604130053</v>
      </c>
      <c r="B2360" t="inlineStr">
        <is>
          <t>Approved</t>
        </is>
      </c>
      <c r="C2360" t="inlineStr">
        <is>
          <t>Procurement Order</t>
        </is>
      </c>
      <c r="D2360" s="3">
        <v>46125.53892361111</v>
      </c>
      <c r="E2360" s="3">
        <v>46125.57127314815</v>
      </c>
      <c r="F2360" t="inlineStr">
        <is>
          <t>Fatima Kathleen M. FLores</t>
        </is>
      </c>
      <c r="G2360" t="inlineStr">
        <is>
          <t>Procurement</t>
        </is>
      </c>
      <c r="H2360"/>
      <c r="I2360"/>
      <c r="J2360" t="inlineStr">
        <is>
          <t>Project</t>
        </is>
      </c>
      <c r="K2360" t="inlineStr">
        <is>
          <t>PDEI - Game Marketing</t>
        </is>
      </c>
      <c r="L2360" t="inlineStr">
        <is>
          <t>BingoPlus Music Fest</t>
        </is>
      </c>
      <c r="M2360" t="inlineStr">
        <is>
          <t>2025TEG-P0260</t>
        </is>
      </c>
      <c r="N2360" t="inlineStr">
        <is>
          <t>Anteaus Villena</t>
        </is>
      </c>
      <c r="O2360" t="inlineStr">
        <is>
          <t>202601290030-Anteaus Villena-费用报销 - 副本 - 副本 - 副本-2026-01-29 06:39:34</t>
        </is>
      </c>
      <c r="P2360" t="inlineStr">
        <is>
          <t>YES</t>
        </is>
      </c>
      <c r="Q2360"/>
      <c r="R2360" t="inlineStr">
        <is>
          <t>NO</t>
        </is>
      </c>
      <c r="S2360" t="inlineStr">
        <is>
          <t>Agency Fee</t>
        </is>
      </c>
      <c r="T2360">
        <v>1</v>
      </c>
      <c r="U2360">
        <v>324613.06</v>
      </c>
      <c r="V2360" t="inlineStr">
        <is>
          <t>USD</t>
        </is>
      </c>
      <c r="W2360">
        <v>324613.06</v>
      </c>
      <c r="X2360" s="2" t="str">
        <f>=HYPERLINK("https://www.larksuite.com/approval/admin/previewAttachment?key=PMgxDgJRCATQK80AnwEvY-NmY1atjNtxdhML25dFZC16NqJpDY7SinB6SgV1y8eGUkNUYrbXfrUTXDgWj8fnSc15v-3bm6tlBnmEFwBe_u6KiO4M_BzfAAAA__8", "2 attachment(s)")</f>
        <v>2 attachment(s)</v>
      </c>
      <c r="Y2360" t="inlineStr">
        <is>
          <t>Bank Transfer</t>
        </is>
      </c>
      <c r="Z2360" t="inlineStr">
        <is>
          <t>APEX FRANCHISE VENTURES OPC</t>
        </is>
      </c>
      <c r="AA2360" t="inlineStr">
        <is>
          <t>001620006872</t>
        </is>
      </c>
      <c r="AB2360" t="inlineStr">
        <is>
          <t>UnionBank of the Philippines</t>
        </is>
      </c>
      <c r="AC2360" t="inlineStr">
        <is>
          <t>9th Floor Santolan Town Plaza 276 Santolan Road Little Baguio 1500 City of San Juan</t>
        </is>
      </c>
      <c r="AD2360" s="4">
        <v>46129</v>
      </c>
      <c r="AE2360" t="inlineStr">
        <is>
          <t>100% Full Payment</t>
        </is>
      </c>
      <c r="AF2360" s="2"/>
      <c r="AG2360" t="inlineStr">
        <is>
          <t>NzQyNTk5MTgyNzQ4MTg3MDM0MTpBMkI3QTg0Mi1ENDZELTRBQzQtOUIzMy01RDYyQzE3MTRFOUMtMToxYTViYjVjMDJhNTg5ZWJjNDFkZWIyYWVlNGQ4MDdjNTox</t>
        </is>
      </c>
      <c r="AH2360" t="inlineStr">
        <is>
          <t>APEX FRANCHISE VENTURES OPC</t>
        </is>
      </c>
      <c r="AI2360"/>
      <c r="AJ2360" t="inlineStr">
        <is>
          <t>LIQUIDITY PLAN (PAR # 202509290143 / 2025TEG-P0260)
International DJ - Allan Walker
Total Budget = Php 29,000,000.00
Actual Cost = Php 19,152,170.54 / $ 324,613.06
Balance = Php 9,847,829.46</t>
        </is>
      </c>
      <c r="AK2360"/>
    </row>
    <row r="2361" ht="25.5" customHeight="1">
      <c r="A2361" s="2" t="str">
        <f>=HYPERLINK("https://applink.larksuite.com/client/mini_program/open?appId=cli_9c7cc8a9a9edd105&amp;mode=appCenter&amp;path_pc=pc/pages/requested/index?instanceId=7628193118503833317&amp;source=bitable&amp;path=pages/detail/index?instanceId=7628193118503833317&amp;source=bitable", "202604130151")</f>
        <v>202604130151</v>
      </c>
      <c r="B2361" t="inlineStr">
        <is>
          <t>Rejected</t>
        </is>
      </c>
      <c r="C2361" t="inlineStr">
        <is>
          <t>Procurement Order</t>
        </is>
      </c>
      <c r="D2361" s="3">
        <v>46125.78140046296</v>
      </c>
      <c r="E2361" s="3">
        <v>46126.45354166667</v>
      </c>
      <c r="F2361" t="inlineStr">
        <is>
          <t>Fatima Kathleen M. FLores</t>
        </is>
      </c>
      <c r="G2361" t="inlineStr">
        <is>
          <t>Procurement</t>
        </is>
      </c>
      <c r="H2361"/>
      <c r="I2361"/>
      <c r="J2361" t="inlineStr">
        <is>
          <t>Project</t>
        </is>
      </c>
      <c r="K2361" t="inlineStr">
        <is>
          <t>PDEI - Game Marketing</t>
        </is>
      </c>
      <c r="L2361" t="inlineStr">
        <is>
          <t>Cobra Core Event</t>
        </is>
      </c>
      <c r="M2361" t="inlineStr">
        <is>
          <t>2026TEG-P0078</t>
        </is>
      </c>
      <c r="N2361" t="inlineStr">
        <is>
          <t>Ronelle Kylene Chaneco Lim</t>
        </is>
      </c>
      <c r="O2361" t="inlineStr">
        <is>
          <t>202604100088-Ronelle Kylene Chaneco Lim-费用报销 - 副本 - 副本 - 副本-2026-04-10 09:20:36</t>
        </is>
      </c>
      <c r="P2361" t="inlineStr">
        <is>
          <t>NO</t>
        </is>
      </c>
      <c r="Q2361"/>
      <c r="R2361" t="inlineStr">
        <is>
          <t>NO</t>
        </is>
      </c>
      <c r="S2361" t="inlineStr">
        <is>
          <t>Tension Fabric Backdrop (2-sides) / Size: 10' x 8'</t>
        </is>
      </c>
      <c r="T2361">
        <v>2</v>
      </c>
      <c r="U2361">
        <v>20160</v>
      </c>
      <c r="V2361" t="inlineStr">
        <is>
          <t>PHP</t>
        </is>
      </c>
      <c r="W2361">
        <v>40320</v>
      </c>
      <c r="X2361" s="2" t="str">
        <f>=HYPERLINK("https://www.larksuite.com/approval/admin/previewAttachment?key=PMg9qgIxFAXgLZ2T-_8285oJQRgnjShY3LULFrafJ-FpFC9ocRTY4SNZQqZBUkQYPZoRhWA4el7r32y-n3uf1z6Wnfd-3Y41H7SKMRCiKgmAfz-XUNUqV3wdnwAAAP__", "2 attachment(s)")</f>
        <v>2 attachment(s)</v>
      </c>
      <c r="Y2361" t="inlineStr">
        <is>
          <t>Bank Transfer</t>
        </is>
      </c>
      <c r="Z2361" t="inlineStr">
        <is>
          <t>GOLDEN ARTS PRINTING SERVICES</t>
        </is>
      </c>
      <c r="AA2361" t="inlineStr">
        <is>
          <t>766-7-766000572</t>
        </is>
      </c>
      <c r="AB2361" t="inlineStr">
        <is>
          <t>Metrobank</t>
        </is>
      </c>
      <c r="AC2361" t="inlineStr">
        <is>
          <t>728 Raxabago St., Brgy. 154, Zone 14, Tondo, Manila</t>
        </is>
      </c>
      <c r="AD2361" s="4">
        <v>46129</v>
      </c>
      <c r="AE2361" t="inlineStr">
        <is>
          <t>50% Down Payment upon confirmation
50% Final Payment before release of items</t>
        </is>
      </c>
      <c r="AF2361" s="2" t="str">
        <f>=HYPERLINK("https://www.larksuite.com/approval/admin/previewAttachment?key=TMg9CgIxEAXgK72Xyfx5GZsNQViTRhQs5uyC1bafBWGhFEv0ZEuw3FowhQyFhIjQqxXdE0431Fjzrjq-773PtY-p57M-j2OOFy3E0FN7ZwLg7eIkMsTk7_gFAAD__w", "3 attachment(s)")</f>
        <v>3 attachment(s)</v>
      </c>
      <c r="AG2361" t="inlineStr">
        <is>
          <t>NzQyNTk5MTgyNzQ4MTg3MDM0MToxOTlCQjczOS05QjRELTQ0RDUtOTNEMy0yMEMwQzczRTM2RUQtMTplYzM4MWRmZTJmMDJkYjBlMmE4NjhhYWZiNGVlY2ExNjox</t>
        </is>
      </c>
      <c r="AH2361" t="inlineStr">
        <is>
          <t>GOLDEN ARTS PRINTING SERVICES</t>
        </is>
      </c>
      <c r="AI2361"/>
      <c r="AJ2361" t="inlineStr">
        <is>
          <t>LIQUIDITY PLAN (PAR # 202604080057 / 2026TEG-P0078)
EVENT EXECUTION COLLATERALS &gt;
Tension Fabric Wall
Total Budget = Php 32,000.00
Actual Cost = Php 40,320.00
Balance = (Php 8,320.00) OVER BUDGET</t>
        </is>
      </c>
      <c r="AK2361"/>
    </row>
    <row r="2362" ht="25.5" customHeight="1">
      <c r="A2362" s="2" t="str">
        <f>=HYPERLINK("https://applink.larksuite.com/client/mini_program/open?appId=cli_9c7cc8a9a9edd105&amp;mode=appCenter&amp;path_pc=pc/pages/requested/index?instanceId=7628443146090778333&amp;source=bitable&amp;path=pages/detail/index?instanceId=7628443146090778333&amp;source=bitable", "202604140010")</f>
        <v>202604140010</v>
      </c>
      <c r="B2362" t="inlineStr">
        <is>
          <t>Approved</t>
        </is>
      </c>
      <c r="C2362" t="inlineStr">
        <is>
          <t>Procurement Order</t>
        </is>
      </c>
      <c r="D2362" s="3">
        <v>46126.45517361111</v>
      </c>
      <c r="E2362" s="3">
        <v>46126.754016203704</v>
      </c>
      <c r="F2362" t="inlineStr">
        <is>
          <t>Fatima Kathleen M. FLores</t>
        </is>
      </c>
      <c r="G2362" t="inlineStr">
        <is>
          <t>Procurement</t>
        </is>
      </c>
      <c r="H2362"/>
      <c r="I2362"/>
      <c r="J2362" t="inlineStr">
        <is>
          <t>Project</t>
        </is>
      </c>
      <c r="K2362" t="inlineStr">
        <is>
          <t>PDEI - Game Marketing</t>
        </is>
      </c>
      <c r="L2362" t="inlineStr">
        <is>
          <t>Cobra Core Event</t>
        </is>
      </c>
      <c r="M2362" t="inlineStr">
        <is>
          <t>2026TEG-P0078</t>
        </is>
      </c>
      <c r="N2362" t="inlineStr">
        <is>
          <t>Ronelle Kylene Chaneco Lim</t>
        </is>
      </c>
      <c r="O2362" t="inlineStr">
        <is>
          <t>202604100088-Ronelle Kylene Chaneco Lim-费用报销 - 副本 - 副本 - 副本-2026-04-10 09:20:36</t>
        </is>
      </c>
      <c r="P2362" t="inlineStr">
        <is>
          <t>NO</t>
        </is>
      </c>
      <c r="Q2362"/>
      <c r="R2362" t="inlineStr">
        <is>
          <t>YES</t>
        </is>
      </c>
      <c r="S2362" t="inlineStr">
        <is>
          <t>Tension Fabric Backdrop (2-sides) / Size: 10' x 8'</t>
        </is>
      </c>
      <c r="T2362">
        <v>2</v>
      </c>
      <c r="U2362">
        <v>20160</v>
      </c>
      <c r="V2362" t="inlineStr">
        <is>
          <t>PHP</t>
        </is>
      </c>
      <c r="W2362">
        <v>40320</v>
      </c>
      <c r="X2362" s="2" t="str">
        <f>=HYPERLINK("https://www.larksuite.com/approval/admin/previewAttachment?key=PMgxCgJBDAXQK_2fZPInXsbGZdFdthIGLHJ2wcL25SRyDnoWomgFttJmhDMSBWm6e1tTKohK9Hbt9-Pi6_TPMOM6x9Hr-di3N0fJDPIInwB4-7srIqoy8HN8AwAA__8", "2 attachment(s)")</f>
        <v>2 attachment(s)</v>
      </c>
      <c r="Y2362" t="inlineStr">
        <is>
          <t>Bank Transfer</t>
        </is>
      </c>
      <c r="Z2362" t="inlineStr">
        <is>
          <t>GOLDEN ARTS PRINTING SERVICES</t>
        </is>
      </c>
      <c r="AA2362" t="inlineStr">
        <is>
          <t>766-7-766000572</t>
        </is>
      </c>
      <c r="AB2362" t="inlineStr">
        <is>
          <t>Metrobank</t>
        </is>
      </c>
      <c r="AC2362" t="inlineStr">
        <is>
          <t>728 Raxabago St., Brgy. 154, Zone 14, Tondo, Manila</t>
        </is>
      </c>
      <c r="AD2362" s="4">
        <v>46129</v>
      </c>
      <c r="AE2362" t="inlineStr">
        <is>
          <t>50% Down Payment upon confirmation
50% Final Payment before release of items</t>
        </is>
      </c>
      <c r="AF2362" s="2" t="str">
        <f>=HYPERLINK("https://www.larksuite.com/approval/admin/previewAttachment?key=TMgxCgJBDAXQK_0_yfwkXsbGZdFdthIGLHJ2wcr2KQnlpKngxVFgh0a6G10oRKSZ9WhGFIIh9Hbt9-Pi67TPHIPrnEev52Pf3lSa4DXdWQB4-3MSlSb7Ob4BAAD__w", "3 attachment(s)")</f>
        <v>3 attachment(s)</v>
      </c>
      <c r="AG2362" t="inlineStr">
        <is>
          <t>NzQyNTk5MTgyNzQ4MTg3MDM0MTo4QUUxOTAyNi0xRThCLTRCMjUtQkREOS1ENjVBMzdBRUM3M0ItMTo2YTMxODE3OTllZDgyMDdhNTAyOGE4NmNkYWI4MGZlZDox</t>
        </is>
      </c>
      <c r="AH2362" t="inlineStr">
        <is>
          <t>GOLDEN ARTS PRINTING SERVICES</t>
        </is>
      </c>
      <c r="AI2362"/>
      <c r="AJ2362" t="inlineStr">
        <is>
          <t>LIQUIDITY PLAN (PAR # 202604080057 / 2026TEG-P0078)
EVENT EXECUTION COLLATERALS &gt;
Tension Fabric Wall
Total Budget = Php 32,000.00
Actual Cost = Php 40,320.00
Balance = (Php 8,320.00) OVER BUDGET</t>
        </is>
      </c>
      <c r="AK2362"/>
    </row>
    <row r="2363" ht="25.5" customHeight="1">
      <c r="A2363" s="2" t="str">
        <f>=HYPERLINK("https://applink.larksuite.com/client/mini_program/open?appId=cli_9c7cc8a9a9edd105&amp;mode=appCenter&amp;path_pc=pc/pages/requested/index?instanceId=7628175108233760478&amp;source=bitable&amp;path=pages/detail/index?instanceId=7628175108233760478&amp;source=bitable", "202604130126")</f>
        <v>202604130126</v>
      </c>
      <c r="B2363" t="inlineStr">
        <is>
          <t>Approved</t>
        </is>
      </c>
      <c r="C2363" t="inlineStr">
        <is>
          <t>Procurement Order</t>
        </is>
      </c>
      <c r="D2363" s="3">
        <v>46125.73287037037</v>
      </c>
      <c r="E2363" s="3">
        <v>46127.71592592593</v>
      </c>
      <c r="F2363" t="inlineStr">
        <is>
          <t>Fatima Kathleen M. FLores</t>
        </is>
      </c>
      <c r="G2363" t="inlineStr">
        <is>
          <t>Procurement</t>
        </is>
      </c>
      <c r="H2363"/>
      <c r="I2363"/>
      <c r="J2363" t="inlineStr">
        <is>
          <t>Project</t>
        </is>
      </c>
      <c r="K2363" t="inlineStr">
        <is>
          <t>GG - Event Service</t>
        </is>
      </c>
      <c r="L2363" t="inlineStr">
        <is>
          <t>Philippine Kings League Spring Season 2026 (PKL)</t>
        </is>
      </c>
      <c r="M2363" t="inlineStr">
        <is>
          <t>2026TEG-P0037</t>
        </is>
      </c>
      <c r="N2363" t="inlineStr">
        <is>
          <t>Juvie Anne Asis Castres</t>
        </is>
      </c>
      <c r="O2363" t="inlineStr">
        <is>
          <t>202603240064-Juvie Anne Asis Castres-费用报销 - 副本 - 副本 - 副本-2026-03-24 12:04:01</t>
        </is>
      </c>
      <c r="P2363" t="inlineStr">
        <is>
          <t>YES</t>
        </is>
      </c>
      <c r="Q2363"/>
      <c r="R2363" t="inlineStr">
        <is>
          <t>YES</t>
        </is>
      </c>
      <c r="S2363" t="inlineStr">
        <is>
          <t>Outsourced BM Consultant/CEBU CG Operator</t>
        </is>
      </c>
      <c r="T2363">
        <v>1</v>
      </c>
      <c r="U2363">
        <v>25000</v>
      </c>
      <c r="V2363" t="inlineStr">
        <is>
          <t>PHP</t>
        </is>
      </c>
      <c r="W2363">
        <v>25000</v>
      </c>
      <c r="X2363" s="2" t="str">
        <f>=HYPERLINK("https://www.larksuite.com/approval/admin/previewAttachment?key=PMgxCgJBDAXQK_2fZPITL2PjsjjCiiAsWMzZBQvbl0VkDXo2omkNLqUVNYgydyVCtWxRaohKrO3Yr_P8HLTnPu31mAPrvN_27c3RMoM8wgsAL393RUR3Bn6ObwAAAP__", "2 attachment(s)")</f>
        <v>2 attachment(s)</v>
      </c>
      <c r="Y2363" t="inlineStr">
        <is>
          <t>Bank Transfer</t>
        </is>
      </c>
      <c r="Z2363" t="inlineStr">
        <is>
          <t>John Benigno R. Magat</t>
        </is>
      </c>
      <c r="AA2363" t="inlineStr">
        <is>
          <t>046110005388</t>
        </is>
      </c>
      <c r="AB2363" t="inlineStr">
        <is>
          <t>PSBank</t>
        </is>
      </c>
      <c r="AC2363" t="inlineStr">
        <is>
          <t>228 Grissom st. Brgy Moonwalk Paranaque</t>
        </is>
      </c>
      <c r="AD2363" s="4">
        <v>46129</v>
      </c>
      <c r="AE2363" t="inlineStr">
        <is>
          <t>100% Full Payment - Apr. 17, 2026</t>
        </is>
      </c>
      <c r="AF2363" s="2"/>
      <c r="AG2363" t="inlineStr">
        <is>
          <t>NzQyNTk5MTgyNzQ4MTg3MDM0MTo3MzU4QzQ5NC05N0I2LTQ5NTYtOTQzOC0zMjRDMkY4NUNBMzYtMTo2ZWYyNjhlMTEyZGNiNTdlZWM5Y2FlOWJiNDRhNzExNTox</t>
        </is>
      </c>
      <c r="AH2363" t="inlineStr">
        <is>
          <t>John Benigno R. Magat</t>
        </is>
      </c>
      <c r="AI2363"/>
      <c r="AJ2363" t="inlineStr">
        <is>
          <t>No line item in internal CE. Unbudgeted.</t>
        </is>
      </c>
      <c r="AK2363"/>
    </row>
    <row r="2364" ht="25.5" customHeight="1">
      <c r="A2364" s="2" t="str">
        <f>=HYPERLINK("https://applink.larksuite.com/client/mini_program/open?appId=cli_9c7cc8a9a9edd105&amp;mode=appCenter&amp;path_pc=pc/pages/requested/index?instanceId=7628508395389161182&amp;source=bitable&amp;path=pages/detail/index?instanceId=7628508395389161182&amp;source=bitable", "202604140066")</f>
        <v>202604140066</v>
      </c>
      <c r="B2364" t="inlineStr">
        <is>
          <t>Approved</t>
        </is>
      </c>
      <c r="C2364" t="inlineStr">
        <is>
          <t>Procurement Order</t>
        </is>
      </c>
      <c r="D2364" s="3">
        <v>46126.63101851852</v>
      </c>
      <c r="E2364" s="3">
        <v>46127.62783564815</v>
      </c>
      <c r="F2364" t="inlineStr">
        <is>
          <t>Fatima Kathleen M. FLores</t>
        </is>
      </c>
      <c r="G2364" t="inlineStr">
        <is>
          <t>Procurement</t>
        </is>
      </c>
      <c r="H2364"/>
      <c r="I2364"/>
      <c r="J2364" t="inlineStr">
        <is>
          <t>GAE</t>
        </is>
      </c>
      <c r="K2364"/>
      <c r="L2364"/>
      <c r="M2364"/>
      <c r="N2364"/>
      <c r="O2364" t="inlineStr">
        <is>
          <t>202604100001-Madelyn Espanto-费用报销 - 副本 - 副本 - 副本-2026-04-10 01:19:09</t>
        </is>
      </c>
      <c r="P2364"/>
      <c r="Q2364" t="inlineStr">
        <is>
          <t>Mineski PH</t>
        </is>
      </c>
      <c r="R2364"/>
      <c r="S2364" t="inlineStr">
        <is>
          <t>Food Trays (100 pax)</t>
        </is>
      </c>
      <c r="T2364">
        <v>1</v>
      </c>
      <c r="U2364">
        <v>29880</v>
      </c>
      <c r="V2364" t="inlineStr">
        <is>
          <t>PHP</t>
        </is>
      </c>
      <c r="W2364">
        <v>29880</v>
      </c>
      <c r="X2364" s="2" t="str">
        <f>=HYPERLINK("https://www.larksuite.com/approval/admin/previewAttachment?key=PMixjQJRDATQlmZsf9tzzVzC6guENkJs5tqRCEhfNpG96CmEaAKn0nqhXctbTLJtbFglFCsxx7n_7cJpsd_Ph1S-5rrf9vHiUpmhPMIbAP9-7hURUga-jk8AAAD__w", "2 attachment(s)")</f>
        <v>2 attachment(s)</v>
      </c>
      <c r="Y2364" t="inlineStr">
        <is>
          <t>Bank Transfer</t>
        </is>
      </c>
      <c r="Z2364" t="inlineStr">
        <is>
          <t>MICHELIN CUISINE AND FINE FOODS INC.</t>
        </is>
      </c>
      <c r="AA2364" t="inlineStr">
        <is>
          <t>00-109-802-8471</t>
        </is>
      </c>
      <c r="AB2364" t="inlineStr">
        <is>
          <t>BDO</t>
        </is>
      </c>
      <c r="AC2364" t="inlineStr">
        <is>
          <t>No.1 Kalantiaw St. Cor. 20th Ave. Project 4 Cubao Quezon City</t>
        </is>
      </c>
      <c r="AD2364" s="4">
        <v>46126</v>
      </c>
      <c r="AE2364" t="inlineStr">
        <is>
          <t>50% Down payment - April 14, 2026
50% Final Payment - Apr. 15, 2026</t>
        </is>
      </c>
      <c r="AF2364" s="2"/>
      <c r="AG2364" t="inlineStr">
        <is>
          <t>NzQyNTk5MTgyNzQ4MTg3MDM0MTpGQTMxNTE4MS0zQjIzLTQ2ODYtQkQzRS1BOEE0NjY5RjE3NjEtMToxNzAyOTdiZjg5MDg2NTE1MTNmZTljZmUwMzNjNjc3ODox</t>
        </is>
      </c>
      <c r="AH2364" t="inlineStr">
        <is>
          <t>MICHELIN CUISINE AND FINE FOODS INC.</t>
        </is>
      </c>
      <c r="AI2364"/>
      <c r="AJ2364"/>
      <c r="AK2364" t="inlineStr">
        <is>
          <t>Madelyn Espanto</t>
        </is>
      </c>
    </row>
    <row r="2365" ht="25.5" customHeight="1">
      <c r="A2365" s="2" t="str">
        <f>=HYPERLINK("https://applink.larksuite.com/client/mini_program/open?appId=cli_9c7cc8a9a9edd105&amp;mode=appCenter&amp;path_pc=pc/pages/requested/index?instanceId=7628510573818433245&amp;source=bitable&amp;path=pages/detail/index?instanceId=7628510573818433245&amp;source=bitable", "202604140067")</f>
        <v>202604140067</v>
      </c>
      <c r="B2365" t="inlineStr">
        <is>
          <t>Approved</t>
        </is>
      </c>
      <c r="C2365" t="inlineStr">
        <is>
          <t>Procurement Order</t>
        </is>
      </c>
      <c r="D2365" s="3">
        <v>46126.63688657407</v>
      </c>
      <c r="E2365" s="3">
        <v>46127.491585648146</v>
      </c>
      <c r="F2365" t="inlineStr">
        <is>
          <t>Fatima Kathleen M. FLores</t>
        </is>
      </c>
      <c r="G2365" t="inlineStr">
        <is>
          <t>Procurement</t>
        </is>
      </c>
      <c r="H2365"/>
      <c r="I2365"/>
      <c r="J2365" t="inlineStr">
        <is>
          <t>Project</t>
        </is>
      </c>
      <c r="K2365" t="inlineStr">
        <is>
          <t>GG - Event Service</t>
        </is>
      </c>
      <c r="L2365" t="inlineStr">
        <is>
          <t>PUBG Mobile 8th Anniversary Event</t>
        </is>
      </c>
      <c r="M2365" t="inlineStr">
        <is>
          <t>2026TEG-P0066</t>
        </is>
      </c>
      <c r="N2365" t="inlineStr">
        <is>
          <t>Randy Vince Fernandez Apura</t>
        </is>
      </c>
      <c r="O2365" t="inlineStr">
        <is>
          <t>202604060019-Randy Vince Fernandez Apura-费用报销 - 副本 - 副本 - 副本-2026-04-06 02:23:51</t>
        </is>
      </c>
      <c r="P2365" t="inlineStr">
        <is>
          <t>YES</t>
        </is>
      </c>
      <c r="Q2365"/>
      <c r="R2365" t="inlineStr">
        <is>
          <t>YES</t>
        </is>
      </c>
      <c r="S2365" t="inlineStr">
        <is>
          <t>Outsourced Electrical Engineer</t>
        </is>
      </c>
      <c r="T2365">
        <v>1</v>
      </c>
      <c r="U2365">
        <v>2230</v>
      </c>
      <c r="V2365" t="inlineStr">
        <is>
          <t>PHP</t>
        </is>
      </c>
      <c r="W2365">
        <v>2230</v>
      </c>
      <c r="X2365" s="2" t="str">
        <f>=HYPERLINK("https://www.larksuite.com/approval/admin/previewAttachment?key=PMg9CsJAEAXgK703_-NlbLIsIgQWJHZ7dsEi7RdFRDk1GtaUBneGlBOeWixTFfMtm5mNZAb2OOdzvY_TfPBa18KY-_s65vjQO0WQaqYFgI_bNc2sOwx_xy8AAP__", "2 attachment(s)")</f>
        <v>2 attachment(s)</v>
      </c>
      <c r="Y2365" t="inlineStr">
        <is>
          <t>Bank Transfer</t>
        </is>
      </c>
      <c r="Z2365" t="inlineStr">
        <is>
          <t>Krizzy Joyce Daugdaug</t>
        </is>
      </c>
      <c r="AA2365" t="inlineStr">
        <is>
          <t>1094 2193 1275</t>
        </is>
      </c>
      <c r="AB2365" t="inlineStr">
        <is>
          <t>UnionBank</t>
        </is>
      </c>
      <c r="AC2365" t="inlineStr">
        <is>
          <t>Purok 3 Aqualand San Vicente Panabo City</t>
        </is>
      </c>
      <c r="AD2365" s="4">
        <v>46129</v>
      </c>
      <c r="AE2365" t="inlineStr">
        <is>
          <t>100% Full Payment - Apr. 17, 2026</t>
        </is>
      </c>
      <c r="AF2365" s="2"/>
      <c r="AG2365" t="inlineStr">
        <is>
          <t>NzQyNTk5MTgyNzQ4MTg3MDM0MTpGMTk5RUFFNS01NkQ2LTRGMzMtQjg5RS1FM0JDNjc4MjgwMDEtMToxMmJhMTAzMTFiZWNkNDljZTA1ZDVhZGMwZmI1NWM2ZDox</t>
        </is>
      </c>
      <c r="AH2365" t="inlineStr">
        <is>
          <t>Krizzy Joyce Daugdaug</t>
        </is>
      </c>
      <c r="AI2365"/>
      <c r="AJ2365" t="inlineStr">
        <is>
          <t>No line item in internal CE. This is UNBUDGETED.</t>
        </is>
      </c>
      <c r="AK2365"/>
    </row>
    <row r="2366" ht="25.5" customHeight="1">
      <c r="A2366" s="2" t="str">
        <f>=HYPERLINK("https://applink.larksuite.com/client/mini_program/open?appId=cli_9c7cc8a9a9edd105&amp;mode=appCenter&amp;path_pc=pc/pages/requested/index?instanceId=7628503062096727771&amp;source=bitable&amp;path=pages/detail/index?instanceId=7628503062096727771&amp;source=bitable", "202604140060")</f>
        <v>202604140060</v>
      </c>
      <c r="B2366" t="inlineStr">
        <is>
          <t>Approved</t>
        </is>
      </c>
      <c r="C2366" t="inlineStr">
        <is>
          <t>Procurement Order</t>
        </is>
      </c>
      <c r="D2366" s="3">
        <v>46126.616643518515</v>
      </c>
      <c r="E2366" s="3">
        <v>46126.738541666666</v>
      </c>
      <c r="F2366" t="inlineStr">
        <is>
          <t>Fatima Kathleen M. FLores</t>
        </is>
      </c>
      <c r="G2366" t="inlineStr">
        <is>
          <t>Procurement</t>
        </is>
      </c>
      <c r="H2366"/>
      <c r="I2366"/>
      <c r="J2366" t="inlineStr">
        <is>
          <t>Project</t>
        </is>
      </c>
      <c r="K2366" t="inlineStr">
        <is>
          <t>PDEI - Game Marketing</t>
        </is>
      </c>
      <c r="L2366" t="inlineStr">
        <is>
          <t>Cobra Core Event</t>
        </is>
      </c>
      <c r="M2366" t="inlineStr">
        <is>
          <t>2026TEG-P0078</t>
        </is>
      </c>
      <c r="N2366" t="inlineStr">
        <is>
          <t>Ronelle Kylene Chaneco Lim</t>
        </is>
      </c>
      <c r="O2366" t="inlineStr">
        <is>
          <t>202604130128-Ronelle Kylene Chaneco Lim-费用报销 - 副本 - 副本 - 副本-2026-04-13 09:40:28</t>
        </is>
      </c>
      <c r="P2366" t="inlineStr">
        <is>
          <t>YES</t>
        </is>
      </c>
      <c r="Q2366"/>
      <c r="R2366" t="inlineStr">
        <is>
          <t>NO</t>
        </is>
      </c>
      <c r="S2366" t="inlineStr">
        <is>
          <t>Fabrication of Glorifier Booth (Barrels, Crate and Dry Ice)</t>
        </is>
      </c>
      <c r="T2366">
        <v>1</v>
      </c>
      <c r="U2366">
        <v>36000</v>
      </c>
      <c r="V2366" t="inlineStr">
        <is>
          <t>PHP</t>
        </is>
      </c>
      <c r="W2366">
        <v>36000</v>
      </c>
      <c r="X2366" s="2" t="str">
        <f>=HYPERLINK("https://www.larksuite.com/approval/admin/previewAttachment?key=PMgxDsIwDAXQK_1vO_4xl2FpFTG0E1KYfHYkBtaXk8g56FmIohXYSpsDjjRUyiSxrSkVRCX6vNfTNu6rlh8cH13q_TrW-eYomUEe4RMAH393RURVBn6ObwAAAP__", "2 attachment(s)")</f>
        <v>2 attachment(s)</v>
      </c>
      <c r="Y2366" t="inlineStr">
        <is>
          <t>Bank Transfer</t>
        </is>
      </c>
      <c r="Z2366" t="inlineStr">
        <is>
          <t>MARIA ALELI A. BUSTAMANTE</t>
        </is>
      </c>
      <c r="AA2366" t="inlineStr">
        <is>
          <t>2379-0103-61</t>
        </is>
      </c>
      <c r="AB2366" t="inlineStr">
        <is>
          <t>BPI</t>
        </is>
      </c>
      <c r="AC2366" t="inlineStr">
        <is>
          <t>10 East Lane Drive, JEM 2 Homes, Tandang Sora, Pasong Tamo, QC</t>
        </is>
      </c>
      <c r="AD2366" s="4">
        <v>46126</v>
      </c>
      <c r="AE2366" t="inlineStr">
        <is>
          <t>50% Down Payment on April 14, 2026
25% Full payment on April 17, 2026</t>
        </is>
      </c>
      <c r="AF2366" s="2" t="str">
        <f>=HYPERLINK("https://www.larksuite.com/approval/admin/previewAttachment?key=TMgxDsJQDAPQK9nJ__YPl2FpVTG0E1KZcnYkJtanRWhNpgqjGAW2FWsioUDJYZsdTbtgWuj9Op5x4zrryI3z49N9v7Zjf1MrhVFzDBYAPv6cRK1U_hzfAAAA__8", "3 attachment(s)")</f>
        <v>3 attachment(s)</v>
      </c>
      <c r="AG2366" t="inlineStr">
        <is>
          <t>NzQyNTk5MTgyNzQ4MTg3MDM0MTpGMjBFMzJFRS1FNDg3LTRBQkQtQkY3Qi0xRkE5MjZDNDJCN0UtMTo3ZjE4NzRhM2NjOTFiMTc1MDljNzFhMTJlNzhhZjdmNzox</t>
        </is>
      </c>
      <c r="AH2366" t="inlineStr">
        <is>
          <t>AB Plus</t>
        </is>
      </c>
      <c r="AI2366"/>
      <c r="AJ2366" t="inlineStr">
        <is>
          <t>LIQUIDITY PLAN (PAR # 202604080057 / 2026TEG-P0078)
EVENT MANPOWER &gt;
Production Designer
 - Glorifier Booth
Total Budget = Php 80,000.00
Actual Cost = Php 36,000.00
Balance = Php 44,000.00</t>
        </is>
      </c>
      <c r="AK2366"/>
    </row>
    <row r="2367" ht="25.5" customHeight="1">
      <c r="A2367" s="2" t="str">
        <f>=HYPERLINK("https://applink.larksuite.com/client/mini_program/open?appId=cli_9c7cc8a9a9edd105&amp;mode=appCenter&amp;path_pc=pc/pages/requested/index?instanceId=7628500961710837470&amp;source=bitable&amp;path=pages/detail/index?instanceId=7628500961710837470&amp;source=bitable", "202604140057")</f>
        <v>202604140057</v>
      </c>
      <c r="B2367" t="inlineStr">
        <is>
          <t>Approved</t>
        </is>
      </c>
      <c r="C2367" t="inlineStr">
        <is>
          <t>Procurement Order</t>
        </is>
      </c>
      <c r="D2367" s="3">
        <v>46126.610983796294</v>
      </c>
      <c r="E2367" s="3">
        <v>46126.75241898148</v>
      </c>
      <c r="F2367" t="inlineStr">
        <is>
          <t>Fatima Kathleen M. FLores</t>
        </is>
      </c>
      <c r="G2367" t="inlineStr">
        <is>
          <t>Procurement</t>
        </is>
      </c>
      <c r="H2367"/>
      <c r="I2367"/>
      <c r="J2367" t="inlineStr">
        <is>
          <t>Project</t>
        </is>
      </c>
      <c r="K2367" t="inlineStr">
        <is>
          <t>PDEI - Game Marketing</t>
        </is>
      </c>
      <c r="L2367" t="inlineStr">
        <is>
          <t>Cobra Core Event</t>
        </is>
      </c>
      <c r="M2367" t="inlineStr">
        <is>
          <t>2026TEG-P0078</t>
        </is>
      </c>
      <c r="N2367" t="inlineStr">
        <is>
          <t>Ronelle Kylene Chaneco Lim</t>
        </is>
      </c>
      <c r="O2367" t="inlineStr">
        <is>
          <t>202604080098-Ronelle Kylene Chaneco Lim-费用报销 - 副本 - 副本 - 副本-2026-04-08 08:02:51</t>
        </is>
      </c>
      <c r="P2367" t="inlineStr">
        <is>
          <t>YES</t>
        </is>
      </c>
      <c r="Q2367"/>
      <c r="R2367" t="inlineStr">
        <is>
          <t>NO</t>
        </is>
      </c>
      <c r="S2367" t="inlineStr">
        <is>
          <t>Outsourced Production Team</t>
        </is>
      </c>
      <c r="T2367">
        <v>1</v>
      </c>
      <c r="U2367">
        <v>135000</v>
      </c>
      <c r="V2367" t="inlineStr">
        <is>
          <t>PHP</t>
        </is>
      </c>
      <c r="W2367">
        <v>135000</v>
      </c>
      <c r="X2367" s="2" t="str">
        <f>=HYPERLINK("https://www.larksuite.com/approval/admin/previewAttachment?key=PMg9ikMxDATgK83Yskbay2zzHiY_GAIhJo3OHkiR9vMgPAa7JyzZEix5iwGkU0R0mVCtKCVEOepc8_9xO9Z9XzEN6_XetS_HPJ8cqdagbtYDAP9-3mVmmW74Oj4BAAD__w", "2 attachment(s)")</f>
        <v>2 attachment(s)</v>
      </c>
      <c r="Y2367" t="inlineStr">
        <is>
          <t>Bank Transfer</t>
        </is>
      </c>
      <c r="Z2367" t="inlineStr">
        <is>
          <t>MARIA ALELI A. BUSTAMANTE</t>
        </is>
      </c>
      <c r="AA2367" t="inlineStr">
        <is>
          <t>2379-0103-61</t>
        </is>
      </c>
      <c r="AB2367" t="inlineStr">
        <is>
          <t>BPI</t>
        </is>
      </c>
      <c r="AC2367" t="inlineStr">
        <is>
          <t>10 East Lane Drive, JEM 2 Homes, Tandang Sora, Pasong Tamo, QC</t>
        </is>
      </c>
      <c r="AD2367" s="4">
        <v>46126</v>
      </c>
      <c r="AE2367" t="inlineStr">
        <is>
          <t>50% Down Payment on April 14, 2026
25% Full payment on April 17, 2026</t>
        </is>
      </c>
      <c r="AF2367" s="2" t="str">
        <f>=HYPERLINK("https://www.larksuite.com/approval/admin/previewAttachment?key=TMg7CkIxEAXQLd2bmczHzdi8EPwQEMRgM2sXrF57LAiLTrGEJluC5daiA2l0IsTVUa3onnC6ocaa19fjWM99x1Ssz3fXvh1zvGkhBs2uygTAy8lJZIjJ3_ELAAD__w", "3 attachment(s)")</f>
        <v>3 attachment(s)</v>
      </c>
      <c r="AG2367" t="inlineStr">
        <is>
          <t>NzQyNTk5MTgyNzQ4MTg3MDM0MTpFMDM1QTNEMy03RTMxLTQ1REQtOEUzMy1BQjUzMzVEQjRGRjUtMTpkNDE5NDRmZmUyYzQ4ZTU1MWE0ZjQ3YmJhYWFhODBmMDox</t>
        </is>
      </c>
      <c r="AH2367" t="inlineStr">
        <is>
          <t>AB Plus</t>
        </is>
      </c>
      <c r="AI2367"/>
      <c r="AJ2367" t="inlineStr">
        <is>
          <t>LIQUIDITY PLAN (PAR # 202604080057 / 2026TEG-P0078)
EVENT MANPOWER &gt;
Show Director
Stage Manager
Stage Hands
Lighting Director
Total Budget = Php 135,000.00
Actual Cost = Php 135,000.00</t>
        </is>
      </c>
      <c r="AK2367"/>
    </row>
    <row r="2368" ht="25.5" customHeight="1">
      <c r="A2368" s="2" t="str">
        <f>=HYPERLINK("https://applink.larksuite.com/client/mini_program/open?appId=cli_9c7cc8a9a9edd105&amp;mode=appCenter&amp;path_pc=pc/pages/requested/index?instanceId=7628504617222967008&amp;source=bitable&amp;path=pages/detail/index?instanceId=7628504617222967008&amp;source=bitable", "202604140061")</f>
        <v>202604140061</v>
      </c>
      <c r="B2368" t="inlineStr">
        <is>
          <t>Approved</t>
        </is>
      </c>
      <c r="C2368" t="inlineStr">
        <is>
          <t>Procurement Order</t>
        </is>
      </c>
      <c r="D2368" s="3">
        <v>46126.620833333334</v>
      </c>
      <c r="E2368" s="3">
        <v>46126.75300925926</v>
      </c>
      <c r="F2368" t="inlineStr">
        <is>
          <t>Fatima Kathleen M. FLores</t>
        </is>
      </c>
      <c r="G2368" t="inlineStr">
        <is>
          <t>Procurement</t>
        </is>
      </c>
      <c r="H2368"/>
      <c r="I2368"/>
      <c r="J2368" t="inlineStr">
        <is>
          <t>Project</t>
        </is>
      </c>
      <c r="K2368" t="inlineStr">
        <is>
          <t>PDEI - Game Marketing</t>
        </is>
      </c>
      <c r="L2368" t="inlineStr">
        <is>
          <t>Cobra Core Event</t>
        </is>
      </c>
      <c r="M2368" t="inlineStr">
        <is>
          <t>2026TEG-P0078</t>
        </is>
      </c>
      <c r="N2368" t="inlineStr">
        <is>
          <t>Ronelle Kylene Chaneco Lim</t>
        </is>
      </c>
      <c r="O2368" t="inlineStr">
        <is>
          <t>202604100055-Ronelle Kylene Chaneco Lim-费用报销 - 副本 - 副本 - 副本-2026-04-10 06:38:13</t>
        </is>
      </c>
      <c r="P2368" t="inlineStr">
        <is>
          <t>NO</t>
        </is>
      </c>
      <c r="Q2368"/>
      <c r="R2368" t="inlineStr">
        <is>
          <t>NO</t>
        </is>
      </c>
      <c r="S2368" t="inlineStr">
        <is>
          <t>STICKER ON SINTRA BOARD with STAND (31.20” X 71.36”)</t>
        </is>
      </c>
      <c r="T2368">
        <v>4</v>
      </c>
      <c r="U2368">
        <v>3192</v>
      </c>
      <c r="V2368" t="inlineStr">
        <is>
          <t>PHP</t>
        </is>
      </c>
      <c r="W2368">
        <v>12768</v>
      </c>
      <c r="X2368" s="2" t="str">
        <f>=HYPERLINK("https://www.larksuite.com/approval/admin/previewAttachment?key=PMgxCkJBDATQK81k8zOJl7FxWURZEISPTc4uWNi-SCLy4IiCF63AVlge8KDMrEJAtjWlgqhAz72uJ_dDwGvN52f67vN-W_PNo2QGDfeRAHj5-5C7V4Xj5_gGAAD__w", "2 attachment(s)")</f>
        <v>2 attachment(s)</v>
      </c>
      <c r="Y2368" t="inlineStr">
        <is>
          <t>Bank Transfer</t>
        </is>
      </c>
      <c r="Z2368" t="inlineStr">
        <is>
          <t>ILIGHT PRODUCTION</t>
        </is>
      </c>
      <c r="AA2368" t="inlineStr">
        <is>
          <t>007960010274</t>
        </is>
      </c>
      <c r="AB2368" t="inlineStr">
        <is>
          <t>BDO</t>
        </is>
      </c>
      <c r="AC2368" t="inlineStr">
        <is>
          <t>3791 Mascardo St. Brgy, Sta Cruz, Makati City</t>
        </is>
      </c>
      <c r="AD2368" s="4">
        <v>46136</v>
      </c>
      <c r="AE2368" t="inlineStr">
        <is>
          <t>100% Full Payment</t>
        </is>
      </c>
      <c r="AF2368" s="2"/>
      <c r="AG2368" t="inlineStr">
        <is>
          <t>NzQyNTk5MTgyNzQ4MTg3MDM0MTo0RjM0Q0E0Mi02Qzc1LTQ2RDMtOUM5Ny0yNUFFQ0Y0RkRFNjgtMToxOGRmNTg4NTE2M2JjYzg4NjIxMmViNWJhZTEzMjJiNzox</t>
        </is>
      </c>
      <c r="AH2368" t="inlineStr">
        <is>
          <t>ILIGHT PRODUCTION</t>
        </is>
      </c>
      <c r="AI2368"/>
      <c r="AJ2368" t="inlineStr">
        <is>
          <t>LIQUIDITY PLAN (PAR # 202604080057 / 2026TEG-P0078)
EVENT EXECUTION COLLATERALS &gt;
Sticker on Sintra
Total Budget = Php 15,000.00
Actual Cost = Php 12,768.00
Balance = Php 2,232.00</t>
        </is>
      </c>
      <c r="AK2368"/>
    </row>
    <row r="2369" ht="25.5" customHeight="1">
      <c r="A2369" s="2" t="str">
        <f>=HYPERLINK("https://applink.larksuite.com/client/mini_program/open?appId=cli_9c7cc8a9a9edd105&amp;mode=appCenter&amp;path_pc=pc/pages/requested/index?instanceId=7628525881752850141&amp;source=bitable&amp;path=pages/detail/index?instanceId=7628525881752850141&amp;source=bitable", "202604140082")</f>
        <v>202604140082</v>
      </c>
      <c r="B2369" t="inlineStr">
        <is>
          <t>Approved</t>
        </is>
      </c>
      <c r="C2369" t="inlineStr">
        <is>
          <t>Procurement Order</t>
        </is>
      </c>
      <c r="D2369" s="3">
        <v>46126.678136574075</v>
      </c>
      <c r="E2369" s="3">
        <v>46127.4894212963</v>
      </c>
      <c r="F2369" t="inlineStr">
        <is>
          <t>Fatima Kathleen M. FLores</t>
        </is>
      </c>
      <c r="G2369" t="inlineStr">
        <is>
          <t>Procurement</t>
        </is>
      </c>
      <c r="H2369"/>
      <c r="I2369"/>
      <c r="J2369" t="inlineStr">
        <is>
          <t>Project</t>
        </is>
      </c>
      <c r="K2369" t="inlineStr">
        <is>
          <t>PDEI - Game Marketing</t>
        </is>
      </c>
      <c r="L2369" t="inlineStr">
        <is>
          <t>SportsPlus MPBL Fan Zone Opening Day</t>
        </is>
      </c>
      <c r="M2369" t="inlineStr">
        <is>
          <t>2026TEG-P0088</t>
        </is>
      </c>
      <c r="N2369" t="inlineStr">
        <is>
          <t>Kervin</t>
        </is>
      </c>
      <c r="O2369" t="inlineStr">
        <is>
          <t>202604070012-Kervin-费用报销 - 副本 - 副本 - 副本-2026-04-07 02:31:21</t>
        </is>
      </c>
      <c r="P2369" t="inlineStr">
        <is>
          <t>YES</t>
        </is>
      </c>
      <c r="Q2369"/>
      <c r="R2369" t="inlineStr">
        <is>
          <t>NO</t>
        </is>
      </c>
      <c r="S2369" t="inlineStr">
        <is>
          <t>Outsourced Brand Ambassador (Caloocan &amp; Laguna)</t>
        </is>
      </c>
      <c r="T2369">
        <v>1</v>
      </c>
      <c r="U2369">
        <v>10000</v>
      </c>
      <c r="V2369" t="inlineStr">
        <is>
          <t>PHP</t>
        </is>
      </c>
      <c r="W2369">
        <v>10000</v>
      </c>
      <c r="X2369" s="2" t="str">
        <f>=HYPERLINK("https://www.larksuite.com/approval/admin/previewAttachment?key=PMg9CgIxEAXgK703mV8vY2MILmIQBK3m7ILFtp8n4WkcXtCiFNjhkiaWyTBJA5UtzYhCMJw9n-u6uY_kes3vA0dlf-63Nd-0ChHEUB0JgJfTR6hqlSv-jl8AAAD__w", "2 attachment(s)")</f>
        <v>2 attachment(s)</v>
      </c>
      <c r="Y2369" t="inlineStr">
        <is>
          <t>Bank Transfer</t>
        </is>
      </c>
      <c r="Z2369" t="inlineStr">
        <is>
          <t>Jasmine Dava</t>
        </is>
      </c>
      <c r="AA2369" t="inlineStr">
        <is>
          <t>09664084097</t>
        </is>
      </c>
      <c r="AB2369" t="inlineStr">
        <is>
          <t>GCash</t>
        </is>
      </c>
      <c r="AC2369" t="inlineStr">
        <is>
          <t>1559 1st st. Fabie Subdivision Paco, Manila</t>
        </is>
      </c>
      <c r="AD2369" s="4">
        <v>46136</v>
      </c>
      <c r="AE2369" t="inlineStr">
        <is>
          <t>100% Full Payment - Apr. 24, 2026</t>
        </is>
      </c>
      <c r="AF2369" s="2"/>
      <c r="AG2369" t="inlineStr">
        <is>
          <t>NzQyNTk5MTgyNzQ4MTg3MDM0MTo1REVENjkxMi04MDQxLTQ5RDktOTFCNS0yNDE2MjI1OEY0QjUtMTphZTQ4MDJiNmUyMzQ2Y2QwMzA1NzQ1ZWU5M2ZmYzgyMzox</t>
        </is>
      </c>
      <c r="AH2369" t="inlineStr">
        <is>
          <t>Jasmine Dava</t>
        </is>
      </c>
      <c r="AI2369"/>
      <c r="AJ2369" t="inlineStr">
        <is>
          <t>LIQUIDITY PLAN (PAR # 202604060049 / 2026TEG-P0088)                                                       
Talent Management &gt; Brand Ambassador
Total Budget = Php 22,000.00
Actual Cost = Php 10,000.00
Balance = Php 12,000.00</t>
        </is>
      </c>
      <c r="AK2369"/>
    </row>
    <row r="2370" ht="25.5" customHeight="1">
      <c r="A2370" s="2" t="str">
        <f>=HYPERLINK("https://applink.larksuite.com/client/mini_program/open?appId=cli_9c7cc8a9a9edd105&amp;mode=appCenter&amp;path_pc=pc/pages/requested/index?instanceId=7628177403245317861&amp;source=bitable&amp;path=pages/detail/index?instanceId=7628177403245317861&amp;source=bitable", "202604130130")</f>
        <v>202604130130</v>
      </c>
      <c r="B2370" t="inlineStr">
        <is>
          <t>Approved</t>
        </is>
      </c>
      <c r="C2370" t="inlineStr">
        <is>
          <t>Procurement Order</t>
        </is>
      </c>
      <c r="D2370" s="3">
        <v>46125.7390625</v>
      </c>
      <c r="E2370" s="3">
        <v>46127.4966087963</v>
      </c>
      <c r="F2370" t="inlineStr">
        <is>
          <t>Fatima Kathleen M. FLores</t>
        </is>
      </c>
      <c r="G2370" t="inlineStr">
        <is>
          <t>Procurement</t>
        </is>
      </c>
      <c r="H2370"/>
      <c r="I2370"/>
      <c r="J2370" t="inlineStr">
        <is>
          <t>Project</t>
        </is>
      </c>
      <c r="K2370" t="inlineStr">
        <is>
          <t>GG - Event Service</t>
        </is>
      </c>
      <c r="L2370" t="inlineStr">
        <is>
          <t>PUBG Mobile 8th Anniversary Event</t>
        </is>
      </c>
      <c r="M2370" t="inlineStr">
        <is>
          <t>2026TEG-P0066</t>
        </is>
      </c>
      <c r="N2370" t="inlineStr">
        <is>
          <t>Frances Angelita Arreglado</t>
        </is>
      </c>
      <c r="O2370" t="inlineStr">
        <is>
          <t>202603300046-Frances Angelita Arreglado-费用报销 - 副本 - 副本 - 副本-2026-03-30 04:50:27</t>
        </is>
      </c>
      <c r="P2370" t="inlineStr">
        <is>
          <t>YES</t>
        </is>
      </c>
      <c r="Q2370"/>
      <c r="R2370" t="inlineStr">
        <is>
          <t>YES</t>
        </is>
      </c>
      <c r="S2370" t="inlineStr">
        <is>
          <t>Outsourced Logistics Associates (Mar. 28 &amp; 29, 2026)</t>
        </is>
      </c>
      <c r="T2370">
        <v>1</v>
      </c>
      <c r="U2370">
        <v>5700</v>
      </c>
      <c r="V2370" t="inlineStr">
        <is>
          <t>PHP</t>
        </is>
      </c>
      <c r="W2370">
        <v>5700</v>
      </c>
      <c r="X2370" s="2" t="str">
        <f>=HYPERLINK("https://www.larksuite.com/approval/admin/previewAttachment?key=PMixDcJQDATQle5sx_fNMjREEQFRIT6h8OxIFLQvB5FjoWchilZgK21QCrjF4tRItjWlgqhkr4_t_PrMIw7bb-9Z-917Xi_b-uRSMoM8wgcAnv7uioiqDPwc3wAAAP__", "2 attachment(s)")</f>
        <v>2 attachment(s)</v>
      </c>
      <c r="Y2370" t="inlineStr">
        <is>
          <t>Bank Transfer</t>
        </is>
      </c>
      <c r="Z2370" t="inlineStr">
        <is>
          <t>Edzel Jay Vesencio</t>
        </is>
      </c>
      <c r="AA2370" t="inlineStr">
        <is>
          <t>09499825404</t>
        </is>
      </c>
      <c r="AB2370" t="inlineStr">
        <is>
          <t>GCash</t>
        </is>
      </c>
      <c r="AC2370" t="inlineStr">
        <is>
          <t>30 Balubad St., Twin River Subdivision, Nangka, Marikina City</t>
        </is>
      </c>
      <c r="AD2370" s="4">
        <v>46129</v>
      </c>
      <c r="AE2370" t="inlineStr">
        <is>
          <t>100% Full Payment - Apr. 17, 2026</t>
        </is>
      </c>
      <c r="AF2370" s="2"/>
      <c r="AG2370" t="inlineStr">
        <is>
          <t>NzQyNTk5MTgyNzQ4MTg3MDM0MTowQTVEMzE3Ri04RTgxLTQyNDctOTk2Ri0yNjk5NUJBQTI1MTYtMTo3ODQ2MjY1N2ZhNzA4NGZkYWQ4M2NhZDk5ZTIzY2I3NTox</t>
        </is>
      </c>
      <c r="AH2370" t="inlineStr">
        <is>
          <t>Edzel Jay Vesencio</t>
        </is>
      </c>
      <c r="AI2370"/>
      <c r="AJ2370" t="inlineStr">
        <is>
          <t>LIQUIDITY PLAN (PAR # 202603150011 / 202603150011) - AS OF 03/24/26
SOUTH LUZON LEG - MARCH 28, 2026 &gt; MANPOWER &gt;
Logistics, Hospitality &gt; Logistic Crew
METRO MANILA LEG - MARCH 29, 2026 &gt; MANPOWER &gt;
Logistics, Hospitality &gt; Logistics Crew
Total Remaining Budget = (Php 4,500.00) NEGATIVE BUDGET
Actual Cost = Php 5,700.00
Balance = (Php 10,200.00) OVER BUDGET</t>
        </is>
      </c>
      <c r="AK2370"/>
    </row>
    <row r="2371" ht="25.5" customHeight="1">
      <c r="A2371" s="2" t="str">
        <f>=HYPERLINK("https://applink.larksuite.com/client/mini_program/open?appId=cli_9c7cc8a9a9edd105&amp;mode=appCenter&amp;path_pc=pc/pages/requested/index?instanceId=7628530474809331422&amp;source=bitable&amp;path=pages/detail/index?instanceId=7628530474809331422&amp;source=bitable", "202604140087")</f>
        <v>202604140087</v>
      </c>
      <c r="B2371" t="inlineStr">
        <is>
          <t>Approved</t>
        </is>
      </c>
      <c r="C2371" t="inlineStr">
        <is>
          <t>Procurement Order</t>
        </is>
      </c>
      <c r="D2371" s="3">
        <v>46126.69050925926</v>
      </c>
      <c r="E2371" s="3">
        <v>46127.48887731481</v>
      </c>
      <c r="F2371" t="inlineStr">
        <is>
          <t>Fatima Kathleen M. FLores</t>
        </is>
      </c>
      <c r="G2371" t="inlineStr">
        <is>
          <t>Procurement</t>
        </is>
      </c>
      <c r="H2371"/>
      <c r="I2371"/>
      <c r="J2371" t="inlineStr">
        <is>
          <t>Project</t>
        </is>
      </c>
      <c r="K2371" t="inlineStr">
        <is>
          <t>PDEI - Game Marketing</t>
        </is>
      </c>
      <c r="L2371" t="inlineStr">
        <is>
          <t>SportsPlus MPBL Fan Zone Opening Day</t>
        </is>
      </c>
      <c r="M2371" t="inlineStr">
        <is>
          <t>2026TEG-P0088</t>
        </is>
      </c>
      <c r="N2371" t="inlineStr">
        <is>
          <t>Kervin</t>
        </is>
      </c>
      <c r="O2371" t="inlineStr">
        <is>
          <t>202604060058-Kervin-费用报销 - 副本 - 副本 - 副本-2026-04-06 04:15:34</t>
        </is>
      </c>
      <c r="P2371" t="inlineStr">
        <is>
          <t>NO</t>
        </is>
      </c>
      <c r="Q2371"/>
      <c r="R2371" t="inlineStr">
        <is>
          <t>NO</t>
        </is>
      </c>
      <c r="S2371" t="inlineStr">
        <is>
          <t>2.75FT X 6.5FT PULL UP BANNER WITH MECHANISM (Caloocan &amp; Laguna)</t>
        </is>
      </c>
      <c r="T2371">
        <v>8</v>
      </c>
      <c r="U2371">
        <v>1904</v>
      </c>
      <c r="V2371" t="inlineStr">
        <is>
          <t>PHP</t>
        </is>
      </c>
      <c r="W2371">
        <v>15232</v>
      </c>
      <c r="X2371" s="2"/>
      <c r="Y2371" t="inlineStr">
        <is>
          <t>Bank Transfer</t>
        </is>
      </c>
      <c r="Z2371" t="inlineStr">
        <is>
          <t>ILIGHT PRODUCTION</t>
        </is>
      </c>
      <c r="AA2371" t="inlineStr">
        <is>
          <t>007960010274</t>
        </is>
      </c>
      <c r="AB2371" t="inlineStr">
        <is>
          <t>BDO</t>
        </is>
      </c>
      <c r="AC2371" t="inlineStr">
        <is>
          <t>3791 Mascardo St. Brgy, Sta Cruz, Makati City</t>
        </is>
      </c>
      <c r="AD2371" s="4">
        <v>46136</v>
      </c>
      <c r="AE2371" t="inlineStr">
        <is>
          <t>100% Full Payment</t>
        </is>
      </c>
      <c r="AF2371" s="2"/>
      <c r="AG2371" t="inlineStr">
        <is>
          <t>NzQyNTk5MTgyNzQ4MTg3MDM0MTpBRTYzQkMyRC00OTRCLTRBQkEtODEzMC1GQTlDMkVFRTZDNjMtMTozZjAyNGVkMDZiMDQwNWQ3MTg1YWU0YWU0ZDk5MjlkOTox</t>
        </is>
      </c>
      <c r="AH2371" t="inlineStr">
        <is>
          <t>ILIGHT PRODUCTION</t>
        </is>
      </c>
      <c r="AI2371"/>
      <c r="AJ2371" t="inlineStr">
        <is>
          <t>LIQUIDITY PLAN (PAR # 202604060049 / 2026TEG-P0088)                                                       
FABRICATIONS / COLLATERALS &gt; Pull Up Banners
Total Budget = Php 28,000.00
Actual Cost = Php 16,569.28
Balance = Php 11,430.72</t>
        </is>
      </c>
      <c r="AK2371"/>
    </row>
    <row r="2372" ht="25.5" customHeight="1">
      <c r="A2372" s="2" t="str">
        <f>=HYPERLINK("https://applink.larksuite.com/client/mini_program/open?appId=cli_9c7cc8a9a9edd105&amp;mode=appCenter&amp;path_pc=pc/pages/requested/index?instanceId=7628530474809331422&amp;source=bitable&amp;path=pages/detail/index?instanceId=7628530474809331422&amp;source=bitable", "202604140087")</f>
        <v>202604140087</v>
      </c>
      <c r="B2372" t="inlineStr">
        <is>
          <t>Approved</t>
        </is>
      </c>
      <c r="C2372" t="inlineStr">
        <is>
          <t>Procurement Order</t>
        </is>
      </c>
      <c r="D2372" s="3">
        <v>46126.69050925926</v>
      </c>
      <c r="E2372" s="3">
        <v>46127.48887731481</v>
      </c>
      <c r="F2372" t="inlineStr">
        <is>
          <t>Fatima Kathleen M. FLores</t>
        </is>
      </c>
      <c r="G2372" t="inlineStr">
        <is>
          <t>Procurement</t>
        </is>
      </c>
      <c r="H2372"/>
      <c r="I2372"/>
      <c r="J2372" t="inlineStr">
        <is>
          <t>Project</t>
        </is>
      </c>
      <c r="K2372" t="inlineStr">
        <is>
          <t>PDEI - Game Marketing</t>
        </is>
      </c>
      <c r="L2372" t="inlineStr">
        <is>
          <t>SportsPlus MPBL Fan Zone Opening Day</t>
        </is>
      </c>
      <c r="M2372" t="inlineStr">
        <is>
          <t>2026TEG-P0088</t>
        </is>
      </c>
      <c r="N2372" t="inlineStr">
        <is>
          <t>Kervin</t>
        </is>
      </c>
      <c r="O2372" t="inlineStr">
        <is>
          <t>202604060058-Kervin-费用报销 - 副本 - 副本 - 副本-2026-04-06 04:15:34</t>
        </is>
      </c>
      <c r="P2372" t="inlineStr">
        <is>
          <t>NO</t>
        </is>
      </c>
      <c r="Q2372"/>
      <c r="R2372" t="inlineStr">
        <is>
          <t>NO</t>
        </is>
      </c>
      <c r="S2372" t="inlineStr">
        <is>
          <t>LOGO STICKER</t>
        </is>
      </c>
      <c r="T2372">
        <v>4</v>
      </c>
      <c r="U2372">
        <v>254.24</v>
      </c>
      <c r="V2372" t="inlineStr">
        <is>
          <t>PHP</t>
        </is>
      </c>
      <c r="W2372">
        <v>1016.96</v>
      </c>
      <c r="X2372" s="2"/>
      <c r="Y2372"/>
      <c r="Z2372"/>
      <c r="AA2372"/>
      <c r="AB2372"/>
      <c r="AC2372"/>
      <c r="AD2372" s="4"/>
      <c r="AE2372"/>
      <c r="AF2372" s="2"/>
      <c r="AG2372" t="inlineStr">
        <is>
          <t>NzQyNTk5MTgyNzQ4MTg3MDM0MTpBRTYzQkMyRC00OTRCLTRBQkEtODEzMC1GQTlDMkVFRTZDNjMtMjo5ZmU5YzlmMTZlYzEyM2JlNTE5ZmE5MGM0NjZkOGRlODox</t>
        </is>
      </c>
      <c r="AH2372"/>
      <c r="AI2372"/>
      <c r="AJ2372" t="inlineStr">
        <is>
          <t>LIQUIDITY PLAN (PAR # 202604060049 / 2026TEG-P0088)                                                       
FABRICATIONS / COLLATERALS &gt; Pull Up Banners
Total Budget = Php 28,000.00
Actual Cost = Php 16,569.28
Balance = Php 11,430.72</t>
        </is>
      </c>
      <c r="AK2372"/>
    </row>
    <row r="2373" ht="25.5" customHeight="1">
      <c r="A2373" s="2" t="str">
        <f>=HYPERLINK("https://applink.larksuite.com/client/mini_program/open?appId=cli_9c7cc8a9a9edd105&amp;mode=appCenter&amp;path_pc=pc/pages/requested/index?instanceId=7628530474809331422&amp;source=bitable&amp;path=pages/detail/index?instanceId=7628530474809331422&amp;source=bitable", "202604140087")</f>
        <v>202604140087</v>
      </c>
      <c r="B2373" t="inlineStr">
        <is>
          <t>Approved</t>
        </is>
      </c>
      <c r="C2373" t="inlineStr">
        <is>
          <t>Procurement Order</t>
        </is>
      </c>
      <c r="D2373" s="3">
        <v>46126.69050925926</v>
      </c>
      <c r="E2373" s="3">
        <v>46127.48887731481</v>
      </c>
      <c r="F2373" t="inlineStr">
        <is>
          <t>Fatima Kathleen M. FLores</t>
        </is>
      </c>
      <c r="G2373" t="inlineStr">
        <is>
          <t>Procurement</t>
        </is>
      </c>
      <c r="H2373"/>
      <c r="I2373"/>
      <c r="J2373" t="inlineStr">
        <is>
          <t>Project</t>
        </is>
      </c>
      <c r="K2373" t="inlineStr">
        <is>
          <t>PDEI - Game Marketing</t>
        </is>
      </c>
      <c r="L2373" t="inlineStr">
        <is>
          <t>SportsPlus MPBL Fan Zone Opening Day</t>
        </is>
      </c>
      <c r="M2373" t="inlineStr">
        <is>
          <t>2026TEG-P0088</t>
        </is>
      </c>
      <c r="N2373" t="inlineStr">
        <is>
          <t>Kervin</t>
        </is>
      </c>
      <c r="O2373" t="inlineStr">
        <is>
          <t>202604060058-Kervin-费用报销 - 副本 - 副本 - 副本-2026-04-06 04:15:34</t>
        </is>
      </c>
      <c r="P2373" t="inlineStr">
        <is>
          <t>NO</t>
        </is>
      </c>
      <c r="Q2373"/>
      <c r="R2373" t="inlineStr">
        <is>
          <t>NO</t>
        </is>
      </c>
      <c r="S2373" t="inlineStr">
        <is>
          <t>Delivery Fee</t>
        </is>
      </c>
      <c r="T2373">
        <v>1</v>
      </c>
      <c r="U2373">
        <v>320.32</v>
      </c>
      <c r="V2373" t="inlineStr">
        <is>
          <t>PHP</t>
        </is>
      </c>
      <c r="W2373">
        <v>320.32</v>
      </c>
      <c r="X2373" s="2" t="str">
        <f>=HYPERLINK("https://www.larksuite.com/approval/admin/previewAttachment?key=PMg7DsJADATQK43tWc-ay9AkivgkFQKJwmdHokj7chpyDosssMwL1kqfI0BxoiKM7u1tUkGmRK_Hdn0cdtc-nnu9qe_Sn9uyrS8bJXcoyJgA7HJ6iGRVEn_3XwAAAP__", "2 attachment(s)")</f>
        <v>2 attachment(s)</v>
      </c>
      <c r="Y2373"/>
      <c r="Z2373"/>
      <c r="AA2373"/>
      <c r="AB2373"/>
      <c r="AC2373"/>
      <c r="AD2373" s="4"/>
      <c r="AE2373"/>
      <c r="AF2373" s="2"/>
      <c r="AG2373" t="inlineStr">
        <is>
          <t>NzQyNTk5MTgyNzQ4MTg3MDM0MTpBRTYzQkMyRC00OTRCLTRBQkEtODEzMC1GQTlDMkVFRTZDNjMtMzpiYjg2NWVkOTRmMzMxN2E4ZGExNDk5MzA1ZTI0ZGFhZjox</t>
        </is>
      </c>
      <c r="AH2373"/>
      <c r="AI2373"/>
      <c r="AJ2373" t="inlineStr">
        <is>
          <t>LIQUIDITY PLAN (PAR # 202604060049 / 2026TEG-P0088)                                                       
FABRICATIONS / COLLATERALS &gt; Pull Up Banners
Total Budget = Php 28,000.00
Actual Cost = Php 16,569.28
Balance = Php 11,430.72</t>
        </is>
      </c>
      <c r="AK2373"/>
    </row>
    <row r="2374" ht="25.5" customHeight="1">
      <c r="A2374" s="2" t="str">
        <f>=HYPERLINK("https://applink.larksuite.com/client/mini_program/open?appId=cli_9c7cc8a9a9edd105&amp;mode=appCenter&amp;path_pc=pc/pages/requested/index?instanceId=7628516438017363679&amp;source=bitable&amp;path=pages/detail/index?instanceId=7628516438017363679&amp;source=bitable", "202604140072")</f>
        <v>202604140072</v>
      </c>
      <c r="B2374" t="inlineStr">
        <is>
          <t>Approved</t>
        </is>
      </c>
      <c r="C2374" t="inlineStr">
        <is>
          <t>Procurement Order</t>
        </is>
      </c>
      <c r="D2374" s="3">
        <v>46126.65268518519</v>
      </c>
      <c r="E2374" s="3">
        <v>46126.756053240744</v>
      </c>
      <c r="F2374" t="inlineStr">
        <is>
          <t>Fatima Kathleen M. FLores</t>
        </is>
      </c>
      <c r="G2374" t="inlineStr">
        <is>
          <t>Procurement</t>
        </is>
      </c>
      <c r="H2374"/>
      <c r="I2374"/>
      <c r="J2374" t="inlineStr">
        <is>
          <t>Project</t>
        </is>
      </c>
      <c r="K2374" t="inlineStr">
        <is>
          <t>PDEI - Game Marketing</t>
        </is>
      </c>
      <c r="L2374" t="inlineStr">
        <is>
          <t>Cobra Core Event</t>
        </is>
      </c>
      <c r="M2374" t="inlineStr">
        <is>
          <t>2026TEG-P0078</t>
        </is>
      </c>
      <c r="N2374" t="inlineStr">
        <is>
          <t>Ronelle Kylene Chaneco Lim</t>
        </is>
      </c>
      <c r="O2374" t="inlineStr">
        <is>
          <t>202604110009-Ronelle Kylene Chaneco Lim-费用报销 - 副本 - 副本 - 副本-2026-04-11 12:49:15</t>
        </is>
      </c>
      <c r="P2374" t="inlineStr">
        <is>
          <t>NO</t>
        </is>
      </c>
      <c r="Q2374"/>
      <c r="R2374" t="inlineStr">
        <is>
          <t>NO</t>
        </is>
      </c>
      <c r="S2374" t="inlineStr">
        <is>
          <t>Wristbands with security cut (0.75x10")</t>
        </is>
      </c>
      <c r="T2374">
        <v>200</v>
      </c>
      <c r="U2374">
        <v>5.6</v>
      </c>
      <c r="V2374" t="inlineStr">
        <is>
          <t>PHP</t>
        </is>
      </c>
      <c r="W2374">
        <v>1120</v>
      </c>
      <c r="X2374" s="2" t="str">
        <f>=HYPERLINK("https://www.larksuite.com/approval/admin/previewAttachment?key=PMtLCgJBDATQK1V1MqmOl3HTw-CHlgFRdJGziy7cPnjRiegLLRKebAmWovWF4dZBWVgoqxWlhKhArXM77pcx_fo6z_ftMbjX8zS29c4l1Rpk_t0AD383uXtmOH6OTwAAAP__", "2 attachment(s)")</f>
        <v>2 attachment(s)</v>
      </c>
      <c r="Y2374" t="inlineStr">
        <is>
          <t>Bank Transfer</t>
        </is>
      </c>
      <c r="Z2374" t="inlineStr">
        <is>
          <t>CLVISION ENTERPRISE</t>
        </is>
      </c>
      <c r="AA2374" t="inlineStr">
        <is>
          <t>4470 – 0762 - 92</t>
        </is>
      </c>
      <c r="AB2374" t="inlineStr">
        <is>
          <t>BPI</t>
        </is>
      </c>
      <c r="AC2374" t="inlineStr">
        <is>
          <t>6B Kalapati St., Villilia Village, Talipapa, QC</t>
        </is>
      </c>
      <c r="AD2374" s="4">
        <v>46127</v>
      </c>
      <c r="AE2374" t="inlineStr">
        <is>
          <t>100% Full Payment - Apr. 15, 2026</t>
        </is>
      </c>
      <c r="AF2374" s="2"/>
      <c r="AG2374" t="inlineStr">
        <is>
          <t>NzQyNTk5MTgyNzQ4MTg3MDM0MTo4QjgwMkUzOS02NzkyLTQ1RDktQkIxRC03Njc2ODY5OEZDMTUtMTpjZDQxODhkMzY4NGY2YjlhNDQwOTA0NzZkNTZmMmNmMTox</t>
        </is>
      </c>
      <c r="AH2374" t="inlineStr">
        <is>
          <t>CLVISION ENTERPRISE</t>
        </is>
      </c>
      <c r="AI2374"/>
      <c r="AJ2374" t="inlineStr">
        <is>
          <t>LIQUIDITY PLAN (PAR # 202604080057 / 2026TEG-P0078)
EVENT EXECUTION COLLATERALS &gt;
Wrist Bands
Total Budget = Php 8,000.00
Actual Cost = Php 1,120.00
Balance = Php 6,880.00</t>
        </is>
      </c>
      <c r="AK2374"/>
    </row>
    <row r="2375" ht="25.5" customHeight="1">
      <c r="A2375" s="2" t="str">
        <f>=HYPERLINK("https://applink.larksuite.com/client/mini_program/open?appId=cli_9c7cc8a9a9edd105&amp;mode=appCenter&amp;path_pc=pc/pages/requested/index?instanceId=7628519407949483746&amp;source=bitable&amp;path=pages/detail/index?instanceId=7628519407949483746&amp;source=bitable", "202604140077")</f>
        <v>202604140077</v>
      </c>
      <c r="B2375" t="inlineStr">
        <is>
          <t>Approved</t>
        </is>
      </c>
      <c r="C2375" t="inlineStr">
        <is>
          <t>Procurement Order</t>
        </is>
      </c>
      <c r="D2375" s="3">
        <v>46126.66069444444</v>
      </c>
      <c r="E2375" s="3">
        <v>46127.48300925926</v>
      </c>
      <c r="F2375" t="inlineStr">
        <is>
          <t>Fatima Kathleen M. FLores</t>
        </is>
      </c>
      <c r="G2375" t="inlineStr">
        <is>
          <t>Procurement</t>
        </is>
      </c>
      <c r="H2375"/>
      <c r="I2375"/>
      <c r="J2375" t="inlineStr">
        <is>
          <t>Project</t>
        </is>
      </c>
      <c r="K2375" t="inlineStr">
        <is>
          <t>PDEI - Game Marketing</t>
        </is>
      </c>
      <c r="L2375" t="inlineStr">
        <is>
          <t>SportsPlus MPBL Fan Zone Opening Day</t>
        </is>
      </c>
      <c r="M2375" t="inlineStr">
        <is>
          <t>2026TEG-P0088</t>
        </is>
      </c>
      <c r="N2375" t="inlineStr">
        <is>
          <t>Kervin</t>
        </is>
      </c>
      <c r="O2375" t="inlineStr">
        <is>
          <t>202604060051-Kervin-费用报销 - 副本 - 副本 - 副本-2026-04-06 03:59:13</t>
        </is>
      </c>
      <c r="P2375" t="inlineStr">
        <is>
          <t>YES</t>
        </is>
      </c>
      <c r="Q2375"/>
      <c r="R2375" t="inlineStr">
        <is>
          <t>NO</t>
        </is>
      </c>
      <c r="S2375" t="inlineStr">
        <is>
          <t>Outsourced 3D Render Artist</t>
        </is>
      </c>
      <c r="T2375">
        <v>1</v>
      </c>
      <c r="U2375">
        <v>25000</v>
      </c>
      <c r="V2375" t="inlineStr">
        <is>
          <t>PHP</t>
        </is>
      </c>
      <c r="W2375">
        <v>25000</v>
      </c>
      <c r="X2375" s="2" t="str">
        <f>=HYPERLINK("https://www.larksuite.com/approval/admin/previewAttachment?key=PMhBqgIxEATQK1V3Kt1d_zJ_4xAUHBCECVnk7IILty_KENWthUCZC7YzvLqJSFGslozt2zKFtAzs4xz_61rPOcej-npNP_d1v43jbV3pjmxkKwD29_OWJKUgvo5PAAAA__8", "2 attachment(s)")</f>
        <v>2 attachment(s)</v>
      </c>
      <c r="Y2375" t="inlineStr">
        <is>
          <t>Bank Transfer</t>
        </is>
      </c>
      <c r="Z2375" t="inlineStr">
        <is>
          <t>Ramel Castillo</t>
        </is>
      </c>
      <c r="AA2375" t="inlineStr">
        <is>
          <t>617302037059</t>
        </is>
      </c>
      <c r="AB2375" t="inlineStr">
        <is>
          <t>Chinabank</t>
        </is>
      </c>
      <c r="AC2375" t="inlineStr">
        <is>
          <t>Purok 19 Lornaville itaas Sitio Halang Brgy. San Roque Antipolo City</t>
        </is>
      </c>
      <c r="AD2375" s="4">
        <v>46136</v>
      </c>
      <c r="AE2375" t="inlineStr">
        <is>
          <t>100% Full Payment - Apr. 24, 2026</t>
        </is>
      </c>
      <c r="AF2375" s="2"/>
      <c r="AG2375" t="inlineStr">
        <is>
          <t>NzQyNTk5MTgyNzQ4MTg3MDM0MTo2RDBCNEYyMi02NTk3LTQzMjctQURDMS1GMDJBQzI2QUUzQ0UtMTplZDc2ZGMzNTNiYjJiYjM1OWU3MDI3ZDA1Y2ZjMWU4Yjox</t>
        </is>
      </c>
      <c r="AH2375" t="inlineStr">
        <is>
          <t>Ramel Castillo</t>
        </is>
      </c>
      <c r="AI2375"/>
      <c r="AJ2375" t="inlineStr">
        <is>
          <t>LIQUIDITY PLAN (PAR # 202604060049 / 2026TEG-P0088)                                                       
Project Planning &gt; 3d Design Perspective + Asset Creation
Total Budget = Php 25,000.00
Actual Cost = Php 25,000.00</t>
        </is>
      </c>
      <c r="AK2375"/>
    </row>
    <row r="2376" ht="25.5" customHeight="1">
      <c r="A2376" s="2" t="str">
        <f>=HYPERLINK("https://applink.larksuite.com/client/mini_program/open?appId=cli_9c7cc8a9a9edd105&amp;mode=appCenter&amp;path_pc=pc/pages/requested/index?instanceId=7628523300542172892&amp;source=bitable&amp;path=pages/detail/index?instanceId=7628523300542172892&amp;source=bitable", "202604140081")</f>
        <v>202604140081</v>
      </c>
      <c r="B2376" t="inlineStr">
        <is>
          <t>Approved</t>
        </is>
      </c>
      <c r="C2376" t="inlineStr">
        <is>
          <t>Procurement Order</t>
        </is>
      </c>
      <c r="D2376" s="3">
        <v>46126.67118055555</v>
      </c>
      <c r="E2376" s="3">
        <v>46127.486180555556</v>
      </c>
      <c r="F2376" t="inlineStr">
        <is>
          <t>Fatima Kathleen M. FLores</t>
        </is>
      </c>
      <c r="G2376" t="inlineStr">
        <is>
          <t>Procurement</t>
        </is>
      </c>
      <c r="H2376"/>
      <c r="I2376"/>
      <c r="J2376" t="inlineStr">
        <is>
          <t>Project</t>
        </is>
      </c>
      <c r="K2376" t="inlineStr">
        <is>
          <t>PDEI - Game Marketing</t>
        </is>
      </c>
      <c r="L2376" t="inlineStr">
        <is>
          <t>SportsPlus MPBL Fan Zone Opening Day</t>
        </is>
      </c>
      <c r="M2376" t="inlineStr">
        <is>
          <t>2026TEG-P0088</t>
        </is>
      </c>
      <c r="N2376" t="inlineStr">
        <is>
          <t>Kervin</t>
        </is>
      </c>
      <c r="O2376" t="inlineStr">
        <is>
          <t>202604060054-Kervin-费用报销 - 副本 - 副本 - 副本-2026-04-06 04:08:07</t>
        </is>
      </c>
      <c r="P2376" t="inlineStr">
        <is>
          <t>YES</t>
        </is>
      </c>
      <c r="Q2376"/>
      <c r="R2376" t="inlineStr">
        <is>
          <t>NO</t>
        </is>
      </c>
      <c r="S2376" t="inlineStr">
        <is>
          <t>Outsourced Logistics Associates (Caloocan)</t>
        </is>
      </c>
      <c r="T2376">
        <v>1</v>
      </c>
      <c r="U2376">
        <v>7700</v>
      </c>
      <c r="V2376" t="inlineStr">
        <is>
          <t>PHP</t>
        </is>
      </c>
      <c r="W2376">
        <v>7700</v>
      </c>
      <c r="X2376" s="2" t="str">
        <f>=HYPERLINK("https://www.larksuite.com/approval/admin/previewAttachment?key=PMgxCgJBDAXQK_38ZPInXsbGZVFkKmFli5xdsNj25TTkHOZZiDIWrJWcg-7ACJo4i802qSBTore139dZL_n3fQTWSfXxfOzbx0aJhDzCJwC7Xe6KiKoM_B2_AAAA__8", "2 attachment(s)")</f>
        <v>2 attachment(s)</v>
      </c>
      <c r="Y2376" t="inlineStr">
        <is>
          <t>Bank Transfer</t>
        </is>
      </c>
      <c r="Z2376" t="inlineStr">
        <is>
          <t>Rizel John Obong</t>
        </is>
      </c>
      <c r="AA2376" t="inlineStr">
        <is>
          <t>109328279479</t>
        </is>
      </c>
      <c r="AB2376" t="inlineStr">
        <is>
          <t>Unionbank</t>
        </is>
      </c>
      <c r="AC2376" t="inlineStr">
        <is>
          <t>Blk 1j Lot 31 Phase 3 E-1 Dagat Dagatan Caloocan City</t>
        </is>
      </c>
      <c r="AD2376" s="4">
        <v>46136</v>
      </c>
      <c r="AE2376" t="inlineStr">
        <is>
          <t>100% Full Payment - Apr. 24, 2026</t>
        </is>
      </c>
      <c r="AF2376" s="2"/>
      <c r="AG2376" t="inlineStr">
        <is>
          <t>NzQyNTk5MTgyNzQ4MTg3MDM0MTpDMEMyNURCQS05Q0NGLTQ2NUYtOUI5Qi0zOTc4QzJDREUxNTgtMTo5ODJjYjRmMTIyNTY2Y2FlYTQ1OWE1ZGE1Y2NlZDU4ODox</t>
        </is>
      </c>
      <c r="AH2376" t="inlineStr">
        <is>
          <t>Rizel John Obong</t>
        </is>
      </c>
      <c r="AI2376"/>
      <c r="AJ2376" t="inlineStr">
        <is>
          <t>LIQUIDITY PLAN (PAR # 202604060049 / 2026TEG-P0088)                                                       
Manpower &gt;
Ingress Manpower
Egress Manpower
Logistics Manpower
Pop-Up Shot Manpower
Booth Manpower (Registration)
Total Remaining Budget = Php 34,000.00
Actual Cost = Php 7,700.00
Balance = Php 26,300.00</t>
        </is>
      </c>
      <c r="AK2376"/>
    </row>
    <row r="2377" ht="25.5" customHeight="1">
      <c r="A2377" s="2" t="str">
        <f>=HYPERLINK("https://applink.larksuite.com/client/mini_program/open?appId=cli_9c7cc8a9a9edd105&amp;mode=appCenter&amp;path_pc=pc/pages/requested/index?instanceId=7628522021145120476&amp;source=bitable&amp;path=pages/detail/index?instanceId=7628522021145120476&amp;source=bitable", "202604140080")</f>
        <v>202604140080</v>
      </c>
      <c r="B2377" t="inlineStr">
        <is>
          <t>Approved</t>
        </is>
      </c>
      <c r="C2377" t="inlineStr">
        <is>
          <t>Procurement Order</t>
        </is>
      </c>
      <c r="D2377" s="3">
        <v>46126.66773148148</v>
      </c>
      <c r="E2377" s="3">
        <v>46127.486608796295</v>
      </c>
      <c r="F2377" t="inlineStr">
        <is>
          <t>Fatima Kathleen M. FLores</t>
        </is>
      </c>
      <c r="G2377" t="inlineStr">
        <is>
          <t>Procurement</t>
        </is>
      </c>
      <c r="H2377"/>
      <c r="I2377"/>
      <c r="J2377" t="inlineStr">
        <is>
          <t>Project</t>
        </is>
      </c>
      <c r="K2377" t="inlineStr">
        <is>
          <t>PDEI - Game Marketing</t>
        </is>
      </c>
      <c r="L2377" t="inlineStr">
        <is>
          <t>SportsPlus MPBL Fan Zone Opening Day</t>
        </is>
      </c>
      <c r="M2377" t="inlineStr">
        <is>
          <t>2026TEG-P0088</t>
        </is>
      </c>
      <c r="N2377" t="inlineStr">
        <is>
          <t>Kervin</t>
        </is>
      </c>
      <c r="O2377" t="inlineStr">
        <is>
          <t>202604060054-Kervin-费用报销 - 副本 - 副本 - 副本-2026-04-06 04:08:07</t>
        </is>
      </c>
      <c r="P2377" t="inlineStr">
        <is>
          <t>YES</t>
        </is>
      </c>
      <c r="Q2377"/>
      <c r="R2377" t="inlineStr">
        <is>
          <t>NO</t>
        </is>
      </c>
      <c r="S2377" t="inlineStr">
        <is>
          <t>Outsourced Booth Manpower / Logistics Associates (Caloocan)</t>
        </is>
      </c>
      <c r="T2377">
        <v>1</v>
      </c>
      <c r="U2377">
        <v>8500</v>
      </c>
      <c r="V2377" t="inlineStr">
        <is>
          <t>PHP</t>
        </is>
      </c>
      <c r="W2377">
        <v>8500</v>
      </c>
      <c r="X2377" s="2" t="str">
        <f>=HYPERLINK("https://www.larksuite.com/approval/admin/previewAttachment?key=PMhBCsJQDATQK80k-ZkfL-PGUqxUEcSCi5xdcOH25SRyDnoWomgFttLmMIORMWgIZVtTKohK9HJfz9vx2fR47uJtfzv6uF7W5cVRMoM8wicAnv7uioiqDPwc3wAAAP__", "2 attachment(s)")</f>
        <v>2 attachment(s)</v>
      </c>
      <c r="Y2377" t="inlineStr">
        <is>
          <t>Bank Transfer</t>
        </is>
      </c>
      <c r="Z2377" t="inlineStr">
        <is>
          <t>Edzel Jay Vesencio</t>
        </is>
      </c>
      <c r="AA2377" t="inlineStr">
        <is>
          <t>09499825404</t>
        </is>
      </c>
      <c r="AB2377" t="inlineStr">
        <is>
          <t>GCash</t>
        </is>
      </c>
      <c r="AC2377" t="inlineStr">
        <is>
          <t>30 Balubad St., Twin River Subdivision, Nangka, Marikina City</t>
        </is>
      </c>
      <c r="AD2377" s="4">
        <v>46136</v>
      </c>
      <c r="AE2377" t="inlineStr">
        <is>
          <t>100% Full Payment - Apr. 24, 2026</t>
        </is>
      </c>
      <c r="AF2377" s="2"/>
      <c r="AG2377" t="inlineStr">
        <is>
          <t>NzQyNTk5MTgyNzQ4MTg3MDM0MTpENEJFMDI1RC04QjZCLTRCNUUtOTNGNi1CNjQyMEIwNTIxODgtMTo0NjdmYjJhMWM2OGM4N2IwNzkwZTdhODc1NjNiMjMxMDox</t>
        </is>
      </c>
      <c r="AH2377" t="inlineStr">
        <is>
          <t>Edzel Jay Vesencio</t>
        </is>
      </c>
      <c r="AI2377"/>
      <c r="AJ2377" t="inlineStr">
        <is>
          <t>LIQUIDITY PLAN (PAR # 202604060049 / 2026TEG-P0088)                                                       
Manpower &gt;
Ingress Manpower
Egress Manpower
Logistics Manpower
Pop-Up Shot Manpower
Booth Manpower (Registration)
Total Remaining Budget = Php 42,500.00
Actual Cost = Php 8,500.00
Balance = Php 34,000.00</t>
        </is>
      </c>
      <c r="AK2377"/>
    </row>
    <row r="2378" ht="25.5" customHeight="1">
      <c r="A2378" s="2" t="str">
        <f>=HYPERLINK("https://applink.larksuite.com/client/mini_program/open?appId=cli_9c7cc8a9a9edd105&amp;mode=appCenter&amp;path_pc=pc/pages/requested/index?instanceId=7628521345898352350&amp;source=bitable&amp;path=pages/detail/index?instanceId=7628521345898352350&amp;source=bitable", "202604140078")</f>
        <v>202604140078</v>
      </c>
      <c r="B2378" t="inlineStr">
        <is>
          <t>Approved</t>
        </is>
      </c>
      <c r="C2378" t="inlineStr">
        <is>
          <t>Procurement Order</t>
        </is>
      </c>
      <c r="D2378" s="3">
        <v>46126.665914351855</v>
      </c>
      <c r="E2378" s="3">
        <v>46127.48771990741</v>
      </c>
      <c r="F2378" t="inlineStr">
        <is>
          <t>Fatima Kathleen M. FLores</t>
        </is>
      </c>
      <c r="G2378" t="inlineStr">
        <is>
          <t>Procurement</t>
        </is>
      </c>
      <c r="H2378"/>
      <c r="I2378"/>
      <c r="J2378" t="inlineStr">
        <is>
          <t>Project</t>
        </is>
      </c>
      <c r="K2378" t="inlineStr">
        <is>
          <t>PDEI - Game Marketing</t>
        </is>
      </c>
      <c r="L2378" t="inlineStr">
        <is>
          <t>SportsPlus MPBL Fan Zone Opening Day</t>
        </is>
      </c>
      <c r="M2378" t="inlineStr">
        <is>
          <t>2026TEG-P0088</t>
        </is>
      </c>
      <c r="N2378" t="inlineStr">
        <is>
          <t>Kervin</t>
        </is>
      </c>
      <c r="O2378" t="inlineStr">
        <is>
          <t>202604060054-Kervin-费用报销 - 副本 - 副本 - 副本-2026-04-06 04:08:07</t>
        </is>
      </c>
      <c r="P2378" t="inlineStr">
        <is>
          <t>YES</t>
        </is>
      </c>
      <c r="Q2378"/>
      <c r="R2378" t="inlineStr">
        <is>
          <t>NO</t>
        </is>
      </c>
      <c r="S2378" t="inlineStr">
        <is>
          <t>Outsourced Booth Manpower / Logistics Associates</t>
        </is>
      </c>
      <c r="T2378">
        <v>1</v>
      </c>
      <c r="U2378">
        <v>7900</v>
      </c>
      <c r="V2378" t="inlineStr">
        <is>
          <t>PHP</t>
        </is>
      </c>
      <c r="W2378">
        <v>7900</v>
      </c>
      <c r="X2378" s="2" t="str">
        <f>=HYPERLINK("https://www.larksuite.com/approval/admin/previewAttachment?key=PMg9CgJRDATgK02Syc94GZtdHuJiJdi9swsWtl-NoSYtSqDMBdtdPukWzNFEeiS2b-sW2rqwz9e6D_2pk7qOthXX_jyOdb4t1e7oIGMA2O3v0SSlIn6ObwAAAP__", "2 attachment(s)")</f>
        <v>2 attachment(s)</v>
      </c>
      <c r="Y2378" t="inlineStr">
        <is>
          <t>Bank Transfer</t>
        </is>
      </c>
      <c r="Z2378" t="inlineStr">
        <is>
          <t>Angelo Nicole Alexus Santos</t>
        </is>
      </c>
      <c r="AA2378" t="inlineStr">
        <is>
          <t>09935250106</t>
        </is>
      </c>
      <c r="AB2378" t="inlineStr">
        <is>
          <t>GCash</t>
        </is>
      </c>
      <c r="AC2378" t="inlineStr">
        <is>
          <t>3852 F. Nazario St. Brgy. Singkamas Makati</t>
        </is>
      </c>
      <c r="AD2378" s="4">
        <v>46136</v>
      </c>
      <c r="AE2378" t="inlineStr">
        <is>
          <t>100% Full Payment - Apr. 24, 2026</t>
        </is>
      </c>
      <c r="AF2378" s="2"/>
      <c r="AG2378" t="inlineStr">
        <is>
          <t>NzQyNTk5MTgyNzQ4MTg3MDM0MTo2NUNGQkEwOS0yNTE1LTRDRDgtQUJGNC00RUQxRUQ4Rjg3RjYtMTo2YWM5MDEwYzNhZGNkMjE3ZDY1YjVmNmQwNzMzMTZlZjox</t>
        </is>
      </c>
      <c r="AH2378" t="inlineStr">
        <is>
          <t>Angelo Nicole Alexus Santos</t>
        </is>
      </c>
      <c r="AI2378"/>
      <c r="AJ2378" t="inlineStr">
        <is>
          <t>LIQUIDITY PLAN (PAR # 202604060049 / 2026TEG-P0088)                                                       
Manpower &gt;
Ingress Manpower
Egress Manpower
Logistics Manpower
Pop-Up Shot Manpower
Booth Manpower (Registration)
Total Budget = Php 50,400.00
Actual Cost = Php 7,900.00
Balance = Php 42,500.00</t>
        </is>
      </c>
      <c r="AK2378"/>
    </row>
    <row r="2379" ht="25.5" customHeight="1">
      <c r="A2379" s="2" t="str">
        <f>=HYPERLINK("https://applink.larksuite.com/client/mini_program/open?appId=cli_9c7cc8a9a9edd105&amp;mode=appCenter&amp;path_pc=pc/pages/requested/index?instanceId=7628534221673352933&amp;source=bitable&amp;path=pages/detail/index?instanceId=7628534221673352933&amp;source=bitable", "202604140089")</f>
        <v>202604140089</v>
      </c>
      <c r="B2379" t="inlineStr">
        <is>
          <t>Approved</t>
        </is>
      </c>
      <c r="C2379" t="inlineStr">
        <is>
          <t>Procurement Order</t>
        </is>
      </c>
      <c r="D2379" s="3">
        <v>46126.70061342593</v>
      </c>
      <c r="E2379" s="3">
        <v>46126.757731481484</v>
      </c>
      <c r="F2379" t="inlineStr">
        <is>
          <t>Fatima Kathleen M. FLores</t>
        </is>
      </c>
      <c r="G2379" t="inlineStr">
        <is>
          <t>Procurement</t>
        </is>
      </c>
      <c r="H2379"/>
      <c r="I2379"/>
      <c r="J2379" t="inlineStr">
        <is>
          <t>Project</t>
        </is>
      </c>
      <c r="K2379" t="inlineStr">
        <is>
          <t>PDEI - Game Marketing</t>
        </is>
      </c>
      <c r="L2379" t="inlineStr">
        <is>
          <t>Cobra Core Event</t>
        </is>
      </c>
      <c r="M2379" t="inlineStr">
        <is>
          <t>2026TEG-P0078</t>
        </is>
      </c>
      <c r="N2379" t="inlineStr">
        <is>
          <t>Ronelle Kylene Chaneco Lim</t>
        </is>
      </c>
      <c r="O2379" t="inlineStr">
        <is>
          <t>202604110010-Ronelle Kylene Chaneco Lim-费用报销 - 副本 - 副本 - 副本-2026-04-11 12:53:22</t>
        </is>
      </c>
      <c r="P2379" t="inlineStr">
        <is>
          <t>NO</t>
        </is>
      </c>
      <c r="Q2379"/>
      <c r="R2379" t="inlineStr">
        <is>
          <t>NO</t>
        </is>
      </c>
      <c r="S2379" t="inlineStr">
        <is>
          <t>Rental of LED, Lights and Sounds + Comset</t>
        </is>
      </c>
      <c r="T2379">
        <v>1</v>
      </c>
      <c r="U2379">
        <v>102040.82</v>
      </c>
      <c r="V2379" t="inlineStr">
        <is>
          <t>PHP</t>
        </is>
      </c>
      <c r="W2379">
        <v>102040.82</v>
      </c>
      <c r="X2379" s="2" t="str">
        <f>=HYPERLINK("https://www.larksuite.com/approval/admin/previewAttachment?key=PMgxDsJADATAL-3aPu-Zz9AkiiDoKgSd345EkXZyEjkHPQtRtAJbaXN4mDHlPqzc25pSQVSi93Xcz8WnQlovbfNz9vexHfubo2QGeYRPALxd7oqIqgz8Hb8AAAD__w", "2 attachment(s)")</f>
        <v>2 attachment(s)</v>
      </c>
      <c r="Y2379" t="inlineStr">
        <is>
          <t>Bank Transfer</t>
        </is>
      </c>
      <c r="Z2379" t="inlineStr">
        <is>
          <t>SANTOS, GERARD JOSEPH C. DBU POWERBEAT EVENTS MANAGEMENT SER</t>
        </is>
      </c>
      <c r="AA2379" t="inlineStr">
        <is>
          <t>0000043515211</t>
        </is>
      </c>
      <c r="AB2379" t="inlineStr">
        <is>
          <t>SECURITY BANK</t>
        </is>
      </c>
      <c r="AC2379" t="inlineStr">
        <is>
          <t>65 C Jose St., Malibay, Pasay City</t>
        </is>
      </c>
      <c r="AD2379" s="4">
        <v>46127</v>
      </c>
      <c r="AE2379" t="inlineStr">
        <is>
          <t>50% Down payment upon confirmation
50% Final Payment upon completion of services</t>
        </is>
      </c>
      <c r="AF2379" s="2" t="str">
        <f>=HYPERLINK("https://www.larksuite.com/approval/admin/previewAttachment?key=TMgxDsJADATAL-3aPq_NZ2gSRRB0FYLu3o5ElXayiKxBz0Y0rcGltBoeZky5D2v3ZYtSQ1Ri7fO4n5NPhTRf2upzru9jO_Y3szwRPSLYAHi7OIkuT_87fgEAAP__", "3 attachment(s)")</f>
        <v>3 attachment(s)</v>
      </c>
      <c r="AG2379" t="inlineStr">
        <is>
          <t>NzQyNTk5MTgyNzQ4MTg3MDM0MTpGODAxOUIzRS04NzRGLTRGQ0YtOTJGMS0xQ0Q4QUJEMjhCRDEtMTowYWUyNGU5NDc1ZTJhY2IwYjJhNjA0Y2RmOWE3ZTMyOTox</t>
        </is>
      </c>
      <c r="AH2379" t="inlineStr">
        <is>
          <t>POWERBEAT EVENTS MANAGEMENT</t>
        </is>
      </c>
      <c r="AI2379"/>
      <c r="AJ2379" t="inlineStr">
        <is>
          <t>LIQUIDITY PLAN (PAR # 202604080057 / 2026TEG-P0078)
EVENT EXECUTION COLLATERALS &gt;
LED Wall (With Black Cloth)
Lights and Sound (With ComSet and 4 Mic Stands)
Total Budget = Php 135,000.00
Actual Cost = Php 102,040.82
Balance = Php 32,959.18</t>
        </is>
      </c>
      <c r="AK2379"/>
    </row>
    <row r="2380" ht="25.5" customHeight="1">
      <c r="A2380" s="2" t="str">
        <f>=HYPERLINK("https://applink.larksuite.com/client/mini_program/open?appId=cli_9c7cc8a9a9edd105&amp;mode=appCenter&amp;path_pc=pc/pages/requested/index?instanceId=7628177921126993630&amp;source=bitable&amp;path=pages/detail/index?instanceId=7628177921126993630&amp;source=bitable", "202604130131")</f>
        <v>202604130131</v>
      </c>
      <c r="B2380" t="inlineStr">
        <is>
          <t>Approved</t>
        </is>
      </c>
      <c r="C2380" t="inlineStr">
        <is>
          <t>Procurement Order</t>
        </is>
      </c>
      <c r="D2380" s="3">
        <v>46125.74045138889</v>
      </c>
      <c r="E2380" s="3">
        <v>46127.7100462963</v>
      </c>
      <c r="F2380" t="inlineStr">
        <is>
          <t>Fatima Kathleen M. FLores</t>
        </is>
      </c>
      <c r="G2380" t="inlineStr">
        <is>
          <t>Procurement</t>
        </is>
      </c>
      <c r="H2380"/>
      <c r="I2380"/>
      <c r="J2380" t="inlineStr">
        <is>
          <t>Project</t>
        </is>
      </c>
      <c r="K2380" t="inlineStr">
        <is>
          <t>GG - Event Service</t>
        </is>
      </c>
      <c r="L2380" t="inlineStr">
        <is>
          <t>Philippine Kings League Spring Season 2026 (PKL)</t>
        </is>
      </c>
      <c r="M2380" t="inlineStr">
        <is>
          <t>2026TEG-P0037</t>
        </is>
      </c>
      <c r="N2380" t="inlineStr">
        <is>
          <t>Reign Santos Fortea</t>
        </is>
      </c>
      <c r="O2380" t="inlineStr">
        <is>
          <t>202603120026-Reign Santos Fortea-费用报销 - 副本 - 副本 - 副本-2026-03-12 03:44:07</t>
        </is>
      </c>
      <c r="P2380" t="inlineStr">
        <is>
          <t>NO</t>
        </is>
      </c>
      <c r="Q2380"/>
      <c r="R2380" t="inlineStr">
        <is>
          <t>YES</t>
        </is>
      </c>
      <c r="S2380" t="inlineStr">
        <is>
          <t>Crew Meals - Ingress, Event Days &amp; Egress (Mar. 24 to 29, 2026)</t>
        </is>
      </c>
      <c r="T2380">
        <v>1613</v>
      </c>
      <c r="U2380">
        <v>130</v>
      </c>
      <c r="V2380" t="inlineStr">
        <is>
          <t>PHP</t>
        </is>
      </c>
      <c r="W2380">
        <v>209690</v>
      </c>
      <c r="X2380" s="2"/>
      <c r="Y2380" t="inlineStr">
        <is>
          <t>Bank Transfer</t>
        </is>
      </c>
      <c r="Z2380" t="inlineStr">
        <is>
          <t>Michelle Francine G. Manuntag</t>
        </is>
      </c>
      <c r="AA2380" t="inlineStr">
        <is>
          <t>000170292002</t>
        </is>
      </c>
      <c r="AB2380" t="inlineStr">
        <is>
          <t>BDO</t>
        </is>
      </c>
      <c r="AC2380" t="inlineStr">
        <is>
          <t>Makati City</t>
        </is>
      </c>
      <c r="AD2380" s="4">
        <v>46129</v>
      </c>
      <c r="AE2380" t="inlineStr">
        <is>
          <t>100% Full Payment</t>
        </is>
      </c>
      <c r="AF2380" s="2"/>
      <c r="AG2380" t="inlineStr">
        <is>
          <t>NzQyNTk5MTgyNzQ4MTg3MDM0MTozQjhGM0YyMS0yNEMyLTQ3QTMtOENGRi0zRkIwN0QwNkE5NjAtMToxY2U3MWZiOTVlZmMyMmUzOWU5ZDdkNjVmMWYzYjkyOTox</t>
        </is>
      </c>
      <c r="AH2380" t="inlineStr">
        <is>
          <t>Michelle Francine G. Manuntag</t>
        </is>
      </c>
      <c r="AI2380"/>
      <c r="AJ2380" t="inlineStr">
        <is>
          <t>LIQUIDITY PLAN (PAR # 202602120015 / 2026TEG-P0037) - MAR 9 VERSION
PLAYOFFS &gt; TRAVEL AND ACCOMMODATION &gt;
FOOD &amp; BEVERAGE &gt;
Crew Meals (Ingress, Rehearsals &amp; Egress)
Crew Meals (Event Days)
Total Budget = Php 137,400.00
Actual Cost = Php 217,768.00
Balance = (Php 80,638.00) OVER BUDGET</t>
        </is>
      </c>
      <c r="AK2380"/>
    </row>
    <row r="2381" ht="25.5" customHeight="1">
      <c r="A2381" s="2" t="str">
        <f>=HYPERLINK("https://applink.larksuite.com/client/mini_program/open?appId=cli_9c7cc8a9a9edd105&amp;mode=appCenter&amp;path_pc=pc/pages/requested/index?instanceId=7628177921126993630&amp;source=bitable&amp;path=pages/detail/index?instanceId=7628177921126993630&amp;source=bitable", "202604130131")</f>
        <v>202604130131</v>
      </c>
      <c r="B2381" t="inlineStr">
        <is>
          <t>Approved</t>
        </is>
      </c>
      <c r="C2381" t="inlineStr">
        <is>
          <t>Procurement Order</t>
        </is>
      </c>
      <c r="D2381" s="3">
        <v>46125.74045138889</v>
      </c>
      <c r="E2381" s="3">
        <v>46127.7100462963</v>
      </c>
      <c r="F2381" t="inlineStr">
        <is>
          <t>Fatima Kathleen M. FLores</t>
        </is>
      </c>
      <c r="G2381" t="inlineStr">
        <is>
          <t>Procurement</t>
        </is>
      </c>
      <c r="H2381"/>
      <c r="I2381"/>
      <c r="J2381" t="inlineStr">
        <is>
          <t>Project</t>
        </is>
      </c>
      <c r="K2381" t="inlineStr">
        <is>
          <t>GG - Event Service</t>
        </is>
      </c>
      <c r="L2381" t="inlineStr">
        <is>
          <t>Philippine Kings League Spring Season 2026 (PKL)</t>
        </is>
      </c>
      <c r="M2381" t="inlineStr">
        <is>
          <t>2026TEG-P0037</t>
        </is>
      </c>
      <c r="N2381" t="inlineStr">
        <is>
          <t>Reign Santos Fortea</t>
        </is>
      </c>
      <c r="O2381" t="inlineStr">
        <is>
          <t>202603120026-Reign Santos Fortea-费用报销 - 副本 - 副本 - 副本-2026-03-12 03:44:07</t>
        </is>
      </c>
      <c r="P2381" t="inlineStr">
        <is>
          <t>NO</t>
        </is>
      </c>
      <c r="Q2381"/>
      <c r="R2381" t="inlineStr">
        <is>
          <t>YES</t>
        </is>
      </c>
      <c r="S2381" t="inlineStr">
        <is>
          <t>Delivery Fee</t>
        </is>
      </c>
      <c r="T2381">
        <v>1</v>
      </c>
      <c r="U2381">
        <v>8078</v>
      </c>
      <c r="V2381" t="inlineStr">
        <is>
          <t>PHP</t>
        </is>
      </c>
      <c r="W2381">
        <v>8078</v>
      </c>
      <c r="X2381" s="2" t="str">
        <f>=HYPERLINK("https://www.larksuite.com/approval/admin/previewAttachment?key=PMhBCsJQDATQK80kafLHy7hpKQrWjSD-Rc4uuuj25SByLPQUQjSBXWmDVTLSUvJ0tPVPUKz03o79ekzxwzkf96fL1n7f1n17cVGZoTzCBwBeTveKCCkDf-c3AAD__w", "2 attachment(s)")</f>
        <v>2 attachment(s)</v>
      </c>
      <c r="Y2381"/>
      <c r="Z2381"/>
      <c r="AA2381"/>
      <c r="AB2381"/>
      <c r="AC2381"/>
      <c r="AD2381" s="4"/>
      <c r="AE2381"/>
      <c r="AF2381" s="2"/>
      <c r="AG2381" t="inlineStr">
        <is>
          <t>NzQyNTk5MTgyNzQ4MTg3MDM0MTozQjhGM0YyMS0yNEMyLTQ3QTMtOENGRi0zRkIwN0QwNkE5NjAtMjpkYWUxZWI5OGRiNGFmYTdjZGQ1Y2FiNDIzNTdkMTA3YTox</t>
        </is>
      </c>
      <c r="AH2381"/>
      <c r="AI2381"/>
      <c r="AJ2381" t="inlineStr">
        <is>
          <t>LIQUIDITY PLAN (PAR # 202602120015 / 2026TEG-P0037) - MAR 9 VERSION
PLAYOFFS &gt; TRAVEL AND ACCOMMODATION &gt;
FOOD &amp; BEVERAGE &gt;
Crew Meals (Ingress, Rehearsals &amp; Egress)
Crew Meals (Event Days)
Total Budget = Php 137,400.00
Actual Cost = Php 217,768.00
Balance = (Php 80,638.00) OVER BUDGET</t>
        </is>
      </c>
      <c r="AK2381"/>
    </row>
    <row r="2382" ht="25.5" customHeight="1">
      <c r="A2382" s="2" t="str">
        <f>=HYPERLINK("https://applink.larksuite.com/client/mini_program/open?appId=cli_9c7cc8a9a9edd105&amp;mode=appCenter&amp;path_pc=pc/pages/requested/index?instanceId=7628815198182264549&amp;source=bitable&amp;path=pages/detail/index?instanceId=7628815198182264549&amp;source=bitable", "202604150010")</f>
        <v>202604150010</v>
      </c>
      <c r="B2382" t="inlineStr">
        <is>
          <t>Approved</t>
        </is>
      </c>
      <c r="C2382" t="inlineStr">
        <is>
          <t>Procurement Order</t>
        </is>
      </c>
      <c r="D2382" s="3">
        <v>46127.45778935185</v>
      </c>
      <c r="E2382" s="3">
        <v>46127.48134259259</v>
      </c>
      <c r="F2382" t="inlineStr">
        <is>
          <t>Fatima Kathleen M. FLores</t>
        </is>
      </c>
      <c r="G2382" t="inlineStr">
        <is>
          <t>Procurement</t>
        </is>
      </c>
      <c r="H2382"/>
      <c r="I2382"/>
      <c r="J2382" t="inlineStr">
        <is>
          <t>Project</t>
        </is>
      </c>
      <c r="K2382" t="inlineStr">
        <is>
          <t>PDEI - Game Marketing</t>
        </is>
      </c>
      <c r="L2382" t="inlineStr">
        <is>
          <t>Cobra Core Event</t>
        </is>
      </c>
      <c r="M2382" t="inlineStr">
        <is>
          <t>2026TEG-P0078</t>
        </is>
      </c>
      <c r="N2382" t="inlineStr">
        <is>
          <t>Ronelle Kylene Chaneco Lim</t>
        </is>
      </c>
      <c r="O2382" t="inlineStr">
        <is>
          <t>202604110010-Ronelle Kylene Chaneco Lim-费用报销 - 副本 - 副本 - 副本-2026-04-11 12:53:22</t>
        </is>
      </c>
      <c r="P2382" t="inlineStr">
        <is>
          <t>NO</t>
        </is>
      </c>
      <c r="Q2382"/>
      <c r="R2382" t="inlineStr">
        <is>
          <t>NO</t>
        </is>
      </c>
      <c r="S2382" t="inlineStr">
        <is>
          <t>Rental of LED, Lights and Sounds + Comset</t>
        </is>
      </c>
      <c r="T2382">
        <v>1</v>
      </c>
      <c r="U2382">
        <v>105263.16</v>
      </c>
      <c r="V2382" t="inlineStr">
        <is>
          <t>PHP</t>
        </is>
      </c>
      <c r="W2382">
        <v>105263.16</v>
      </c>
      <c r="X2382" s="2" t="str">
        <f>=HYPERLINK("https://www.larksuite.com/approval/admin/previewAttachment?key=PMg9CsJAEAXgK703-3Z-vIyNIbiBpBHSzdkFC9vPk_CcHF5Q0QrscMvkZCXTzDVVbc2IQjB89Hbuz4vXmgsHhfM-Vt_v1759OCvMEEMaCYCPv4-QVOXCz_ENAAD__w", "2 attachment(s)")</f>
        <v>2 attachment(s)</v>
      </c>
      <c r="Y2382" t="inlineStr">
        <is>
          <t>Bank Transfer</t>
        </is>
      </c>
      <c r="Z2382" t="inlineStr">
        <is>
          <t>SANTOS, GERARD JOSEPH C. DBU POWERBEAT EVENTS MANAGEMENT SER</t>
        </is>
      </c>
      <c r="AA2382" t="inlineStr">
        <is>
          <t>0000043515211</t>
        </is>
      </c>
      <c r="AB2382" t="inlineStr">
        <is>
          <t>SECURITY BANK</t>
        </is>
      </c>
      <c r="AC2382" t="inlineStr">
        <is>
          <t>65 C Jose St., Malibay, Pasay City</t>
        </is>
      </c>
      <c r="AD2382" s="4">
        <v>46127</v>
      </c>
      <c r="AE2382" t="inlineStr">
        <is>
          <t>50% Down payment upon confirmation
50% Final Payment upon completion of services</t>
        </is>
      </c>
      <c r="AF2382" s="2" t="str">
        <f>=HYPERLINK("https://www.larksuite.com/approval/admin/previewAttachment?key=TMg7CsJgEATgK83se72MjSH4B5JGSLdnF6xsvygiyqnRsKY0OBlSRWcXSyTMrUeGmY1khs527s-L1_KFg4bzPtbc79e-fRilAWs3YwPg489JdGnoz_ENAAD__w", "3 attachment(s)")</f>
        <v>3 attachment(s)</v>
      </c>
      <c r="AG2382" t="inlineStr">
        <is>
          <t>NzQyNTk5MTgyNzQ4MTg3MDM0MTpCOTZBQjNBQy02NUMwLTRBQ0UtQjQ3Ni00ODY1MTVCMDJGOEMtMToxYjk2NzUxNDBjOGEzOTFlOWFmNzkxMjVlNTM5MDhjMTox</t>
        </is>
      </c>
      <c r="AH2382" t="inlineStr">
        <is>
          <t>POWERBEAT EVENTS MANAGEMENT</t>
        </is>
      </c>
      <c r="AI2382"/>
      <c r="AJ2382" t="inlineStr">
        <is>
          <t>LIQUIDITY PLAN (PAR # 202604080057 / 2026TEG-P0078)
EVENT EXECUTION COLLATERALS &gt;
LED Wall (With Black Cloth)
Lights and Sound (With ComSet and 4 Mic Stands)
Total Budget = Php 135,000.00
Actual Cost = Php 105,263.16
Balance = Php 29,736.84</t>
        </is>
      </c>
      <c r="AK2382"/>
    </row>
    <row r="2383" ht="25.5" customHeight="1">
      <c r="A2383" s="2" t="str">
        <f>=HYPERLINK("https://applink.larksuite.com/client/mini_program/open?appId=cli_9c7cc8a9a9edd105&amp;mode=appCenter&amp;path_pc=pc/pages/requested/index?instanceId=7628930217385447134&amp;source=bitable&amp;path=pages/detail/index?instanceId=7628930217385447134&amp;source=bitable", "202604150089")</f>
        <v>202604150089</v>
      </c>
      <c r="B2383" t="inlineStr">
        <is>
          <t>Approved</t>
        </is>
      </c>
      <c r="C2383" t="inlineStr">
        <is>
          <t>Procurement Order</t>
        </is>
      </c>
      <c r="D2383" s="3">
        <v>46127.767743055556</v>
      </c>
      <c r="E2383" s="3">
        <v>46139.74599537037</v>
      </c>
      <c r="F2383" t="inlineStr">
        <is>
          <t>Fatima Kathleen M. FLores</t>
        </is>
      </c>
      <c r="G2383" t="inlineStr">
        <is>
          <t>Procurement</t>
        </is>
      </c>
      <c r="H2383"/>
      <c r="I2383"/>
      <c r="J2383" t="inlineStr">
        <is>
          <t>Project</t>
        </is>
      </c>
      <c r="K2383" t="inlineStr">
        <is>
          <t>GG - Event Service</t>
        </is>
      </c>
      <c r="L2383" t="inlineStr">
        <is>
          <t>Philippine Kings League Spring Season 2026 (PKL)</t>
        </is>
      </c>
      <c r="M2383" t="inlineStr">
        <is>
          <t>2026TEG-P0037</t>
        </is>
      </c>
      <c r="N2383" t="inlineStr">
        <is>
          <t>Juvie Anne Asis Castres</t>
        </is>
      </c>
      <c r="O2383" t="inlineStr">
        <is>
          <t>202604150003-Juvie Anne Asis Castres-费用报销 - 副本 - 副本 - 副本-2026-04-15 02:00:02</t>
        </is>
      </c>
      <c r="P2383" t="inlineStr">
        <is>
          <t>NO</t>
        </is>
      </c>
      <c r="Q2383"/>
      <c r="R2383" t="inlineStr">
        <is>
          <t>YES</t>
        </is>
      </c>
      <c r="S2383" t="inlineStr">
        <is>
          <t>Outsourced Event Security Marshals (Mar. 27 to 29, 2026)</t>
        </is>
      </c>
      <c r="T2383">
        <v>1</v>
      </c>
      <c r="U2383">
        <v>10200</v>
      </c>
      <c r="V2383" t="inlineStr">
        <is>
          <t>PHP</t>
        </is>
      </c>
      <c r="W2383">
        <v>10200</v>
      </c>
      <c r="X2383" s="2" t="str">
        <f>=HYPERLINK("https://www.larksuite.com/approval/admin/previewAttachment?key=PMg9isNADAXgKz39jJ60l9nGZggmM00guNHZAynSfpGCyCEWBS_RgjRDswwqtBzuFPPWFrJAYVifa_7f19j3OtaVzz3n7vfjmOdLRlEVNHdLAPL3c6O7V4Xj6_gEAAD__w", "2 attachment(s)")</f>
        <v>2 attachment(s)</v>
      </c>
      <c r="Y2383" t="inlineStr">
        <is>
          <t>Bank Transfer</t>
        </is>
      </c>
      <c r="Z2383" t="inlineStr">
        <is>
          <t>Juanito T. Acedo Jr.</t>
        </is>
      </c>
      <c r="AA2383" t="inlineStr">
        <is>
          <t>010670126934</t>
        </is>
      </c>
      <c r="AB2383" t="inlineStr">
        <is>
          <t>BDO</t>
        </is>
      </c>
      <c r="AC2383" t="inlineStr">
        <is>
          <t>127-68 Bronze St., Tugatog District II, Malabon City</t>
        </is>
      </c>
      <c r="AD2383" s="4">
        <v>46136</v>
      </c>
      <c r="AE2383" t="inlineStr">
        <is>
          <t>100% Full Payment</t>
        </is>
      </c>
      <c r="AF2383" s="2"/>
      <c r="AG2383" t="inlineStr">
        <is>
          <t>NzQyNTk5MTgyNzQ4MTg3MDM0MTo5ODZCNTA1Ni1EQjM1LTQwNjgtOUYyNC04MEFGNjMxN0QzM0ItMTphNjIzMjkyM2Y4YTc4ZDQ2ZGRkM2VlYzQ3NmMzZGEwMjox</t>
        </is>
      </c>
      <c r="AH2383" t="inlineStr">
        <is>
          <t>ACE88 Event Security Management</t>
        </is>
      </c>
      <c r="AI2383"/>
      <c r="AJ2383" t="inlineStr">
        <is>
          <t>LIQUIDITY PLAN (PAR # 202602120015 / 2026TEG-P0037)
REGULAR SEASON &gt; LABOR COST &gt;
SAFETY &amp; SECURITY TEAM &gt; Event Marshals (RS) = Php 4,300.00
LIQUIDITY PLAN (PAR # 202602120015 / 2026TEG-P0037) - MAR 9 VERSION
PLAYOFFS &gt; SAFETY &amp; SECURITY TEAM &gt; 
Safety Officer (starting ingress)
Medic Team
Event Marshals (PO)
Total Remaining Budget = Php 1,200.00
Actual Cost = Php 10,200.00
Balance = (Php 9,000.00) OVER BUDGET</t>
        </is>
      </c>
      <c r="AK2383"/>
    </row>
    <row r="2384" ht="25.5" customHeight="1">
      <c r="A2384" s="2" t="str">
        <f>=HYPERLINK("https://applink.larksuite.com/client/mini_program/open?appId=cli_9c7cc8a9a9edd105&amp;mode=appCenter&amp;path_pc=pc/pages/requested/index?instanceId=7628945366158708446&amp;source=bitable&amp;path=pages/detail/index?instanceId=7628945366158708446&amp;source=bitable", "202604150103")</f>
        <v>202604150103</v>
      </c>
      <c r="B2384" t="inlineStr">
        <is>
          <t>Approved</t>
        </is>
      </c>
      <c r="C2384" t="inlineStr">
        <is>
          <t>Procurement Order</t>
        </is>
      </c>
      <c r="D2384" s="3">
        <v>46127.80856481481</v>
      </c>
      <c r="E2384" s="3">
        <v>46129.426157407404</v>
      </c>
      <c r="F2384" t="inlineStr">
        <is>
          <t>Fatima Kathleen M. FLores</t>
        </is>
      </c>
      <c r="G2384" t="inlineStr">
        <is>
          <t>Procurement</t>
        </is>
      </c>
      <c r="H2384"/>
      <c r="I2384"/>
      <c r="J2384" t="inlineStr">
        <is>
          <t>Project</t>
        </is>
      </c>
      <c r="K2384" t="inlineStr">
        <is>
          <t>GG - Event Service</t>
        </is>
      </c>
      <c r="L2384" t="inlineStr">
        <is>
          <t>PUBG Mobile 8th Anniversary Event</t>
        </is>
      </c>
      <c r="M2384" t="inlineStr">
        <is>
          <t>2026TEG-P0066</t>
        </is>
      </c>
      <c r="N2384" t="inlineStr">
        <is>
          <t>Randy Vince Fernandez Apura</t>
        </is>
      </c>
      <c r="O2384" t="inlineStr">
        <is>
          <t>202603170037-Randy Vince Fernandez Apura-费用报销 - 副本 - 副本 - 副本-2026-03-17 02:20:55</t>
        </is>
      </c>
      <c r="P2384" t="inlineStr">
        <is>
          <t>YES</t>
        </is>
      </c>
      <c r="Q2384"/>
      <c r="R2384" t="inlineStr">
        <is>
          <t>YES</t>
        </is>
      </c>
      <c r="S2384" t="inlineStr">
        <is>
          <t>Outsourced Cosplayer (Davao)</t>
        </is>
      </c>
      <c r="T2384">
        <v>1</v>
      </c>
      <c r="U2384">
        <v>8500</v>
      </c>
      <c r="V2384" t="inlineStr">
        <is>
          <t>PHP</t>
        </is>
      </c>
      <c r="W2384">
        <v>8500</v>
      </c>
      <c r="X2384" s="2" t="str">
        <f>=HYPERLINK("https://www.larksuite.com/approval/admin/previewAttachment?key=PMg7CgJhDATgK02SycvL2LgssrogCPI3ObtgYftFCaJcLBps0YZMhlbTLUK8EkXG6EhmIyXDZjv3K-z50NPtWPqqdcznftu3t3inKtJIKwBy-bslye4gfo5vAAAA__8", "2 attachment(s)")</f>
        <v>2 attachment(s)</v>
      </c>
      <c r="Y2384" t="inlineStr">
        <is>
          <t>Bank Transfer</t>
        </is>
      </c>
      <c r="Z2384" t="inlineStr">
        <is>
          <t>Krizzy Joyce Daugdaug</t>
        </is>
      </c>
      <c r="AA2384" t="inlineStr">
        <is>
          <t>1094 2193 1275</t>
        </is>
      </c>
      <c r="AB2384" t="inlineStr">
        <is>
          <t>UnionBank</t>
        </is>
      </c>
      <c r="AC2384" t="inlineStr">
        <is>
          <t>Purok 3 Aqualand San Vicente Panabo City</t>
        </is>
      </c>
      <c r="AD2384" s="4">
        <v>46122</v>
      </c>
      <c r="AE2384" t="inlineStr">
        <is>
          <t>100% Full Payment - Apr. 10, 2026</t>
        </is>
      </c>
      <c r="AF2384" s="2"/>
      <c r="AG2384" t="inlineStr">
        <is>
          <t>NzQyNTk5MTgyNzQ4MTg3MDM0MToyOTVCN0FBMi0zQUI0LTQyNjMtOTNGMS1BREFDRDUwOTRGM0MtMTo4N2NmZWFiNDRhYmNlYWFkOWRiOTQ5ODdhMGE3NWIzODox</t>
        </is>
      </c>
      <c r="AH2384" t="inlineStr">
        <is>
          <t>Krizzy Joyce Daugdaug</t>
        </is>
      </c>
      <c r="AI2384"/>
      <c r="AJ2384" t="inlineStr">
        <is>
          <t>LIQUIDITY PLAN (PAR # 202603150011 / 2026TEG-P0066)
MINDANAO LEG - MARCH 22, 2026 &gt; 
MARKETING COLLATERAL &amp; VENUE SKINNING &gt;
Cosplayer &gt; Cosplayer
Total Remaining Budget = (Php 900.00) NEGATIVE BUDGET
Actual Cost = Php 8,500.00
Balance = (Php 9,400.00) OVER BUDGET</t>
        </is>
      </c>
      <c r="AK2384"/>
    </row>
    <row r="2385" ht="25.5" customHeight="1">
      <c r="A2385" s="2" t="str">
        <f>=HYPERLINK("https://applink.larksuite.com/client/mini_program/open?appId=cli_9c7cc8a9a9edd105&amp;mode=appCenter&amp;path_pc=pc/pages/requested/index?instanceId=7628928197253435103&amp;source=bitable&amp;path=pages/detail/index?instanceId=7628928197253435103&amp;source=bitable", "202604150087")</f>
        <v>202604150087</v>
      </c>
      <c r="B2385" t="inlineStr">
        <is>
          <t>Approved</t>
        </is>
      </c>
      <c r="C2385" t="inlineStr">
        <is>
          <t>Procurement Order</t>
        </is>
      </c>
      <c r="D2385" s="3">
        <v>46127.762291666666</v>
      </c>
      <c r="E2385" s="3">
        <v>46129.6159837963</v>
      </c>
      <c r="F2385" t="inlineStr">
        <is>
          <t>Fatima Kathleen M. FLores</t>
        </is>
      </c>
      <c r="G2385" t="inlineStr">
        <is>
          <t>Procurement</t>
        </is>
      </c>
      <c r="H2385"/>
      <c r="I2385"/>
      <c r="J2385" t="inlineStr">
        <is>
          <t>Project</t>
        </is>
      </c>
      <c r="K2385" t="inlineStr">
        <is>
          <t>GG - Event Service</t>
        </is>
      </c>
      <c r="L2385" t="inlineStr">
        <is>
          <t>Philippine Kings League Spring Season 2026 (PKL)</t>
        </is>
      </c>
      <c r="M2385" t="inlineStr">
        <is>
          <t>2026TEG-P0037</t>
        </is>
      </c>
      <c r="N2385" t="inlineStr">
        <is>
          <t>Juvie Anne Asis Castres</t>
        </is>
      </c>
      <c r="O2385" t="inlineStr">
        <is>
          <t>202603120022-Juvie Anne Asis Castres-费用报销 - 副本 - 副本 - 副本-2026-03-12 03:34:53</t>
        </is>
      </c>
      <c r="P2385" t="inlineStr">
        <is>
          <t>NO</t>
        </is>
      </c>
      <c r="Q2385"/>
      <c r="R2385" t="inlineStr">
        <is>
          <t>YES</t>
        </is>
      </c>
      <c r="S2385" t="inlineStr">
        <is>
          <t>Outsourced Logistics Services (16ft Closed Van / Mar. 24 &amp; 30, 2026)</t>
        </is>
      </c>
      <c r="T2385">
        <v>1</v>
      </c>
      <c r="U2385">
        <v>12916</v>
      </c>
      <c r="V2385" t="inlineStr">
        <is>
          <t>PHP</t>
        </is>
      </c>
      <c r="W2385">
        <v>12916</v>
      </c>
      <c r="X2385" s="2" t="str">
        <f>=HYPERLINK("https://www.larksuite.com/approval/admin/previewAttachment?key=PMgxCgJBDAXQK_2fZJL5XsZml8UFrcSBLXJ2wcL25SRyDnoKIZrArrQpm1TZ8PBBeFuzSihWeu-v436u6_xca5m4XU_0emzH_uZQmaE8wicA3v7uFRFSBn6ObwAAAP__", "3 attachment(s)")</f>
        <v>3 attachment(s)</v>
      </c>
      <c r="Y2385" t="inlineStr">
        <is>
          <t>Bank Transfer</t>
        </is>
      </c>
      <c r="Z2385" t="inlineStr">
        <is>
          <t>ONE-MAX TRUCKING SERVICES</t>
        </is>
      </c>
      <c r="AA2385" t="inlineStr">
        <is>
          <t>504-3-50448621-5</t>
        </is>
      </c>
      <c r="AB2385" t="inlineStr">
        <is>
          <t>Metrobank</t>
        </is>
      </c>
      <c r="AC2385" t="inlineStr">
        <is>
          <t>Eastdrive St., Marikina Heights, Marikina City</t>
        </is>
      </c>
      <c r="AD2385" s="4">
        <v>46136</v>
      </c>
      <c r="AE2385" t="inlineStr">
        <is>
          <t>100% Full Payment</t>
        </is>
      </c>
      <c r="AF2385" s="2"/>
      <c r="AG2385" t="inlineStr">
        <is>
          <t>NzQyNTk5MTgyNzQ4MTg3MDM0MTpCNjVGMTQ0QS0yNUI5LTQxNjktQUI2NS04OTZDMjU5NTkzMDAtMTphZTk3MzRhZDNjNzBiYTc5ZDIwMTcwYmNkMTM4MDhiMDox</t>
        </is>
      </c>
      <c r="AH2385" t="inlineStr">
        <is>
          <t>ONE-MAX TRUCKING SERVICES</t>
        </is>
      </c>
      <c r="AI2385"/>
      <c r="AJ2385" t="inlineStr">
        <is>
          <t>LIQUIDITY PLAN (PAR # 202602120015 / 2026TEG-P0037) - MAR 9 VERSION
PLAYOFFS &gt; Logistics &amp; Mobilization &gt;
Ingress &amp; Egress Mobilization (Mineski to Venue)
Ingress &amp; Egress Mobilization (Venue to Mineski)
Total Budget = Php 12,000.00
Actual Cost = Php 12,916.00
Balance = (Php 916.00) OVER BUDGET</t>
        </is>
      </c>
      <c r="AK2385"/>
    </row>
    <row r="2386" ht="25.5" customHeight="1">
      <c r="A2386" s="2" t="str">
        <f>=HYPERLINK("https://applink.larksuite.com/client/mini_program/open?appId=cli_9c7cc8a9a9edd105&amp;mode=appCenter&amp;path_pc=pc/pages/requested/index?instanceId=7628932403393744606&amp;source=bitable&amp;path=pages/detail/index?instanceId=7628932403393744606&amp;source=bitable", "202604150092")</f>
        <v>202604150092</v>
      </c>
      <c r="B2386" t="inlineStr">
        <is>
          <t>Rejected</t>
        </is>
      </c>
      <c r="C2386" t="inlineStr">
        <is>
          <t>Procurement Order</t>
        </is>
      </c>
      <c r="D2386" s="3">
        <v>46127.77363425926</v>
      </c>
      <c r="E2386" s="3">
        <v>46132.55577546296</v>
      </c>
      <c r="F2386" t="inlineStr">
        <is>
          <t>Fatima Kathleen M. FLores</t>
        </is>
      </c>
      <c r="G2386" t="inlineStr">
        <is>
          <t>Procurement</t>
        </is>
      </c>
      <c r="H2386"/>
      <c r="I2386"/>
      <c r="J2386" t="inlineStr">
        <is>
          <t>Project</t>
        </is>
      </c>
      <c r="K2386" t="inlineStr">
        <is>
          <t>GG - Event Service</t>
        </is>
      </c>
      <c r="L2386" t="inlineStr">
        <is>
          <t>PUBG Mobile 8th Anniversary Event</t>
        </is>
      </c>
      <c r="M2386" t="inlineStr">
        <is>
          <t>2026TEG-P0066</t>
        </is>
      </c>
      <c r="N2386" t="inlineStr">
        <is>
          <t>Frances Angelita Arreglado</t>
        </is>
      </c>
      <c r="O2386" t="inlineStr">
        <is>
          <t>202603300046-Frances Angelita Arreglado-费用报销 - 副本 - 副本 - 副本-2026-03-30 04:50:27</t>
        </is>
      </c>
      <c r="P2386" t="inlineStr">
        <is>
          <t>YES</t>
        </is>
      </c>
      <c r="Q2386"/>
      <c r="R2386" t="inlineStr">
        <is>
          <t>YES</t>
        </is>
      </c>
      <c r="S2386" t="inlineStr">
        <is>
          <t>Outsourced Logistics Associates (Cavite &amp; Metro Manila)</t>
        </is>
      </c>
      <c r="T2386">
        <v>1</v>
      </c>
      <c r="U2386">
        <v>5700</v>
      </c>
      <c r="V2386" t="inlineStr">
        <is>
          <t>PHP</t>
        </is>
      </c>
      <c r="W2386">
        <v>5700</v>
      </c>
      <c r="X2386" s="2" t="str">
        <f>=HYPERLINK("https://www.larksuite.com/approval/admin/previewAttachment?key=PMwxqsNADATQK42kWWnnX-Y3MUscbDAE0unsISnSvuLlNOQcFilQ5oJ1pU-FExGKIhPZ3lYllFVGb-f6P8ZjF6_j4trnufp1v63taUPljgoyJgD7-_lnopTE1_EOAAD__w", "2 attachment(s)")</f>
        <v>2 attachment(s)</v>
      </c>
      <c r="Y2386" t="inlineStr">
        <is>
          <t>Bank Transfer</t>
        </is>
      </c>
      <c r="Z2386" t="inlineStr">
        <is>
          <t>Edzel Jay Vesencio</t>
        </is>
      </c>
      <c r="AA2386" t="inlineStr">
        <is>
          <t>09499825404</t>
        </is>
      </c>
      <c r="AB2386" t="inlineStr">
        <is>
          <t>GCash</t>
        </is>
      </c>
      <c r="AC2386" t="inlineStr">
        <is>
          <t>30 Balubad St., Twin River Subdivision, Nangka, Marikina City</t>
        </is>
      </c>
      <c r="AD2386" s="4">
        <v>46129</v>
      </c>
      <c r="AE2386" t="inlineStr">
        <is>
          <t>100% Full Payment - Apr. 17, 2026</t>
        </is>
      </c>
      <c r="AF2386" s="2"/>
      <c r="AG2386" t="inlineStr">
        <is>
          <t>NzQyNTk5MTgyNzQ4MTg3MDM0MTo0RTU4NUUzNi04QTc3LTQwQkEtOTlENC02MjM4MjEwQTZGRjMtMToyYjAzMzYyMjg2MDQwOGM1MGJjOThjNDlkNmEwNWNkYTox</t>
        </is>
      </c>
      <c r="AH2386" t="inlineStr">
        <is>
          <t>Edzel Jay Vesencio</t>
        </is>
      </c>
      <c r="AI2386"/>
      <c r="AJ2386" t="inlineStr">
        <is>
          <t>LIQUIDITY PLAN (PAR # 202603150011 / 202603150011) - AS OF 03/24/26
SOUTH LUZON LEG - MARCH 28, 2026 &gt; MANPOWER &gt;
Logistics, Hospitality &gt; Logistic Crew
METRO MANILA LEG - MARCH 29, 2026 &gt; MANPOWER &gt;
Logistics, Hospitality &gt; Logistics Crew
Total Remaining Budget = (Php 10,200.00) NEGATIVE BUDGET
Actual Cost = Php 5,700.00
Balance = (Php 15,900.00) OVER BUDGET</t>
        </is>
      </c>
      <c r="AK2386"/>
    </row>
    <row r="2387" ht="25.5" customHeight="1">
      <c r="A2387" s="2" t="str">
        <f>=HYPERLINK("https://applink.larksuite.com/client/mini_program/open?appId=cli_9c7cc8a9a9edd105&amp;mode=appCenter&amp;path_pc=pc/pages/requested/index?instanceId=7629608413512748766&amp;source=bitable&amp;path=pages/detail/index?instanceId=7629608413512748766&amp;source=bitable", "202604170057")</f>
        <v>202604170057</v>
      </c>
      <c r="B2387" t="inlineStr">
        <is>
          <t>Approved</t>
        </is>
      </c>
      <c r="C2387" t="inlineStr">
        <is>
          <t>Procurement Order</t>
        </is>
      </c>
      <c r="D2387" s="3">
        <v>46129.59533564815</v>
      </c>
      <c r="E2387" s="3">
        <v>46129.651979166665</v>
      </c>
      <c r="F2387" t="inlineStr">
        <is>
          <t>Fatima Kathleen M. FLores</t>
        </is>
      </c>
      <c r="G2387" t="inlineStr">
        <is>
          <t>Procurement</t>
        </is>
      </c>
      <c r="H2387"/>
      <c r="I2387"/>
      <c r="J2387" t="inlineStr">
        <is>
          <t>Project</t>
        </is>
      </c>
      <c r="K2387" t="inlineStr">
        <is>
          <t>PDEI - Game Marketing</t>
        </is>
      </c>
      <c r="L2387" t="inlineStr">
        <is>
          <t>SportsPlus MPBL Roadtrip Watchparty 2026</t>
        </is>
      </c>
      <c r="M2387" t="inlineStr">
        <is>
          <t>2026TEG-P0028</t>
        </is>
      </c>
      <c r="N2387" t="inlineStr">
        <is>
          <t>Kervin</t>
        </is>
      </c>
      <c r="O2387" t="inlineStr">
        <is>
          <t>202603260033-Kervin-费用报销 - 副本 - 副本 - 副本-2026-03-26 04:25:34</t>
        </is>
      </c>
      <c r="P2387" t="inlineStr">
        <is>
          <t>NO</t>
        </is>
      </c>
      <c r="Q2387"/>
      <c r="R2387" t="inlineStr">
        <is>
          <t>NO</t>
        </is>
      </c>
      <c r="S2387" t="inlineStr">
        <is>
          <t>Rental of Arcade Machine (Basketball) - Cuneta Astrodome</t>
        </is>
      </c>
      <c r="T2387">
        <v>1</v>
      </c>
      <c r="U2387">
        <v>6000</v>
      </c>
      <c r="V2387" t="inlineStr">
        <is>
          <t>PHP</t>
        </is>
      </c>
      <c r="W2387">
        <v>6000</v>
      </c>
      <c r="X2387" s="2" t="str">
        <f>=HYPERLINK("https://www.larksuite.com/approval/admin/previewAttachment?key=PMgxikMxDATQK81IY421l9kmHxMCrgK_89kDKdK-mkTNwayGmtHgcUUXppiDYU1XnTi0G6Yrz7XX_839UlwalNfa534-1vXmaEfAKeUEwL-fpyV1l_B1fAIAAP__", "2 attachment(s)")</f>
        <v>2 attachment(s)</v>
      </c>
      <c r="Y2387" t="inlineStr">
        <is>
          <t>Bank Transfer</t>
        </is>
      </c>
      <c r="Z2387" t="inlineStr">
        <is>
          <t>Mirasol Yubia</t>
        </is>
      </c>
      <c r="AA2387" t="inlineStr">
        <is>
          <t>001571161951</t>
        </is>
      </c>
      <c r="AB2387" t="inlineStr">
        <is>
          <t>BDO</t>
        </is>
      </c>
      <c r="AC2387" t="inlineStr">
        <is>
          <t>1730 Santiago St., Quiricada, Manila</t>
        </is>
      </c>
      <c r="AD2387" s="4">
        <v>46129</v>
      </c>
      <c r="AE2387" t="inlineStr">
        <is>
          <t>50% Down Payment upon confirmation
50% Final Payment upon delivery of machines</t>
        </is>
      </c>
      <c r="AF2387" s="2" t="str">
        <f>=HYPERLINK("https://www.larksuite.com/approval/admin/previewAttachment?key=TMgxCkJBDATQK81sspPEy9i4LCJsJfwuZxesfvuUhHLSVPDiKLBDo4R02uQIz5B6NCMKwZD1Ovt58Xx8LJ_02Pv09X7t9aXSBK_pzgLAx81JVJrs7_gFAAD__w", "4 attachment(s)")</f>
        <v>4 attachment(s)</v>
      </c>
      <c r="AG2387" t="inlineStr">
        <is>
          <t>NzQyNTk5MTgyNzQ4MTg3MDM0MToyMzBDQkI1RC0xRTgxLTREREEtOUIxMy0yNTE0NjU0NkRDNzItMTowN2Q4ZTJlZWQ0MTY2N2FkMTUwMDlkOTkyMDBlZWVmNDox</t>
        </is>
      </c>
      <c r="AH2387" t="inlineStr">
        <is>
          <t>ARCADE RENTALS PHILIPPINES</t>
        </is>
      </c>
      <c r="AI2387"/>
      <c r="AJ2387" t="inlineStr">
        <is>
          <t>LIQUIDITY PLAN (PAR # 202603240070 / 2026TEG-P0028)
PRE-PURCHASED ITEMS &gt;
Arcade Basketball
Total Remaining Budget = Php 41,500.00
Actual Cost = Php 20,000.00
Balance = Php 7,600.00</t>
        </is>
      </c>
      <c r="AK2387"/>
    </row>
    <row r="2388" ht="25.5" customHeight="1">
      <c r="A2388" s="2" t="str">
        <f>=HYPERLINK("https://applink.larksuite.com/client/mini_program/open?appId=cli_9c7cc8a9a9edd105&amp;mode=appCenter&amp;path_pc=pc/pages/requested/index?instanceId=7629608413512748766&amp;source=bitable&amp;path=pages/detail/index?instanceId=7629608413512748766&amp;source=bitable", "202604170057")</f>
        <v>202604170057</v>
      </c>
      <c r="B2388" t="inlineStr">
        <is>
          <t>Approved</t>
        </is>
      </c>
      <c r="C2388" t="inlineStr">
        <is>
          <t>Procurement Order</t>
        </is>
      </c>
      <c r="D2388" s="3">
        <v>46129.59533564815</v>
      </c>
      <c r="E2388" s="3">
        <v>46129.651979166665</v>
      </c>
      <c r="F2388" t="inlineStr">
        <is>
          <t>Fatima Kathleen M. FLores</t>
        </is>
      </c>
      <c r="G2388" t="inlineStr">
        <is>
          <t>Procurement</t>
        </is>
      </c>
      <c r="H2388"/>
      <c r="I2388"/>
      <c r="J2388" t="inlineStr">
        <is>
          <t>Project</t>
        </is>
      </c>
      <c r="K2388" t="inlineStr">
        <is>
          <t>PDEI - Game Marketing</t>
        </is>
      </c>
      <c r="L2388" t="inlineStr">
        <is>
          <t>SportsPlus MPBL Roadtrip Watchparty 2026</t>
        </is>
      </c>
      <c r="M2388" t="inlineStr">
        <is>
          <t>2026TEG-P0028</t>
        </is>
      </c>
      <c r="N2388" t="inlineStr">
        <is>
          <t>Kervin</t>
        </is>
      </c>
      <c r="O2388" t="inlineStr">
        <is>
          <t>202603260033-Kervin-费用报销 - 副本 - 副本 - 副本-2026-03-26 04:25:34</t>
        </is>
      </c>
      <c r="P2388" t="inlineStr">
        <is>
          <t>NO</t>
        </is>
      </c>
      <c r="Q2388"/>
      <c r="R2388" t="inlineStr">
        <is>
          <t>NO</t>
        </is>
      </c>
      <c r="S2388" t="inlineStr">
        <is>
          <t>Rental of Arcade Machine (Basketball) - Bataan</t>
        </is>
      </c>
      <c r="T2388">
        <v>1</v>
      </c>
      <c r="U2388">
        <v>6000</v>
      </c>
      <c r="V2388" t="inlineStr">
        <is>
          <t>PHP</t>
        </is>
      </c>
      <c r="W2388">
        <v>6000</v>
      </c>
      <c r="X2388" s="2"/>
      <c r="Y2388"/>
      <c r="Z2388"/>
      <c r="AA2388"/>
      <c r="AB2388"/>
      <c r="AC2388"/>
      <c r="AD2388" s="4"/>
      <c r="AE2388"/>
      <c r="AF2388" s="2"/>
      <c r="AG2388" t="inlineStr">
        <is>
          <t>NzQyNTk5MTgyNzQ4MTg3MDM0MToyMzBDQkI1RC0xRTgxLTREREEtOUIxMy0yNTE0NjU0NkRDNzItMjozZWM5ZTZhYmJiYWNkODM5ODhiZmViY2U2NjczMjFkMDox</t>
        </is>
      </c>
      <c r="AH2388"/>
      <c r="AI2388"/>
      <c r="AJ2388" t="inlineStr">
        <is>
          <t>LIQUIDITY PLAN (PAR # 202603240070 / 2026TEG-P0028)
PRE-PURCHASED ITEMS &gt;
Arcade Basketball
Total Remaining Budget = Php 41,500.00
Actual Cost = Php 20,000.00
Balance = Php 7,600.00</t>
        </is>
      </c>
      <c r="AK2388"/>
    </row>
    <row r="2389" ht="25.5" customHeight="1">
      <c r="A2389" s="2" t="str">
        <f>=HYPERLINK("https://applink.larksuite.com/client/mini_program/open?appId=cli_9c7cc8a9a9edd105&amp;mode=appCenter&amp;path_pc=pc/pages/requested/index?instanceId=7629608413512748766&amp;source=bitable&amp;path=pages/detail/index?instanceId=7629608413512748766&amp;source=bitable", "202604170057")</f>
        <v>202604170057</v>
      </c>
      <c r="B2389" t="inlineStr">
        <is>
          <t>Approved</t>
        </is>
      </c>
      <c r="C2389" t="inlineStr">
        <is>
          <t>Procurement Order</t>
        </is>
      </c>
      <c r="D2389" s="3">
        <v>46129.59533564815</v>
      </c>
      <c r="E2389" s="3">
        <v>46129.651979166665</v>
      </c>
      <c r="F2389" t="inlineStr">
        <is>
          <t>Fatima Kathleen M. FLores</t>
        </is>
      </c>
      <c r="G2389" t="inlineStr">
        <is>
          <t>Procurement</t>
        </is>
      </c>
      <c r="H2389"/>
      <c r="I2389"/>
      <c r="J2389" t="inlineStr">
        <is>
          <t>Project</t>
        </is>
      </c>
      <c r="K2389" t="inlineStr">
        <is>
          <t>PDEI - Game Marketing</t>
        </is>
      </c>
      <c r="L2389" t="inlineStr">
        <is>
          <t>SportsPlus MPBL Roadtrip Watchparty 2026</t>
        </is>
      </c>
      <c r="M2389" t="inlineStr">
        <is>
          <t>2026TEG-P0028</t>
        </is>
      </c>
      <c r="N2389" t="inlineStr">
        <is>
          <t>Kervin</t>
        </is>
      </c>
      <c r="O2389" t="inlineStr">
        <is>
          <t>202603260033-Kervin-费用报销 - 副本 - 副本 - 副本-2026-03-26 04:25:34</t>
        </is>
      </c>
      <c r="P2389" t="inlineStr">
        <is>
          <t>NO</t>
        </is>
      </c>
      <c r="Q2389"/>
      <c r="R2389" t="inlineStr">
        <is>
          <t>NO</t>
        </is>
      </c>
      <c r="S2389" t="inlineStr">
        <is>
          <t>Delivery Charge + Toll Fee</t>
        </is>
      </c>
      <c r="T2389">
        <v>1</v>
      </c>
      <c r="U2389">
        <v>8000</v>
      </c>
      <c r="V2389" t="inlineStr">
        <is>
          <t>PHP</t>
        </is>
      </c>
      <c r="W2389">
        <v>8000</v>
      </c>
      <c r="X2389" s="2" t="str">
        <f>=HYPERLINK("https://www.larksuite.com/approval/admin/previewAttachment?key=PMgxCkJBDATQK2WS2czGy9i4LCJsJfwuZxcsfvtywnIORJax4GVopVfaJGLAxanM9oZUJiij19nPC-dDXxyg9j59vV97fTFK7qYgY5oZHreHSFYl7e_-CwAA__8", "1 attachment(s)")</f>
        <v>1 attachment(s)</v>
      </c>
      <c r="Y2389"/>
      <c r="Z2389"/>
      <c r="AA2389"/>
      <c r="AB2389"/>
      <c r="AC2389"/>
      <c r="AD2389" s="4"/>
      <c r="AE2389"/>
      <c r="AF2389" s="2"/>
      <c r="AG2389" t="inlineStr">
        <is>
          <t>NzQyNTk5MTgyNzQ4MTg3MDM0MToyMzBDQkI1RC0xRTgxLTREREEtOUIxMy0yNTE0NjU0NkRDNzItMzpkN2VmMGViYjFmMmYwNDhjODQ2NzEwYmU2MTA4MTgxZjox</t>
        </is>
      </c>
      <c r="AH2389"/>
      <c r="AI2389"/>
      <c r="AJ2389" t="inlineStr">
        <is>
          <t>LIQUIDITY PLAN (PAR # 202603240070 / 2026TEG-P0028)
PRE-PURCHASED ITEMS &gt;
Arcade Basketball
Total Remaining Budget = Php 41,500.00
Actual Cost = Php 20,000.00
Balance = Php 7,600.00</t>
        </is>
      </c>
      <c r="AK2389"/>
    </row>
    <row r="2390" ht="25.5" customHeight="1">
      <c r="A2390" s="2" t="str">
        <f>=HYPERLINK("https://applink.larksuite.com/client/mini_program/open?appId=cli_9c7cc8a9a9edd105&amp;mode=appCenter&amp;path_pc=pc/pages/requested/index?instanceId=7628936615733235423&amp;source=bitable&amp;path=pages/detail/index?instanceId=7628936615733235423&amp;source=bitable", "202604150096")</f>
        <v>202604150096</v>
      </c>
      <c r="B2390" t="inlineStr">
        <is>
          <t>Approved</t>
        </is>
      </c>
      <c r="C2390" t="inlineStr">
        <is>
          <t>Procurement Order</t>
        </is>
      </c>
      <c r="D2390" s="3">
        <v>46127.78497685185</v>
      </c>
      <c r="E2390" s="3">
        <v>46135.61393518518</v>
      </c>
      <c r="F2390" t="inlineStr">
        <is>
          <t>Fatima Kathleen M. FLores</t>
        </is>
      </c>
      <c r="G2390" t="inlineStr">
        <is>
          <t>Procurement</t>
        </is>
      </c>
      <c r="H2390"/>
      <c r="I2390"/>
      <c r="J2390" t="inlineStr">
        <is>
          <t>Project</t>
        </is>
      </c>
      <c r="K2390" t="inlineStr">
        <is>
          <t>PDEI - Game Marketing</t>
        </is>
      </c>
      <c r="L2390" t="inlineStr">
        <is>
          <t>SportsPlus MPBL Fan Zone Opening Day</t>
        </is>
      </c>
      <c r="M2390" t="inlineStr">
        <is>
          <t>2026TEG-P0088</t>
        </is>
      </c>
      <c r="N2390" t="inlineStr">
        <is>
          <t>Kervin</t>
        </is>
      </c>
      <c r="O2390" t="inlineStr">
        <is>
          <t>202604060056-Kervin-费用报销 - 副本 - 副本 - 副本-2026-04-06 04:09:42</t>
        </is>
      </c>
      <c r="P2390" t="inlineStr">
        <is>
          <t>NO</t>
        </is>
      </c>
      <c r="Q2390"/>
      <c r="R2390" t="inlineStr">
        <is>
          <t>YES</t>
        </is>
      </c>
      <c r="S2390" t="inlineStr">
        <is>
          <t>Outsourced Safety Officers (Apr. 10, 2026) - Laguna &amp; Caloocan</t>
        </is>
      </c>
      <c r="T2390">
        <v>1</v>
      </c>
      <c r="U2390">
        <v>7000</v>
      </c>
      <c r="V2390" t="inlineStr">
        <is>
          <t>PHP</t>
        </is>
      </c>
      <c r="W2390">
        <v>7000</v>
      </c>
      <c r="X2390" s="2" t="str">
        <f>=HYPERLINK("https://www.larksuite.com/approval/admin/previewAttachment?key=PMg7CgJBEATQK3V19WfKy5i4LCpqIixOMGcXDExfDViNBEsWgsuwunyIVcgmnRnO5QvdskYX1_bcz4-834TPTL1m-LGO62Xf3ki1uzUjOMwMp7-zI0KqsJ_bNwAA__8", "2 attachment(s)")</f>
        <v>2 attachment(s)</v>
      </c>
      <c r="Y2390" t="inlineStr">
        <is>
          <t>Bank Transfer</t>
        </is>
      </c>
      <c r="Z2390" t="inlineStr">
        <is>
          <t>Juanito T. Acedo Jr.</t>
        </is>
      </c>
      <c r="AA2390" t="inlineStr">
        <is>
          <t>010670126934</t>
        </is>
      </c>
      <c r="AB2390" t="inlineStr">
        <is>
          <t>BDO</t>
        </is>
      </c>
      <c r="AC2390" t="inlineStr">
        <is>
          <t>127-68 Bronze St., Tugatog District II, Malabon City</t>
        </is>
      </c>
      <c r="AD2390" s="4">
        <v>46136</v>
      </c>
      <c r="AE2390" t="inlineStr">
        <is>
          <t>100% Full Payment</t>
        </is>
      </c>
      <c r="AF2390" s="2"/>
      <c r="AG2390" t="inlineStr">
        <is>
          <t>NzQyNTk5MTgyNzQ4MTg3MDM0MTo2NTA1QzFGNC1CNjNELTRGM0EtQkU0QS02NDY3MTBBMURBQzktMTozMWM0MTg0YzE1YTEzYmIyZTQ4ZjZjMTY0N2I3NzZhNjox</t>
        </is>
      </c>
      <c r="AH2390" t="inlineStr">
        <is>
          <t>ACE88 Event Security Management</t>
        </is>
      </c>
      <c r="AI2390"/>
      <c r="AJ2390" t="inlineStr">
        <is>
          <t>LIQUIDITY PLAN (PAR # 202604060049 / 2026TEG-P0088)                                                       
Safety and Security &gt; Safety Officer
Total Budget = Php 7,000.00
Actual Cost = Php 7,000.00</t>
        </is>
      </c>
      <c r="AK2390"/>
    </row>
    <row r="2391" ht="25.5" customHeight="1">
      <c r="A2391" s="2" t="str">
        <f>=HYPERLINK("https://applink.larksuite.com/client/mini_program/open?appId=cli_9c7cc8a9a9edd105&amp;mode=appCenter&amp;path_pc=pc/pages/requested/index?instanceId=7628188508569472741&amp;source=bitable&amp;path=pages/detail/index?instanceId=7628188508569472741&amp;source=bitable", "202604130143")</f>
        <v>202604130143</v>
      </c>
      <c r="B2391" t="inlineStr">
        <is>
          <t>Approved</t>
        </is>
      </c>
      <c r="C2391" t="inlineStr">
        <is>
          <t>Procurement Order</t>
        </is>
      </c>
      <c r="D2391" s="3">
        <v>46125.76898148148</v>
      </c>
      <c r="E2391" s="3">
        <v>46135.60834490741</v>
      </c>
      <c r="F2391" t="inlineStr">
        <is>
          <t>Fatima Kathleen M. FLores</t>
        </is>
      </c>
      <c r="G2391" t="inlineStr">
        <is>
          <t>Procurement</t>
        </is>
      </c>
      <c r="H2391"/>
      <c r="I2391"/>
      <c r="J2391" t="inlineStr">
        <is>
          <t>Project</t>
        </is>
      </c>
      <c r="K2391" t="inlineStr">
        <is>
          <t>PDEI - Game Marketing</t>
        </is>
      </c>
      <c r="L2391" t="inlineStr">
        <is>
          <t>SportsPlus MPBL Fan Zone Opening Day</t>
        </is>
      </c>
      <c r="M2391" t="inlineStr">
        <is>
          <t>2026TEG-P0088</t>
        </is>
      </c>
      <c r="N2391" t="inlineStr">
        <is>
          <t>Kervin</t>
        </is>
      </c>
      <c r="O2391" t="inlineStr">
        <is>
          <t>202604060064-Kervin-费用报销 - 副本 - 副本 - 副本-2026-04-06 04:26:35;202604130073-Kervin-费用报销 - 副本 - 副本 - 副本-2026-04-13 06:19:12</t>
        </is>
      </c>
      <c r="P2391" t="inlineStr">
        <is>
          <t>NO</t>
        </is>
      </c>
      <c r="Q2391"/>
      <c r="R2391" t="inlineStr">
        <is>
          <t>YES</t>
        </is>
      </c>
      <c r="S2391" t="inlineStr">
        <is>
          <t>Mock Check - Sticker on Sintra (3mm) / 48" x 22"</t>
        </is>
      </c>
      <c r="T2391">
        <v>2</v>
      </c>
      <c r="U2391">
        <v>981.12</v>
      </c>
      <c r="V2391" t="inlineStr">
        <is>
          <t>PHP</t>
        </is>
      </c>
      <c r="W2391">
        <v>1962.24</v>
      </c>
      <c r="X2391" s="2"/>
      <c r="Y2391" t="inlineStr">
        <is>
          <t>Bank Transfer</t>
        </is>
      </c>
      <c r="Z2391" t="inlineStr">
        <is>
          <t>PANGILINAN FABRIC AND LEATHER SUPPLY</t>
        </is>
      </c>
      <c r="AA2391" t="inlineStr">
        <is>
          <t>011698004345</t>
        </is>
      </c>
      <c r="AB2391" t="inlineStr">
        <is>
          <t>BDO</t>
        </is>
      </c>
      <c r="AC2391" t="inlineStr">
        <is>
          <t>Unit 4 Redgold Bldg. Villa Classica Sumulong Hi-way, Mayamot, Antipolo Rizal</t>
        </is>
      </c>
      <c r="AD2391" s="4">
        <v>46129</v>
      </c>
      <c r="AE2391" t="inlineStr">
        <is>
          <t>50% Down Payment upon confirmation
50% Final Payment upon complete delivery</t>
        </is>
      </c>
      <c r="AF2391" s="2" t="str">
        <f>=HYPERLINK("https://www.larksuite.com/approval/admin/previewAttachment?key=TMg7CoJBDATgK81ks0nGy9i4_Lg-KkFscnbByvaLIqImRwgumsDOsGLVRM2Qp6WzrZkpJDNGr-dxvptvyT7r9tib1u_r5VgvRo2Aa7pTAHj6cxKqEePn-AYAAP__", "2 attachment(s)")</f>
        <v>2 attachment(s)</v>
      </c>
      <c r="AG2391" t="inlineStr">
        <is>
          <t>NzQyNTk5MTgyNzQ4MTg3MDM0MTpBOTQ5NUJEQS0zQ0VGLTRGQzktODlCOS0xNEFEOTlEODRCQjItMTpkN2NkNTI4MmIyYTAzMDgxYjg3MmNkN2E0YmIyZGFkNjox</t>
        </is>
      </c>
      <c r="AH2391" t="inlineStr">
        <is>
          <t>PANGILINAN FABRIC AND LEATHER SUPPLY</t>
        </is>
      </c>
      <c r="AI2391"/>
      <c r="AJ2391" t="inlineStr">
        <is>
          <t>LIQUIDITY PLAN (PAR # 202604060049 / 2026TEG-P0088)                                                       
For Particulars 2 to 4:
FABRICATIONS / COLLATERALS &gt; Arcade Rental
Total Budget = (Php 0.00) NEGATIVE BUDGET
Actual Cost = Php 19,568.64
Balance = (Php 19,568.64) OVER BUDGET
For Particular 1:
Miscellaneous &gt; Contingency Funds
Total Budget = Php 40,000.00 (CONTINGENCY)
Actual Cost = Php 1,962.24
Balance = Php 37,069.09</t>
        </is>
      </c>
      <c r="AK2391"/>
    </row>
    <row r="2392" ht="25.5" customHeight="1">
      <c r="A2392" s="2" t="str">
        <f>=HYPERLINK("https://applink.larksuite.com/client/mini_program/open?appId=cli_9c7cc8a9a9edd105&amp;mode=appCenter&amp;path_pc=pc/pages/requested/index?instanceId=7628188508569472741&amp;source=bitable&amp;path=pages/detail/index?instanceId=7628188508569472741&amp;source=bitable", "202604130143")</f>
        <v>202604130143</v>
      </c>
      <c r="B2392" t="inlineStr">
        <is>
          <t>Approved</t>
        </is>
      </c>
      <c r="C2392" t="inlineStr">
        <is>
          <t>Procurement Order</t>
        </is>
      </c>
      <c r="D2392" s="3">
        <v>46125.76898148148</v>
      </c>
      <c r="E2392" s="3">
        <v>46135.60834490741</v>
      </c>
      <c r="F2392" t="inlineStr">
        <is>
          <t>Fatima Kathleen M. FLores</t>
        </is>
      </c>
      <c r="G2392" t="inlineStr">
        <is>
          <t>Procurement</t>
        </is>
      </c>
      <c r="H2392"/>
      <c r="I2392"/>
      <c r="J2392" t="inlineStr">
        <is>
          <t>Project</t>
        </is>
      </c>
      <c r="K2392" t="inlineStr">
        <is>
          <t>PDEI - Game Marketing</t>
        </is>
      </c>
      <c r="L2392" t="inlineStr">
        <is>
          <t>SportsPlus MPBL Fan Zone Opening Day</t>
        </is>
      </c>
      <c r="M2392" t="inlineStr">
        <is>
          <t>2026TEG-P0088</t>
        </is>
      </c>
      <c r="N2392" t="inlineStr">
        <is>
          <t>Kervin</t>
        </is>
      </c>
      <c r="O2392" t="inlineStr">
        <is>
          <t>202604060064-Kervin-费用报销 - 副本 - 副本 - 副本-2026-04-06 04:26:35;202604130073-Kervin-费用报销 - 副本 - 副本 - 副本-2026-04-13 06:19:12</t>
        </is>
      </c>
      <c r="P2392" t="inlineStr">
        <is>
          <t>NO</t>
        </is>
      </c>
      <c r="Q2392"/>
      <c r="R2392" t="inlineStr">
        <is>
          <t>YES</t>
        </is>
      </c>
      <c r="S2392" t="inlineStr">
        <is>
          <t>Arcade Side Panels (80" x 47")</t>
        </is>
      </c>
      <c r="T2392">
        <v>4</v>
      </c>
      <c r="U2392">
        <v>3507.84</v>
      </c>
      <c r="V2392" t="inlineStr">
        <is>
          <t>PHP</t>
        </is>
      </c>
      <c r="W2392">
        <v>14031.36</v>
      </c>
      <c r="X2392" s="2"/>
      <c r="Y2392"/>
      <c r="Z2392"/>
      <c r="AA2392"/>
      <c r="AB2392"/>
      <c r="AC2392"/>
      <c r="AD2392" s="4"/>
      <c r="AE2392"/>
      <c r="AF2392" s="2"/>
      <c r="AG2392" t="inlineStr">
        <is>
          <t>NzQyNTk5MTgyNzQ4MTg3MDM0MTpBOTQ5NUJEQS0zQ0VGLTRGQzktODlCOS0xNEFEOTlEODRCQjItMjo3ZGRhNDc5Y2JlOWRjZWRjYmJiYTdlNzU3ZmVlNDAxMjox</t>
        </is>
      </c>
      <c r="AH2392"/>
      <c r="AI2392"/>
      <c r="AJ2392" t="inlineStr">
        <is>
          <t>LIQUIDITY PLAN (PAR # 202604060049 / 2026TEG-P0088)                                                       
For Particulars 2 to 4:
FABRICATIONS / COLLATERALS &gt; Arcade Rental
Total Budget = (Php 0.00) NEGATIVE BUDGET
Actual Cost = Php 19,568.64
Balance = (Php 19,568.64) OVER BUDGET
For Particular 1:
Miscellaneous &gt; Contingency Funds
Total Budget = Php 40,000.00 (CONTINGENCY)
Actual Cost = Php 1,962.24
Balance = Php 37,069.09</t>
        </is>
      </c>
      <c r="AK2392"/>
    </row>
    <row r="2393" ht="25.5" customHeight="1">
      <c r="A2393" s="2" t="str">
        <f>=HYPERLINK("https://applink.larksuite.com/client/mini_program/open?appId=cli_9c7cc8a9a9edd105&amp;mode=appCenter&amp;path_pc=pc/pages/requested/index?instanceId=7628188508569472741&amp;source=bitable&amp;path=pages/detail/index?instanceId=7628188508569472741&amp;source=bitable", "202604130143")</f>
        <v>202604130143</v>
      </c>
      <c r="B2393" t="inlineStr">
        <is>
          <t>Approved</t>
        </is>
      </c>
      <c r="C2393" t="inlineStr">
        <is>
          <t>Procurement Order</t>
        </is>
      </c>
      <c r="D2393" s="3">
        <v>46125.76898148148</v>
      </c>
      <c r="E2393" s="3">
        <v>46135.60834490741</v>
      </c>
      <c r="F2393" t="inlineStr">
        <is>
          <t>Fatima Kathleen M. FLores</t>
        </is>
      </c>
      <c r="G2393" t="inlineStr">
        <is>
          <t>Procurement</t>
        </is>
      </c>
      <c r="H2393"/>
      <c r="I2393"/>
      <c r="J2393" t="inlineStr">
        <is>
          <t>Project</t>
        </is>
      </c>
      <c r="K2393" t="inlineStr">
        <is>
          <t>PDEI - Game Marketing</t>
        </is>
      </c>
      <c r="L2393" t="inlineStr">
        <is>
          <t>SportsPlus MPBL Fan Zone Opening Day</t>
        </is>
      </c>
      <c r="M2393" t="inlineStr">
        <is>
          <t>2026TEG-P0088</t>
        </is>
      </c>
      <c r="N2393" t="inlineStr">
        <is>
          <t>Kervin</t>
        </is>
      </c>
      <c r="O2393" t="inlineStr">
        <is>
          <t>202604060064-Kervin-费用报销 - 副本 - 副本 - 副本-2026-04-06 04:26:35;202604130073-Kervin-费用报销 - 副本 - 副本 - 副本-2026-04-13 06:19:12</t>
        </is>
      </c>
      <c r="P2393" t="inlineStr">
        <is>
          <t>NO</t>
        </is>
      </c>
      <c r="Q2393"/>
      <c r="R2393" t="inlineStr">
        <is>
          <t>YES</t>
        </is>
      </c>
      <c r="S2393" t="inlineStr">
        <is>
          <t>Front Panel - Sticker (59" x 47")</t>
        </is>
      </c>
      <c r="T2393">
        <v>2</v>
      </c>
      <c r="U2393">
        <v>1725.696</v>
      </c>
      <c r="V2393" t="inlineStr">
        <is>
          <t>PHP</t>
        </is>
      </c>
      <c r="W2393">
        <v>3451.392</v>
      </c>
      <c r="X2393" s="2"/>
      <c r="Y2393"/>
      <c r="Z2393"/>
      <c r="AA2393"/>
      <c r="AB2393"/>
      <c r="AC2393"/>
      <c r="AD2393" s="4"/>
      <c r="AE2393"/>
      <c r="AF2393" s="2"/>
      <c r="AG2393" t="inlineStr">
        <is>
          <t>NzQyNTk5MTgyNzQ4MTg3MDM0MTpBOTQ5NUJEQS0zQ0VGLTRGQzktODlCOS0xNEFEOTlEODRCQjItMzpmNDhkNGEzOGJlZTY1YTdlMjVhMTg3OTZlMzgzOTVmOTox</t>
        </is>
      </c>
      <c r="AH2393"/>
      <c r="AI2393"/>
      <c r="AJ2393" t="inlineStr">
        <is>
          <t>LIQUIDITY PLAN (PAR # 202604060049 / 2026TEG-P0088)                                                       
For Particulars 2 to 4:
FABRICATIONS / COLLATERALS &gt; Arcade Rental
Total Budget = (Php 0.00) NEGATIVE BUDGET
Actual Cost = Php 19,568.64
Balance = (Php 19,568.64) OVER BUDGET
For Particular 1:
Miscellaneous &gt; Contingency Funds
Total Budget = Php 40,000.00 (CONTINGENCY)
Actual Cost = Php 1,962.24
Balance = Php 37,069.09</t>
        </is>
      </c>
      <c r="AK2393"/>
    </row>
    <row r="2394" ht="25.5" customHeight="1">
      <c r="A2394" s="2" t="str">
        <f>=HYPERLINK("https://applink.larksuite.com/client/mini_program/open?appId=cli_9c7cc8a9a9edd105&amp;mode=appCenter&amp;path_pc=pc/pages/requested/index?instanceId=7628188508569472741&amp;source=bitable&amp;path=pages/detail/index?instanceId=7628188508569472741&amp;source=bitable", "202604130143")</f>
        <v>202604130143</v>
      </c>
      <c r="B2394" t="inlineStr">
        <is>
          <t>Approved</t>
        </is>
      </c>
      <c r="C2394" t="inlineStr">
        <is>
          <t>Procurement Order</t>
        </is>
      </c>
      <c r="D2394" s="3">
        <v>46125.76898148148</v>
      </c>
      <c r="E2394" s="3">
        <v>46135.60834490741</v>
      </c>
      <c r="F2394" t="inlineStr">
        <is>
          <t>Fatima Kathleen M. FLores</t>
        </is>
      </c>
      <c r="G2394" t="inlineStr">
        <is>
          <t>Procurement</t>
        </is>
      </c>
      <c r="H2394"/>
      <c r="I2394"/>
      <c r="J2394" t="inlineStr">
        <is>
          <t>Project</t>
        </is>
      </c>
      <c r="K2394" t="inlineStr">
        <is>
          <t>PDEI - Game Marketing</t>
        </is>
      </c>
      <c r="L2394" t="inlineStr">
        <is>
          <t>SportsPlus MPBL Fan Zone Opening Day</t>
        </is>
      </c>
      <c r="M2394" t="inlineStr">
        <is>
          <t>2026TEG-P0088</t>
        </is>
      </c>
      <c r="N2394" t="inlineStr">
        <is>
          <t>Kervin</t>
        </is>
      </c>
      <c r="O2394" t="inlineStr">
        <is>
          <t>202604060064-Kervin-费用报销 - 副本 - 副本 - 副本-2026-04-06 04:26:35;202604130073-Kervin-费用报销 - 副本 - 副本 - 副本-2026-04-13 06:19:12</t>
        </is>
      </c>
      <c r="P2394" t="inlineStr">
        <is>
          <t>NO</t>
        </is>
      </c>
      <c r="Q2394"/>
      <c r="R2394" t="inlineStr">
        <is>
          <t>YES</t>
        </is>
      </c>
      <c r="S2394" t="inlineStr">
        <is>
          <t>Backdrop - Sticker (35.5" x 47.20")</t>
        </is>
      </c>
      <c r="T2394">
        <v>2</v>
      </c>
      <c r="U2394">
        <v>1042.944</v>
      </c>
      <c r="V2394" t="inlineStr">
        <is>
          <t>PHP</t>
        </is>
      </c>
      <c r="W2394">
        <v>2085.888</v>
      </c>
      <c r="X2394" s="2" t="str">
        <f>=HYPERLINK("https://www.larksuite.com/approval/admin/previewAttachment?key=PMg7CoJBDATgK2WSbCbjZWxcflwflSA2e3bBwvarhlUPRMlScBk2yxvdw3qUks7E9g1SRrBiz-dxvnsuyT_z9lgLvt_XyzFfGKK7MTKjzQynvwczU6q0n8c3AAD__w", "3 attachment(s)")</f>
        <v>3 attachment(s)</v>
      </c>
      <c r="Y2394"/>
      <c r="Z2394"/>
      <c r="AA2394"/>
      <c r="AB2394"/>
      <c r="AC2394"/>
      <c r="AD2394" s="4"/>
      <c r="AE2394"/>
      <c r="AF2394" s="2"/>
      <c r="AG2394" t="inlineStr">
        <is>
          <t>NzQyNTk5MTgyNzQ4MTg3MDM0MTpBOTQ5NUJEQS0zQ0VGLTRGQzktODlCOS0xNEFEOTlEODRCQjItNDo4NmNiMmM5NDg3OTA4ZmRiNDlkNjNlZjc2MDVjYzRjYzox</t>
        </is>
      </c>
      <c r="AH2394"/>
      <c r="AI2394"/>
      <c r="AJ2394" t="inlineStr">
        <is>
          <t>LIQUIDITY PLAN (PAR # 202604060049 / 2026TEG-P0088)                                                       
For Particulars 2 to 4:
FABRICATIONS / COLLATERALS &gt; Arcade Rental
Total Budget = (Php 0.00) NEGATIVE BUDGET
Actual Cost = Php 19,568.64
Balance = (Php 19,568.64) OVER BUDGET
For Particular 1:
Miscellaneous &gt; Contingency Funds
Total Budget = Php 40,000.00 (CONTINGENCY)
Actual Cost = Php 1,962.24
Balance = Php 37,069.09</t>
        </is>
      </c>
      <c r="AK2394"/>
    </row>
    <row r="2395" ht="25.5" customHeight="1">
      <c r="A2395" s="2" t="str">
        <f>=HYPERLINK("https://applink.larksuite.com/client/mini_program/open?appId=cli_9c7cc8a9a9edd105&amp;mode=appCenter&amp;path_pc=pc/pages/requested/index?instanceId=7629613471272832736&amp;source=bitable&amp;path=pages/detail/index?instanceId=7629613471272832736&amp;source=bitable", "202604170058")</f>
        <v>202604170058</v>
      </c>
      <c r="B2395" t="inlineStr">
        <is>
          <t>Approved</t>
        </is>
      </c>
      <c r="C2395" t="inlineStr">
        <is>
          <t>Procurement Order</t>
        </is>
      </c>
      <c r="D2395" s="3">
        <v>46129.60896990741</v>
      </c>
      <c r="E2395" s="3">
        <v>46129.651030092595</v>
      </c>
      <c r="F2395" t="inlineStr">
        <is>
          <t>Fatima Kathleen M. FLores</t>
        </is>
      </c>
      <c r="G2395" t="inlineStr">
        <is>
          <t>Procurement</t>
        </is>
      </c>
      <c r="H2395"/>
      <c r="I2395"/>
      <c r="J2395" t="inlineStr">
        <is>
          <t>Project</t>
        </is>
      </c>
      <c r="K2395" t="inlineStr">
        <is>
          <t>PDEI - Game Marketing</t>
        </is>
      </c>
      <c r="L2395" t="inlineStr">
        <is>
          <t>SportsPlus MPBL Roadtrip Watchparty 2026</t>
        </is>
      </c>
      <c r="M2395" t="inlineStr">
        <is>
          <t>2026TEG-P0028</t>
        </is>
      </c>
      <c r="N2395" t="inlineStr">
        <is>
          <t>Kervin</t>
        </is>
      </c>
      <c r="O2395" t="inlineStr">
        <is>
          <t>202603260028-Kervin-费用报销 - 副本 - 副本 - 副本-2026-03-26 04:21:36</t>
        </is>
      </c>
      <c r="P2395" t="inlineStr">
        <is>
          <t>NO</t>
        </is>
      </c>
      <c r="Q2395"/>
      <c r="R2395" t="inlineStr">
        <is>
          <t>NO</t>
        </is>
      </c>
      <c r="S2395" t="inlineStr">
        <is>
          <t>Stretch Fit Table Cloth w/ Full Sublimation Print</t>
        </is>
      </c>
      <c r="T2395">
        <v>1</v>
      </c>
      <c r="U2395">
        <v>3920</v>
      </c>
      <c r="V2395" t="inlineStr">
        <is>
          <t>PHP</t>
        </is>
      </c>
      <c r="W2395">
        <v>3920</v>
      </c>
      <c r="X2395" s="2" t="str">
        <f>=HYPERLINK("https://www.larksuite.com/approval/admin/previewAttachment?key=PMgxCsJQEATQK83sbHb-ehkbQxAhQRCizT-7YGH7ahA1Fqoa2YwGpyu6qDTDMRRWzZi0G6ZLc92368n9kZ-39Dx0Hpjn_batLy7tCFiZGgB4-bucmd2V-Dm-AQAA__8", "2 attachment(s)")</f>
        <v>2 attachment(s)</v>
      </c>
      <c r="Y2395" t="inlineStr">
        <is>
          <t>Bank Transfer</t>
        </is>
      </c>
      <c r="Z2395" t="inlineStr">
        <is>
          <t>GOLDEN ARTS PRINTING SERVICES</t>
        </is>
      </c>
      <c r="AA2395" t="inlineStr">
        <is>
          <t>766-7-766000572</t>
        </is>
      </c>
      <c r="AB2395" t="inlineStr">
        <is>
          <t>Metrobank</t>
        </is>
      </c>
      <c r="AC2395" t="inlineStr">
        <is>
          <t>728 Raxabago St., Brgy. 154, Zone 14, Tondo, Manila</t>
        </is>
      </c>
      <c r="AD2395" s="4">
        <v>46129</v>
      </c>
      <c r="AE2395" t="inlineStr">
        <is>
          <t>50% Down Payment upon confirmation
50% Final Payment upon complete delivery</t>
        </is>
      </c>
      <c r="AF2395" s="2" t="str">
        <f>=HYPERLINK("https://www.larksuite.com/approval/admin/previewAttachment?key=TMgxCsJQEATQK83sbGb_ehkbQxAhQRCizT-7YGX7PAiPhXIjm9HgLEebymJUDEXJMyarGsWy5rpv15P7Iz9v6XnoPDDP-21bX_SQkb1ksgHw8uckesj6Ob4BAAD__w", "3 attachment(s)")</f>
        <v>3 attachment(s)</v>
      </c>
      <c r="AG2395" t="inlineStr">
        <is>
          <t>NzQyNTk5MTgyNzQ4MTg3MDM0MTo0RDM0NEY4My0wM0UzLTRCOUYtOEYzRi05QURDMkIwNzM2RjAtMTpjYTdmYjUwNDI5M2EyYjZiZWYwZjU5YTFlN2I4ZTJiMDox</t>
        </is>
      </c>
      <c r="AH2395" t="inlineStr">
        <is>
          <t>GOLDEN ARTS PRINTING SERVICES</t>
        </is>
      </c>
      <c r="AI2395"/>
      <c r="AJ2395" t="inlineStr">
        <is>
          <t>LIQUIDITY PLAN (PAR # 202603240070 / 2026TEG-P0028)
PRE-PURCHASED ITEMS &gt;
Branded Collapsible Booth
Total Budget = Php 10,000.00
Actual Cost = Php 3,920.00
Balance = Php 6,080.00</t>
        </is>
      </c>
      <c r="AK2395"/>
    </row>
    <row r="2396" ht="25.5" customHeight="1">
      <c r="A2396" s="2" t="str">
        <f>=HYPERLINK("https://applink.larksuite.com/client/mini_program/open?appId=cli_9c7cc8a9a9edd105&amp;mode=appCenter&amp;path_pc=pc/pages/requested/index?instanceId=7629625007957659356&amp;source=bitable&amp;path=pages/detail/index?instanceId=7629625007957659356&amp;source=bitable", "202604170063")</f>
        <v>202604170063</v>
      </c>
      <c r="B2396" t="inlineStr">
        <is>
          <t>Approved</t>
        </is>
      </c>
      <c r="C2396" t="inlineStr">
        <is>
          <t>Procurement Order</t>
        </is>
      </c>
      <c r="D2396" s="3">
        <v>46129.64005787037</v>
      </c>
      <c r="E2396" s="3">
        <v>46129.650613425925</v>
      </c>
      <c r="F2396" t="inlineStr">
        <is>
          <t>Fatima Kathleen M. FLores</t>
        </is>
      </c>
      <c r="G2396" t="inlineStr">
        <is>
          <t>Procurement</t>
        </is>
      </c>
      <c r="H2396"/>
      <c r="I2396"/>
      <c r="J2396" t="inlineStr">
        <is>
          <t>Project</t>
        </is>
      </c>
      <c r="K2396" t="inlineStr">
        <is>
          <t>PDEI - Game Marketing</t>
        </is>
      </c>
      <c r="L2396" t="inlineStr">
        <is>
          <t>SportsPlus MPBL Roadtrip Watchparty 2026</t>
        </is>
      </c>
      <c r="M2396" t="inlineStr">
        <is>
          <t>2026TEG-P0028</t>
        </is>
      </c>
      <c r="N2396" t="inlineStr">
        <is>
          <t>Kervin</t>
        </is>
      </c>
      <c r="O2396" t="inlineStr">
        <is>
          <t>202603260034-Kervin-费用报销 - 副本 - 副本 - 副本-2026-03-26 04:28:02</t>
        </is>
      </c>
      <c r="P2396" t="inlineStr">
        <is>
          <t>NO</t>
        </is>
      </c>
      <c r="Q2396"/>
      <c r="R2396" t="inlineStr">
        <is>
          <t>NO</t>
        </is>
      </c>
      <c r="S2396" t="inlineStr">
        <is>
          <t>Skyworth 65” Android Smart LED TV</t>
        </is>
      </c>
      <c r="T2396">
        <v>1</v>
      </c>
      <c r="U2396">
        <v>34500</v>
      </c>
      <c r="V2396" t="inlineStr">
        <is>
          <t>PHP</t>
        </is>
      </c>
      <c r="W2396">
        <v>34500</v>
      </c>
      <c r="X2396" s="2" t="str">
        <f>=HYPERLINK("https://www.larksuite.com/approval/admin/previewAttachment?key=PMg7CsJAGATgK83_nB0vY5MQJLAgCLHaswsWab8ehh5l0ULKXLDFdrUXQBW7FNXLl5ECjR1rn8fzsnnmrPnenOfX1vXajv1jJbqDkRkDgD1uD2am1Im_4xcAAP__", "2 attachment(s)")</f>
        <v>2 attachment(s)</v>
      </c>
      <c r="Y2396" t="inlineStr">
        <is>
          <t>Bank Transfer</t>
        </is>
      </c>
      <c r="Z2396" t="inlineStr">
        <is>
          <t>Welcome Home Appliances Binondo Corp.</t>
        </is>
      </c>
      <c r="AA2396" t="inlineStr">
        <is>
          <t>0026 3808 4635</t>
        </is>
      </c>
      <c r="AB2396" t="inlineStr">
        <is>
          <t>BDO</t>
        </is>
      </c>
      <c r="AC2396" t="inlineStr">
        <is>
          <t>229 Wilson St., Greenhills, San Juan City</t>
        </is>
      </c>
      <c r="AD2396" s="4">
        <v>46122</v>
      </c>
      <c r="AE2396" t="inlineStr">
        <is>
          <t>100% Full Payment before delivery</t>
        </is>
      </c>
      <c r="AF2396" s="2" t="str">
        <f>=HYPERLINK("https://www.larksuite.com/approval/admin/previewAttachment?key=TMhBCsIwFATQK83k58_PeBk3LUUKAUGoq5xdcNXt0yA0kiGjm83gKjWrJVDOUjpSqy1WGcVSrH0ez4vz7DPne2t1frmu13bsH2qE0J290wD4uDkJj1D8Hb8AAAD__w", "2 attachment(s)")</f>
        <v>2 attachment(s)</v>
      </c>
      <c r="AG2396" t="inlineStr">
        <is>
          <t>NzQyNTk5MTgyNzQ4MTg3MDM0MTo3RjA3MkE0Qi0xNTUxLTQzNEYtQTY4NS1CQjIzNjhEN0QxNTgtMTo0NjNiYzc3NTIwMjZjMTkwZjMwMTg3MDVlNTIwNzkwMjox</t>
        </is>
      </c>
      <c r="AH2396" t="inlineStr">
        <is>
          <t>Welcome Home Appliances Binondo Corporation</t>
        </is>
      </c>
      <c r="AI2396"/>
      <c r="AJ2396" t="inlineStr">
        <is>
          <t>LIQUIDITY PLAN (PAR # 202603240070 / 2026TEG-P0028)
PRE-PURCHASED ITEMS &gt;
Smart TV with stand (60")
Total Budget = Php 60,000.00
Actual Cost = Php 34,500.00
Balance = Php 25,500.00</t>
        </is>
      </c>
      <c r="AK2396"/>
    </row>
    <row r="2397" ht="25.5" customHeight="1">
      <c r="A2397" s="2" t="str">
        <f>=HYPERLINK("https://applink.larksuite.com/client/mini_program/open?appId=cli_9c7cc8a9a9edd105&amp;mode=appCenter&amp;path_pc=pc/pages/requested/index?instanceId=7629631563344383707&amp;source=bitable&amp;path=pages/detail/index?instanceId=7629631563344383707&amp;source=bitable", "202604170071")</f>
        <v>202604170071</v>
      </c>
      <c r="B2397" t="inlineStr">
        <is>
          <t>Approved</t>
        </is>
      </c>
      <c r="C2397" t="inlineStr">
        <is>
          <t>Procurement Order</t>
        </is>
      </c>
      <c r="D2397" s="3">
        <v>46129.65771990741</v>
      </c>
      <c r="E2397" s="3">
        <v>46133.61446759259</v>
      </c>
      <c r="F2397" t="inlineStr">
        <is>
          <t>Fatima Kathleen M. FLores</t>
        </is>
      </c>
      <c r="G2397" t="inlineStr">
        <is>
          <t>Procurement</t>
        </is>
      </c>
      <c r="H2397"/>
      <c r="I2397"/>
      <c r="J2397" t="inlineStr">
        <is>
          <t>Project</t>
        </is>
      </c>
      <c r="K2397" t="inlineStr">
        <is>
          <t>PDEI - Event Service</t>
        </is>
      </c>
      <c r="L2397" t="inlineStr">
        <is>
          <t>realme x MDL S5 Sponsorship</t>
        </is>
      </c>
      <c r="M2397" t="inlineStr">
        <is>
          <t>2025TEG-P0155</t>
        </is>
      </c>
      <c r="N2397" t="inlineStr">
        <is>
          <t>Alvaro Miguel Dela Vega Santos</t>
        </is>
      </c>
      <c r="O2397" t="inlineStr">
        <is>
          <t>202604160033-Alvaro Miguel Dela Vega Santos-费用报销 - 副本 - 副本 - 副本-2026-04-16 05:37:40</t>
        </is>
      </c>
      <c r="P2397" t="inlineStr">
        <is>
          <t>NO</t>
        </is>
      </c>
      <c r="Q2397"/>
      <c r="R2397" t="inlineStr">
        <is>
          <t>NO</t>
        </is>
      </c>
      <c r="S2397" t="inlineStr">
        <is>
          <t>MET x Moonton PH: Rev Share</t>
        </is>
      </c>
      <c r="T2397">
        <v>1</v>
      </c>
      <c r="U2397">
        <v>1188881.68</v>
      </c>
      <c r="V2397" t="inlineStr">
        <is>
          <t>PHP</t>
        </is>
      </c>
      <c r="W2397">
        <v>1188881.68</v>
      </c>
      <c r="X2397" s="2" t="str">
        <f>=HYPERLINK("https://www.larksuite.com/approval/admin/previewAttachment?key=PMsxqsNADATQK400Ws3qX-Y3a5ZA4jQBdzp7wEXaBy-nIecwZiHKvGCt9EraSDKCk4La26SCTMk-zv0Pvp7niuu9uVeNvh5rHx8bJXfojgDs7-dURFRl4HZ8AwAA__8", "2 attachment(s)")</f>
        <v>2 attachment(s)</v>
      </c>
      <c r="Y2397" t="inlineStr">
        <is>
          <t>Bank Transfer</t>
        </is>
      </c>
      <c r="Z2397" t="inlineStr">
        <is>
          <t>Moonton Philippines Technology Inc</t>
        </is>
      </c>
      <c r="AA2397" t="inlineStr">
        <is>
          <t>026-266106-040</t>
        </is>
      </c>
      <c r="AB2397" t="inlineStr">
        <is>
          <t>HSBC BANK (PHILIPPINES) LTD</t>
        </is>
      </c>
      <c r="AC2397" t="inlineStr">
        <is>
          <t>23F The Curve Building 3rd Avenue cor 32nd Street, Bonifacio Global City Fort Bonifacio 1634 Taguig City</t>
        </is>
      </c>
      <c r="AD2397" s="4">
        <v>46129</v>
      </c>
      <c r="AE2397" t="inlineStr">
        <is>
          <t>100% Full Payment</t>
        </is>
      </c>
      <c r="AF2397" s="2"/>
      <c r="AG2397" t="inlineStr">
        <is>
          <t>NzQyNTk5MTgyNzQ4MTg3MDM0MTpDNURDQzE0NS1EMzY2LTQyMzItODdERS1FRTdENzQ2RkFGQTQtMTozYTkzMTdjZDIyNWVlNDk3YzEwYjkxY2I0N2RlMTI2Yjox</t>
        </is>
      </c>
      <c r="AH2397" t="inlineStr">
        <is>
          <t>Moonton Philippines Technology Inc</t>
        </is>
      </c>
      <c r="AI2397"/>
      <c r="AJ2397" t="inlineStr">
        <is>
          <t>Revenue Sharing.</t>
        </is>
      </c>
      <c r="AK2397"/>
    </row>
    <row r="2398" ht="25.5" customHeight="1">
      <c r="A2398" s="2" t="str">
        <f>=HYPERLINK("https://applink.larksuite.com/client/mini_program/open?appId=cli_9c7cc8a9a9edd105&amp;mode=appCenter&amp;path_pc=pc/pages/requested/index?instanceId=7628947510947040987&amp;source=bitable&amp;path=pages/detail/index?instanceId=7628947510947040987&amp;source=bitable", "202604150104")</f>
        <v>202604150104</v>
      </c>
      <c r="B2398" t="inlineStr">
        <is>
          <t>Approved</t>
        </is>
      </c>
      <c r="C2398" t="inlineStr">
        <is>
          <t>Procurement Order</t>
        </is>
      </c>
      <c r="D2398" s="3">
        <v>46127.81434027778</v>
      </c>
      <c r="E2398" s="3">
        <v>46135.61298611111</v>
      </c>
      <c r="F2398" t="inlineStr">
        <is>
          <t>Fatima Kathleen M. FLores</t>
        </is>
      </c>
      <c r="G2398" t="inlineStr">
        <is>
          <t>Procurement</t>
        </is>
      </c>
      <c r="H2398"/>
      <c r="I2398"/>
      <c r="J2398" t="inlineStr">
        <is>
          <t>Project</t>
        </is>
      </c>
      <c r="K2398" t="inlineStr">
        <is>
          <t>PDEI - Game Marketing</t>
        </is>
      </c>
      <c r="L2398" t="inlineStr">
        <is>
          <t>Cobra Core Event</t>
        </is>
      </c>
      <c r="M2398" t="inlineStr">
        <is>
          <t>2026TEG-P0078</t>
        </is>
      </c>
      <c r="N2398" t="inlineStr">
        <is>
          <t>Ronelle Kylene Chaneco Lim</t>
        </is>
      </c>
      <c r="O2398" t="inlineStr">
        <is>
          <t>202604130133-Ronelle Kylene Chaneco Lim-费用报销 - 副本 - 副本 - 副本-2026-04-13 09:55:13</t>
        </is>
      </c>
      <c r="P2398" t="inlineStr">
        <is>
          <t>NO</t>
        </is>
      </c>
      <c r="Q2398"/>
      <c r="R2398" t="inlineStr">
        <is>
          <t>YES</t>
        </is>
      </c>
      <c r="S2398" t="inlineStr">
        <is>
          <t>Outsourced Event Marshal (Apr. 16, 2026)</t>
        </is>
      </c>
      <c r="T2398">
        <v>1</v>
      </c>
      <c r="U2398">
        <v>6800</v>
      </c>
      <c r="V2398" t="inlineStr">
        <is>
          <t>PHP</t>
        </is>
      </c>
      <c r="W2398">
        <v>6800</v>
      </c>
      <c r="X2398" s="2" t="str">
        <f>=HYPERLINK("https://www.larksuite.com/approval/admin/previewAttachment?key=PMgxCsJAFATQK83fP_tnx8vYJAQlCAEharFnFyxsX41AjR5ZBh3NiKlqw1QPmALhodlmSIZClXN9bNc1dT-Pvr-O5Y3PPs_bsq3P6FZrUJI5AMTl7ymSdhE_xzcAAP__", "2 attachment(s)")</f>
        <v>2 attachment(s)</v>
      </c>
      <c r="Y2398" t="inlineStr">
        <is>
          <t>Bank Transfer</t>
        </is>
      </c>
      <c r="Z2398" t="inlineStr">
        <is>
          <t>Juanito T. Acedo Jr.</t>
        </is>
      </c>
      <c r="AA2398" t="inlineStr">
        <is>
          <t>010670126934</t>
        </is>
      </c>
      <c r="AB2398" t="inlineStr">
        <is>
          <t>BDO</t>
        </is>
      </c>
      <c r="AC2398" t="inlineStr">
        <is>
          <t>127-68 Bronze St., Tugatog District II, Malabon City</t>
        </is>
      </c>
      <c r="AD2398" s="4">
        <v>46136</v>
      </c>
      <c r="AE2398" t="inlineStr">
        <is>
          <t>100% Full Payment</t>
        </is>
      </c>
      <c r="AF2398" s="2"/>
      <c r="AG2398" t="inlineStr">
        <is>
          <t>NzQyNTk5MTgyNzQ4MTg3MDM0MTowNTk1NUIwNy1BMTQwLTREOTgtODYyQy1CMTQ1RTAwODA4RkEtMTpkMGY3OTNkMTdhMjYxOTFhNGYwODMxZmY2YWQ3ODc4ZDox</t>
        </is>
      </c>
      <c r="AH2398" t="inlineStr">
        <is>
          <t>ACE88 Event Security Management</t>
        </is>
      </c>
      <c r="AI2398"/>
      <c r="AJ2398" t="inlineStr">
        <is>
          <t>LIQUIDITY PLAN (PAR # 202604080057 / 2026TEG-P0078)
EVENT MANPOWER &gt; Event Marshals
Total Budget = Php 10,000.00
Actual Cost = Php 6,800.00
Balance = Php 3,200.00</t>
        </is>
      </c>
      <c r="AK2398"/>
    </row>
    <row r="2399" ht="25.5" customHeight="1">
      <c r="A2399" s="2" t="str">
        <f>=HYPERLINK("https://applink.larksuite.com/client/mini_program/open?appId=cli_9c7cc8a9a9edd105&amp;mode=appCenter&amp;path_pc=pc/pages/requested/index?instanceId=7630670632274890460&amp;source=bitable&amp;path=pages/detail/index?instanceId=7630670632274890460&amp;source=bitable", "202604200014")</f>
        <v>202604200014</v>
      </c>
      <c r="B2399" t="inlineStr">
        <is>
          <t>Approved</t>
        </is>
      </c>
      <c r="C2399" t="inlineStr">
        <is>
          <t>Procurement Order</t>
        </is>
      </c>
      <c r="D2399" s="3">
        <v>46132.45780092593</v>
      </c>
      <c r="E2399" s="3">
        <v>46133.607094907406</v>
      </c>
      <c r="F2399" t="inlineStr">
        <is>
          <t>Fatima Kathleen M. FLores</t>
        </is>
      </c>
      <c r="G2399" t="inlineStr">
        <is>
          <t>Procurement</t>
        </is>
      </c>
      <c r="H2399"/>
      <c r="I2399"/>
      <c r="J2399" t="inlineStr">
        <is>
          <t>GAE</t>
        </is>
      </c>
      <c r="K2399"/>
      <c r="L2399"/>
      <c r="M2399"/>
      <c r="N2399"/>
      <c r="O2399" t="inlineStr">
        <is>
          <t>202603170167-Madelyn Espanto-费用报销 - 副本 - 副本 - 副本-2026-03-17 10:46:44</t>
        </is>
      </c>
      <c r="P2399"/>
      <c r="Q2399" t="inlineStr">
        <is>
          <t>Mineski PH</t>
        </is>
      </c>
      <c r="R2399"/>
      <c r="S2399" t="inlineStr">
        <is>
          <t>Repair of ID Printer (Seaory)</t>
        </is>
      </c>
      <c r="T2399">
        <v>1</v>
      </c>
      <c r="U2399">
        <v>6000</v>
      </c>
      <c r="V2399" t="inlineStr">
        <is>
          <t>PHP</t>
        </is>
      </c>
      <c r="W2399">
        <v>6000</v>
      </c>
      <c r="X2399" s="2" t="str">
        <f>=HYPERLINK("https://www.larksuite.com/approval/admin/previewAttachment?key=PMg9CsJAFATgK8372Zl9XsZmQ9BoQBBFiz27YJH2YzewNwsWsswLNsUABYa7sheSmD5NKsjEmMu-nu9te7x0_e7Yxvjc5vsy1uVpreQORWZ0AHY6PJSZVUz8Hb8AAAD__w", "2 attachment(s)")</f>
        <v>2 attachment(s)</v>
      </c>
      <c r="Y2399" t="inlineStr">
        <is>
          <t>Bank Transfer</t>
        </is>
      </c>
      <c r="Z2399" t="inlineStr">
        <is>
          <t>ZETOS SWISS FORENSIC SUPPLY PHILIPPINES INC.</t>
        </is>
      </c>
      <c r="AA2399" t="inlineStr">
        <is>
          <t>0681-0007-63</t>
        </is>
      </c>
      <c r="AB2399" t="inlineStr">
        <is>
          <t>BPI</t>
        </is>
      </c>
      <c r="AC2399" t="inlineStr">
        <is>
          <t>31 Sugpo St., Jem 7 Subd. Talipapa, Novaliches, QC</t>
        </is>
      </c>
      <c r="AD2399" s="4">
        <v>46133</v>
      </c>
      <c r="AE2399" t="inlineStr">
        <is>
          <t>100% Full Payment</t>
        </is>
      </c>
      <c r="AF2399" s="2" t="str">
        <f>=HYPERLINK("https://www.larksuite.com/approval/admin/previewAttachment?key=TMhBCsJADAXQK_0_yfxMvIybKUWrBUEUXeTsgqtunwah0WlKeLIlWCGDArLWwkfChWrFiEQwZLXs6_net8crrt8d25yfW70vc12e1DDBs7szAfB0cBI5TPZ3_AIAAP__", "2 attachment(s)")</f>
        <v>2 attachment(s)</v>
      </c>
      <c r="AG2399" t="inlineStr">
        <is>
          <t>NzQyNTk5MTgyNzQ4MTg3MDM0MTpBNjkzNUFFRC1FNThDLTQwRTYtQjhDNi02RjJDNTYxN0RFNTMtMToxZDFkOTE5NzJiYjU1MDQ1YzEwZTkwNzJlODdjMmY1ODox</t>
        </is>
      </c>
      <c r="AH2399" t="inlineStr">
        <is>
          <t>ZETOS SWISS FORENSIC SUPPLY PHILIPPINES INC.</t>
        </is>
      </c>
      <c r="AI2399"/>
      <c r="AJ2399"/>
      <c r="AK2399" t="inlineStr">
        <is>
          <t>Madelyn Espanto</t>
        </is>
      </c>
    </row>
    <row r="2400" ht="25.5" customHeight="1">
      <c r="A2400" s="2" t="str">
        <f>=HYPERLINK("https://applink.larksuite.com/client/mini_program/open?appId=cli_9c7cc8a9a9edd105&amp;mode=appCenter&amp;path_pc=pc/pages/requested/index?instanceId=7630682742723759835&amp;source=bitable&amp;path=pages/detail/index?instanceId=7630682742723759835&amp;source=bitable", "202604200030")</f>
        <v>202604200030</v>
      </c>
      <c r="B2400" t="inlineStr">
        <is>
          <t>Approved</t>
        </is>
      </c>
      <c r="C2400" t="inlineStr">
        <is>
          <t>Procurement Order</t>
        </is>
      </c>
      <c r="D2400" s="3">
        <v>46132.490439814814</v>
      </c>
      <c r="E2400" s="3">
        <v>46134.455671296295</v>
      </c>
      <c r="F2400" t="inlineStr">
        <is>
          <t>Fatima Kathleen M. FLores</t>
        </is>
      </c>
      <c r="G2400" t="inlineStr">
        <is>
          <t>Procurement</t>
        </is>
      </c>
      <c r="H2400"/>
      <c r="I2400"/>
      <c r="J2400" t="inlineStr">
        <is>
          <t>Project</t>
        </is>
      </c>
      <c r="K2400" t="inlineStr">
        <is>
          <t>PDEI - Game Marketing</t>
        </is>
      </c>
      <c r="L2400" t="inlineStr">
        <is>
          <t>SportsPlus MPBL Roadtrip Watchparty 2026</t>
        </is>
      </c>
      <c r="M2400" t="inlineStr">
        <is>
          <t>2026TEG-P0028</t>
        </is>
      </c>
      <c r="N2400" t="inlineStr">
        <is>
          <t>Kervin</t>
        </is>
      </c>
      <c r="O2400" t="inlineStr">
        <is>
          <t>202603260032-Kervin-费用报销 - 副本 - 副本 - 副本-2026-03-26 04:24:40</t>
        </is>
      </c>
      <c r="P2400" t="inlineStr">
        <is>
          <t>NO</t>
        </is>
      </c>
      <c r="Q2400"/>
      <c r="R2400" t="inlineStr">
        <is>
          <t>NO</t>
        </is>
      </c>
      <c r="S2400" t="inlineStr">
        <is>
          <t>6’’ X 11’’ LOGO STICKER</t>
        </is>
      </c>
      <c r="T2400">
        <v>2</v>
      </c>
      <c r="U2400">
        <v>254.24</v>
      </c>
      <c r="V2400" t="inlineStr">
        <is>
          <t>PHP</t>
        </is>
      </c>
      <c r="W2400">
        <v>508.48</v>
      </c>
      <c r="X2400" s="2" t="str">
        <f>=HYPERLINK("https://www.larksuite.com/approval/admin/previewAttachment?key=PMg7isNAEATQK1V_pmtqL7OJhLAFAoNhUNJnNzhw-moaag6LElLmgjUrUNOZTg8OzRjtbaRAY0Xv1_H_Orf1PG-ta92u0euxHfvbhugORmZMAPb382BmSpX4Oj4BAAD__w", "2 attachment(s)")</f>
        <v>2 attachment(s)</v>
      </c>
      <c r="Y2400" t="inlineStr">
        <is>
          <t>Bank Transfer</t>
        </is>
      </c>
      <c r="Z2400" t="inlineStr">
        <is>
          <t>ILIGHT PRODUCTION</t>
        </is>
      </c>
      <c r="AA2400" t="inlineStr">
        <is>
          <t>007960010274</t>
        </is>
      </c>
      <c r="AB2400" t="inlineStr">
        <is>
          <t>BDO</t>
        </is>
      </c>
      <c r="AC2400" t="inlineStr">
        <is>
          <t>3791 Mascardo St. Brgy, Sta Cruz, Makati City</t>
        </is>
      </c>
      <c r="AD2400" s="4">
        <v>46136</v>
      </c>
      <c r="AE2400" t="inlineStr">
        <is>
          <t>100% Full Payment</t>
        </is>
      </c>
      <c r="AF2400" s="2"/>
      <c r="AG2400" t="inlineStr">
        <is>
          <t>NzQyNTk5MTgyNzQ4MTg3MDM0MTpFMTYyMDQyOS03QTg2LTQyRTYtODI0Ri02NEJGMzFDNzhGNkEtMTo0OGM3NTY5YmIxNGZjZTZmODc1MjIwYTJkZmQ4YjdhMDox</t>
        </is>
      </c>
      <c r="AH2400" t="inlineStr">
        <is>
          <t>ILIGHT PRODUCTION</t>
        </is>
      </c>
      <c r="AI2400"/>
      <c r="AJ2400" t="inlineStr">
        <is>
          <t>LIQUIDITY PLAN (PAR # 202603240070 / 2026TEG-P0028)
PRE-PURCHASED ITEMS &gt;
Arcade Basketball
Total Remaining Budget = Php 7,600.00
Actual Cost = Php 508.48
Balance = Php 7,091.52</t>
        </is>
      </c>
      <c r="AK2400"/>
    </row>
    <row r="2401" ht="25.5" customHeight="1">
      <c r="A2401" s="2" t="str">
        <f>=HYPERLINK("https://applink.larksuite.com/client/mini_program/open?appId=cli_9c7cc8a9a9edd105&amp;mode=appCenter&amp;path_pc=pc/pages/requested/index?instanceId=7630709431663120095&amp;source=bitable&amp;path=pages/detail/index?instanceId=7630709431663120095&amp;source=bitable", "202604200058")</f>
        <v>202604200058</v>
      </c>
      <c r="B2401" t="inlineStr">
        <is>
          <t>Approved</t>
        </is>
      </c>
      <c r="C2401" t="inlineStr">
        <is>
          <t>Procurement Order</t>
        </is>
      </c>
      <c r="D2401" s="3">
        <v>46132.56236111111</v>
      </c>
      <c r="E2401" s="3">
        <v>46134.47620370371</v>
      </c>
      <c r="F2401" t="inlineStr">
        <is>
          <t>Fatima Kathleen M. FLores</t>
        </is>
      </c>
      <c r="G2401" t="inlineStr">
        <is>
          <t>Procurement</t>
        </is>
      </c>
      <c r="H2401"/>
      <c r="I2401"/>
      <c r="J2401" t="inlineStr">
        <is>
          <t>Project</t>
        </is>
      </c>
      <c r="K2401" t="inlineStr">
        <is>
          <t>PDEI - Event Service</t>
        </is>
      </c>
      <c r="L2401" t="inlineStr">
        <is>
          <t>MPL PH S17</t>
        </is>
      </c>
      <c r="M2401" t="inlineStr">
        <is>
          <t>2026TEG-P0009</t>
        </is>
      </c>
      <c r="N2401" t="inlineStr">
        <is>
          <t>Katherine Denise Lee Sy</t>
        </is>
      </c>
      <c r="O2401" t="inlineStr">
        <is>
          <t>202603060033-Katherine Denise Lee Sy-费用报销 - 副本 - 副本 - 副本-2026-03-06 05:44:53</t>
        </is>
      </c>
      <c r="P2401" t="inlineStr">
        <is>
          <t>YES</t>
        </is>
      </c>
      <c r="Q2401"/>
      <c r="R2401" t="inlineStr">
        <is>
          <t>NO</t>
        </is>
      </c>
      <c r="S2401" t="inlineStr">
        <is>
          <t>Outsourced Stage Hands (PO)</t>
        </is>
      </c>
      <c r="T2401">
        <v>1</v>
      </c>
      <c r="U2401">
        <v>12000</v>
      </c>
      <c r="V2401" t="inlineStr">
        <is>
          <t>PHP</t>
        </is>
      </c>
      <c r="W2401">
        <v>12000</v>
      </c>
      <c r="X2401" s="2" t="str">
        <f>=HYPERLINK("https://www.larksuite.com/approval/admin/previewAttachment?key=PMgxCgJBDAXQK_2fZJL5XsbGZRBFG3G1ydkFi21fTiLnoKcQognsSkdB4cx0GqDR1qwSipXe22Odbcf4fN9PEna7r96vl7W9OFRmKI_wCYCnw70iQsrA3_ELAAD__w", "2 attachment(s)")</f>
        <v>2 attachment(s)</v>
      </c>
      <c r="Y2401" t="inlineStr">
        <is>
          <t>Bank Transfer</t>
        </is>
      </c>
      <c r="Z2401" t="inlineStr">
        <is>
          <t>Bryzen Laraya</t>
        </is>
      </c>
      <c r="AA2401" t="inlineStr">
        <is>
          <t>013395168336</t>
        </is>
      </c>
      <c r="AB2401" t="inlineStr">
        <is>
          <t>GoTyme Bank, Inc.</t>
        </is>
      </c>
      <c r="AC2401" t="inlineStr">
        <is>
          <t>338 Brisamar Court San Antonio Cavite City</t>
        </is>
      </c>
      <c r="AD2401" s="4">
        <v>46192</v>
      </c>
      <c r="AE2401" t="inlineStr">
        <is>
          <t>100% Full Payment - June 19, 2026</t>
        </is>
      </c>
      <c r="AF2401" s="2"/>
      <c r="AG2401" t="inlineStr">
        <is>
          <t>NzQyNTk5MTgyNzQ4MTg3MDM0MTo4NzMzNzEyMC1DMkUyLTREMTUtQTI2Ri01M0QyMTNCNEJEQzUtMTo0YmMwMGQ0MmNkNzFiOWY2YzI0ZDAxMDg2NzdjYzcxZDox</t>
        </is>
      </c>
      <c r="AH2401" t="inlineStr">
        <is>
          <t>Bryzen Laraya</t>
        </is>
      </c>
      <c r="AI2401"/>
      <c r="AJ2401" t="inlineStr">
        <is>
          <t>LIQUIDITY PLAN (PAR # 202602190021 / 2026TEG-P0009) - AS OF 031626
PLAYOFFS SPECIFIC &gt; MANPOWER
Broadcast &amp; Production &gt; Stage Hand
Total Budget = Php 24,000.00
Actual Cost = Php 12,000.00
Balance = Php 12,000.00</t>
        </is>
      </c>
      <c r="AK2401"/>
    </row>
    <row r="2402" ht="25.5" customHeight="1">
      <c r="A2402" s="2" t="str">
        <f>=HYPERLINK("https://applink.larksuite.com/client/mini_program/open?appId=cli_9c7cc8a9a9edd105&amp;mode=appCenter&amp;path_pc=pc/pages/requested/index?instanceId=7630710954036055781&amp;source=bitable&amp;path=pages/detail/index?instanceId=7630710954036055781&amp;source=bitable", "202604200059")</f>
        <v>202604200059</v>
      </c>
      <c r="B2402" t="inlineStr">
        <is>
          <t>Approved</t>
        </is>
      </c>
      <c r="C2402" t="inlineStr">
        <is>
          <t>Procurement Order</t>
        </is>
      </c>
      <c r="D2402" s="3">
        <v>46132.566469907404</v>
      </c>
      <c r="E2402" s="3">
        <v>46134.46822916667</v>
      </c>
      <c r="F2402" t="inlineStr">
        <is>
          <t>Fatima Kathleen M. FLores</t>
        </is>
      </c>
      <c r="G2402" t="inlineStr">
        <is>
          <t>Procurement</t>
        </is>
      </c>
      <c r="H2402"/>
      <c r="I2402"/>
      <c r="J2402" t="inlineStr">
        <is>
          <t>Project</t>
        </is>
      </c>
      <c r="K2402" t="inlineStr">
        <is>
          <t>PDEI - Event Service</t>
        </is>
      </c>
      <c r="L2402" t="inlineStr">
        <is>
          <t>MPL PH S17</t>
        </is>
      </c>
      <c r="M2402" t="inlineStr">
        <is>
          <t>2026TEG-P0009</t>
        </is>
      </c>
      <c r="N2402" t="inlineStr">
        <is>
          <t>Katherine Denise Lee Sy</t>
        </is>
      </c>
      <c r="O2402" t="inlineStr">
        <is>
          <t>202603060052-Katherine Denise Lee Sy-费用报销 - 副本 - 副本 - 副本-2026-03-06 07:19:22</t>
        </is>
      </c>
      <c r="P2402" t="inlineStr">
        <is>
          <t>YES</t>
        </is>
      </c>
      <c r="Q2402"/>
      <c r="R2402" t="inlineStr">
        <is>
          <t>NO</t>
        </is>
      </c>
      <c r="S2402" t="inlineStr">
        <is>
          <t>Outsourced Usher (PO - Event Days)</t>
        </is>
      </c>
      <c r="T2402">
        <v>1</v>
      </c>
      <c r="U2402">
        <v>6500</v>
      </c>
      <c r="V2402" t="inlineStr">
        <is>
          <t>PHP</t>
        </is>
      </c>
      <c r="W2402">
        <v>6500</v>
      </c>
      <c r="X2402" s="2" t="str">
        <f>=HYPERLINK("https://www.larksuite.com/approval/admin/previewAttachment?key=PMg9DoJQEATgK828_Zm3XsZGQiSRyoA0e3YTC9svJ5EzaFnw4iiwlQYRFQ5LRGiyR1MqiErrZV_v40R8tpdtF_fjuPp8PtblzSiNAZm7TQC8_d3k7lXp-Dm-AQAA__8", "2 attachment(s)")</f>
        <v>2 attachment(s)</v>
      </c>
      <c r="Y2402" t="inlineStr">
        <is>
          <t>Bank Transfer</t>
        </is>
      </c>
      <c r="Z2402" t="inlineStr">
        <is>
          <t>Alex Antonio Peralta</t>
        </is>
      </c>
      <c r="AA2402" t="inlineStr">
        <is>
          <t>09666515406</t>
        </is>
      </c>
      <c r="AB2402" t="inlineStr">
        <is>
          <t>GCash</t>
        </is>
      </c>
      <c r="AC2402" t="inlineStr">
        <is>
          <t>57-C Malvar St. West Rembo Taguig City</t>
        </is>
      </c>
      <c r="AD2402" s="4">
        <v>46192</v>
      </c>
      <c r="AE2402" t="inlineStr">
        <is>
          <t>100% Full Payment - June 19, 2026</t>
        </is>
      </c>
      <c r="AF2402" s="2"/>
      <c r="AG2402" t="inlineStr">
        <is>
          <t>NzQyNTk5MTgyNzQ4MTg3MDM0MToyRDhDRjhERC05MTNBLTRGNDgtODczMS0wODYwNUQwQTc1RDAtMTpiZGMwODk2ZTEyMmUxM2EzYWZmMTI0MThmYWRhZmI1Yjox</t>
        </is>
      </c>
      <c r="AH2402" t="inlineStr">
        <is>
          <t>Alex Antonio Peralta</t>
        </is>
      </c>
      <c r="AI2402"/>
      <c r="AJ2402" t="inlineStr">
        <is>
          <t>LIQUIDITY PLAN (PAR # 202602190021 / 2026TEG-P0009) - AS OF 031626
PLAYOFFS SPECIFIC &gt; MANPOWER
Hospitality  &gt; 
Ushers
Additional Playoffs Ushers
Total Remaining Budget = Php 13,000.00
Actual Cost = Php 6,500.00
Balance = Php 6,500.00</t>
        </is>
      </c>
      <c r="AK2402"/>
    </row>
    <row r="2403" ht="25.5" customHeight="1">
      <c r="A2403" s="2" t="str">
        <f>=HYPERLINK("https://applink.larksuite.com/client/mini_program/open?appId=cli_9c7cc8a9a9edd105&amp;mode=appCenter&amp;path_pc=pc/pages/requested/index?instanceId=7630740706115047133&amp;source=bitable&amp;path=pages/detail/index?instanceId=7630740706115047133&amp;source=bitable", "202604200088")</f>
        <v>202604200088</v>
      </c>
      <c r="B2403" t="inlineStr">
        <is>
          <t>Approved</t>
        </is>
      </c>
      <c r="C2403" t="inlineStr">
        <is>
          <t>Procurement Order</t>
        </is>
      </c>
      <c r="D2403" s="3">
        <v>46132.64664351852</v>
      </c>
      <c r="E2403" s="3">
        <v>46134.45712962963</v>
      </c>
      <c r="F2403" t="inlineStr">
        <is>
          <t>Fatima Kathleen M. FLores</t>
        </is>
      </c>
      <c r="G2403" t="inlineStr">
        <is>
          <t>Procurement</t>
        </is>
      </c>
      <c r="H2403"/>
      <c r="I2403"/>
      <c r="J2403" t="inlineStr">
        <is>
          <t>Project</t>
        </is>
      </c>
      <c r="K2403" t="inlineStr">
        <is>
          <t>PDEI - Game Marketing</t>
        </is>
      </c>
      <c r="L2403" t="inlineStr">
        <is>
          <t>SportsPlus MPBL Roadtrip Watchparty 2026</t>
        </is>
      </c>
      <c r="M2403" t="inlineStr">
        <is>
          <t>2026TEG-P0028</t>
        </is>
      </c>
      <c r="N2403" t="inlineStr">
        <is>
          <t>Kervin</t>
        </is>
      </c>
      <c r="O2403" t="inlineStr">
        <is>
          <t>202603260050-Kervin-费用报销 - 副本 - 副本 - 副本-2026-03-26 04:45:50</t>
        </is>
      </c>
      <c r="P2403" t="inlineStr">
        <is>
          <t>YES</t>
        </is>
      </c>
      <c r="Q2403"/>
      <c r="R2403" t="inlineStr">
        <is>
          <t>NO</t>
        </is>
      </c>
      <c r="S2403" t="inlineStr">
        <is>
          <t>Outsourced Booth Manpower / Logistics (Pasay &amp; Bataan)</t>
        </is>
      </c>
      <c r="T2403">
        <v>1</v>
      </c>
      <c r="U2403">
        <v>4000</v>
      </c>
      <c r="V2403" t="inlineStr">
        <is>
          <t>PHP</t>
        </is>
      </c>
      <c r="W2403">
        <v>4000</v>
      </c>
      <c r="X2403" s="2" t="str">
        <f>=HYPERLINK("https://www.larksuite.com/approval/admin/previewAttachment?key=PMgxCsJQEATQK838nez89TI2-QQRBUFMt2cXLGxfTiLnxsiCiqPAdgYsGElukBnRo2kXTGf0eh7XFX74DqyPxn6--rztx3pzK48BhxQTAC9_D0uqSuHn-AYAAP__", "2 attachment(s)")</f>
        <v>2 attachment(s)</v>
      </c>
      <c r="Y2403" t="inlineStr">
        <is>
          <t>Bank Transfer</t>
        </is>
      </c>
      <c r="Z2403" t="inlineStr">
        <is>
          <t>Edzel Jay Vesencio</t>
        </is>
      </c>
      <c r="AA2403" t="inlineStr">
        <is>
          <t>09499825404</t>
        </is>
      </c>
      <c r="AB2403" t="inlineStr">
        <is>
          <t>GCash</t>
        </is>
      </c>
      <c r="AC2403" t="inlineStr">
        <is>
          <t>30 Balubad St., Twin River Subdivision, Nangka, Marikina City</t>
        </is>
      </c>
      <c r="AD2403" s="4">
        <v>46143</v>
      </c>
      <c r="AE2403" t="inlineStr">
        <is>
          <t>100% Full Payment - May 1, 2026</t>
        </is>
      </c>
      <c r="AF2403" s="2"/>
      <c r="AG2403" t="inlineStr">
        <is>
          <t>NzQyNTk5MTgyNzQ4MTg3MDM0MTozOTFGNUQ0Mi1DOEIwLTRCNjgtQkRDMS04RjI3OTRGNTlGOEQtMTpiM2U3ZjM2YTM2MzFjMGIzMjc5ZWRhODJiY2RiNjBmNzox</t>
        </is>
      </c>
      <c r="AH2403" t="inlineStr">
        <is>
          <t>Edzel Jay Vesencio</t>
        </is>
      </c>
      <c r="AI2403"/>
      <c r="AJ2403" t="inlineStr">
        <is>
          <t>LIQUIDITY PLAN (PAR # 202603240070 / 2026TEG-P0028)
MANPOWER &gt; Booth Manpower
Total Budget = Php 50,000.00
Actual Cost = Php 4,000.00
Balance = Php 46,000.00</t>
        </is>
      </c>
      <c r="AK2403"/>
    </row>
    <row r="2404" ht="25.5" customHeight="1">
      <c r="A2404" s="2" t="str">
        <f>=HYPERLINK("https://applink.larksuite.com/client/mini_program/open?appId=cli_9c7cc8a9a9edd105&amp;mode=appCenter&amp;path_pc=pc/pages/requested/index?instanceId=7630739437021875934&amp;source=bitable&amp;path=pages/detail/index?instanceId=7630739437021875934&amp;source=bitable", "202604200087")</f>
        <v>202604200087</v>
      </c>
      <c r="B2404" t="inlineStr">
        <is>
          <t>Approved</t>
        </is>
      </c>
      <c r="C2404" t="inlineStr">
        <is>
          <t>Procurement Order</t>
        </is>
      </c>
      <c r="D2404" s="3">
        <v>46132.643217592595</v>
      </c>
      <c r="E2404" s="3">
        <v>46134.45767361111</v>
      </c>
      <c r="F2404" t="inlineStr">
        <is>
          <t>Fatima Kathleen M. FLores</t>
        </is>
      </c>
      <c r="G2404" t="inlineStr">
        <is>
          <t>Procurement</t>
        </is>
      </c>
      <c r="H2404"/>
      <c r="I2404"/>
      <c r="J2404" t="inlineStr">
        <is>
          <t>Project</t>
        </is>
      </c>
      <c r="K2404" t="inlineStr">
        <is>
          <t>PDEI - Game Marketing</t>
        </is>
      </c>
      <c r="L2404" t="inlineStr">
        <is>
          <t>SportsPlus MPBL Roadtrip Watchparty 2026</t>
        </is>
      </c>
      <c r="M2404" t="inlineStr">
        <is>
          <t>2026TEG-P0028</t>
        </is>
      </c>
      <c r="N2404" t="inlineStr">
        <is>
          <t>Kervin</t>
        </is>
      </c>
      <c r="O2404" t="inlineStr">
        <is>
          <t>202603260052-Kervin-费用报销 - 副本 - 副本 - 副本-2026-03-26 04:47:32</t>
        </is>
      </c>
      <c r="P2404" t="inlineStr">
        <is>
          <t>YES</t>
        </is>
      </c>
      <c r="Q2404"/>
      <c r="R2404" t="inlineStr">
        <is>
          <t>NO</t>
        </is>
      </c>
      <c r="S2404" t="inlineStr">
        <is>
          <t>Outsourced Logistics Associates (Pasay &amp; Bataan)</t>
        </is>
      </c>
      <c r="T2404">
        <v>1</v>
      </c>
      <c r="U2404">
        <v>15000</v>
      </c>
      <c r="V2404" t="inlineStr">
        <is>
          <t>PHP</t>
        </is>
      </c>
      <c r="W2404">
        <v>15000</v>
      </c>
      <c r="X2404" s="2" t="str">
        <f>=HYPERLINK("https://www.larksuite.com/approval/admin/previewAttachment?key=PMgxCgIxFATQK83Pn_zJeBkbl0WUlYCgNjm7YGH7agRq9Mgy6GhGLFVCaabQYqg7udoKyVCocm3Hfv7cuvvdHpPvYz7W63rZt2d0qzUoyRwA4vT3FEm7iJ_jGwAA__8", "2 attachment(s)")</f>
        <v>2 attachment(s)</v>
      </c>
      <c r="Y2404" t="inlineStr">
        <is>
          <t>Bank Transfer</t>
        </is>
      </c>
      <c r="Z2404" t="inlineStr">
        <is>
          <t>Rizel John Obong</t>
        </is>
      </c>
      <c r="AA2404" t="inlineStr">
        <is>
          <t>109328279479</t>
        </is>
      </c>
      <c r="AB2404" t="inlineStr">
        <is>
          <t>Unionbank</t>
        </is>
      </c>
      <c r="AC2404" t="inlineStr">
        <is>
          <t>Blk 1j Lot 31 Phase 3 E-1 Dagat Dagatan Caloocan City</t>
        </is>
      </c>
      <c r="AD2404" s="4">
        <v>46143</v>
      </c>
      <c r="AE2404" t="inlineStr">
        <is>
          <t>100% Full Payment - May 1, 2026</t>
        </is>
      </c>
      <c r="AF2404" s="2"/>
      <c r="AG2404" t="inlineStr">
        <is>
          <t>NzQyNTk5MTgyNzQ4MTg3MDM0MTpDQjEwODVBMi05MEQwLTRFMEUtOTcxNC0zNTNBOTU3NjNFQTMtMToxZTY5OTVhZmQzOGI3ZjFhNTc1MGY2N2VlZmY4MzcxOTox</t>
        </is>
      </c>
      <c r="AH2404" t="inlineStr">
        <is>
          <t>Rizel John Obong</t>
        </is>
      </c>
      <c r="AI2404"/>
      <c r="AJ2404" t="inlineStr">
        <is>
          <t>LIQUIDITY PLAN (PAR # 202603240070 / 2026TEG-P0028)
MANPOWER &gt; Logistics
Total Budget = Php 150,000.00
Actual Cost = Php 15,000.00
Balance = Php 135,000.00</t>
        </is>
      </c>
      <c r="AK2404"/>
    </row>
    <row r="2405" ht="25.5" customHeight="1">
      <c r="A2405" s="2" t="str">
        <f>=HYPERLINK("https://applink.larksuite.com/client/mini_program/open?appId=cli_9c7cc8a9a9edd105&amp;mode=appCenter&amp;path_pc=pc/pages/requested/index?instanceId=7630743369706163941&amp;source=bitable&amp;path=pages/detail/index?instanceId=7630743369706163941&amp;source=bitable", "202604200091")</f>
        <v>202604200091</v>
      </c>
      <c r="B2405" t="inlineStr">
        <is>
          <t>Approved</t>
        </is>
      </c>
      <c r="C2405" t="inlineStr">
        <is>
          <t>Procurement Order</t>
        </is>
      </c>
      <c r="D2405" s="3">
        <v>46132.653819444444</v>
      </c>
      <c r="E2405" s="3">
        <v>46134.46396990741</v>
      </c>
      <c r="F2405" t="inlineStr">
        <is>
          <t>Fatima Kathleen M. FLores</t>
        </is>
      </c>
      <c r="G2405" t="inlineStr">
        <is>
          <t>Procurement</t>
        </is>
      </c>
      <c r="H2405"/>
      <c r="I2405"/>
      <c r="J2405" t="inlineStr">
        <is>
          <t>Project</t>
        </is>
      </c>
      <c r="K2405" t="inlineStr">
        <is>
          <t>PDEI - Game Marketing</t>
        </is>
      </c>
      <c r="L2405" t="inlineStr">
        <is>
          <t>SportsPlus MPBL Roadtrip Watchparty 2026</t>
        </is>
      </c>
      <c r="M2405" t="inlineStr">
        <is>
          <t>2026TEG-P0028</t>
        </is>
      </c>
      <c r="N2405" t="inlineStr">
        <is>
          <t>Kervin</t>
        </is>
      </c>
      <c r="O2405" t="inlineStr">
        <is>
          <t>202603260049-Kervin-费用报销 - 副本 - 副本 - 副本-2026-03-26 04:44:59</t>
        </is>
      </c>
      <c r="P2405" t="inlineStr">
        <is>
          <t>YES</t>
        </is>
      </c>
      <c r="Q2405"/>
      <c r="R2405" t="inlineStr">
        <is>
          <t>NO</t>
        </is>
      </c>
      <c r="S2405" t="inlineStr">
        <is>
          <t>Outsourced Brand Ambassador (Pasay &amp; Bataan)</t>
        </is>
      </c>
      <c r="T2405">
        <v>1</v>
      </c>
      <c r="U2405">
        <v>5000</v>
      </c>
      <c r="V2405" t="inlineStr">
        <is>
          <t>PHP</t>
        </is>
      </c>
      <c r="W2405">
        <v>5000</v>
      </c>
      <c r="X2405" s="2" t="str">
        <f>=HYPERLINK("https://www.larksuite.com/approval/admin/previewAttachment?key=PMhBCkIxDATQK800aabxMm76KYoIglhwkbMLLv72xSBidFokPNkSLIVBbhYpBMPSWa0oJUSF1fFc1893c_fXfTnmY_bat7mON3uqNcjcbQDg5XSTu2eG4-_4BQAA__8", "2 attachment(s)")</f>
        <v>2 attachment(s)</v>
      </c>
      <c r="Y2405" t="inlineStr">
        <is>
          <t>Bank Transfer</t>
        </is>
      </c>
      <c r="Z2405" t="inlineStr">
        <is>
          <t>Jasmine Dava</t>
        </is>
      </c>
      <c r="AA2405" t="inlineStr">
        <is>
          <t>09664084097</t>
        </is>
      </c>
      <c r="AB2405" t="inlineStr">
        <is>
          <t>GCash</t>
        </is>
      </c>
      <c r="AC2405" t="inlineStr">
        <is>
          <t>1559 1st st. Fabie Subdivision Paco, Manila</t>
        </is>
      </c>
      <c r="AD2405" s="4">
        <v>46143</v>
      </c>
      <c r="AE2405" t="inlineStr">
        <is>
          <t>100% Full Payment - May 1, 2026</t>
        </is>
      </c>
      <c r="AF2405" s="2"/>
      <c r="AG2405" t="inlineStr">
        <is>
          <t>NzQyNTk5MTgyNzQ4MTg3MDM0MTpFNEE1NzRDOS1GMzUyLTRDOEQtODZGQi04MDMyRjUwQzA1NzItMTo1Y2QxYzgyYTgyODZkYWRiMTRhMWZjNzY3ZjUyYTZhNDox</t>
        </is>
      </c>
      <c r="AH2405" t="inlineStr">
        <is>
          <t>Jasmine Dava</t>
        </is>
      </c>
      <c r="AI2405"/>
      <c r="AJ2405" t="inlineStr">
        <is>
          <t>LIQUIDITY PLAN (PAR # 202603240070 / 2026TEG-P0028)
MANPOWER &gt; Brand Ambassador
Total Budget = Php 82,500.00
Actual Cost = Php 5,000.00
Balance = Php 77,500.00</t>
        </is>
      </c>
      <c r="AK2405"/>
    </row>
    <row r="2406" ht="25.5" customHeight="1">
      <c r="A2406" s="2" t="str">
        <f>=HYPERLINK("https://applink.larksuite.com/client/mini_program/open?appId=cli_9c7cc8a9a9edd105&amp;mode=appCenter&amp;path_pc=pc/pages/requested/index?instanceId=7630742194386767586&amp;source=bitable&amp;path=pages/detail/index?instanceId=7630742194386767586&amp;source=bitable", "202604200090")</f>
        <v>202604200090</v>
      </c>
      <c r="B2406" t="inlineStr">
        <is>
          <t>Approved</t>
        </is>
      </c>
      <c r="C2406" t="inlineStr">
        <is>
          <t>Procurement Order</t>
        </is>
      </c>
      <c r="D2406" s="3">
        <v>46132.65064814815</v>
      </c>
      <c r="E2406" s="3">
        <v>46134.46524305556</v>
      </c>
      <c r="F2406" t="inlineStr">
        <is>
          <t>Fatima Kathleen M. FLores</t>
        </is>
      </c>
      <c r="G2406" t="inlineStr">
        <is>
          <t>Procurement</t>
        </is>
      </c>
      <c r="H2406"/>
      <c r="I2406"/>
      <c r="J2406" t="inlineStr">
        <is>
          <t>Project</t>
        </is>
      </c>
      <c r="K2406" t="inlineStr">
        <is>
          <t>PDEI - Game Marketing</t>
        </is>
      </c>
      <c r="L2406" t="inlineStr">
        <is>
          <t>SportsPlus MPBL Roadtrip Watchparty 2026</t>
        </is>
      </c>
      <c r="M2406" t="inlineStr">
        <is>
          <t>2026TEG-P0028</t>
        </is>
      </c>
      <c r="N2406" t="inlineStr">
        <is>
          <t>Kervin</t>
        </is>
      </c>
      <c r="O2406" t="inlineStr">
        <is>
          <t>202603260048-Kervin-费用报销 - 副本 - 副本 - 副本-2026-03-26 04:44:24</t>
        </is>
      </c>
      <c r="P2406" t="inlineStr">
        <is>
          <t>YES</t>
        </is>
      </c>
      <c r="Q2406"/>
      <c r="R2406" t="inlineStr">
        <is>
          <t>NO</t>
        </is>
      </c>
      <c r="S2406" t="inlineStr">
        <is>
          <t>Outsourced Project Coordinator</t>
        </is>
      </c>
      <c r="T2406">
        <v>1</v>
      </c>
      <c r="U2406">
        <v>58000</v>
      </c>
      <c r="V2406" t="inlineStr">
        <is>
          <t>PHP</t>
        </is>
      </c>
      <c r="W2406">
        <v>58000</v>
      </c>
      <c r="X2406" s="2" t="str">
        <f>=HYPERLINK("https://www.larksuite.com/approval/admin/previewAttachment?key=PMi5DQJBDAXQlr7Pb9MMCaMRyxEhkbl2JIJNX5YgK8Sy4S3akGEa6CrtVslkVI6OkA0K02a997Uf8Yp1HM8IbMN877e9PhJNVdDcrQDI5XSju3en4-_4BQAA__8", "2 attachment(s)")</f>
        <v>2 attachment(s)</v>
      </c>
      <c r="Y2406" t="inlineStr">
        <is>
          <t>Bank Transfer</t>
        </is>
      </c>
      <c r="Z2406" t="inlineStr">
        <is>
          <t>Jose Miguel Gatchalian</t>
        </is>
      </c>
      <c r="AA2406" t="inlineStr">
        <is>
          <t>0586865032</t>
        </is>
      </c>
      <c r="AB2406" t="inlineStr">
        <is>
          <t>BPI</t>
        </is>
      </c>
      <c r="AC2406" t="inlineStr">
        <is>
          <t>#4 Edinburg Street, Greenland Phase 1, Nangka, Marikina City</t>
        </is>
      </c>
      <c r="AD2406" s="4">
        <v>46143</v>
      </c>
      <c r="AE2406" t="inlineStr">
        <is>
          <t>1st Payment - May 1, 2026
2nd Payment - May 15, 2026
3rd Payment - Jun. 5, 2026
4th and 5th Payments - TBA</t>
        </is>
      </c>
      <c r="AF2406" s="2"/>
      <c r="AG2406" t="inlineStr">
        <is>
          <t>NzQyNTk5MTgyNzQ4MTg3MDM0MTpDODg0RjUzOC1EOUI5LTQzQTEtQUNFRi1CMDJEMjc3ODVFMjctMTplOGI5NjEwOWNjYWY1NWE0ZjNiZWI5ZGFkZmIzYzY4Yjox</t>
        </is>
      </c>
      <c r="AH2406" t="inlineStr">
        <is>
          <t>Jose Miguel Gatchalian</t>
        </is>
      </c>
      <c r="AI2406"/>
      <c r="AJ2406" t="inlineStr">
        <is>
          <t>LIQUIDITY PLAN (PAR # 202603240070 / 2026TEG-P0028)
MANPOWER &gt; Project Coordinator
Total Budget = Php 62,500.00
Actual Cost = Php 58,000.00
Balance = Php 4,500.00</t>
        </is>
      </c>
      <c r="AK2406"/>
    </row>
    <row r="2407" ht="25.5" customHeight="1">
      <c r="A2407" s="2" t="str">
        <f>=HYPERLINK("https://applink.larksuite.com/client/mini_program/open?appId=cli_9c7cc8a9a9edd105&amp;mode=appCenter&amp;path_pc=pc/pages/requested/index?instanceId=7630751121417522914&amp;source=bitable&amp;path=pages/detail/index?instanceId=7630751121417522914&amp;source=bitable", "202604200101")</f>
        <v>202604200101</v>
      </c>
      <c r="B2407" t="inlineStr">
        <is>
          <t>Approved</t>
        </is>
      </c>
      <c r="C2407" t="inlineStr">
        <is>
          <t>Procurement Order</t>
        </is>
      </c>
      <c r="D2407" s="3">
        <v>46132.67471064815</v>
      </c>
      <c r="E2407" s="3">
        <v>46139.61732638889</v>
      </c>
      <c r="F2407" t="inlineStr">
        <is>
          <t>Fatima Kathleen M. FLores</t>
        </is>
      </c>
      <c r="G2407" t="inlineStr">
        <is>
          <t>Procurement</t>
        </is>
      </c>
      <c r="H2407"/>
      <c r="I2407"/>
      <c r="J2407" t="inlineStr">
        <is>
          <t>Project</t>
        </is>
      </c>
      <c r="K2407" t="inlineStr">
        <is>
          <t>GG - Event Service</t>
        </is>
      </c>
      <c r="L2407" t="inlineStr">
        <is>
          <t>Add-Ons - PUBG Mobile 8th Anniversary Event</t>
        </is>
      </c>
      <c r="M2407" t="inlineStr">
        <is>
          <t>2026TEG-P0080</t>
        </is>
      </c>
      <c r="N2407" t="inlineStr">
        <is>
          <t>Randy Vince Fernandez Apura</t>
        </is>
      </c>
      <c r="O2407" t="inlineStr">
        <is>
          <t>202603310010-Randy Vince Fernandez Apura-费用报销 - 副本 - 副本 - 副本-2026-03-31 02:40:58;202603260129-Frances Angelita Arreglado-费用报销 - 副本 - 副本 - 副本-2026-03-26 08:29:20</t>
        </is>
      </c>
      <c r="P2407" t="inlineStr">
        <is>
          <t>NO</t>
        </is>
      </c>
      <c r="Q2407"/>
      <c r="R2407" t="inlineStr">
        <is>
          <t>NO</t>
        </is>
      </c>
      <c r="S2407" t="inlineStr">
        <is>
          <t>Outsourced Safety Team (Cavite &amp; Metro Manila)</t>
        </is>
      </c>
      <c r="T2407">
        <v>1</v>
      </c>
      <c r="U2407">
        <v>22000</v>
      </c>
      <c r="V2407" t="inlineStr">
        <is>
          <t>PHP</t>
        </is>
      </c>
      <c r="W2407">
        <v>22000</v>
      </c>
      <c r="X2407" s="2" t="str">
        <f>=HYPERLINK("https://www.larksuite.com/approval/admin/previewAttachment?key=PMgxCoIxDAXgK72XpHmNl3GxFAU7CW45u-Dwr19OIuegZyGKVmArHRqkMahhVoy2plQQld7r7Pv2gzPfYx2-KtTf52OvD0fJDPIInwB4u9wVEVUZ-Dt-AQAA__8", "2 attachment(s)")</f>
        <v>2 attachment(s)</v>
      </c>
      <c r="Y2407" t="inlineStr">
        <is>
          <t>Bank Transfer</t>
        </is>
      </c>
      <c r="Z2407" t="inlineStr">
        <is>
          <t>JEROME T. CAPOQUIAN</t>
        </is>
      </c>
      <c r="AA2407" t="inlineStr">
        <is>
          <t>9599094366</t>
        </is>
      </c>
      <c r="AB2407" t="inlineStr">
        <is>
          <t>BPI</t>
        </is>
      </c>
      <c r="AC2407" t="inlineStr">
        <is>
          <t>BLOCK 5 LOT 7 PHASE 2 SHINEVILL MAMBUGAN ANTIPOLO CITY</t>
        </is>
      </c>
      <c r="AD2407" s="4">
        <v>46136</v>
      </c>
      <c r="AE2407" t="inlineStr">
        <is>
          <t>100% Full Payment - Apr. 24, 2026</t>
        </is>
      </c>
      <c r="AF2407" s="2"/>
      <c r="AG2407" t="inlineStr">
        <is>
          <t>NzQyNTk5MTgyNzQ4MTg3MDM0MTo5MzgyRDM5Ni0zMjQ0LTQwODgtQTc2RC1CMjMwOTEyMDE1NUQtMTo2ZGFkNGUxM2VmMzdjZTMzYWU2NGZmN2Y3ODYwNzNjMDox</t>
        </is>
      </c>
      <c r="AH2407" t="inlineStr">
        <is>
          <t>JC SAFETY AND MEDICAL SERVICES</t>
        </is>
      </c>
      <c r="AI2407"/>
      <c r="AJ2407" t="inlineStr">
        <is>
          <t>LIQUIDITY PLAN (PAR # 202603170065 / 2026TEG-P0080)
CE ADDENDUM &gt; CAVITE &gt;
Safety Team (Inclusion for Metro Manila)
Total Budget = Php 30,000.00
Actual Cost = Php 22,000.00
Balance = Php 8,000.00</t>
        </is>
      </c>
      <c r="AK2407"/>
    </row>
    <row r="2408" ht="25.5" customHeight="1">
      <c r="A2408" s="2" t="str">
        <f>=HYPERLINK("https://applink.larksuite.com/client/mini_program/open?appId=cli_9c7cc8a9a9edd105&amp;mode=appCenter&amp;path_pc=pc/pages/requested/index?instanceId=7631094534402789087&amp;source=bitable&amp;path=pages/detail/index?instanceId=7631094534402789087&amp;source=bitable", "202604210033")</f>
        <v>202604210033</v>
      </c>
      <c r="B2408" t="inlineStr">
        <is>
          <t>Approved</t>
        </is>
      </c>
      <c r="C2408" t="inlineStr">
        <is>
          <t>Procurement Order</t>
        </is>
      </c>
      <c r="D2408" s="3">
        <v>46133.60013888889</v>
      </c>
      <c r="E2408" s="3">
        <v>46134.490069444444</v>
      </c>
      <c r="F2408" t="inlineStr">
        <is>
          <t>Fatima Kathleen M. FLores</t>
        </is>
      </c>
      <c r="G2408" t="inlineStr">
        <is>
          <t>Procurement</t>
        </is>
      </c>
      <c r="H2408"/>
      <c r="I2408"/>
      <c r="J2408" t="inlineStr">
        <is>
          <t>Project</t>
        </is>
      </c>
      <c r="K2408" t="inlineStr">
        <is>
          <t>PDEI - Game Marketing</t>
        </is>
      </c>
      <c r="L2408" t="inlineStr">
        <is>
          <t>Cobra Core Event</t>
        </is>
      </c>
      <c r="M2408" t="inlineStr">
        <is>
          <t>2026TEG-P0078</t>
        </is>
      </c>
      <c r="N2408" t="inlineStr">
        <is>
          <t>Ronelle Kylene Chaneco Lim</t>
        </is>
      </c>
      <c r="O2408" t="inlineStr">
        <is>
          <t>202604080100-Ronelle Kylene Chaneco Lim-费用报销 - 副本 - 副本 - 副本-2026-04-08 08:04:42</t>
        </is>
      </c>
      <c r="P2408" t="inlineStr">
        <is>
          <t>YES</t>
        </is>
      </c>
      <c r="Q2408"/>
      <c r="R2408" t="inlineStr">
        <is>
          <t>NO</t>
        </is>
      </c>
      <c r="S2408" t="inlineStr">
        <is>
          <t>Outsourced Registration Manpower</t>
        </is>
      </c>
      <c r="T2408">
        <v>1</v>
      </c>
      <c r="U2408">
        <v>7500</v>
      </c>
      <c r="V2408" t="inlineStr">
        <is>
          <t>PHP</t>
        </is>
      </c>
      <c r="W2408">
        <v>7500</v>
      </c>
      <c r="X2408" s="2" t="str">
        <f>=HYPERLINK("https://www.larksuite.com/approval/admin/previewAttachment?key=PMgxCsJQEATQK83sTnb_eBkbP0GEQEBM988uWNi-GkSNjVmGzDC4upKwtpQQPYzRKxa7jWZXrnns94uHXsmceTrOz7qej32-ubkj0CnlAMDb37Ml2SX8HN8AAAD__w", "2 attachment(s)")</f>
        <v>2 attachment(s)</v>
      </c>
      <c r="Y2408" t="inlineStr">
        <is>
          <t>Bank Transfer</t>
        </is>
      </c>
      <c r="Z2408" t="inlineStr">
        <is>
          <t>Angelo Nicole Alexus Santos</t>
        </is>
      </c>
      <c r="AA2408" t="inlineStr">
        <is>
          <t>09935250106</t>
        </is>
      </c>
      <c r="AB2408" t="inlineStr">
        <is>
          <t>GCash</t>
        </is>
      </c>
      <c r="AC2408" t="inlineStr">
        <is>
          <t>3852 F. Nazario St. Brgy. Singkamas Makati</t>
        </is>
      </c>
      <c r="AD2408" s="4">
        <v>46143</v>
      </c>
      <c r="AE2408" t="inlineStr">
        <is>
          <t>100% Full Payment - May 1, 2026</t>
        </is>
      </c>
      <c r="AF2408" s="2"/>
      <c r="AG2408" t="inlineStr">
        <is>
          <t>NzQyNTk5MTgyNzQ4MTg3MDM0MTpBOUQzMUQ3Ny0yQkZCLTQxODQtODczMi02RDczNkE4RDUyOTYtMTo3YWFkMDdkNTlkYTU0ZDc5ZDEzNGQyOWNjOGYxZTc3MDox</t>
        </is>
      </c>
      <c r="AH2408" t="inlineStr">
        <is>
          <t>Angelo Nicole Alexus Santos</t>
        </is>
      </c>
      <c r="AI2408"/>
      <c r="AJ2408" t="inlineStr">
        <is>
          <t>LIQUIDITY PLAN (PAR # 202604080057 / 2026TEG-P0078)
EVENT MANPOWER &gt; 
Registration
Booth Facilitator
Total Budget = Php 7,500.00
Actual Cost = Php 7,500.00</t>
        </is>
      </c>
      <c r="AK2408"/>
    </row>
    <row r="2409" ht="25.5" customHeight="1">
      <c r="A2409" s="2" t="str">
        <f>=HYPERLINK("https://applink.larksuite.com/client/mini_program/open?appId=cli_9c7cc8a9a9edd105&amp;mode=appCenter&amp;path_pc=pc/pages/requested/index?instanceId=7631091683132575452&amp;source=bitable&amp;path=pages/detail/index?instanceId=7631091683132575452&amp;source=bitable", "202604210027")</f>
        <v>202604210027</v>
      </c>
      <c r="B2409" t="inlineStr">
        <is>
          <t>Approved</t>
        </is>
      </c>
      <c r="C2409" t="inlineStr">
        <is>
          <t>Procurement Order</t>
        </is>
      </c>
      <c r="D2409" s="3">
        <v>46133.592453703706</v>
      </c>
      <c r="E2409" s="3">
        <v>46134.48736111111</v>
      </c>
      <c r="F2409" t="inlineStr">
        <is>
          <t>Fatima Kathleen M. FLores</t>
        </is>
      </c>
      <c r="G2409" t="inlineStr">
        <is>
          <t>Procurement</t>
        </is>
      </c>
      <c r="H2409"/>
      <c r="I2409"/>
      <c r="J2409" t="inlineStr">
        <is>
          <t>Project</t>
        </is>
      </c>
      <c r="K2409" t="inlineStr">
        <is>
          <t>PDEI - Game Marketing</t>
        </is>
      </c>
      <c r="L2409" t="inlineStr">
        <is>
          <t>Cobra Core Event</t>
        </is>
      </c>
      <c r="M2409" t="inlineStr">
        <is>
          <t>2026TEG-P0078</t>
        </is>
      </c>
      <c r="N2409" t="inlineStr">
        <is>
          <t>Ronelle Kylene Chaneco Lim</t>
        </is>
      </c>
      <c r="O2409" t="inlineStr">
        <is>
          <t>202604140004-Ronelle Kylene Chaneco Lim-费用报销 - 副本 - 副本 - 副本-2026-04-14 01:19:31</t>
        </is>
      </c>
      <c r="P2409" t="inlineStr">
        <is>
          <t>YES</t>
        </is>
      </c>
      <c r="Q2409"/>
      <c r="R2409" t="inlineStr">
        <is>
          <t>NO</t>
        </is>
      </c>
      <c r="S2409" t="inlineStr">
        <is>
          <t>Outsourced Logistics Associate</t>
        </is>
      </c>
      <c r="T2409">
        <v>1</v>
      </c>
      <c r="U2409">
        <v>1500</v>
      </c>
      <c r="V2409" t="inlineStr">
        <is>
          <t>PHP</t>
        </is>
      </c>
      <c r="W2409">
        <v>1500</v>
      </c>
      <c r="X2409" s="2" t="str">
        <f>=HYPERLINK("https://www.larksuite.com/approval/admin/previewAttachment?key=PMgrDsJgEATgK83se7kMpk1Dxa9IoIg9OwkC-0URUU6NhjWlwclQohmlVPF0cxkZZjaSGTr7Ou7r03WaX-_rXLVv83psx_6kd4og1UwLAG9_1zSz7jD8HN8AAAD__w", "2 attachment(s)")</f>
        <v>2 attachment(s)</v>
      </c>
      <c r="Y2409" t="inlineStr">
        <is>
          <t>Bank Transfer</t>
        </is>
      </c>
      <c r="Z2409" t="inlineStr">
        <is>
          <t>Nordan Burabo</t>
        </is>
      </c>
      <c r="AA2409" t="inlineStr">
        <is>
          <t>09636201512</t>
        </is>
      </c>
      <c r="AB2409" t="inlineStr">
        <is>
          <t>GCash</t>
        </is>
      </c>
      <c r="AC2409" t="inlineStr">
        <is>
          <t>Blk 1 Lot 23 Agoncillo St. Sta Lucia Novaliches, Quezon City</t>
        </is>
      </c>
      <c r="AD2409" s="4">
        <v>46143</v>
      </c>
      <c r="AE2409" t="inlineStr">
        <is>
          <t>100% Full Payment - May 1, 2026</t>
        </is>
      </c>
      <c r="AF2409" s="2"/>
      <c r="AG2409" t="inlineStr">
        <is>
          <t>NzQyNTk5MTgyNzQ4MTg3MDM0MTo4NUJBQzgzMC0wNERCLTRFRTEtODc4MS1GMjM0QjYzOTg4QUUtMTo4NDgxOWZiMzU2ZTQwMGE5YWQwMWIzYzMyN2Q3OWUzOTox</t>
        </is>
      </c>
      <c r="AH2409" t="inlineStr">
        <is>
          <t>Nordan Burabo</t>
        </is>
      </c>
      <c r="AI2409"/>
      <c r="AJ2409" t="inlineStr">
        <is>
          <t>LIQUIDITY PLAN (PAR # 202604080057 / 2026TEG-P0078)
EVENT MANPOWER &gt; Setup Manpower/Logistics 
Total Budget = Php 20,000.00
Actual Cost = Php 1,500.00
Balance = Php 18,500.00</t>
        </is>
      </c>
      <c r="AK2409"/>
    </row>
    <row r="2410" ht="25.5" customHeight="1">
      <c r="A2410" s="2" t="str">
        <f>=HYPERLINK("https://applink.larksuite.com/client/mini_program/open?appId=cli_9c7cc8a9a9edd105&amp;mode=appCenter&amp;path_pc=pc/pages/requested/index?instanceId=7631092945814441696&amp;source=bitable&amp;path=pages/detail/index?instanceId=7631092945814441696&amp;source=bitable", "202604210029")</f>
        <v>202604210029</v>
      </c>
      <c r="B2410" t="inlineStr">
        <is>
          <t>Approved</t>
        </is>
      </c>
      <c r="C2410" t="inlineStr">
        <is>
          <t>Procurement Order</t>
        </is>
      </c>
      <c r="D2410" s="3">
        <v>46133.59585648148</v>
      </c>
      <c r="E2410" s="3">
        <v>46134.48892361111</v>
      </c>
      <c r="F2410" t="inlineStr">
        <is>
          <t>Fatima Kathleen M. FLores</t>
        </is>
      </c>
      <c r="G2410" t="inlineStr">
        <is>
          <t>Procurement</t>
        </is>
      </c>
      <c r="H2410"/>
      <c r="I2410"/>
      <c r="J2410" t="inlineStr">
        <is>
          <t>Project</t>
        </is>
      </c>
      <c r="K2410" t="inlineStr">
        <is>
          <t>PDEI - Game Marketing</t>
        </is>
      </c>
      <c r="L2410" t="inlineStr">
        <is>
          <t>Cobra Core Event</t>
        </is>
      </c>
      <c r="M2410" t="inlineStr">
        <is>
          <t>2026TEG-P0078</t>
        </is>
      </c>
      <c r="N2410" t="inlineStr">
        <is>
          <t>Ronelle Kylene Chaneco Lim</t>
        </is>
      </c>
      <c r="O2410" t="inlineStr">
        <is>
          <t>202604080099-Ronelle Kylene Chaneco Lim-费用报销 - 副本 - 副本 - 副本-2026-04-08 08:03:46</t>
        </is>
      </c>
      <c r="P2410" t="inlineStr">
        <is>
          <t>YES</t>
        </is>
      </c>
      <c r="Q2410"/>
      <c r="R2410" t="inlineStr">
        <is>
          <t>NO</t>
        </is>
      </c>
      <c r="S2410" t="inlineStr">
        <is>
          <t>Outsourced Multimedia Artist</t>
        </is>
      </c>
      <c r="T2410">
        <v>1</v>
      </c>
      <c r="U2410">
        <v>35000</v>
      </c>
      <c r="V2410" t="inlineStr">
        <is>
          <t>PHP</t>
        </is>
      </c>
      <c r="W2410">
        <v>35000</v>
      </c>
      <c r="X2410" s="2" t="str">
        <f>=HYPERLINK("https://www.larksuite.com/approval/admin/previewAttachment?key=PMgxCkJBDATQK80ks8nGy9i4fET8IAiLTc4uWNi-mETMQY-CilZgZzhRVhqTkhgVbc3MQjLDe53HdfPUYz33_rw2jb3vt2O9OSrNkC75BMDL3z0lVYXwc3wDAAD__w", "2 attachment(s)")</f>
        <v>2 attachment(s)</v>
      </c>
      <c r="Y2410" t="inlineStr">
        <is>
          <t>Bank Transfer</t>
        </is>
      </c>
      <c r="Z2410" t="inlineStr">
        <is>
          <t>Jose Ricardo Juliano</t>
        </is>
      </c>
      <c r="AA2410" t="inlineStr">
        <is>
          <t>007070134514</t>
        </is>
      </c>
      <c r="AB2410" t="inlineStr">
        <is>
          <t>BDO</t>
        </is>
      </c>
      <c r="AC2410" t="inlineStr">
        <is>
          <t>Marie Isabelle Skin Care Center, A. Soriano Hi-Way, Daang Amaya II, Tanza, Cavite</t>
        </is>
      </c>
      <c r="AD2410" s="4">
        <v>46143</v>
      </c>
      <c r="AE2410" t="inlineStr">
        <is>
          <t>100% Full Payment - May 1, 2026</t>
        </is>
      </c>
      <c r="AF2410" s="2"/>
      <c r="AG2410" t="inlineStr">
        <is>
          <t>NzQyNTk5MTgyNzQ4MTg3MDM0MTpCQkUzQkI5Qy1GODE5LTQxQjQtODlFOS1DM0YxQzYyOUFGODgtMTo4OWU1ODQ4NTRlOGM1NjE4ZTJkYzM3YWNlZDhiY2RjMDox</t>
        </is>
      </c>
      <c r="AH2410" t="inlineStr">
        <is>
          <t>Jose Ricardo Juliano</t>
        </is>
      </c>
      <c r="AI2410"/>
      <c r="AJ2410" t="inlineStr">
        <is>
          <t>LIQUIDITY PLAN (PAR # 202604080057 / 2026TEG-P0078)
PROJECT MANAGEMENT &gt; Creative Fees
Total Budget = Php 50,000.00
Actual Cost = Php 35,000.00
Balance = Php 15,000.00</t>
        </is>
      </c>
      <c r="AK2410"/>
    </row>
    <row r="2411" ht="25.5" customHeight="1">
      <c r="A2411" s="2" t="str">
        <f>=HYPERLINK("https://applink.larksuite.com/client/mini_program/open?appId=cli_9c7cc8a9a9edd105&amp;mode=appCenter&amp;path_pc=pc/pages/requested/index?instanceId=7631110524813496031&amp;source=bitable&amp;path=pages/detail/index?instanceId=7631110524813496031&amp;source=bitable", "202604210051")</f>
        <v>202604210051</v>
      </c>
      <c r="B2411" t="inlineStr">
        <is>
          <t>Approved</t>
        </is>
      </c>
      <c r="C2411" t="inlineStr">
        <is>
          <t>Procurement Order</t>
        </is>
      </c>
      <c r="D2411" s="3">
        <v>46133.643229166664</v>
      </c>
      <c r="E2411" s="3">
        <v>46139.57832175926</v>
      </c>
      <c r="F2411" t="inlineStr">
        <is>
          <t>Fatima Kathleen M. FLores</t>
        </is>
      </c>
      <c r="G2411" t="inlineStr">
        <is>
          <t>Procurement</t>
        </is>
      </c>
      <c r="H2411"/>
      <c r="I2411"/>
      <c r="J2411" t="inlineStr">
        <is>
          <t>Project</t>
        </is>
      </c>
      <c r="K2411" t="inlineStr">
        <is>
          <t>PDEI - Game Marketing</t>
        </is>
      </c>
      <c r="L2411" t="inlineStr">
        <is>
          <t>Jobstreet Level Up v2</t>
        </is>
      </c>
      <c r="M2411" t="inlineStr">
        <is>
          <t>2025TEG-P0211</t>
        </is>
      </c>
      <c r="N2411" t="inlineStr">
        <is>
          <t>Maura Aurel Atilano Yap</t>
        </is>
      </c>
      <c r="O2411" t="inlineStr">
        <is>
          <t>202601090016-Maura Aurel Atilano Yap-费用报销 - 副本 - 副本 - 副本-2026-01-09 03:10:25</t>
        </is>
      </c>
      <c r="P2411" t="inlineStr">
        <is>
          <t>YES</t>
        </is>
      </c>
      <c r="Q2411"/>
      <c r="R2411" t="inlineStr">
        <is>
          <t>NO</t>
        </is>
      </c>
      <c r="S2411" t="inlineStr">
        <is>
          <t>Outsourced head Referee</t>
        </is>
      </c>
      <c r="T2411">
        <v>1</v>
      </c>
      <c r="U2411">
        <v>4650</v>
      </c>
      <c r="V2411" t="inlineStr">
        <is>
          <t>PHP</t>
        </is>
      </c>
      <c r="W2411">
        <v>4650</v>
      </c>
      <c r="X2411" s="2" t="str">
        <f>=HYPERLINK("https://www.larksuite.com/approval/admin/previewAttachment?key=PMhBCgIxDAXQK_3fpEm_l3EzZRBFKIjd5eyCi9m-GESMTgvBxSawMowkevNBcwWM1YqZQjLDar7P-3oee_eV66v5Uq_9OM75YVe2hjR3GwB4u9zS3aVw_B2_AAAA__8", "2 attachment(s)")</f>
        <v>2 attachment(s)</v>
      </c>
      <c r="Y2411" t="inlineStr">
        <is>
          <t>Bank Transfer</t>
        </is>
      </c>
      <c r="Z2411" t="inlineStr">
        <is>
          <t>Jimmy Montero Zapata Jr.</t>
        </is>
      </c>
      <c r="AA2411" t="inlineStr">
        <is>
          <t>8419297101</t>
        </is>
      </c>
      <c r="AB2411" t="inlineStr">
        <is>
          <t>BPI</t>
        </is>
      </c>
      <c r="AC2411" t="inlineStr">
        <is>
          <t>278E Sta,Teresita St, Sampaloc Manila</t>
        </is>
      </c>
      <c r="AD2411" s="4">
        <v>46164</v>
      </c>
      <c r="AE2411" t="inlineStr">
        <is>
          <t>100% Full Payment - May 22, 2026</t>
        </is>
      </c>
      <c r="AF2411" s="2"/>
      <c r="AG2411" t="inlineStr">
        <is>
          <t>NzQyNTk5MTgyNzQ4MTg3MDM0MTo4QzFBN0M2OS1CN0JDLTRCREQtQTAzMy1DNDU4NEI4NDdENTUtMTozZTRmZjA4NjBkNTg4ZGMyZTk5NzE1YzNhNmU5YmQ2ZTox</t>
        </is>
      </c>
      <c r="AH2411" t="inlineStr">
        <is>
          <t>Jimmy Montero Zapata Jr.</t>
        </is>
      </c>
      <c r="AI2411"/>
      <c r="AJ2411" t="inlineStr">
        <is>
          <t>LIQUIDITY PLAN (PAR # 202511040070 / 2025TEG-P0211)
MANPOWER &gt; LEAGUE OPS &gt;
Head Referee
Referee
Total Budget = Php 17,500.00
This Request = Php 4,650.00
Balance = Php 12,850.00</t>
        </is>
      </c>
      <c r="AK2411"/>
    </row>
    <row r="2412" ht="25.5" customHeight="1">
      <c r="A2412" s="2" t="str">
        <f>=HYPERLINK("https://applink.larksuite.com/client/mini_program/open?appId=cli_9c7cc8a9a9edd105&amp;mode=appCenter&amp;path_pc=pc/pages/requested/index?instanceId=7631111343092797157&amp;source=bitable&amp;path=pages/detail/index?instanceId=7631111343092797157&amp;source=bitable", "202604210052")</f>
        <v>202604210052</v>
      </c>
      <c r="B2412" t="inlineStr">
        <is>
          <t>Approved</t>
        </is>
      </c>
      <c r="C2412" t="inlineStr">
        <is>
          <t>Procurement Order</t>
        </is>
      </c>
      <c r="D2412" s="3">
        <v>46133.64542824074</v>
      </c>
      <c r="E2412" s="3">
        <v>46139.57771990741</v>
      </c>
      <c r="F2412" t="inlineStr">
        <is>
          <t>Fatima Kathleen M. FLores</t>
        </is>
      </c>
      <c r="G2412" t="inlineStr">
        <is>
          <t>Procurement</t>
        </is>
      </c>
      <c r="H2412"/>
      <c r="I2412"/>
      <c r="J2412" t="inlineStr">
        <is>
          <t>Project</t>
        </is>
      </c>
      <c r="K2412" t="inlineStr">
        <is>
          <t>PDEI - Game Marketing</t>
        </is>
      </c>
      <c r="L2412" t="inlineStr">
        <is>
          <t>Jobstreet Level Up v2</t>
        </is>
      </c>
      <c r="M2412" t="inlineStr">
        <is>
          <t>2025TEG-P0211</t>
        </is>
      </c>
      <c r="N2412" t="inlineStr">
        <is>
          <t>Maura Aurel Atilano Yap</t>
        </is>
      </c>
      <c r="O2412" t="inlineStr">
        <is>
          <t>202601090016-Maura Aurel Atilano Yap-费用报销 - 副本 - 副本 - 副本-2026-01-09 03:10:25</t>
        </is>
      </c>
      <c r="P2412" t="inlineStr">
        <is>
          <t>YES</t>
        </is>
      </c>
      <c r="Q2412"/>
      <c r="R2412" t="inlineStr">
        <is>
          <t>NO</t>
        </is>
      </c>
      <c r="S2412" t="inlineStr">
        <is>
          <t>Outsourced Referee</t>
        </is>
      </c>
      <c r="T2412">
        <v>1</v>
      </c>
      <c r="U2412">
        <v>2700</v>
      </c>
      <c r="V2412" t="inlineStr">
        <is>
          <t>PHP</t>
        </is>
      </c>
      <c r="W2412">
        <v>2700</v>
      </c>
      <c r="X2412" s="2" t="str">
        <f>=HYPERLINK("https://www.larksuite.com/approval/admin/previewAttachment?key=PMgxDsJADATAL-2eHa_NZ2iITlCEBolwhd-OREE7kUTkRouCF0eBrTCSNDfUUImbejSlgqiw3o95teOzFs481_ORc_b7fpv7i1tpDMjcLQHw8neTu1eF4-f4BgAA__8", "2 attachment(s)")</f>
        <v>2 attachment(s)</v>
      </c>
      <c r="Y2412" t="inlineStr">
        <is>
          <t>Bank Transfer</t>
        </is>
      </c>
      <c r="Z2412" t="inlineStr">
        <is>
          <t>Alessandria Corral</t>
        </is>
      </c>
      <c r="AA2412" t="inlineStr">
        <is>
          <t>016472641666</t>
        </is>
      </c>
      <c r="AB2412" t="inlineStr">
        <is>
          <t>GoTyme Bank</t>
        </is>
      </c>
      <c r="AC2412" t="inlineStr">
        <is>
          <t>UP Campus, Quezon City</t>
        </is>
      </c>
      <c r="AD2412" s="4">
        <v>46164</v>
      </c>
      <c r="AE2412" t="inlineStr">
        <is>
          <t>100% Full Payment - May 22, 2026</t>
        </is>
      </c>
      <c r="AF2412" s="2"/>
      <c r="AG2412" t="inlineStr">
        <is>
          <t>NzQyNTk5MTgyNzQ4MTg3MDM0MToyQzU2NDhFNS1BMzAyLTRFMjAtQUQzQy1FNUJEQURGODBDNzUtMTo5OTM1ZmZkOGZlZDMwNjBmMGQxZWNlNmU1ZDlhMWEwMjox</t>
        </is>
      </c>
      <c r="AH2412" t="inlineStr">
        <is>
          <t>Alessandria Corral</t>
        </is>
      </c>
      <c r="AI2412"/>
      <c r="AJ2412" t="inlineStr">
        <is>
          <t>LIQUIDITY PLAN (PAR # 202511040070 / 2025TEG-P0211)
MANPOWER &gt; LEAGUE OPS &gt;
Head Referee
Referee
Total Remaining Budget = Php 12,850.00
This Request = Php 2,700.00
Balance = Php 10,150.00</t>
        </is>
      </c>
      <c r="AK2412"/>
    </row>
    <row r="2413" ht="25.5" customHeight="1">
      <c r="A2413" s="2" t="str">
        <f>=HYPERLINK("https://applink.larksuite.com/client/mini_program/open?appId=cli_9c7cc8a9a9edd105&amp;mode=appCenter&amp;path_pc=pc/pages/requested/index?instanceId=7631112010305949405&amp;source=bitable&amp;path=pages/detail/index?instanceId=7631112010305949405&amp;source=bitable", "202604210053")</f>
        <v>202604210053</v>
      </c>
      <c r="B2413" t="inlineStr">
        <is>
          <t>Approved</t>
        </is>
      </c>
      <c r="C2413" t="inlineStr">
        <is>
          <t>Procurement Order</t>
        </is>
      </c>
      <c r="D2413" s="3">
        <v>46133.6472337963</v>
      </c>
      <c r="E2413" s="3">
        <v>46139.57703703704</v>
      </c>
      <c r="F2413" t="inlineStr">
        <is>
          <t>Fatima Kathleen M. FLores</t>
        </is>
      </c>
      <c r="G2413" t="inlineStr">
        <is>
          <t>Procurement</t>
        </is>
      </c>
      <c r="H2413"/>
      <c r="I2413"/>
      <c r="J2413" t="inlineStr">
        <is>
          <t>Project</t>
        </is>
      </c>
      <c r="K2413" t="inlineStr">
        <is>
          <t>PDEI - Game Marketing</t>
        </is>
      </c>
      <c r="L2413" t="inlineStr">
        <is>
          <t>Jobstreet Level Up v2</t>
        </is>
      </c>
      <c r="M2413" t="inlineStr">
        <is>
          <t>2025TEG-P0211</t>
        </is>
      </c>
      <c r="N2413" t="inlineStr">
        <is>
          <t>Maura Aurel Atilano Yap</t>
        </is>
      </c>
      <c r="O2413" t="inlineStr">
        <is>
          <t>202601090016-Maura Aurel Atilano Yap-费用报销 - 副本 - 副本 - 副本-2026-01-09 03:10:25</t>
        </is>
      </c>
      <c r="P2413" t="inlineStr">
        <is>
          <t>YES</t>
        </is>
      </c>
      <c r="Q2413"/>
      <c r="R2413" t="inlineStr">
        <is>
          <t>NO</t>
        </is>
      </c>
      <c r="S2413" t="inlineStr">
        <is>
          <t>Outsourced Referee</t>
        </is>
      </c>
      <c r="T2413">
        <v>1</v>
      </c>
      <c r="U2413">
        <v>2700</v>
      </c>
      <c r="V2413" t="inlineStr">
        <is>
          <t>PHP</t>
        </is>
      </c>
      <c r="W2413">
        <v>2700</v>
      </c>
      <c r="X2413" s="2" t="str">
        <f>=HYPERLINK("https://www.larksuite.com/approval/admin/previewAttachment?key=PMhBCsJADAXQK_2fZJL5XsZNy6AViyBaN3N2wYXbl53I3ugphGgCZ6WTNBCOplCgTZusEoqVPtf7OC-v2vfHYdu4bp_bMd-XZaxPNpUZyiO8A-Dp714RIWXg5_gGAAD__w", "2 attachment(s)")</f>
        <v>2 attachment(s)</v>
      </c>
      <c r="Y2413" t="inlineStr">
        <is>
          <t>Bank Transfer</t>
        </is>
      </c>
      <c r="Z2413" t="inlineStr">
        <is>
          <t>Nathaniel Razo Enriquez</t>
        </is>
      </c>
      <c r="AA2413" t="inlineStr">
        <is>
          <t>0696-1256-60</t>
        </is>
      </c>
      <c r="AB2413" t="inlineStr">
        <is>
          <t>Landbank</t>
        </is>
      </c>
      <c r="AC2413" t="inlineStr">
        <is>
          <t>13th Pangasinan st. Bago Bantay Quezon City</t>
        </is>
      </c>
      <c r="AD2413" s="4">
        <v>46164</v>
      </c>
      <c r="AE2413" t="inlineStr">
        <is>
          <t>100% Full Payment - May 22, 2026</t>
        </is>
      </c>
      <c r="AF2413" s="2"/>
      <c r="AG2413" t="inlineStr">
        <is>
          <t>NzQyNTk5MTgyNzQ4MTg3MDM0MTo3RTE2NjIyNi0yQ0ZFLTRBQzAtODFFNS05RDAwNzY3RTUzMTctMTo0YzU2MmE4MDZiNjI0NzY5ODcwNGVmNTdlYzBmYmM2Yjox</t>
        </is>
      </c>
      <c r="AH2413" t="inlineStr">
        <is>
          <t>Nathaniel Razo Enriquez</t>
        </is>
      </c>
      <c r="AI2413"/>
      <c r="AJ2413" t="inlineStr">
        <is>
          <t>LIQUIDITY PLAN (PAR # 202511040070 / 2025TEG-P0211)
MANPOWER &gt; LEAGUE OPS &gt;
Head Referee
Referee
Total Remaining Budget = Php 10,150.00
This Request = Php 2,700.00
Balance = Php 7,450.00</t>
        </is>
      </c>
      <c r="AK2413"/>
    </row>
    <row r="2414" ht="25.5" customHeight="1">
      <c r="A2414" s="2" t="str">
        <f>=HYPERLINK("https://applink.larksuite.com/client/mini_program/open?appId=cli_9c7cc8a9a9edd105&amp;mode=appCenter&amp;path_pc=pc/pages/requested/index?instanceId=7631099796806373088&amp;source=bitable&amp;path=pages/detail/index?instanceId=7631099796806373088&amp;source=bitable", "202604210036")</f>
        <v>202604210036</v>
      </c>
      <c r="B2414" t="inlineStr">
        <is>
          <t>Approved</t>
        </is>
      </c>
      <c r="C2414" t="inlineStr">
        <is>
          <t>Procurement Order</t>
        </is>
      </c>
      <c r="D2414" s="3">
        <v>46133.61431712963</v>
      </c>
      <c r="E2414" s="3">
        <v>46134.59324074074</v>
      </c>
      <c r="F2414" t="inlineStr">
        <is>
          <t>Fatima Kathleen M. FLores</t>
        </is>
      </c>
      <c r="G2414" t="inlineStr">
        <is>
          <t>Procurement</t>
        </is>
      </c>
      <c r="H2414"/>
      <c r="I2414"/>
      <c r="J2414" t="inlineStr">
        <is>
          <t>Project</t>
        </is>
      </c>
      <c r="K2414" t="inlineStr">
        <is>
          <t>PDEI - Game Marketing</t>
        </is>
      </c>
      <c r="L2414" t="inlineStr">
        <is>
          <t>World of Tanks HEAT KOL Campaign</t>
        </is>
      </c>
      <c r="M2414" t="inlineStr">
        <is>
          <t>2026TEG-P0082</t>
        </is>
      </c>
      <c r="N2414" t="inlineStr">
        <is>
          <t>Clifford Markus Ortiz Martinez</t>
        </is>
      </c>
      <c r="O2414" t="inlineStr">
        <is>
          <t>202604150037-Clifford Markus Ortiz Martinez-费用报销 - 副本 - 副本 - 副本-2026-04-15 05:45:33</t>
        </is>
      </c>
      <c r="P2414" t="inlineStr">
        <is>
          <t>YES</t>
        </is>
      </c>
      <c r="Q2414"/>
      <c r="R2414" t="inlineStr">
        <is>
          <t>NO</t>
        </is>
      </c>
      <c r="S2414" t="inlineStr">
        <is>
          <t>Outsourced Talent / KOL (Kriphie)</t>
        </is>
      </c>
      <c r="T2414">
        <v>1</v>
      </c>
      <c r="U2414">
        <v>15000</v>
      </c>
      <c r="V2414" t="inlineStr">
        <is>
          <t>PHP</t>
        </is>
      </c>
      <c r="W2414">
        <v>15000</v>
      </c>
      <c r="X2414" s="2" t="str">
        <f>=HYPERLINK("https://www.larksuite.com/approval/admin/previewAttachment?key=PMgxCgJRDATQK838ZDMZL2Pjsth8EAS7nF2wsH3VRPXBKCPNZXBUQdhyNSoU6J41lAxRFXPu6y5up7nxIvvo-Twf1_nmYa0FRWY0AN7-HspMuxI_xzcAAP__", "2 attachment(s)")</f>
        <v>2 attachment(s)</v>
      </c>
      <c r="Y2414" t="inlineStr">
        <is>
          <t>Bank Transfer</t>
        </is>
      </c>
      <c r="Z2414" t="inlineStr">
        <is>
          <t>Glenn Hipolito</t>
        </is>
      </c>
      <c r="AA2414" t="inlineStr">
        <is>
          <t>0012 8146 4374</t>
        </is>
      </c>
      <c r="AB2414" t="inlineStr">
        <is>
          <t>BDO</t>
        </is>
      </c>
      <c r="AC2414" t="inlineStr">
        <is>
          <t>Phase 4 Blk 4 Lot 11, Wisteria St., Victoria Ville, P.F. Espiritu 2, Bacoor City, Cavite</t>
        </is>
      </c>
      <c r="AD2414" s="4">
        <v>46157</v>
      </c>
      <c r="AE2414" t="inlineStr">
        <is>
          <t>100% Full Payment - May 15, 2026</t>
        </is>
      </c>
      <c r="AF2414" s="2"/>
      <c r="AG2414" t="inlineStr">
        <is>
          <t>NzQyNTk5MTgyNzQ4MTg3MDM0MTpFQzE2ODI4Ri1EMTVDLTRCQzctQTBDQi04QzRGNjVCMkVCRTQtMTpjYzU4OWE4YjVjYzVlNGU4ZDY0MTkyMDU3NWM1Yjc2NDox</t>
        </is>
      </c>
      <c r="AH2414" t="inlineStr">
        <is>
          <t>Glenn Hipolito</t>
        </is>
      </c>
      <c r="AI2414"/>
      <c r="AJ2414" t="inlineStr">
        <is>
          <t>LIQUIDITY PLAN (PAR # 202604070080 / 2026TEG-P0082)
KOL &gt; Kriphie
Total Budget = Php 15,000.00
Actual Cost = Php 15,000.00</t>
        </is>
      </c>
      <c r="AK2414"/>
    </row>
    <row r="2415" ht="25.5" customHeight="1">
      <c r="A2415" s="2" t="str">
        <f>=HYPERLINK("https://applink.larksuite.com/client/mini_program/open?appId=cli_9c7cc8a9a9edd105&amp;mode=appCenter&amp;path_pc=pc/pages/requested/index?instanceId=7631099113039449829&amp;source=bitable&amp;path=pages/detail/index?instanceId=7631099113039449829&amp;source=bitable", "202604210035")</f>
        <v>202604210035</v>
      </c>
      <c r="B2415" t="inlineStr">
        <is>
          <t>Approved</t>
        </is>
      </c>
      <c r="C2415" t="inlineStr">
        <is>
          <t>Procurement Order</t>
        </is>
      </c>
      <c r="D2415" s="3">
        <v>46133.61247685185</v>
      </c>
      <c r="E2415" s="3">
        <v>46134.59484953704</v>
      </c>
      <c r="F2415" t="inlineStr">
        <is>
          <t>Fatima Kathleen M. FLores</t>
        </is>
      </c>
      <c r="G2415" t="inlineStr">
        <is>
          <t>Procurement</t>
        </is>
      </c>
      <c r="H2415"/>
      <c r="I2415"/>
      <c r="J2415" t="inlineStr">
        <is>
          <t>Project</t>
        </is>
      </c>
      <c r="K2415" t="inlineStr">
        <is>
          <t>PDEI - Game Marketing</t>
        </is>
      </c>
      <c r="L2415" t="inlineStr">
        <is>
          <t>World of Tanks HEAT KOL Campaign</t>
        </is>
      </c>
      <c r="M2415" t="inlineStr">
        <is>
          <t>2026TEG-P0082</t>
        </is>
      </c>
      <c r="N2415" t="inlineStr">
        <is>
          <t>Clifford Markus Ortiz Martinez</t>
        </is>
      </c>
      <c r="O2415" t="inlineStr">
        <is>
          <t>202604150039-Clifford Markus Ortiz Martinez-费用报销 - 副本 - 副本 - 副本-2026-04-15 05:45:57</t>
        </is>
      </c>
      <c r="P2415" t="inlineStr">
        <is>
          <t>YES</t>
        </is>
      </c>
      <c r="Q2415"/>
      <c r="R2415" t="inlineStr">
        <is>
          <t>NO</t>
        </is>
      </c>
      <c r="S2415" t="inlineStr">
        <is>
          <t>Outsourced Talent / KOL (KingFB)</t>
        </is>
      </c>
      <c r="T2415">
        <v>1</v>
      </c>
      <c r="U2415">
        <v>15000</v>
      </c>
      <c r="V2415" t="inlineStr">
        <is>
          <t>PHP</t>
        </is>
      </c>
      <c r="W2415">
        <v>15000</v>
      </c>
      <c r="X2415" s="2" t="str">
        <f>=HYPERLINK("https://www.larksuite.com/approval/admin/previewAttachment?key=PMgxqsMwEATQK83srnY0_zK_sRFpnCZgSKGzB1KkfT2JnoPZRplhcKuTsMlEusozvGNTMkR17vNa_3FjXENv6XmsHPt-HOt8cVgRUFblBMC_n6eqyu7C1_EJAAD__w", "2 attachment(s)")</f>
        <v>2 attachment(s)</v>
      </c>
      <c r="Y2415" t="inlineStr">
        <is>
          <t>Bank Transfer</t>
        </is>
      </c>
      <c r="Z2415" t="inlineStr">
        <is>
          <t>Royce John I. Sy</t>
        </is>
      </c>
      <c r="AA2415" t="inlineStr">
        <is>
          <t>012680008681</t>
        </is>
      </c>
      <c r="AB2415" t="inlineStr">
        <is>
          <t>BDO</t>
        </is>
      </c>
      <c r="AC2415" t="inlineStr">
        <is>
          <t>B 6 L 11 Regina Lane, Diamond Village Brgy. Kaligayahan Nova. QC</t>
        </is>
      </c>
      <c r="AD2415" s="4">
        <v>46157</v>
      </c>
      <c r="AE2415" t="inlineStr">
        <is>
          <t>100% Full Payment - May 15, 2026</t>
        </is>
      </c>
      <c r="AF2415" s="2"/>
      <c r="AG2415" t="inlineStr">
        <is>
          <t>NzQyNTk5MTgyNzQ4MTg3MDM0MTpDRDkwNzBGQS02NEU3LTQ3NDMtQTZGNS04NUJCMDFBMEVFRkEtMTo0NWNjNTI2YTU1MGEwMThlY2FlNTZhMzEzMmMwMDQyNTox</t>
        </is>
      </c>
      <c r="AH2415" t="inlineStr">
        <is>
          <t>Royce John I. Sy</t>
        </is>
      </c>
      <c r="AI2415"/>
      <c r="AJ2415" t="inlineStr">
        <is>
          <t>LIQUIDITY PLAN (PAR # 202604070080 / 2026TEG-P0082)
KOL &gt; KingFB
Total Budget = Php 15,000.00
Actual Cost = Php 15,000.00</t>
        </is>
      </c>
      <c r="AK2415"/>
    </row>
    <row r="2416" ht="25.5" customHeight="1">
      <c r="A2416" s="2" t="str">
        <f>=HYPERLINK("https://applink.larksuite.com/client/mini_program/open?appId=cli_9c7cc8a9a9edd105&amp;mode=appCenter&amp;path_pc=pc/pages/requested/index?instanceId=7631115085737397986&amp;source=bitable&amp;path=pages/detail/index?instanceId=7631115085737397986&amp;source=bitable", "202604210057")</f>
        <v>202604210057</v>
      </c>
      <c r="B2416" t="inlineStr">
        <is>
          <t>Approved</t>
        </is>
      </c>
      <c r="C2416" t="inlineStr">
        <is>
          <t>Procurement Order</t>
        </is>
      </c>
      <c r="D2416" s="3">
        <v>46133.65552083333</v>
      </c>
      <c r="E2416" s="3">
        <v>46139.58107638889</v>
      </c>
      <c r="F2416" t="inlineStr">
        <is>
          <t>Fatima Kathleen M. FLores</t>
        </is>
      </c>
      <c r="G2416" t="inlineStr">
        <is>
          <t>Procurement</t>
        </is>
      </c>
      <c r="H2416"/>
      <c r="I2416"/>
      <c r="J2416" t="inlineStr">
        <is>
          <t>Project</t>
        </is>
      </c>
      <c r="K2416" t="inlineStr">
        <is>
          <t>PDEI - Game Marketing</t>
        </is>
      </c>
      <c r="L2416" t="inlineStr">
        <is>
          <t>Jobstreet Level Up v2</t>
        </is>
      </c>
      <c r="M2416" t="inlineStr">
        <is>
          <t>2025TEG-P0211</t>
        </is>
      </c>
      <c r="N2416" t="inlineStr">
        <is>
          <t>Maura Aurel Atilano Yap</t>
        </is>
      </c>
      <c r="O2416" t="inlineStr">
        <is>
          <t>202604080012-Maura Aurel Atilano Yap-费用报销 - 副本 - 副本 - 副本-2026-04-08 02:43:54</t>
        </is>
      </c>
      <c r="P2416" t="inlineStr">
        <is>
          <t>YES</t>
        </is>
      </c>
      <c r="Q2416"/>
      <c r="R2416" t="inlineStr">
        <is>
          <t>NO</t>
        </is>
      </c>
      <c r="S2416" t="inlineStr">
        <is>
          <t>Outsourced Game Observer</t>
        </is>
      </c>
      <c r="T2416">
        <v>1</v>
      </c>
      <c r="U2416">
        <v>3600</v>
      </c>
      <c r="V2416" t="inlineStr">
        <is>
          <t>PHP</t>
        </is>
      </c>
      <c r="W2416">
        <v>3600</v>
      </c>
      <c r="X2416" s="2" t="str">
        <f>=HYPERLINK("https://www.larksuite.com/approval/admin/previewAttachment?key=PMhBCgIxDAXQK_3fpPmNl3EzQxF1QBCqm5xdcDHbF4OI0WmR8GRLsBRGsmN0mSyVI6oVpYSosNqPeX3dt7Uesuf3c8w5a922ub_ZU61B5m4DAC-nm9w9Mxx_xy8AAP__", "2 attachment(s)")</f>
        <v>2 attachment(s)</v>
      </c>
      <c r="Y2416" t="inlineStr">
        <is>
          <t>Bank Transfer</t>
        </is>
      </c>
      <c r="Z2416" t="inlineStr">
        <is>
          <t>Franz Adrian Cruz Abrenica</t>
        </is>
      </c>
      <c r="AA2416" t="inlineStr">
        <is>
          <t>1094 2955 9930</t>
        </is>
      </c>
      <c r="AB2416" t="inlineStr">
        <is>
          <t>Unionbank</t>
        </is>
      </c>
      <c r="AC2416" t="inlineStr">
        <is>
          <t>116 J.Molina Corner Blue Bird Street, Strip 70 Village, Concepcion Uno, Marikina City</t>
        </is>
      </c>
      <c r="AD2416" s="4">
        <v>46164</v>
      </c>
      <c r="AE2416" t="inlineStr">
        <is>
          <t>100% Full Payment - May 22, 2026</t>
        </is>
      </c>
      <c r="AF2416" s="2"/>
      <c r="AG2416" t="inlineStr">
        <is>
          <t>NzQyNTk5MTgyNzQ4MTg3MDM0MTo2MUI1Q0Y4OS00RDc4LTREOTgtQkUyQS1BRUM4NTc5MjRFQkItMTowOGY2YWZlZjIyODFkYzIyNTc2MmJmNzA1OWJkOWZiMzox</t>
        </is>
      </c>
      <c r="AH2416" t="inlineStr">
        <is>
          <t>Franz Adrian Cruz Abrenica</t>
        </is>
      </c>
      <c r="AI2416"/>
      <c r="AJ2416" t="inlineStr">
        <is>
          <t>LIQUIDITY PLAN (PAR # 202511040070 / 2025TEG-P0211)
MANPOWER &gt; BROADCAST &gt;
Game Observer
Total Budget = Php 7,200.00
This Request = Php 3,600.00
Balance = Php 3,600.00</t>
        </is>
      </c>
      <c r="AK2416"/>
    </row>
    <row r="2417" ht="25.5" customHeight="1">
      <c r="A2417" s="2" t="str">
        <f>=HYPERLINK("https://applink.larksuite.com/client/mini_program/open?appId=cli_9c7cc8a9a9edd105&amp;mode=appCenter&amp;path_pc=pc/pages/requested/index?instanceId=7631116932917333733&amp;source=bitable&amp;path=pages/detail/index?instanceId=7631116932917333733&amp;source=bitable", "202604210059")</f>
        <v>202604210059</v>
      </c>
      <c r="B2417" t="inlineStr">
        <is>
          <t>Approved</t>
        </is>
      </c>
      <c r="C2417" t="inlineStr">
        <is>
          <t>Procurement Order</t>
        </is>
      </c>
      <c r="D2417" s="3">
        <v>46133.66049768519</v>
      </c>
      <c r="E2417" s="3">
        <v>46139.579421296294</v>
      </c>
      <c r="F2417" t="inlineStr">
        <is>
          <t>Fatima Kathleen M. FLores</t>
        </is>
      </c>
      <c r="G2417" t="inlineStr">
        <is>
          <t>Procurement</t>
        </is>
      </c>
      <c r="H2417"/>
      <c r="I2417"/>
      <c r="J2417" t="inlineStr">
        <is>
          <t>Project</t>
        </is>
      </c>
      <c r="K2417" t="inlineStr">
        <is>
          <t>PDEI - Game Marketing</t>
        </is>
      </c>
      <c r="L2417" t="inlineStr">
        <is>
          <t>Jobstreet Level Up v2</t>
        </is>
      </c>
      <c r="M2417" t="inlineStr">
        <is>
          <t>2025TEG-P0211</t>
        </is>
      </c>
      <c r="N2417" t="inlineStr">
        <is>
          <t>Maura Aurel Atilano Yap</t>
        </is>
      </c>
      <c r="O2417" t="inlineStr">
        <is>
          <t>202604080012-Maura Aurel Atilano Yap-费用报销 - 副本 - 副本 - 副本-2026-04-08 02:43:54</t>
        </is>
      </c>
      <c r="P2417" t="inlineStr">
        <is>
          <t>YES</t>
        </is>
      </c>
      <c r="Q2417"/>
      <c r="R2417" t="inlineStr">
        <is>
          <t>NO</t>
        </is>
      </c>
      <c r="S2417" t="inlineStr">
        <is>
          <t>Outsourced Broadcast Manpower</t>
        </is>
      </c>
      <c r="T2417">
        <v>1</v>
      </c>
      <c r="U2417">
        <v>7200</v>
      </c>
      <c r="V2417" t="inlineStr">
        <is>
          <t>PHP</t>
        </is>
      </c>
      <c r="W2417">
        <v>7200</v>
      </c>
      <c r="X2417" s="2" t="str">
        <f>=HYPERLINK("https://www.larksuite.com/approval/admin/previewAttachment?key=PMgxDsIwFAPQK9nx73c-l2FpFMHQCgmVLWdHYmB92YnsG5WFKLYCl1Mks9SKlmRptUW7YDq1xjHv--Xz3MaF-TqeivV57HO8uZVbgxWhDoC3v8sRUZWBn-MbAAD__w", "2 attachment(s)")</f>
        <v>2 attachment(s)</v>
      </c>
      <c r="Y2417" t="inlineStr">
        <is>
          <t>Bank Transfer</t>
        </is>
      </c>
      <c r="Z2417" t="inlineStr">
        <is>
          <t>John Benigno R. Magat</t>
        </is>
      </c>
      <c r="AA2417" t="inlineStr">
        <is>
          <t>046110005388</t>
        </is>
      </c>
      <c r="AB2417" t="inlineStr">
        <is>
          <t>PSBank</t>
        </is>
      </c>
      <c r="AC2417" t="inlineStr">
        <is>
          <t>228 Grissom st. Brgy Moonwalk Paranaque Metro Manila</t>
        </is>
      </c>
      <c r="AD2417" s="4">
        <v>46164</v>
      </c>
      <c r="AE2417" t="inlineStr">
        <is>
          <t>100% Full Payment - May 22, 2026</t>
        </is>
      </c>
      <c r="AF2417" s="2"/>
      <c r="AG2417" t="inlineStr">
        <is>
          <t>NzQyNTk5MTgyNzQ4MTg3MDM0MToyNzk5NDcxNi1EODczLTRFRTktODZBRi03QzlFMTUzMDNDOEUtMTo0YTA4NzEwMGNjNTAyMzA3NWE4MzRlYjgxMzU0MjkzYzox</t>
        </is>
      </c>
      <c r="AH2417" t="inlineStr">
        <is>
          <t>John Benigno R. Magat</t>
        </is>
      </c>
      <c r="AI2417"/>
      <c r="AJ2417" t="inlineStr">
        <is>
          <t>LIQUIDITY PLAN (PAR # 202511040070 / 2025TEG-P0211)
MANPOWER &gt; BROADCAST &gt;
Highlights/ Replay Operator
Stream Engineer/ Tech Support
Total Budget = Php 7,200.00
Actual Cost = Php 7,200.00</t>
        </is>
      </c>
      <c r="AK2417"/>
    </row>
    <row r="2418" ht="25.5" customHeight="1">
      <c r="A2418" s="2" t="str">
        <f>=HYPERLINK("https://applink.larksuite.com/client/mini_program/open?appId=cli_9c7cc8a9a9edd105&amp;mode=appCenter&amp;path_pc=pc/pages/requested/index?instanceId=7631113962091794140&amp;source=bitable&amp;path=pages/detail/index?instanceId=7631113962091794140&amp;source=bitable", "202604210056")</f>
        <v>202604210056</v>
      </c>
      <c r="B2418" t="inlineStr">
        <is>
          <t>Approved</t>
        </is>
      </c>
      <c r="C2418" t="inlineStr">
        <is>
          <t>Procurement Order</t>
        </is>
      </c>
      <c r="D2418" s="3">
        <v>46133.65248842593</v>
      </c>
      <c r="E2418" s="3">
        <v>46139.57577546296</v>
      </c>
      <c r="F2418" t="inlineStr">
        <is>
          <t>Fatima Kathleen M. FLores</t>
        </is>
      </c>
      <c r="G2418" t="inlineStr">
        <is>
          <t>Procurement</t>
        </is>
      </c>
      <c r="H2418"/>
      <c r="I2418"/>
      <c r="J2418" t="inlineStr">
        <is>
          <t>Project</t>
        </is>
      </c>
      <c r="K2418" t="inlineStr">
        <is>
          <t>PDEI - Game Marketing</t>
        </is>
      </c>
      <c r="L2418" t="inlineStr">
        <is>
          <t>Jobstreet Level Up v2</t>
        </is>
      </c>
      <c r="M2418" t="inlineStr">
        <is>
          <t>2025TEG-P0211</t>
        </is>
      </c>
      <c r="N2418" t="inlineStr">
        <is>
          <t>Maura Aurel Atilano Yap</t>
        </is>
      </c>
      <c r="O2418" t="inlineStr">
        <is>
          <t>202604080012-Maura Aurel Atilano Yap-费用报销 - 副本 - 副本 - 副本-2026-04-08 02:43:54</t>
        </is>
      </c>
      <c r="P2418" t="inlineStr">
        <is>
          <t>YES</t>
        </is>
      </c>
      <c r="Q2418"/>
      <c r="R2418" t="inlineStr">
        <is>
          <t>NO</t>
        </is>
      </c>
      <c r="S2418" t="inlineStr">
        <is>
          <t>Outsourced Game Director</t>
        </is>
      </c>
      <c r="T2418">
        <v>1</v>
      </c>
      <c r="U2418">
        <v>4400</v>
      </c>
      <c r="V2418" t="inlineStr">
        <is>
          <t>PHP</t>
        </is>
      </c>
      <c r="W2418">
        <v>4400</v>
      </c>
      <c r="X2418" s="2" t="str">
        <f>=HYPERLINK("https://www.larksuite.com/approval/admin/previewAttachment?key=PMgxCsJQEATQK83sTnYzXsbGT5AQQRCizT-7YGH7aiVqXZhlyAyDsytJpitgtkVhxmS30ezKOR7b9a3Y9-epoI7jM-Z5v23jxcUdgU4pVwC8_D1bkl3Cz_ENAAD__w", "2 attachment(s)")</f>
        <v>2 attachment(s)</v>
      </c>
      <c r="Y2418" t="inlineStr">
        <is>
          <t>Bank Transfer</t>
        </is>
      </c>
      <c r="Z2418" t="inlineStr">
        <is>
          <t>Emir Ryan Concepcion</t>
        </is>
      </c>
      <c r="AA2418" t="inlineStr">
        <is>
          <t>3179710829</t>
        </is>
      </c>
      <c r="AB2418" t="inlineStr">
        <is>
          <t>BPI</t>
        </is>
      </c>
      <c r="AC2418" t="inlineStr">
        <is>
          <t>116 J.Molina Corner Blue Bird Street, Strip 70 Village, Concepcion Uno, Marikina City</t>
        </is>
      </c>
      <c r="AD2418" s="4">
        <v>46164</v>
      </c>
      <c r="AE2418" t="inlineStr">
        <is>
          <t>100% Full Payment - May 22, 2026</t>
        </is>
      </c>
      <c r="AF2418" s="2"/>
      <c r="AG2418" t="inlineStr">
        <is>
          <t>NzQyNTk5MTgyNzQ4MTg3MDM0MTo1M0E1RkRFNC1EQjlELTQ4RTEtQUZGQS04NjAzRDYzMUQ5MjctMTplMTQ3ZWU2NjJjNGRkYjQ4MzY2Nzk3NWI3NGU2MjE0Nzox</t>
        </is>
      </c>
      <c r="AH2418" t="inlineStr">
        <is>
          <t>Emir Ryan Concepcion</t>
        </is>
      </c>
      <c r="AI2418"/>
      <c r="AJ2418" t="inlineStr">
        <is>
          <t>LIQUIDITY PLAN (PAR # 202511040070 / 2025TEG-P0211)
MANPOWER &gt; BROADCAST &gt;
Game Director
Total Budget = Php 5,000.00
This Request = Php 4,400.00
Balance = Php 600.00</t>
        </is>
      </c>
      <c r="AK2418"/>
    </row>
    <row r="2419" ht="25.5" customHeight="1">
      <c r="A2419" s="2" t="str">
        <f>=HYPERLINK("https://applink.larksuite.com/client/mini_program/open?appId=cli_9c7cc8a9a9edd105&amp;mode=appCenter&amp;path_pc=pc/pages/requested/index?instanceId=7631141468456472293&amp;source=bitable&amp;path=pages/detail/index?instanceId=7631141468456472293&amp;source=bitable", "202604210095")</f>
        <v>202604210095</v>
      </c>
      <c r="B2419" t="inlineStr">
        <is>
          <t>Approved</t>
        </is>
      </c>
      <c r="C2419" t="inlineStr">
        <is>
          <t>Procurement Order</t>
        </is>
      </c>
      <c r="D2419" s="3">
        <v>46133.72662037037</v>
      </c>
      <c r="E2419" s="3">
        <v>46139.582037037035</v>
      </c>
      <c r="F2419" t="inlineStr">
        <is>
          <t>Fatima Kathleen M. FLores</t>
        </is>
      </c>
      <c r="G2419" t="inlineStr">
        <is>
          <t>Procurement</t>
        </is>
      </c>
      <c r="H2419"/>
      <c r="I2419"/>
      <c r="J2419" t="inlineStr">
        <is>
          <t>Project</t>
        </is>
      </c>
      <c r="K2419" t="inlineStr">
        <is>
          <t>PDEI - Game Marketing</t>
        </is>
      </c>
      <c r="L2419" t="inlineStr">
        <is>
          <t>Jobstreet Level Up v2</t>
        </is>
      </c>
      <c r="M2419" t="inlineStr">
        <is>
          <t>2025TEG-P0211</t>
        </is>
      </c>
      <c r="N2419" t="inlineStr">
        <is>
          <t>Maura Aurel Atilano Yap</t>
        </is>
      </c>
      <c r="O2419" t="inlineStr">
        <is>
          <t>202604080011-Maura Aurel Atilano Yap-费用报销 - 副本 - 副本 - 副本-2026-04-08 02:38:50</t>
        </is>
      </c>
      <c r="P2419" t="inlineStr">
        <is>
          <t>YES</t>
        </is>
      </c>
      <c r="Q2419"/>
      <c r="R2419" t="inlineStr">
        <is>
          <t>NO</t>
        </is>
      </c>
      <c r="S2419" t="inlineStr">
        <is>
          <t>Outsourced Logistics Associates (Event Days)</t>
        </is>
      </c>
      <c r="T2419">
        <v>1</v>
      </c>
      <c r="U2419">
        <v>2800</v>
      </c>
      <c r="V2419" t="inlineStr">
        <is>
          <t>PHP</t>
        </is>
      </c>
      <c r="W2419">
        <v>2800</v>
      </c>
      <c r="X2419" s="2" t="str">
        <f>=HYPERLINK("https://www.larksuite.com/approval/admin/previewAttachment?key=PMgxCsJQEATQK83sTnb-ehkbP0GQgCDG6p9dsLB9NYgaG7MaakaDy5WkqBraSo7oXLFoN0xXrnns10fInp_jeWa_Geu83_b54taOgFPKAYCXv6cldZfwc3wDAAD__w", "2 attachment(s)")</f>
        <v>2 attachment(s)</v>
      </c>
      <c r="Y2419" t="inlineStr">
        <is>
          <t>Bank Transfer</t>
        </is>
      </c>
      <c r="Z2419" t="inlineStr">
        <is>
          <t>John Martin Nery</t>
        </is>
      </c>
      <c r="AA2419" t="inlineStr">
        <is>
          <t>002090549439</t>
        </is>
      </c>
      <c r="AB2419" t="inlineStr">
        <is>
          <t>BDO</t>
        </is>
      </c>
      <c r="AC2419" t="inlineStr">
        <is>
          <t>12 Little Tagaytay St. Marulas Valenzuela City</t>
        </is>
      </c>
      <c r="AD2419" s="4">
        <v>46164</v>
      </c>
      <c r="AE2419" t="inlineStr">
        <is>
          <t>100% Full Payment - May 22, 2026</t>
        </is>
      </c>
      <c r="AF2419" s="2"/>
      <c r="AG2419" t="inlineStr">
        <is>
          <t>NzQyNTk5MTgyNzQ4MTg3MDM0MTo3MDQ1MkJBRi1BRDg1LTRBRDYtOTMwNC1ERjIzRjBBODYwQkMtMTo5ZmRhNGQwMmRiYjk5NjJjNjZiYjFjNmRmYWExMWU4MTox</t>
        </is>
      </c>
      <c r="AH2419" t="inlineStr">
        <is>
          <t>John Martin Nery</t>
        </is>
      </c>
      <c r="AI2419"/>
      <c r="AJ2419" t="inlineStr">
        <is>
          <t>LIQUIDITY PLAN (PAR # 202511040070 / 2025TEG-P0211)
MANPOWER &gt; LOGISTICS &gt;
Event Days Logistics
Total Budget = Php 5,600.00
Actual Cost = Php 2,800.00
Balance = Php 2,800.00</t>
        </is>
      </c>
      <c r="AK2419"/>
    </row>
    <row r="2420" ht="25.5" customHeight="1">
      <c r="A2420" s="2" t="str">
        <f>=HYPERLINK("https://applink.larksuite.com/client/mini_program/open?appId=cli_9c7cc8a9a9edd105&amp;mode=appCenter&amp;path_pc=pc/pages/requested/index?instanceId=7631140554633563868&amp;source=bitable&amp;path=pages/detail/index?instanceId=7631140554633563868&amp;source=bitable", "202604210093")</f>
        <v>202604210093</v>
      </c>
      <c r="B2420" t="inlineStr">
        <is>
          <t>Approved</t>
        </is>
      </c>
      <c r="C2420" t="inlineStr">
        <is>
          <t>Procurement Order</t>
        </is>
      </c>
      <c r="D2420" s="3">
        <v>46133.72415509259</v>
      </c>
      <c r="E2420" s="3">
        <v>46139.58314814815</v>
      </c>
      <c r="F2420" t="inlineStr">
        <is>
          <t>Fatima Kathleen M. FLores</t>
        </is>
      </c>
      <c r="G2420" t="inlineStr">
        <is>
          <t>Procurement</t>
        </is>
      </c>
      <c r="H2420"/>
      <c r="I2420"/>
      <c r="J2420" t="inlineStr">
        <is>
          <t>Project</t>
        </is>
      </c>
      <c r="K2420" t="inlineStr">
        <is>
          <t>PDEI - Game Marketing</t>
        </is>
      </c>
      <c r="L2420" t="inlineStr">
        <is>
          <t>Jobstreet Level Up v2</t>
        </is>
      </c>
      <c r="M2420" t="inlineStr">
        <is>
          <t>2025TEG-P0211</t>
        </is>
      </c>
      <c r="N2420" t="inlineStr">
        <is>
          <t>Maura Aurel Atilano Yap</t>
        </is>
      </c>
      <c r="O2420" t="inlineStr">
        <is>
          <t>202604080011-Maura Aurel Atilano Yap-费用报销 - 副本 - 副本 - 副本-2026-04-08 02:38:50</t>
        </is>
      </c>
      <c r="P2420" t="inlineStr">
        <is>
          <t>YES</t>
        </is>
      </c>
      <c r="Q2420"/>
      <c r="R2420" t="inlineStr">
        <is>
          <t>NO</t>
        </is>
      </c>
      <c r="S2420" t="inlineStr">
        <is>
          <t>Outsourced Logistics Associates (Ingress &amp; Egress)</t>
        </is>
      </c>
      <c r="T2420">
        <v>1</v>
      </c>
      <c r="U2420">
        <v>5200</v>
      </c>
      <c r="V2420" t="inlineStr">
        <is>
          <t>PHP</t>
        </is>
      </c>
      <c r="W2420">
        <v>5200</v>
      </c>
      <c r="X2420" s="2" t="str">
        <f>=HYPERLINK("https://www.larksuite.com/approval/admin/previewAttachment?key=PMg7CgIxGATgK81k_qeXscmyiJBKULbI2QUL2y-KiHIqGtYcDe4MkQZ3C8lDFbXHZmYjmaF9rPO-rq6aq56fS8Pnfj_mebzonWMgZaYCwNvflWbWHYaf4xsAAP__", "2 attachment(s)")</f>
        <v>2 attachment(s)</v>
      </c>
      <c r="Y2420" t="inlineStr">
        <is>
          <t>Bank Transfer</t>
        </is>
      </c>
      <c r="Z2420" t="inlineStr">
        <is>
          <t>RIC JACA</t>
        </is>
      </c>
      <c r="AA2420" t="inlineStr">
        <is>
          <t>109332038874</t>
        </is>
      </c>
      <c r="AB2420" t="inlineStr">
        <is>
          <t>Unionbank</t>
        </is>
      </c>
      <c r="AC2420" t="inlineStr">
        <is>
          <t>321 Sitio Langhaya Brgy. Dela Paz Antipolo Rizal</t>
        </is>
      </c>
      <c r="AD2420" s="4">
        <v>46164</v>
      </c>
      <c r="AE2420" t="inlineStr">
        <is>
          <t>100% Full Payment - May 22, 2026</t>
        </is>
      </c>
      <c r="AF2420" s="2"/>
      <c r="AG2420" t="inlineStr">
        <is>
          <t>NzQyNTk5MTgyNzQ4MTg3MDM0MTpEOUYwQjFBOS03RTY4LTQ5ODgtQjc2Qi1DQ0Y0NkE3OUE1RjMtMTplYmM2NTAwNzM1NDA2ODU0NWNiYzg3MGE0NjU2MzBjNjox</t>
        </is>
      </c>
      <c r="AH2420" t="inlineStr">
        <is>
          <t>RIC JACA</t>
        </is>
      </c>
      <c r="AI2420"/>
      <c r="AJ2420" t="inlineStr">
        <is>
          <t>LIQUIDITY PLAN (PAR # 202511040070 / 2025TEG-P0211)
MANPOWER &gt; LOGISTICS &gt;
Ingress Manpower
Egress Manpower
Total Remaining Budget = Php 10,400.00
Actual Cost = Php 5,200.00
Balance = Php 5,200.00</t>
        </is>
      </c>
      <c r="AK2420"/>
    </row>
    <row r="2421" ht="25.5" customHeight="1">
      <c r="A2421" s="2" t="str">
        <f>=HYPERLINK("https://applink.larksuite.com/client/mini_program/open?appId=cli_9c7cc8a9a9edd105&amp;mode=appCenter&amp;path_pc=pc/pages/requested/index?instanceId=7631139865257627359&amp;source=bitable&amp;path=pages/detail/index?instanceId=7631139865257627359&amp;source=bitable", "202604210091")</f>
        <v>202604210091</v>
      </c>
      <c r="B2421" t="inlineStr">
        <is>
          <t>Approved</t>
        </is>
      </c>
      <c r="C2421" t="inlineStr">
        <is>
          <t>Procurement Order</t>
        </is>
      </c>
      <c r="D2421" s="3">
        <v>46133.72230324074</v>
      </c>
      <c r="E2421" s="3">
        <v>46139.584189814814</v>
      </c>
      <c r="F2421" t="inlineStr">
        <is>
          <t>Fatima Kathleen M. FLores</t>
        </is>
      </c>
      <c r="G2421" t="inlineStr">
        <is>
          <t>Procurement</t>
        </is>
      </c>
      <c r="H2421"/>
      <c r="I2421"/>
      <c r="J2421" t="inlineStr">
        <is>
          <t>Project</t>
        </is>
      </c>
      <c r="K2421" t="inlineStr">
        <is>
          <t>PDEI - Game Marketing</t>
        </is>
      </c>
      <c r="L2421" t="inlineStr">
        <is>
          <t>Jobstreet Level Up v2</t>
        </is>
      </c>
      <c r="M2421" t="inlineStr">
        <is>
          <t>2025TEG-P0211</t>
        </is>
      </c>
      <c r="N2421" t="inlineStr">
        <is>
          <t>Maura Aurel Atilano Yap</t>
        </is>
      </c>
      <c r="O2421" t="inlineStr">
        <is>
          <t>202604080011-Maura Aurel Atilano Yap-费用报销 - 副本 - 副本 - 副本-2026-04-08 02:38:50</t>
        </is>
      </c>
      <c r="P2421" t="inlineStr">
        <is>
          <t>YES</t>
        </is>
      </c>
      <c r="Q2421"/>
      <c r="R2421" t="inlineStr">
        <is>
          <t>NO</t>
        </is>
      </c>
      <c r="S2421" t="inlineStr">
        <is>
          <t>Outsourced Logistics Associates (Ingress &amp; Egress)</t>
        </is>
      </c>
      <c r="T2421">
        <v>1</v>
      </c>
      <c r="U2421">
        <v>2600</v>
      </c>
      <c r="V2421" t="inlineStr">
        <is>
          <t>PHP</t>
        </is>
      </c>
      <c r="W2421">
        <v>2600</v>
      </c>
      <c r="X2421" s="2" t="str">
        <f>=HYPERLINK("https://www.larksuite.com/approval/admin/previewAttachment?key=PMg5CgJBEAXQK9Wv7Xd5GROHQZsWBgSXoM4uGJi-HJAcAcsSL2gJmmmA1cjQYCotqrVBlhBM6-2-n1fM41jvOT_rdfO9n9fLvj0QRVWhudsQEZz-bnT3qnT5uXwDAAD__w", "2 attachment(s)")</f>
        <v>2 attachment(s)</v>
      </c>
      <c r="Y2421" t="inlineStr">
        <is>
          <t>Bank Transfer</t>
        </is>
      </c>
      <c r="Z2421" t="inlineStr">
        <is>
          <t>Froilan Aboga</t>
        </is>
      </c>
      <c r="AA2421" t="inlineStr">
        <is>
          <t>09121533877</t>
        </is>
      </c>
      <c r="AB2421" t="inlineStr">
        <is>
          <t>GCash</t>
        </is>
      </c>
      <c r="AC2421" t="inlineStr">
        <is>
          <t>3854 F Nazario St. Brgy Singkamas Makati City</t>
        </is>
      </c>
      <c r="AD2421" s="4">
        <v>46164</v>
      </c>
      <c r="AE2421" t="inlineStr">
        <is>
          <t>100% Full Payment - May 22, 2026</t>
        </is>
      </c>
      <c r="AF2421" s="2"/>
      <c r="AG2421" t="inlineStr">
        <is>
          <t>NzQyNTk5MTgyNzQ4MTg3MDM0MTo0M0Y0OERDNC05QkUyLTRFNjMtQjVGMi0xMjkxM0ExNzYxRjctMTozNmRjNmRmNzU4YjUwN2FmNDljNzMxMDRiM2U0ZDM1NTox</t>
        </is>
      </c>
      <c r="AH2421" t="inlineStr">
        <is>
          <t>Froilan Aboga</t>
        </is>
      </c>
      <c r="AI2421"/>
      <c r="AJ2421" t="inlineStr">
        <is>
          <t>LIQUIDITY PLAN (PAR # 202511040070 / 2025TEG-P0211)
MANPOWER &gt; LOGISTICS &gt;
Ingress Manpower
Egress Manpower
Total Budget = Php 13,000.00
Actual Cost = Php 2,600.00
Balance = Php 10,400.00</t>
        </is>
      </c>
      <c r="AK2421"/>
    </row>
    <row r="2422" ht="25.5" customHeight="1">
      <c r="A2422" s="2" t="str">
        <f>=HYPERLINK("https://applink.larksuite.com/client/mini_program/open?appId=cli_9c7cc8a9a9edd105&amp;mode=appCenter&amp;path_pc=pc/pages/requested/index?instanceId=7631138150458412763&amp;source=bitable&amp;path=pages/detail/index?instanceId=7631138150458412763&amp;source=bitable", "202604210086")</f>
        <v>202604210086</v>
      </c>
      <c r="B2422" t="inlineStr">
        <is>
          <t>Approved</t>
        </is>
      </c>
      <c r="C2422" t="inlineStr">
        <is>
          <t>Procurement Order</t>
        </is>
      </c>
      <c r="D2422" s="3">
        <v>46133.717673611114</v>
      </c>
      <c r="E2422" s="3">
        <v>46139.58012731482</v>
      </c>
      <c r="F2422" t="inlineStr">
        <is>
          <t>Fatima Kathleen M. FLores</t>
        </is>
      </c>
      <c r="G2422" t="inlineStr">
        <is>
          <t>Procurement</t>
        </is>
      </c>
      <c r="H2422"/>
      <c r="I2422"/>
      <c r="J2422" t="inlineStr">
        <is>
          <t>Project</t>
        </is>
      </c>
      <c r="K2422" t="inlineStr">
        <is>
          <t>PDEI - Game Marketing</t>
        </is>
      </c>
      <c r="L2422" t="inlineStr">
        <is>
          <t>Jobstreet Level Up v2</t>
        </is>
      </c>
      <c r="M2422" t="inlineStr">
        <is>
          <t>2025TEG-P0211</t>
        </is>
      </c>
      <c r="N2422" t="inlineStr">
        <is>
          <t>Maura Aurel Atilano Yap</t>
        </is>
      </c>
      <c r="O2422" t="inlineStr">
        <is>
          <t>202604080021-Maura Aurel Atilano Yap-费用报销 - 副本 - 副本 - 副本-2026-04-08 03:33:51</t>
        </is>
      </c>
      <c r="P2422" t="inlineStr">
        <is>
          <t>YES</t>
        </is>
      </c>
      <c r="Q2422"/>
      <c r="R2422" t="inlineStr">
        <is>
          <t>NO</t>
        </is>
      </c>
      <c r="S2422" t="inlineStr">
        <is>
          <t>Outsourced Player Hospitality</t>
        </is>
      </c>
      <c r="T2422">
        <v>1</v>
      </c>
      <c r="U2422">
        <v>3300</v>
      </c>
      <c r="V2422" t="inlineStr">
        <is>
          <t>PHP</t>
        </is>
      </c>
      <c r="W2422">
        <v>3300</v>
      </c>
      <c r="X2422" s="2" t="str">
        <f>=HYPERLINK("https://www.larksuite.com/approval/admin/previewAttachment?key=PMgxCgJBDAXQK_2f_CQTL2PjsLiFIoiCxZxdtNjyvRxEjqBnQ01rcFU66YMBxRCt0pctVjWKP8zbdo6Ykn3u9njN3vf1vl62-WR0maFc8gGAp-O9JHWn8H98AwAA__8", "2 attachment(s)")</f>
        <v>2 attachment(s)</v>
      </c>
      <c r="Y2422" t="inlineStr">
        <is>
          <t>Bank Transfer</t>
        </is>
      </c>
      <c r="Z2422" t="inlineStr">
        <is>
          <t>Kimberly Rose Culala</t>
        </is>
      </c>
      <c r="AA2422" t="inlineStr">
        <is>
          <t>1010-1024-0818</t>
        </is>
      </c>
      <c r="AB2422" t="inlineStr">
        <is>
          <t>PNB</t>
        </is>
      </c>
      <c r="AC2422" t="inlineStr">
        <is>
          <t>12 Little Tagaytay Marulas Valenzuela City</t>
        </is>
      </c>
      <c r="AD2422" s="4">
        <v>46164</v>
      </c>
      <c r="AE2422" t="inlineStr">
        <is>
          <t>100% Full Payment - May 22, 2026</t>
        </is>
      </c>
      <c r="AF2422" s="2"/>
      <c r="AG2422" t="inlineStr">
        <is>
          <t>NzQyNTk5MTgyNzQ4MTg3MDM0MTowMDg0MEYzQy1CQkIwLTRDMDctODc1QS02OEQ0OEEzQkU4NTctMTplY2IwZDZmMDExMDIxM2UwOTcwYmJkZWI0M2Y3NzQ0Yzox</t>
        </is>
      </c>
      <c r="AH2422" t="inlineStr">
        <is>
          <t>Kimberly Rose Culala</t>
        </is>
      </c>
      <c r="AI2422"/>
      <c r="AJ2422" t="inlineStr">
        <is>
          <t>LIQUIDITY PLAN (PAR # 202511040070 / 2025TEG-P0211)
MANPOWER &gt; LOGISTICS &gt;
Player Hospitality
Total Budget = Php 3,500.00
This Request = Php 3,300.00
Balance = Php 200.00</t>
        </is>
      </c>
      <c r="AK2422"/>
    </row>
    <row r="2423" ht="25.5" customHeight="1">
      <c r="A2423" s="2" t="str">
        <f>=HYPERLINK("https://applink.larksuite.com/client/mini_program/open?appId=cli_9c7cc8a9a9edd105&amp;mode=appCenter&amp;path_pc=pc/pages/requested/index?instanceId=7631393075012619996&amp;source=bitable&amp;path=pages/detail/index?instanceId=7631393075012619996&amp;source=bitable", "202604220004")</f>
        <v>202604220004</v>
      </c>
      <c r="B2423" t="inlineStr">
        <is>
          <t>Approved</t>
        </is>
      </c>
      <c r="C2423" t="inlineStr">
        <is>
          <t>Procurement Order</t>
        </is>
      </c>
      <c r="D2423" s="3">
        <v>46134.404641203706</v>
      </c>
      <c r="E2423" s="3">
        <v>46139.47855324074</v>
      </c>
      <c r="F2423" t="inlineStr">
        <is>
          <t>Fatima Kathleen M. FLores</t>
        </is>
      </c>
      <c r="G2423" t="inlineStr">
        <is>
          <t>Procurement</t>
        </is>
      </c>
      <c r="H2423"/>
      <c r="I2423"/>
      <c r="J2423" t="inlineStr">
        <is>
          <t>Project</t>
        </is>
      </c>
      <c r="K2423" t="inlineStr">
        <is>
          <t>PDEI - Event Service</t>
        </is>
      </c>
      <c r="L2423" t="inlineStr">
        <is>
          <t>MPL PH S17 - Addendum</t>
        </is>
      </c>
      <c r="M2423" t="inlineStr">
        <is>
          <t>2026TEG-P0085</t>
        </is>
      </c>
      <c r="N2423" t="inlineStr">
        <is>
          <t>Katherine Denise Lee Sy</t>
        </is>
      </c>
      <c r="O2423" t="inlineStr">
        <is>
          <t>202604160052-Katherine Denise Lee Sy-费用报销 - 副本 - 副本 - 副本-2026-04-16 07:25:21</t>
        </is>
      </c>
      <c r="P2423" t="inlineStr">
        <is>
          <t>NO</t>
        </is>
      </c>
      <c r="Q2423"/>
      <c r="R2423" t="inlineStr">
        <is>
          <t>NO</t>
        </is>
      </c>
      <c r="S2423" t="inlineStr">
        <is>
          <t>Generator Diesel (RS &amp; PO) - 37 days</t>
        </is>
      </c>
      <c r="T2423">
        <v>2</v>
      </c>
      <c r="U2423">
        <v>290080</v>
      </c>
      <c r="V2423" t="inlineStr">
        <is>
          <t>PHP</t>
        </is>
      </c>
      <c r="W2423">
        <v>580160</v>
      </c>
      <c r="X2423" s="2" t="str">
        <f>=HYPERLINK("https://www.larksuite.com/approval/admin/previewAttachment?key=PMgxCgJBDAXQK_2fZJL5XsbGYRFXQRC3y9kFi21fTiLnoKcQognsSqfLUQO0pKRsa1YJxUrv9dqudkA198ce87ne3z7ut219OFRmKI_wCYCX070iQsrA3_ELAAD__w", "2 attachment(s)")</f>
        <v>2 attachment(s)</v>
      </c>
      <c r="Y2423" t="inlineStr">
        <is>
          <t>Bank Transfer</t>
        </is>
      </c>
      <c r="Z2423" t="inlineStr">
        <is>
          <t>RED APPLE ENTERTAINMENT PRODUCTION</t>
        </is>
      </c>
      <c r="AA2423" t="inlineStr">
        <is>
          <t>002370007698</t>
        </is>
      </c>
      <c r="AB2423" t="inlineStr">
        <is>
          <t>Unionbank</t>
        </is>
      </c>
      <c r="AC2423" t="inlineStr">
        <is>
          <t>Unit 1208 Corinthian Executive Regency Ortigas Center, San Antonio, Pasig City</t>
        </is>
      </c>
      <c r="AD2423" s="4">
        <v>46143</v>
      </c>
      <c r="AE2423" t="inlineStr">
        <is>
          <t>Payment every 2 weeks</t>
        </is>
      </c>
      <c r="AF2423" s="2"/>
      <c r="AG2423" t="inlineStr">
        <is>
          <t>NzQyNTk5MTgyNzQ4MTg3MDM0MTpDQjNEQkZFMy01Q0Y3LTRCMDMtQTVCMi1GOTMyMjZBQzVGRkYtMTowZTkwMWQ2NGNhZTFhZjFkNjAzMTU4Y2YyY2JmMjU3YTox</t>
        </is>
      </c>
      <c r="AH2423" t="inlineStr">
        <is>
          <t>RED APPLE ENTERTAINMENT PRODUCTION</t>
        </is>
      </c>
      <c r="AI2423"/>
      <c r="AJ2423" t="inlineStr">
        <is>
          <t>LIQUIDITY PLAN (PAR # 202603300095 / 2026TEG-P0085)
Genset &gt; Diesel
Total Budget = Php 580,160.00
Actual Cost = Php 580,160.00</t>
        </is>
      </c>
      <c r="AK2423"/>
    </row>
    <row r="2424" ht="25.5" customHeight="1">
      <c r="A2424" s="2" t="str">
        <f>=HYPERLINK("https://applink.larksuite.com/client/mini_program/open?appId=cli_9c7cc8a9a9edd105&amp;mode=appCenter&amp;path_pc=pc/pages/requested/index?instanceId=7631412129484033760&amp;source=bitable&amp;path=pages/detail/index?instanceId=7631412129484033760&amp;source=bitable", "202604220014")</f>
        <v>202604220014</v>
      </c>
      <c r="B2424" t="inlineStr">
        <is>
          <t>Approved</t>
        </is>
      </c>
      <c r="C2424" t="inlineStr">
        <is>
          <t>Procurement Order</t>
        </is>
      </c>
      <c r="D2424" s="3">
        <v>46134.45599537037</v>
      </c>
      <c r="E2424" s="3">
        <v>46139.58667824074</v>
      </c>
      <c r="F2424" t="inlineStr">
        <is>
          <t>Fatima Kathleen M. FLores</t>
        </is>
      </c>
      <c r="G2424" t="inlineStr">
        <is>
          <t>Procurement</t>
        </is>
      </c>
      <c r="H2424"/>
      <c r="I2424"/>
      <c r="J2424" t="inlineStr">
        <is>
          <t>Project</t>
        </is>
      </c>
      <c r="K2424" t="inlineStr">
        <is>
          <t>PDEI - Game Marketing</t>
        </is>
      </c>
      <c r="L2424" t="inlineStr">
        <is>
          <t>Beyblade IP Tournament</t>
        </is>
      </c>
      <c r="M2424" t="inlineStr">
        <is>
          <t>2026TEG-P0038</t>
        </is>
      </c>
      <c r="N2424" t="inlineStr">
        <is>
          <t>Kate Serrano Olfato</t>
        </is>
      </c>
      <c r="O2424" t="inlineStr">
        <is>
          <t>202602180057-Kate Serrano Olfato-费用报销 - 副本 - 副本 - 副本-2026-02-18 07:17:35</t>
        </is>
      </c>
      <c r="P2424" t="inlineStr">
        <is>
          <t>YES</t>
        </is>
      </c>
      <c r="Q2424"/>
      <c r="R2424" t="inlineStr">
        <is>
          <t>NO</t>
        </is>
      </c>
      <c r="S2424" t="inlineStr">
        <is>
          <t>Outsourced Caster</t>
        </is>
      </c>
      <c r="T2424">
        <v>1</v>
      </c>
      <c r="U2424">
        <v>2000</v>
      </c>
      <c r="V2424" t="inlineStr">
        <is>
          <t>PHP</t>
        </is>
      </c>
      <c r="W2424">
        <v>2000</v>
      </c>
      <c r="X2424" s="2" t="str">
        <f>=HYPERLINK("https://www.larksuite.com/approval/admin/previewAttachment?key=PMgxCgJRDATQK80ks5kfL2Ozn0VBQRAUi392wcL21SBqbMxqqBkNLldSDEZrCJkurFi0G6ZLa96P80w_-B683o5Pz329Lvsxn9zaEXBKOQDw9Pe0pO4Sfo5vAAAA__8", "2 attachment(s)")</f>
        <v>2 attachment(s)</v>
      </c>
      <c r="Y2424" t="inlineStr">
        <is>
          <t>Bank Transfer</t>
        </is>
      </c>
      <c r="Z2424" t="inlineStr">
        <is>
          <t>Arjay Santie V. Magcalas</t>
        </is>
      </c>
      <c r="AA2424" t="inlineStr">
        <is>
          <t>109425585622</t>
        </is>
      </c>
      <c r="AB2424" t="inlineStr">
        <is>
          <t>Unionbank</t>
        </is>
      </c>
      <c r="AC2424" t="inlineStr">
        <is>
          <t>69 Vista Real Ave Brgy. Matandang Balara Quezon City</t>
        </is>
      </c>
      <c r="AD2424" s="4">
        <v>46143</v>
      </c>
      <c r="AE2424" t="inlineStr">
        <is>
          <t>100% Full Payment - May 1, 2026</t>
        </is>
      </c>
      <c r="AF2424" s="2"/>
      <c r="AG2424" t="inlineStr">
        <is>
          <t>NzQyNTk5MTgyNzQ4MTg3MDM0MTo1ODBBOTI5OS02NkUwLTRBRkYtQkFDNy0yQ0NBRUFEQzY5NTAtMTo1OTVlOWE0MTgyY2ExOGIxZWY1NGY1NGE1YmY3NjAzZTox</t>
        </is>
      </c>
      <c r="AH2424" t="inlineStr">
        <is>
          <t>Arjay Santie V. Magcalas</t>
        </is>
      </c>
      <c r="AI2424"/>
      <c r="AJ2424" t="inlineStr">
        <is>
          <t>LIQUIDITY PLAN (PAR # 202602160060 / 2026TEG-P0038)
MANPOWER &gt; Manpower &gt;
Caster
Total Budget = Php 2,000.00
Actual Cost = Php 2,000.00</t>
        </is>
      </c>
      <c r="AK2424"/>
    </row>
    <row r="2425" ht="25.5" customHeight="1">
      <c r="A2425" s="2" t="str">
        <f>=HYPERLINK("https://applink.larksuite.com/client/mini_program/open?appId=cli_9c7cc8a9a9edd105&amp;mode=appCenter&amp;path_pc=pc/pages/requested/index?instanceId=7631795723054403296&amp;source=bitable&amp;path=pages/detail/index?instanceId=7631795723054403296&amp;source=bitable", "202604230019")</f>
        <v>202604230019</v>
      </c>
      <c r="B2425" t="inlineStr">
        <is>
          <t>Approved</t>
        </is>
      </c>
      <c r="C2425" t="inlineStr">
        <is>
          <t>Procurement Order</t>
        </is>
      </c>
      <c r="D2425" s="3">
        <v>46135.489699074074</v>
      </c>
      <c r="E2425" s="3">
        <v>46139.6049537037</v>
      </c>
      <c r="F2425" t="inlineStr">
        <is>
          <t>Fatima Kathleen M. FLores</t>
        </is>
      </c>
      <c r="G2425" t="inlineStr">
        <is>
          <t>Procurement</t>
        </is>
      </c>
      <c r="H2425"/>
      <c r="I2425"/>
      <c r="J2425" t="inlineStr">
        <is>
          <t>Project</t>
        </is>
      </c>
      <c r="K2425" t="inlineStr">
        <is>
          <t>PDEI - Game Marketing</t>
        </is>
      </c>
      <c r="L2425" t="inlineStr">
        <is>
          <t>Cobra Core Event Event Production Addendum</t>
        </is>
      </c>
      <c r="M2425" t="inlineStr">
        <is>
          <t>2026TEG-P0099</t>
        </is>
      </c>
      <c r="N2425" t="inlineStr">
        <is>
          <t>Ronelle Kylene Chaneco Lim</t>
        </is>
      </c>
      <c r="O2425" t="inlineStr">
        <is>
          <t>202604110010-Ronelle Kylene Chaneco Lim-费用报销 - 副本 - 副本 - 副本-2026-04-11 12:53:22</t>
        </is>
      </c>
      <c r="P2425" t="inlineStr">
        <is>
          <t>NO</t>
        </is>
      </c>
      <c r="Q2425"/>
      <c r="R2425" t="inlineStr">
        <is>
          <t>NO</t>
        </is>
      </c>
      <c r="S2425" t="inlineStr">
        <is>
          <t>Rental of LED and IE Monitor</t>
        </is>
      </c>
      <c r="T2425">
        <v>1</v>
      </c>
      <c r="U2425">
        <v>31578.95</v>
      </c>
      <c r="V2425" t="inlineStr">
        <is>
          <t>PHP</t>
        </is>
      </c>
      <c r="W2425">
        <v>31578.95</v>
      </c>
      <c r="X2425" s="2" t="str">
        <f>=HYPERLINK("https://www.larksuite.com/approval/admin/previewAttachment?key=PMgxDgIxEAPAL9nZzTrmMzScTlCkQkKkyNuRKK6dGkSNzigjzWZwq4JyVwv0TERz7bYpGaIq9zHP-1z-rtcccy2T2p_n4zze7FZrUGTGAMDb5aHMtCvxd_wCAAD__w", "2 attachment(s)")</f>
        <v>2 attachment(s)</v>
      </c>
      <c r="Y2425" t="inlineStr">
        <is>
          <t>Bank Transfer</t>
        </is>
      </c>
      <c r="Z2425" t="inlineStr">
        <is>
          <t>SANTOS, GERARD JOSEPH C. DBU POWERBEAT EVENTS MANAGEMENT SERVICES</t>
        </is>
      </c>
      <c r="AA2425" t="inlineStr">
        <is>
          <t>0000043515211</t>
        </is>
      </c>
      <c r="AB2425" t="inlineStr">
        <is>
          <t>SECURITY BANK</t>
        </is>
      </c>
      <c r="AC2425" t="inlineStr">
        <is>
          <t>65 C Jose St., Malibay, Pasay City</t>
        </is>
      </c>
      <c r="AD2425" s="4">
        <v>46143</v>
      </c>
      <c r="AE2425" t="inlineStr">
        <is>
          <t>100% Full Payment - May 1, 2026</t>
        </is>
      </c>
      <c r="AF2425" s="2" t="str">
        <f>=HYPERLINK("https://www.larksuite.com/approval/admin/previewAttachment?key=TMgxDgIxDATAL-3Gju3lMzScTlCkQkKk8NuRqK6dKCJq0kJwcQjsDGNq5jBMd9hQ9GhmCskM72Od97X13a9Va2-R2Z_n4zzejLKAa7pTAHi7OAmVhf0dvwAAAP__", "3 attachment(s)")</f>
        <v>3 attachment(s)</v>
      </c>
      <c r="AG2425" t="inlineStr">
        <is>
          <t>NzQyNTk5MTgyNzQ4MTg3MDM0MTo4OTk5RTk0RC01NjdFLTQxMTctOEFENC04N0U2QUZCMTc2RjMtMTpjMDdlZGNhMmI2OTVlZTAwODhmY2IwNmYwNjcyMDVhYzox</t>
        </is>
      </c>
      <c r="AH2425" t="inlineStr">
        <is>
          <t>POWERBEAT EVENTS MANAGEMENT</t>
        </is>
      </c>
      <c r="AI2425"/>
      <c r="AJ2425" t="inlineStr">
        <is>
          <t>LIQUIDITY PLAN (PAR # 202604200066 / 2026TEG-P0099)
EVENT COLLATERALS &gt; 
LED Wall
Belt Pack
Total Budget = Php 50,000.00
Actual Cost = Php 31,578.95
Balance = Php 18,421.05</t>
        </is>
      </c>
      <c r="AK2425"/>
    </row>
    <row r="2426" ht="25.5" customHeight="1">
      <c r="A2426" s="2" t="str">
        <f>=HYPERLINK("https://applink.larksuite.com/client/mini_program/open?appId=cli_9c7cc8a9a9edd105&amp;mode=appCenter&amp;path_pc=pc/pages/requested/index?instanceId=7631799547710246629&amp;source=bitable&amp;path=pages/detail/index?instanceId=7631799547710246629&amp;source=bitable", "202604230023")</f>
        <v>202604230023</v>
      </c>
      <c r="B2426" t="inlineStr">
        <is>
          <t>Approved</t>
        </is>
      </c>
      <c r="C2426" t="inlineStr">
        <is>
          <t>Procurement Order</t>
        </is>
      </c>
      <c r="D2426" s="3">
        <v>46135.50001157408</v>
      </c>
      <c r="E2426" s="3">
        <v>46139.59851851852</v>
      </c>
      <c r="F2426" t="inlineStr">
        <is>
          <t>Fatima Kathleen M. FLores</t>
        </is>
      </c>
      <c r="G2426" t="inlineStr">
        <is>
          <t>Procurement</t>
        </is>
      </c>
      <c r="H2426"/>
      <c r="I2426"/>
      <c r="J2426" t="inlineStr">
        <is>
          <t>Project</t>
        </is>
      </c>
      <c r="K2426" t="inlineStr">
        <is>
          <t>PDEI - Game Marketing</t>
        </is>
      </c>
      <c r="L2426" t="inlineStr">
        <is>
          <t>PESO National Grassroots Program</t>
        </is>
      </c>
      <c r="M2426" t="inlineStr">
        <is>
          <t>2026TEG-P0089</t>
        </is>
      </c>
      <c r="N2426" t="inlineStr">
        <is>
          <t>Maura Aurel Atilano Yap</t>
        </is>
      </c>
      <c r="O2426" t="inlineStr">
        <is>
          <t>202604210004-Maura Aurel Atilano Yap-费用报销 - 副本 - 副本 - 副本-2026-04-21 02:17:32</t>
        </is>
      </c>
      <c r="P2426" t="inlineStr">
        <is>
          <t>YES</t>
        </is>
      </c>
      <c r="Q2426"/>
      <c r="R2426" t="inlineStr">
        <is>
          <t>NO</t>
        </is>
      </c>
      <c r="S2426" t="inlineStr">
        <is>
          <t>Outsourced Broadcast Associate</t>
        </is>
      </c>
      <c r="T2426">
        <v>1</v>
      </c>
      <c r="U2426">
        <v>4000</v>
      </c>
      <c r="V2426" t="inlineStr">
        <is>
          <t>PHP</t>
        </is>
      </c>
      <c r="W2426">
        <v>4000</v>
      </c>
      <c r="X2426" s="2" t="str">
        <f>=HYPERLINK("https://www.larksuite.com/approval/admin/previewAttachment?key=PMhBqgJBDATQK1Ul6VTnX-ZvHBqR6ZUg4yJnF1y4fTmJnIOehShaga10qmqERFhkWrU1pYKojD72-vd9nfscl-_HEt_9ut_W8eQomUEe4RMA_37uioiqDHwdnwAAAP__", "2 attachment(s)")</f>
        <v>2 attachment(s)</v>
      </c>
      <c r="Y2426" t="inlineStr">
        <is>
          <t>Bank Transfer</t>
        </is>
      </c>
      <c r="Z2426" t="inlineStr">
        <is>
          <t>John Benigno R. Magat</t>
        </is>
      </c>
      <c r="AA2426" t="inlineStr">
        <is>
          <t>046110005388</t>
        </is>
      </c>
      <c r="AB2426" t="inlineStr">
        <is>
          <t>PSBank</t>
        </is>
      </c>
      <c r="AC2426" t="inlineStr">
        <is>
          <t>228 Grissom st. Brgy Moonwalk Paranaque Metro Manila</t>
        </is>
      </c>
      <c r="AD2426" s="4">
        <v>46150</v>
      </c>
      <c r="AE2426" t="inlineStr">
        <is>
          <t>100% Full Payment - May 5, 2026</t>
        </is>
      </c>
      <c r="AF2426" s="2"/>
      <c r="AG2426" t="inlineStr">
        <is>
          <t>NzQyNTk5MTgyNzQ4MTg3MDM0MTpDRTg5RUYwNC02MTc3LTQ2NkYtOTE3Qi1GQTQyMDk2REI0MzMtMTo5MGNhYzA0NDVjZGI4NzRjMjJhNDIwMTIzOWU3MWI1NTox</t>
        </is>
      </c>
      <c r="AH2426" t="inlineStr">
        <is>
          <t>John Benigno R. Magat</t>
        </is>
      </c>
      <c r="AI2426"/>
      <c r="AJ2426" t="inlineStr">
        <is>
          <t>LIQUIDITY PLAN (PAR # 202604160044 / 2026TEG-P0089)
PROJECT PLANNING &gt; Manpower &gt;
Broadcast Associate
Total Budget = Php 4,000.00
Actual Cost = Php 4,000.00</t>
        </is>
      </c>
      <c r="AK2426"/>
    </row>
    <row r="2427" ht="25.5" customHeight="1">
      <c r="A2427" s="2" t="str">
        <f>=HYPERLINK("https://applink.larksuite.com/client/mini_program/open?appId=cli_9c7cc8a9a9edd105&amp;mode=appCenter&amp;path_pc=pc/pages/requested/index?instanceId=7631823659274866402&amp;source=bitable&amp;path=pages/detail/index?instanceId=7631823659274866402&amp;source=bitable", "202604230047")</f>
        <v>202604230047</v>
      </c>
      <c r="B2427" t="inlineStr">
        <is>
          <t>Approved</t>
        </is>
      </c>
      <c r="C2427" t="inlineStr">
        <is>
          <t>Procurement Order</t>
        </is>
      </c>
      <c r="D2427" s="3">
        <v>46135.56497685185</v>
      </c>
      <c r="E2427" s="3">
        <v>46139.59056712963</v>
      </c>
      <c r="F2427" t="inlineStr">
        <is>
          <t>Fatima Kathleen M. FLores</t>
        </is>
      </c>
      <c r="G2427" t="inlineStr">
        <is>
          <t>Procurement</t>
        </is>
      </c>
      <c r="H2427"/>
      <c r="I2427"/>
      <c r="J2427" t="inlineStr">
        <is>
          <t>Project</t>
        </is>
      </c>
      <c r="K2427" t="inlineStr">
        <is>
          <t>PDEI - Event Service</t>
        </is>
      </c>
      <c r="L2427" t="inlineStr">
        <is>
          <t>MPL PH S17</t>
        </is>
      </c>
      <c r="M2427" t="inlineStr">
        <is>
          <t>2026TEG-P0009</t>
        </is>
      </c>
      <c r="N2427" t="inlineStr">
        <is>
          <t>Katherine Denise Lee Sy</t>
        </is>
      </c>
      <c r="O2427" t="inlineStr">
        <is>
          <t>202604060029-Katherine Denise Lee Sy-费用报销 - 副本 - 副本 - 副本-2026-04-06 02:43:28</t>
        </is>
      </c>
      <c r="P2427" t="inlineStr">
        <is>
          <t>NO</t>
        </is>
      </c>
      <c r="Q2427"/>
      <c r="R2427" t="inlineStr">
        <is>
          <t>NO</t>
        </is>
      </c>
      <c r="S2427" t="inlineStr">
        <is>
          <t>Outsourced Logistics Services (Ingress) (Mar. 16, 2026) - Laguna to QC</t>
        </is>
      </c>
      <c r="T2427">
        <v>1</v>
      </c>
      <c r="U2427">
        <v>27840</v>
      </c>
      <c r="V2427" t="inlineStr">
        <is>
          <t>PHP</t>
        </is>
      </c>
      <c r="W2427">
        <v>27840</v>
      </c>
      <c r="X2427" s="2"/>
      <c r="Y2427" t="inlineStr">
        <is>
          <t>Bank Transfer</t>
        </is>
      </c>
      <c r="Z2427" t="inlineStr">
        <is>
          <t>Truckrentalph Transport Logistics Inc</t>
        </is>
      </c>
      <c r="AA2427" t="inlineStr">
        <is>
          <t>121-700-001-557</t>
        </is>
      </c>
      <c r="AB2427" t="inlineStr">
        <is>
          <t>Chinabank</t>
        </is>
      </c>
      <c r="AC2427" t="inlineStr">
        <is>
          <t>3878 Daffodil St., Sun Valley Parañaque</t>
        </is>
      </c>
      <c r="AD2427" s="4">
        <v>46143</v>
      </c>
      <c r="AE2427" t="inlineStr">
        <is>
          <t>100% Full Payment upon completion of services</t>
        </is>
      </c>
      <c r="AF2427" s="2"/>
      <c r="AG2427" t="inlineStr">
        <is>
          <t>NzQyNTk5MTgyNzQ4MTg3MDM0MTo5QzYxQTYzQS0yMzRCLTQ2REMtQUJBNi0zMkRFQzIxRDM1NzUtMTowYTY3MzEwMTZhNjEwYWRjYmM5NTI4MDYzYjhmZmFkNjox</t>
        </is>
      </c>
      <c r="AH2427" t="inlineStr">
        <is>
          <t>Truckrentalph Transport Logistics Inc.</t>
        </is>
      </c>
      <c r="AI2427"/>
      <c r="AJ2427" t="inlineStr">
        <is>
          <t>LIQUIDITY PLAN (PAR # 202602190021 / 2026TEG-P0009) - AS OF 031626
LOGISTICS &gt; Mobilization &gt;
Trucking and Delivery
Trucking and Delivery to Moonton Warehouse
PLAYOFFS SPECIFIC &gt; LOGISTICS &gt;
Mobilization &gt; Trucking and Delivery
Total Budget = Php 61,500.00
Actual Cost = Php 41,840.00
Balance = Php 20,020.00</t>
        </is>
      </c>
      <c r="AK2427"/>
    </row>
    <row r="2428" ht="25.5" customHeight="1">
      <c r="A2428" s="2" t="str">
        <f>=HYPERLINK("https://applink.larksuite.com/client/mini_program/open?appId=cli_9c7cc8a9a9edd105&amp;mode=appCenter&amp;path_pc=pc/pages/requested/index?instanceId=7631823659274866402&amp;source=bitable&amp;path=pages/detail/index?instanceId=7631823659274866402&amp;source=bitable", "202604230047")</f>
        <v>202604230047</v>
      </c>
      <c r="B2428" t="inlineStr">
        <is>
          <t>Approved</t>
        </is>
      </c>
      <c r="C2428" t="inlineStr">
        <is>
          <t>Procurement Order</t>
        </is>
      </c>
      <c r="D2428" s="3">
        <v>46135.56497685185</v>
      </c>
      <c r="E2428" s="3">
        <v>46139.59056712963</v>
      </c>
      <c r="F2428" t="inlineStr">
        <is>
          <t>Fatima Kathleen M. FLores</t>
        </is>
      </c>
      <c r="G2428" t="inlineStr">
        <is>
          <t>Procurement</t>
        </is>
      </c>
      <c r="H2428"/>
      <c r="I2428"/>
      <c r="J2428" t="inlineStr">
        <is>
          <t>Project</t>
        </is>
      </c>
      <c r="K2428" t="inlineStr">
        <is>
          <t>PDEI - Event Service</t>
        </is>
      </c>
      <c r="L2428" t="inlineStr">
        <is>
          <t>MPL PH S17</t>
        </is>
      </c>
      <c r="M2428" t="inlineStr">
        <is>
          <t>2026TEG-P0009</t>
        </is>
      </c>
      <c r="N2428" t="inlineStr">
        <is>
          <t>Katherine Denise Lee Sy</t>
        </is>
      </c>
      <c r="O2428" t="inlineStr">
        <is>
          <t>202604060029-Katherine Denise Lee Sy-费用报销 - 副本 - 副本 - 副本-2026-04-06 02:43:28</t>
        </is>
      </c>
      <c r="P2428" t="inlineStr">
        <is>
          <t>NO</t>
        </is>
      </c>
      <c r="Q2428"/>
      <c r="R2428" t="inlineStr">
        <is>
          <t>NO</t>
        </is>
      </c>
      <c r="S2428" t="inlineStr">
        <is>
          <t>Outsourced Logistics Services (Ingress) (Mar. 13 &amp; 14, 2026) - San Juan to QC</t>
        </is>
      </c>
      <c r="T2428">
        <v>1</v>
      </c>
      <c r="U2428">
        <v>14000</v>
      </c>
      <c r="V2428" t="inlineStr">
        <is>
          <t>PHP</t>
        </is>
      </c>
      <c r="W2428">
        <v>14000</v>
      </c>
      <c r="X2428" s="2" t="str">
        <f>=HYPERLINK("https://www.larksuite.com/approval/admin/previewAttachment?key=PMgxDsIwDAXQK_1v_9gxl2EhqlgyIbVi8NmRGLq-mETMQY-CilZgZzineYyy1IwQrK2ZWUhmqNc-nid3GXld-0tf3uf7dawPR6UZ0iWfAPi43VNSVQh_5y8AAP__", "3 attachment(s)")</f>
        <v>3 attachment(s)</v>
      </c>
      <c r="Y2428"/>
      <c r="Z2428"/>
      <c r="AA2428"/>
      <c r="AB2428"/>
      <c r="AC2428"/>
      <c r="AD2428" s="4"/>
      <c r="AE2428"/>
      <c r="AF2428" s="2"/>
      <c r="AG2428" t="inlineStr">
        <is>
          <t>NzQyNTk5MTgyNzQ4MTg3MDM0MTo5QzYxQTYzQS0yMzRCLTQ2REMtQUJBNi0zMkRFQzIxRDM1NzUtMjo1MTg3YjlmYTQzMmYwYjVhMWQzYzRmZjAzMWM0ZjhjYTox</t>
        </is>
      </c>
      <c r="AH2428"/>
      <c r="AI2428"/>
      <c r="AJ2428" t="inlineStr">
        <is>
          <t>LIQUIDITY PLAN (PAR # 202602190021 / 2026TEG-P0009) - AS OF 031626
LOGISTICS &gt; Mobilization &gt;
Trucking and Delivery
Trucking and Delivery to Moonton Warehouse
PLAYOFFS SPECIFIC &gt; LOGISTICS &gt;
Mobilization &gt; Trucking and Delivery
Total Budget = Php 61,500.00
Actual Cost = Php 41,840.00
Balance = Php 20,020.00</t>
        </is>
      </c>
      <c r="AK2428"/>
    </row>
    <row r="2429" ht="25.5" customHeight="1">
      <c r="A2429" s="2" t="str">
        <f>=HYPERLINK("https://applink.larksuite.com/client/mini_program/open?appId=cli_9c7cc8a9a9edd105&amp;mode=appCenter&amp;path_pc=pc/pages/requested/index?instanceId=7631405999210893026&amp;source=bitable&amp;path=pages/detail/index?instanceId=7631405999210893026&amp;source=bitable", "202604220008")</f>
        <v>202604220008</v>
      </c>
      <c r="B2429" t="inlineStr">
        <is>
          <t>Approved</t>
        </is>
      </c>
      <c r="C2429" t="inlineStr">
        <is>
          <t>Procurement Order</t>
        </is>
      </c>
      <c r="D2429" s="3">
        <v>46134.439467592594</v>
      </c>
      <c r="E2429" s="3">
        <v>46139.508726851855</v>
      </c>
      <c r="F2429" t="inlineStr">
        <is>
          <t>Fatima Kathleen M. FLores</t>
        </is>
      </c>
      <c r="G2429" t="inlineStr">
        <is>
          <t>Procurement</t>
        </is>
      </c>
      <c r="H2429"/>
      <c r="I2429"/>
      <c r="J2429" t="inlineStr">
        <is>
          <t>Project</t>
        </is>
      </c>
      <c r="K2429" t="inlineStr">
        <is>
          <t>PDEI - Game Marketing</t>
        </is>
      </c>
      <c r="L2429" t="inlineStr">
        <is>
          <t>SportsPlus MPBL Roadtrip Watchparty 2026</t>
        </is>
      </c>
      <c r="M2429" t="inlineStr">
        <is>
          <t>2026TEG-P0028</t>
        </is>
      </c>
      <c r="N2429" t="inlineStr">
        <is>
          <t>Kervin</t>
        </is>
      </c>
      <c r="O2429" t="inlineStr">
        <is>
          <t>202603260033-Kervin-费用报销 - 副本 - 副本 - 副本-2026-03-26 04:25:34</t>
        </is>
      </c>
      <c r="P2429" t="inlineStr">
        <is>
          <t>NO</t>
        </is>
      </c>
      <c r="Q2429"/>
      <c r="R2429" t="inlineStr">
        <is>
          <t>YES</t>
        </is>
      </c>
      <c r="S2429" t="inlineStr">
        <is>
          <t>Rental of Arcade Machine (Basketball) - Caloocan</t>
        </is>
      </c>
      <c r="T2429">
        <v>1</v>
      </c>
      <c r="U2429">
        <v>6000</v>
      </c>
      <c r="V2429" t="inlineStr">
        <is>
          <t>PHP</t>
        </is>
      </c>
      <c r="W2429">
        <v>6000</v>
      </c>
      <c r="X2429" s="2"/>
      <c r="Y2429" t="inlineStr">
        <is>
          <t>Bank Transfer</t>
        </is>
      </c>
      <c r="Z2429" t="inlineStr">
        <is>
          <t>Mirasol Yubia</t>
        </is>
      </c>
      <c r="AA2429" t="inlineStr">
        <is>
          <t>001571161951</t>
        </is>
      </c>
      <c r="AB2429" t="inlineStr">
        <is>
          <t>BDO</t>
        </is>
      </c>
      <c r="AC2429" t="inlineStr">
        <is>
          <t>1730 Santiago St., Quiricada, Manila</t>
        </is>
      </c>
      <c r="AD2429" s="4">
        <v>46129</v>
      </c>
      <c r="AE2429" t="inlineStr">
        <is>
          <t>50% Down Payment upon confirmation
50% Final Payment upon delivery of machines</t>
        </is>
      </c>
      <c r="AF2429" s="2" t="str">
        <f>=HYPERLINK("https://www.larksuite.com/approval/admin/previewAttachment?key=TMhLCgJBDATQK1V10knKy7iZZhA_MCAIs8jZBVduXxQRNWkhuDgEdobRMSUNomQY0aOZKSQzvNdrvx73rea5juV4no_Zn9u2rzejLOCa7hQAXv6chMrCfo5vAAAA__8", "4 attachment(s)")</f>
        <v>4 attachment(s)</v>
      </c>
      <c r="AG2429" t="inlineStr">
        <is>
          <t>NzQyNTk5MTgyNzQ4MTg3MDM0MTowRTMzMUY2OS0xNENELTRFQzktOTQ4Ny0zQkM4MkMzOTRDMzktMTpjMjc3ZmU1YTJmNmJkYWNlMGRiNDIzYjI2ZDljZTQ4NDox</t>
        </is>
      </c>
      <c r="AH2429" t="inlineStr">
        <is>
          <t>ARCADE RENTALS PHILIPPINES</t>
        </is>
      </c>
      <c r="AI2429"/>
      <c r="AJ2429" t="inlineStr">
        <is>
          <t>LIQUIDITY PLAN (PAR # 202603240070 / 2026TEG-P0028)
PRE-PURCHASED ITEMS &gt;
Arcade Basketball
Total Remaining Budget = Php 7,091.52
Actual Cost = Php 12,500.00
Balance = (Php 5,408.48) OVER BUDGET</t>
        </is>
      </c>
      <c r="AK2429"/>
    </row>
    <row r="2430" ht="25.5" customHeight="1">
      <c r="A2430" s="2" t="str">
        <f>=HYPERLINK("https://applink.larksuite.com/client/mini_program/open?appId=cli_9c7cc8a9a9edd105&amp;mode=appCenter&amp;path_pc=pc/pages/requested/index?instanceId=7631405999210893026&amp;source=bitable&amp;path=pages/detail/index?instanceId=7631405999210893026&amp;source=bitable", "202604220008")</f>
        <v>202604220008</v>
      </c>
      <c r="B2430" t="inlineStr">
        <is>
          <t>Approved</t>
        </is>
      </c>
      <c r="C2430" t="inlineStr">
        <is>
          <t>Procurement Order</t>
        </is>
      </c>
      <c r="D2430" s="3">
        <v>46134.439467592594</v>
      </c>
      <c r="E2430" s="3">
        <v>46139.508726851855</v>
      </c>
      <c r="F2430" t="inlineStr">
        <is>
          <t>Fatima Kathleen M. FLores</t>
        </is>
      </c>
      <c r="G2430" t="inlineStr">
        <is>
          <t>Procurement</t>
        </is>
      </c>
      <c r="H2430"/>
      <c r="I2430"/>
      <c r="J2430" t="inlineStr">
        <is>
          <t>Project</t>
        </is>
      </c>
      <c r="K2430" t="inlineStr">
        <is>
          <t>PDEI - Game Marketing</t>
        </is>
      </c>
      <c r="L2430" t="inlineStr">
        <is>
          <t>SportsPlus MPBL Roadtrip Watchparty 2026</t>
        </is>
      </c>
      <c r="M2430" t="inlineStr">
        <is>
          <t>2026TEG-P0028</t>
        </is>
      </c>
      <c r="N2430" t="inlineStr">
        <is>
          <t>Kervin</t>
        </is>
      </c>
      <c r="O2430" t="inlineStr">
        <is>
          <t>202603260033-Kervin-费用报销 - 副本 - 副本 - 副本-2026-03-26 04:25:34</t>
        </is>
      </c>
      <c r="P2430" t="inlineStr">
        <is>
          <t>NO</t>
        </is>
      </c>
      <c r="Q2430"/>
      <c r="R2430" t="inlineStr">
        <is>
          <t>YES</t>
        </is>
      </c>
      <c r="S2430" t="inlineStr">
        <is>
          <t>Rental of Arcade Machine (Basketball) - Pasig</t>
        </is>
      </c>
      <c r="T2430">
        <v>1</v>
      </c>
      <c r="U2430">
        <v>6500</v>
      </c>
      <c r="V2430" t="inlineStr">
        <is>
          <t>PHP</t>
        </is>
      </c>
      <c r="W2430">
        <v>6500</v>
      </c>
      <c r="X2430" s="2" t="str">
        <f>=HYPERLINK("https://www.larksuite.com/approval/admin/previewAttachment?key=PMhLCgJBDATQK1Ul6aTLy7iZZhA_MCAIs8jZBRduX04i56CnEKIJ7EpnYEgyYsph2dasEoqV0eu1X4_7Nse5jhV4no_Rn9u2rzeHygzlET4B8PJ3r4iQMvBzfgMAAP__", "2 attachment(s)")</f>
        <v>2 attachment(s)</v>
      </c>
      <c r="Y2430"/>
      <c r="Z2430"/>
      <c r="AA2430"/>
      <c r="AB2430"/>
      <c r="AC2430"/>
      <c r="AD2430" s="4"/>
      <c r="AE2430"/>
      <c r="AF2430" s="2"/>
      <c r="AG2430" t="inlineStr">
        <is>
          <t>NzQyNTk5MTgyNzQ4MTg3MDM0MTowRTMzMUY2OS0xNENELTRFQzktOTQ4Ny0zQkM4MkMzOTRDMzktMjoyNDA4N2MzMzgzMzhkMDRhYTJiMjcyNzE1MWZjNzZlMjox</t>
        </is>
      </c>
      <c r="AH2430"/>
      <c r="AI2430"/>
      <c r="AJ2430" t="inlineStr">
        <is>
          <t>LIQUIDITY PLAN (PAR # 202603240070 / 2026TEG-P0028)
PRE-PURCHASED ITEMS &gt;
Arcade Basketball
Total Remaining Budget = Php 7,091.52
Actual Cost = Php 12,500.00
Balance = (Php 5,408.48) OVER BUDGET</t>
        </is>
      </c>
      <c r="AK2430"/>
    </row>
    <row r="2431" ht="25.5" customHeight="1">
      <c r="A2431" s="2" t="str">
        <f>=HYPERLINK("https://applink.larksuite.com/client/mini_program/open?appId=cli_9c7cc8a9a9edd105&amp;mode=appCenter&amp;path_pc=pc/pages/requested/index?instanceId=7630688666374508254&amp;source=bitable&amp;path=pages/detail/index?instanceId=7630688666374508254&amp;source=bitable", "202604200040")</f>
        <v>202604200040</v>
      </c>
      <c r="B2431" t="inlineStr">
        <is>
          <t>Approved</t>
        </is>
      </c>
      <c r="C2431" t="inlineStr">
        <is>
          <t>Procurement Order</t>
        </is>
      </c>
      <c r="D2431" s="3">
        <v>46132.50640046296</v>
      </c>
      <c r="E2431" s="3">
        <v>46136.65252314815</v>
      </c>
      <c r="F2431" t="inlineStr">
        <is>
          <t>Fatima Kathleen M. FLores</t>
        </is>
      </c>
      <c r="G2431" t="inlineStr">
        <is>
          <t>Procurement</t>
        </is>
      </c>
      <c r="H2431"/>
      <c r="I2431"/>
      <c r="J2431" t="inlineStr">
        <is>
          <t>Project</t>
        </is>
      </c>
      <c r="K2431" t="inlineStr">
        <is>
          <t>PDEI - Game Marketing</t>
        </is>
      </c>
      <c r="L2431" t="inlineStr">
        <is>
          <t>SportsPlus MPBL Roadtrip Watchparty 2026</t>
        </is>
      </c>
      <c r="M2431" t="inlineStr">
        <is>
          <t>2026TEG-P0028</t>
        </is>
      </c>
      <c r="N2431" t="inlineStr">
        <is>
          <t>Kervin</t>
        </is>
      </c>
      <c r="O2431" t="inlineStr">
        <is>
          <t>202603260041-Kervin-费用报销 - 副本 - 副本 - 副本-2026-03-26 04:34:46</t>
        </is>
      </c>
      <c r="P2431" t="inlineStr">
        <is>
          <t>NO</t>
        </is>
      </c>
      <c r="Q2431"/>
      <c r="R2431" t="inlineStr">
        <is>
          <t>YES</t>
        </is>
      </c>
      <c r="S2431" t="inlineStr">
        <is>
          <t>DriFit Jersey (Full Sublimation)</t>
        </is>
      </c>
      <c r="T2431">
        <v>4</v>
      </c>
      <c r="U2431">
        <v>600</v>
      </c>
      <c r="V2431" t="inlineStr">
        <is>
          <t>PHP</t>
        </is>
      </c>
      <c r="W2431">
        <v>2400</v>
      </c>
      <c r="X2431" s="2" t="str">
        <f>=HYPERLINK("https://www.larksuite.com/approval/admin/previewAttachment?key=PMixDUIxDATQlc7x5WyzDA1fERSpkIJSZHYkCtqnNCi7uQosawU7IYcyJXmwI1vnacciCmEhnmuO-_AJyzV9vz577bOej3G9rVe0hnDSE4Dd_u5BskrEz_ENAAD__w", "2 attachment(s)")</f>
        <v>2 attachment(s)</v>
      </c>
      <c r="Y2431" t="inlineStr">
        <is>
          <t>Bank Transfer</t>
        </is>
      </c>
      <c r="Z2431" t="inlineStr">
        <is>
          <t>Gameville Corporation</t>
        </is>
      </c>
      <c r="AA2431" t="inlineStr">
        <is>
          <t>2401-0003-16</t>
        </is>
      </c>
      <c r="AB2431" t="inlineStr">
        <is>
          <t>BPI</t>
        </is>
      </c>
      <c r="AC2431" t="inlineStr">
        <is>
          <t>Blk 11 Lot 8 Maginoo St., Pag-ibig Homes, Brgy. San Andres, Cainta</t>
        </is>
      </c>
      <c r="AD2431" s="4">
        <v>46136</v>
      </c>
      <c r="AE2431" t="inlineStr">
        <is>
          <t>100% Full Payment</t>
        </is>
      </c>
      <c r="AF2431" s="2" t="str">
        <f>=HYPERLINK("https://www.larksuite.com/approval/admin/previewAttachment?key=TMixDUIxDATQle5i52yzDA1fERSpkIJSZHYkKtqnJJSdpoIXW4EnZFCmJAvvyNb9tMOIQjDk55rjPmyCuabt12evfdbzMa43lSZ4dXcWAN7-nESlyX6ObwAAAP__", "4 attachment(s)")</f>
        <v>4 attachment(s)</v>
      </c>
      <c r="AG2431" t="inlineStr">
        <is>
          <t>NzQyNTk5MTgyNzQ4MTg3MDM0MTo2OEZFMjEyNi0wMjAyLTQ5OTAtQkRGQi1FMzY5NDlCNEE0MjUtMTo5OGI0YzIyYTQyMzE4N2Q5ODdjMGJhMGJkNzljYjc2ZTox</t>
        </is>
      </c>
      <c r="AH2431" t="inlineStr">
        <is>
          <t>Gameville Corporation</t>
        </is>
      </c>
      <c r="AI2431"/>
      <c r="AJ2431" t="inlineStr">
        <is>
          <t>LIQUIDITY PLAN (PAR # 202603240070 / 2026TEG-P0028)
MERCH &gt;
Tote Bags
Towel
Stickers
Tshirt
Cap
LIQUIDITY PLAN (PAR # 202604060049 / 2026TEG-P0088)
Merchandise &gt;
Balloon Clapper (Printed)
Foldable Fans (Colored)
OVERALL BUDGET
Total Remaining Budget: (Php -2,532.41) NEGATIVE BUDGET
Actual Cost = Php 2,400.00
Balance = (Php 4,932.41) OVER BUDGET</t>
        </is>
      </c>
      <c r="AK2431"/>
    </row>
    <row r="2432" ht="25.5" customHeight="1">
      <c r="A2432" s="2" t="str">
        <f>=HYPERLINK("https://applink.larksuite.com/client/mini_program/open?appId=cli_9c7cc8a9a9edd105&amp;mode=appCenter&amp;path_pc=pc/pages/requested/index?instanceId=7631857570399014623&amp;source=bitable&amp;path=pages/detail/index?instanceId=7631857570399014623&amp;source=bitable", "202604230065")</f>
        <v>202604230065</v>
      </c>
      <c r="B2432" t="inlineStr">
        <is>
          <t>Approved</t>
        </is>
      </c>
      <c r="C2432" t="inlineStr">
        <is>
          <t>Procurement Order</t>
        </is>
      </c>
      <c r="D2432" s="3">
        <v>46135.65636574074</v>
      </c>
      <c r="E2432" s="3">
        <v>46140.550150462965</v>
      </c>
      <c r="F2432" t="inlineStr">
        <is>
          <t>Fatima Kathleen M. FLores</t>
        </is>
      </c>
      <c r="G2432" t="inlineStr">
        <is>
          <t>Procurement</t>
        </is>
      </c>
      <c r="H2432"/>
      <c r="I2432"/>
      <c r="J2432" t="inlineStr">
        <is>
          <t>GAE</t>
        </is>
      </c>
      <c r="K2432"/>
      <c r="L2432"/>
      <c r="M2432"/>
      <c r="N2432"/>
      <c r="O2432" t="inlineStr">
        <is>
          <t>202604010012-Madelyn Espanto-费用报销 - 副本 - 副本 - 副本-2026-04-01 03:53:06</t>
        </is>
      </c>
      <c r="P2432"/>
      <c r="Q2432" t="inlineStr">
        <is>
          <t>Mineski PH</t>
        </is>
      </c>
      <c r="R2432"/>
      <c r="S2432" t="inlineStr">
        <is>
          <t>Jobstreet Basic Subscription (30 days)</t>
        </is>
      </c>
      <c r="T2432">
        <v>1</v>
      </c>
      <c r="U2432">
        <v>9128</v>
      </c>
      <c r="V2432" t="inlineStr">
        <is>
          <t>PHP</t>
        </is>
      </c>
      <c r="W2432">
        <v>9128</v>
      </c>
      <c r="X2432" s="2" t="str">
        <f>=HYPERLINK("https://www.larksuite.com/approval/admin/previewAttachment?key=PMg9CsJQEATgK83-vJ03XsbGEIyaNIJosWcXLGy_moaaw6KElLlgzQqbg4MICZbl0d5GCjRW9rKv5_2jt2-PPG735Zhbv66XdXnaEN3ByIwJwE5_D2amVImf4xsAAP__", "2 attachment(s)")</f>
        <v>2 attachment(s)</v>
      </c>
      <c r="Y2432" t="inlineStr">
        <is>
          <t>Bank Transfer</t>
        </is>
      </c>
      <c r="Z2432" t="inlineStr">
        <is>
          <t>via credit card</t>
        </is>
      </c>
      <c r="AA2432" t="inlineStr">
        <is>
          <t>via credit card</t>
        </is>
      </c>
      <c r="AB2432" t="inlineStr">
        <is>
          <t>NA</t>
        </is>
      </c>
      <c r="AC2432" t="inlineStr">
        <is>
          <t>Uptown, 23rd Floor Alliance Global Tower, 36th Street, corner 11th Ave, Post Proper Northside, Taguig</t>
        </is>
      </c>
      <c r="AD2432" s="4">
        <v>46143</v>
      </c>
      <c r="AE2432" t="inlineStr">
        <is>
          <t>100% Full Payment</t>
        </is>
      </c>
      <c r="AF2432" s="2"/>
      <c r="AG2432" t="inlineStr">
        <is>
          <t>NzQyNTk5MTgyNzQ4MTg3MDM0MToyMDM3M0MxNy05NjU4LTQ2MDMtQUFCRS1BRDhDQzFEMjA5NTYtMTo2NjNmYjBmNTY4OTgzYjY5NzlmYTQzZTQ3MTI1YTNjZTox</t>
        </is>
      </c>
      <c r="AH2432" t="inlineStr">
        <is>
          <t>Jobstreet Philippines</t>
        </is>
      </c>
      <c r="AI2432"/>
      <c r="AJ2432"/>
      <c r="AK2432" t="inlineStr">
        <is>
          <t>Madelyn Espanto</t>
        </is>
      </c>
    </row>
    <row r="2433" ht="25.5" customHeight="1">
      <c r="A2433" s="2" t="str">
        <f>=HYPERLINK("https://applink.larksuite.com/client/mini_program/open?appId=cli_9c7cc8a9a9edd105&amp;mode=appCenter&amp;path_pc=pc/pages/requested/index?instanceId=7631855128215031515&amp;source=bitable&amp;path=pages/detail/index?instanceId=7631855128215031515&amp;source=bitable", "202604230061")</f>
        <v>202604230061</v>
      </c>
      <c r="B2433" t="inlineStr">
        <is>
          <t>Approved</t>
        </is>
      </c>
      <c r="C2433" t="inlineStr">
        <is>
          <t>Procurement Order</t>
        </is>
      </c>
      <c r="D2433" s="3">
        <v>46135.64978009259</v>
      </c>
      <c r="E2433" s="3">
        <v>46139.511782407404</v>
      </c>
      <c r="F2433" t="inlineStr">
        <is>
          <t>Fatima Kathleen M. FLores</t>
        </is>
      </c>
      <c r="G2433" t="inlineStr">
        <is>
          <t>Procurement</t>
        </is>
      </c>
      <c r="H2433"/>
      <c r="I2433"/>
      <c r="J2433" t="inlineStr">
        <is>
          <t>Project</t>
        </is>
      </c>
      <c r="K2433" t="inlineStr">
        <is>
          <t>PDEI - Game Marketing</t>
        </is>
      </c>
      <c r="L2433" t="inlineStr">
        <is>
          <t>SportsPlus MPBL Fan Zone Opening Day</t>
        </is>
      </c>
      <c r="M2433" t="inlineStr">
        <is>
          <t>2026TEG-P0088</t>
        </is>
      </c>
      <c r="N2433" t="inlineStr">
        <is>
          <t>Kervin</t>
        </is>
      </c>
      <c r="O2433" t="inlineStr">
        <is>
          <t>202604230046-Kervin-费用报销 - 副本 - 副本 - 副本-2026-04-23 05:33:16</t>
        </is>
      </c>
      <c r="P2433" t="inlineStr">
        <is>
          <t>YES</t>
        </is>
      </c>
      <c r="Q2433"/>
      <c r="R2433" t="inlineStr">
        <is>
          <t>NO</t>
        </is>
      </c>
      <c r="S2433" t="inlineStr">
        <is>
          <t>Outsourced Logistics Associate</t>
        </is>
      </c>
      <c r="T2433">
        <v>1</v>
      </c>
      <c r="U2433">
        <v>6000</v>
      </c>
      <c r="V2433" t="inlineStr">
        <is>
          <t>PHP</t>
        </is>
      </c>
      <c r="W2433">
        <v>6000</v>
      </c>
      <c r="X2433" s="2" t="str">
        <f>=HYPERLINK("https://www.larksuite.com/approval/admin/previewAttachment?key=PMg9igJBEAXgK71X_7WX2cRhELRFEBqTOrtgYPpFEVFOjYY1pcHJUJY7pYQOpdNHhpmNZIbNsc7_m9hj-7r303Wv9-zr5Txe9E4RpJppAeDfzzXNrDsMX8cnAAD__w", "2 attachment(s)")</f>
        <v>2 attachment(s)</v>
      </c>
      <c r="Y2433" t="inlineStr">
        <is>
          <t>Bank Transfer</t>
        </is>
      </c>
      <c r="Z2433" t="inlineStr">
        <is>
          <t>Rizel John Obong</t>
        </is>
      </c>
      <c r="AA2433" t="inlineStr">
        <is>
          <t>109328279479</t>
        </is>
      </c>
      <c r="AB2433" t="inlineStr">
        <is>
          <t>Unionbank</t>
        </is>
      </c>
      <c r="AC2433" t="inlineStr">
        <is>
          <t>Blk 1j Lot 31 Phase 3 E-1 Dagat Dagatan Caloocan City</t>
        </is>
      </c>
      <c r="AD2433" s="4">
        <v>46150</v>
      </c>
      <c r="AE2433" t="inlineStr">
        <is>
          <t>100% Full Payment - May 8, 2026</t>
        </is>
      </c>
      <c r="AF2433" s="2"/>
      <c r="AG2433" t="inlineStr">
        <is>
          <t>NzQyNTk5MTgyNzQ4MTg3MDM0MTo4ODZGRkJDNy1FMUJFLTQwNUItQjBGRC1EQkYxMkU4MDM3NUEtMToxMzIxNjYxZjhkOTU2OGQ4OTM3ZGJiZGU3NjcyNjUzYTox</t>
        </is>
      </c>
      <c r="AH2433" t="inlineStr">
        <is>
          <t>Rizel John Obong</t>
        </is>
      </c>
      <c r="AI2433"/>
      <c r="AJ2433" t="inlineStr">
        <is>
          <t>LIQUIDITY PLAN (PAR # 202604060049 / 2026TEG-P0088)                                                       
Manpower &gt;
Ingress Manpower
Egress Manpower
Logistics Manpower
Pop-Up Shot Manpower
Total Remaining Budget = Php 24,500.00
Actual Cost = Php 6,000.00
Balance = Php 18,500.00</t>
        </is>
      </c>
      <c r="AK2433"/>
    </row>
    <row r="2434" ht="25.5" customHeight="1">
      <c r="A2434" s="2" t="str">
        <f>=HYPERLINK("https://applink.larksuite.com/client/mini_program/open?appId=cli_9c7cc8a9a9edd105&amp;mode=appCenter&amp;path_pc=pc/pages/requested/index?instanceId=7631877433062379232&amp;source=bitable&amp;path=pages/detail/index?instanceId=7631877433062379232&amp;source=bitable", "202604230089")</f>
        <v>202604230089</v>
      </c>
      <c r="B2434" t="inlineStr">
        <is>
          <t>Approved</t>
        </is>
      </c>
      <c r="C2434" t="inlineStr">
        <is>
          <t>Procurement Order</t>
        </is>
      </c>
      <c r="D2434" s="3">
        <v>46135.70989583333</v>
      </c>
      <c r="E2434" s="3">
        <v>46139.48601851852</v>
      </c>
      <c r="F2434" t="inlineStr">
        <is>
          <t>Fatima Kathleen M. FLores</t>
        </is>
      </c>
      <c r="G2434" t="inlineStr">
        <is>
          <t>Procurement</t>
        </is>
      </c>
      <c r="H2434"/>
      <c r="I2434"/>
      <c r="J2434" t="inlineStr">
        <is>
          <t>Project</t>
        </is>
      </c>
      <c r="K2434" t="inlineStr">
        <is>
          <t>PDEI - Game Marketing</t>
        </is>
      </c>
      <c r="L2434" t="inlineStr">
        <is>
          <t>SportsPlus MPBL Roadtrip Watchparty 2026</t>
        </is>
      </c>
      <c r="M2434" t="inlineStr">
        <is>
          <t>2026TEG-P0028</t>
        </is>
      </c>
      <c r="N2434" t="inlineStr">
        <is>
          <t>Kervin</t>
        </is>
      </c>
      <c r="O2434" t="inlineStr">
        <is>
          <t>202603260050-Kervin-费用报销 - 副本 - 副本 - 副本-2026-03-26 04:45:50</t>
        </is>
      </c>
      <c r="P2434" t="inlineStr">
        <is>
          <t>YES</t>
        </is>
      </c>
      <c r="Q2434"/>
      <c r="R2434" t="inlineStr">
        <is>
          <t>NO</t>
        </is>
      </c>
      <c r="S2434" t="inlineStr">
        <is>
          <t>Outsourced Booth Manpower / Logistics (Caloocan, Pasig, Bulacan &amp; Batangas)</t>
        </is>
      </c>
      <c r="T2434">
        <v>1</v>
      </c>
      <c r="U2434">
        <v>8000</v>
      </c>
      <c r="V2434" t="inlineStr">
        <is>
          <t>PHP</t>
        </is>
      </c>
      <c r="W2434">
        <v>8000</v>
      </c>
      <c r="X2434" s="2" t="str">
        <f>=HYPERLINK("https://www.larksuite.com/approval/admin/previewAttachment?key=PMhBCsJQDATQK02SaebHy7jpp7ioIEgrLnJ2wUW3L4chx2KRBZZ5wVoZNiRGID1UHt7eJhVkSvZ8bvfje_K1T-1j_RzT-3ys23zbUnKHgowBwG6Xh0hWJfF3_AIAAP__", "2 attachment(s)")</f>
        <v>2 attachment(s)</v>
      </c>
      <c r="Y2434" t="inlineStr">
        <is>
          <t>Bank Transfer</t>
        </is>
      </c>
      <c r="Z2434" t="inlineStr">
        <is>
          <t>Edzel Jay Vesencio</t>
        </is>
      </c>
      <c r="AA2434" t="inlineStr">
        <is>
          <t>09499825404</t>
        </is>
      </c>
      <c r="AB2434" t="inlineStr">
        <is>
          <t>GCash</t>
        </is>
      </c>
      <c r="AC2434" t="inlineStr">
        <is>
          <t>30 Balubad St., Twin River Subdivision, Nangka, Marikina City</t>
        </is>
      </c>
      <c r="AD2434" s="4">
        <v>46150</v>
      </c>
      <c r="AE2434" t="inlineStr">
        <is>
          <t>1st Payment - May 8, 2026
Final Payment - May 15, 2026</t>
        </is>
      </c>
      <c r="AF2434" s="2"/>
      <c r="AG2434" t="inlineStr">
        <is>
          <t>NzQyNTk5MTgyNzQ4MTg3MDM0MTpGQjE5MkYzNS1CRkE3LTRFQjEtOThENy1BNzYyMkMzNTU3RDYtMTo2Nzc5NDA2NTUzYmM1NjJkYWE2ZTBjMmEyODVlYmJjMTox</t>
        </is>
      </c>
      <c r="AH2434" t="inlineStr">
        <is>
          <t>Edzel Jay Vesencio</t>
        </is>
      </c>
      <c r="AI2434"/>
      <c r="AJ2434" t="inlineStr">
        <is>
          <t>LIQUIDITY PLAN (PAR # 202603240070 / 2026TEG-P0028)
MANPOWER &gt; Booth Manpower
Total Remaining Budget = Php 46,000.00
Actual Cost = Php 8,000.00
Balance = Php 38,000.00</t>
        </is>
      </c>
      <c r="AK2434"/>
    </row>
    <row r="2435" ht="25.5" customHeight="1">
      <c r="A2435" s="2" t="str">
        <f>=HYPERLINK("https://applink.larksuite.com/client/mini_program/open?appId=cli_9c7cc8a9a9edd105&amp;mode=appCenter&amp;path_pc=pc/pages/requested/index?instanceId=7631881374693134046&amp;source=bitable&amp;path=pages/detail/index?instanceId=7631881374693134046&amp;source=bitable", "202604230094")</f>
        <v>202604230094</v>
      </c>
      <c r="B2435" t="inlineStr">
        <is>
          <t>Approved</t>
        </is>
      </c>
      <c r="C2435" t="inlineStr">
        <is>
          <t>Procurement Order</t>
        </is>
      </c>
      <c r="D2435" s="3">
        <v>46135.720509259256</v>
      </c>
      <c r="E2435" s="3">
        <v>46139.48761574074</v>
      </c>
      <c r="F2435" t="inlineStr">
        <is>
          <t>Fatima Kathleen M. FLores</t>
        </is>
      </c>
      <c r="G2435" t="inlineStr">
        <is>
          <t>Procurement</t>
        </is>
      </c>
      <c r="H2435"/>
      <c r="I2435"/>
      <c r="J2435" t="inlineStr">
        <is>
          <t>Project</t>
        </is>
      </c>
      <c r="K2435" t="inlineStr">
        <is>
          <t>PDEI - Game Marketing</t>
        </is>
      </c>
      <c r="L2435" t="inlineStr">
        <is>
          <t>SportsPlus MPBL Roadtrip Watchparty 2026</t>
        </is>
      </c>
      <c r="M2435" t="inlineStr">
        <is>
          <t>2026TEG-P0028</t>
        </is>
      </c>
      <c r="N2435" t="inlineStr">
        <is>
          <t>Kervin</t>
        </is>
      </c>
      <c r="O2435" t="inlineStr">
        <is>
          <t>202603260049-Kervin-费用报销 - 副本 - 副本 - 副本-2026-03-26 04:44:59</t>
        </is>
      </c>
      <c r="P2435" t="inlineStr">
        <is>
          <t>YES</t>
        </is>
      </c>
      <c r="Q2435"/>
      <c r="R2435" t="inlineStr">
        <is>
          <t>NO</t>
        </is>
      </c>
      <c r="S2435" t="inlineStr">
        <is>
          <t>Outsourced Brand Ambassador (Caloocan, Pasig, Bulacan &amp; Batangas)</t>
        </is>
      </c>
      <c r="T2435">
        <v>1</v>
      </c>
      <c r="U2435">
        <v>10000</v>
      </c>
      <c r="V2435" t="inlineStr">
        <is>
          <t>PHP</t>
        </is>
      </c>
      <c r="W2435">
        <v>10000</v>
      </c>
      <c r="X2435" s="2" t="str">
        <f>=HYPERLINK("https://www.larksuite.com/approval/admin/previewAttachment?key=PMhBCkIxDATQK80006TxMm5-KSIKglhXObvg4m-fD8JHp3lCyZZghRvHoIU8jSbIqxUjEsFw1Xyu66Pfj9W-Nvfan3zVvh1rvtkzWkOYZAMAL6dbSMp04e_4BQAA__8", "2 attachment(s)")</f>
        <v>2 attachment(s)</v>
      </c>
      <c r="Y2435" t="inlineStr">
        <is>
          <t>Bank Transfer</t>
        </is>
      </c>
      <c r="Z2435" t="inlineStr">
        <is>
          <t>Jasmine Dava</t>
        </is>
      </c>
      <c r="AA2435" t="inlineStr">
        <is>
          <t>09664084097</t>
        </is>
      </c>
      <c r="AB2435" t="inlineStr">
        <is>
          <t>GCash</t>
        </is>
      </c>
      <c r="AC2435" t="inlineStr">
        <is>
          <t>1559 1st st. Fabie Subdivision Paco, Manila</t>
        </is>
      </c>
      <c r="AD2435" s="4">
        <v>46150</v>
      </c>
      <c r="AE2435" t="inlineStr">
        <is>
          <t>1st Payment - May 8, 2026
Final Payment - May 15, 2026</t>
        </is>
      </c>
      <c r="AF2435" s="2"/>
      <c r="AG2435" t="inlineStr">
        <is>
          <t>NzQyNTk5MTgyNzQ4MTg3MDM0MTowRDQ2N0IxNC05RjA2LTRERTQtOTZENy1CRDg3ODE0MDVFQUUtMTphOTMwMmFkOThjYmIzM2QwM2U3Y2M0MTVlYjM1YmM5ODox</t>
        </is>
      </c>
      <c r="AH2435" t="inlineStr">
        <is>
          <t>Jasmine Dava</t>
        </is>
      </c>
      <c r="AI2435"/>
      <c r="AJ2435" t="inlineStr">
        <is>
          <t>LIQUIDITY PLAN (PAR # 202603240070 / 2026TEG-P0028)
MANPOWER &gt; Brand Ambassador
Total Remaining Budget = Php 77,500.00
Actual Cost = Php 10,000.00
Balance = Php 67,500.00</t>
        </is>
      </c>
      <c r="AK2435"/>
    </row>
    <row r="2436" ht="25.5" customHeight="1">
      <c r="A2436" s="2" t="str">
        <f>=HYPERLINK("https://applink.larksuite.com/client/mini_program/open?appId=cli_9c7cc8a9a9edd105&amp;mode=appCenter&amp;path_pc=pc/pages/requested/index?instanceId=7631879654315429599&amp;source=bitable&amp;path=pages/detail/index?instanceId=7631879654315429599&amp;source=bitable", "202604230093")</f>
        <v>202604230093</v>
      </c>
      <c r="B2436" t="inlineStr">
        <is>
          <t>Approved</t>
        </is>
      </c>
      <c r="C2436" t="inlineStr">
        <is>
          <t>Procurement Order</t>
        </is>
      </c>
      <c r="D2436" s="3">
        <v>46135.71587962963</v>
      </c>
      <c r="E2436" s="3">
        <v>46139.48866898148</v>
      </c>
      <c r="F2436" t="inlineStr">
        <is>
          <t>Fatima Kathleen M. FLores</t>
        </is>
      </c>
      <c r="G2436" t="inlineStr">
        <is>
          <t>Procurement</t>
        </is>
      </c>
      <c r="H2436"/>
      <c r="I2436"/>
      <c r="J2436" t="inlineStr">
        <is>
          <t>Project</t>
        </is>
      </c>
      <c r="K2436" t="inlineStr">
        <is>
          <t>PDEI - Game Marketing</t>
        </is>
      </c>
      <c r="L2436" t="inlineStr">
        <is>
          <t>SportsPlus MPBL Roadtrip Watchparty 2026</t>
        </is>
      </c>
      <c r="M2436" t="inlineStr">
        <is>
          <t>2026TEG-P0028</t>
        </is>
      </c>
      <c r="N2436" t="inlineStr">
        <is>
          <t>Kervin</t>
        </is>
      </c>
      <c r="O2436" t="inlineStr">
        <is>
          <t>202603260052-Kervin-费用报销 - 副本 - 副本 - 副本-2026-03-26 04:47:32</t>
        </is>
      </c>
      <c r="P2436" t="inlineStr">
        <is>
          <t>YES</t>
        </is>
      </c>
      <c r="Q2436"/>
      <c r="R2436" t="inlineStr">
        <is>
          <t>NO</t>
        </is>
      </c>
      <c r="S2436" t="inlineStr">
        <is>
          <t>Outsourced Logistics Associates (Caloocan, Pasig, Bulacan &amp; Batangas)</t>
        </is>
      </c>
      <c r="T2436">
        <v>1</v>
      </c>
      <c r="U2436">
        <v>27000</v>
      </c>
      <c r="V2436" t="inlineStr">
        <is>
          <t>PHP</t>
        </is>
      </c>
      <c r="W2436">
        <v>27000</v>
      </c>
      <c r="X2436" s="2" t="str">
        <f>=HYPERLINK("https://www.larksuite.com/approval/admin/previewAttachment?key=PMhBqoIxDATgK02aaZJ5l3mbvxQRlILgLmcXXLj9ogxR0zwEyoZgneFWqZh0mxyaUo-2TCEtg70e-__crzr0c2qvJ06_b9deL5vKMZBOegGwv597kpSC-Do-AQAA__8", "2 attachment(s)")</f>
        <v>2 attachment(s)</v>
      </c>
      <c r="Y2436" t="inlineStr">
        <is>
          <t>Bank Transfer</t>
        </is>
      </c>
      <c r="Z2436" t="inlineStr">
        <is>
          <t>Rizel John Obong</t>
        </is>
      </c>
      <c r="AA2436" t="inlineStr">
        <is>
          <t>109328279479</t>
        </is>
      </c>
      <c r="AB2436" t="inlineStr">
        <is>
          <t>Unionbank</t>
        </is>
      </c>
      <c r="AC2436" t="inlineStr">
        <is>
          <t>Blk 1j Lot 31 Phase 3 E-1 Dagat Dagatan Caloocan City</t>
        </is>
      </c>
      <c r="AD2436" s="4">
        <v>46150</v>
      </c>
      <c r="AE2436" t="inlineStr">
        <is>
          <t>1st Payment - May 8, 2026
Final Payment - May 15, 2026</t>
        </is>
      </c>
      <c r="AF2436" s="2"/>
      <c r="AG2436" t="inlineStr">
        <is>
          <t>NzQyNTk5MTgyNzQ4MTg3MDM0MToxNUQ2NjBEMS03QzkyLTQ3Q0UtOTIyRS0zM0RFQUZDNzUwM0ItMTpmM2UxNTVjMmVlNGE5ZmY2NmQ3OWM0YjhkYzc5NjRiODox</t>
        </is>
      </c>
      <c r="AH2436" t="inlineStr">
        <is>
          <t>Rizel John Obong</t>
        </is>
      </c>
      <c r="AI2436"/>
      <c r="AJ2436" t="inlineStr">
        <is>
          <t>LIQUIDITY PLAN (PAR # 202603240070 / 2026TEG-P0028)
MANPOWER &gt; Logistics
Total Remaining Budget = Php 135,000.00
Actual Cost = Php 27,000.00
Balance = Php 108,000.00</t>
        </is>
      </c>
      <c r="AK2436"/>
    </row>
    <row r="2437" ht="25.5" customHeight="1">
      <c r="A2437" s="2" t="str">
        <f>=HYPERLINK("https://applink.larksuite.com/client/mini_program/open?appId=cli_9c7cc8a9a9edd105&amp;mode=appCenter&amp;path_pc=pc/pages/requested/index?instanceId=7632143404461313760&amp;source=bitable&amp;path=pages/detail/index?instanceId=7632143404461313760&amp;source=bitable", "202604240005")</f>
        <v>202604240005</v>
      </c>
      <c r="B2437" t="inlineStr">
        <is>
          <t>Approved</t>
        </is>
      </c>
      <c r="C2437" t="inlineStr">
        <is>
          <t>Procurement Order</t>
        </is>
      </c>
      <c r="D2437" s="3">
        <v>46136.42663194444</v>
      </c>
      <c r="E2437" s="3">
        <v>46136.71574074074</v>
      </c>
      <c r="F2437" t="inlineStr">
        <is>
          <t>Fatima Kathleen M. FLores</t>
        </is>
      </c>
      <c r="G2437" t="inlineStr">
        <is>
          <t>Procurement</t>
        </is>
      </c>
      <c r="H2437"/>
      <c r="I2437"/>
      <c r="J2437" t="inlineStr">
        <is>
          <t>Project</t>
        </is>
      </c>
      <c r="K2437" t="inlineStr">
        <is>
          <t>PDEI - Game Marketing</t>
        </is>
      </c>
      <c r="L2437" t="inlineStr">
        <is>
          <t>Jobstreet Level Up v2</t>
        </is>
      </c>
      <c r="M2437" t="inlineStr">
        <is>
          <t>2025TEG-P0211</t>
        </is>
      </c>
      <c r="N2437" t="inlineStr">
        <is>
          <t>Maura Aurel Atilano Yap</t>
        </is>
      </c>
      <c r="O2437" t="inlineStr">
        <is>
          <t>202604140085-Maura Aurel Atilano Yap-费用报销 - 副本 - 副本 - 副本-2026-04-14 08:26:55</t>
        </is>
      </c>
      <c r="P2437" t="inlineStr">
        <is>
          <t>NO</t>
        </is>
      </c>
      <c r="Q2437"/>
      <c r="R2437" t="inlineStr">
        <is>
          <t>NO</t>
        </is>
      </c>
      <c r="S2437" t="inlineStr">
        <is>
          <t>7" Acrylic Trophies</t>
        </is>
      </c>
      <c r="T2437">
        <v>4</v>
      </c>
      <c r="U2437">
        <v>2800</v>
      </c>
      <c r="V2437" t="inlineStr">
        <is>
          <t>PHP</t>
        </is>
      </c>
      <c r="W2437">
        <v>11200</v>
      </c>
      <c r="X2437" s="2" t="str">
        <f>=HYPERLINK("https://www.larksuite.com/approval/admin/previewAttachment?key=PMgxCkJBDATQK80ks8nGy9j85SOsVoJikbMLFrYvJhFz0KOgohXYGW6UC1LQ6Rloa2YWkhnq9TivYyw_9rYP1n7fvV-341xPjkozpEs-AfDyd09JVSH8HN8AAAD__w", "2 attachment(s)")</f>
        <v>2 attachment(s)</v>
      </c>
      <c r="Y2437" t="inlineStr">
        <is>
          <t>Bank Transfer</t>
        </is>
      </c>
      <c r="Z2437" t="inlineStr">
        <is>
          <t>Dessiree P. Deceana</t>
        </is>
      </c>
      <c r="AA2437" t="inlineStr">
        <is>
          <t>1589509125</t>
        </is>
      </c>
      <c r="AB2437" t="inlineStr">
        <is>
          <t>BPI</t>
        </is>
      </c>
      <c r="AC2437" t="inlineStr">
        <is>
          <t>1761 CM Recto Sta. Cruz, Manila</t>
        </is>
      </c>
      <c r="AD2437" s="4">
        <v>46136</v>
      </c>
      <c r="AE2437" t="inlineStr">
        <is>
          <t>50% Down payment upon confirmation
50% Final Payment before delivery</t>
        </is>
      </c>
      <c r="AF2437" s="2" t="str">
        <f>=HYPERLINK("https://www.larksuite.com/approval/admin/previewAttachment?key=TMgxCkIxEATQK81kNrNZL2Pzw0eIVoJikbMLVrbPg_DolAtRbAXutBpDgQhTVBq7bWYWkunY83Fee5861mofzPW-a79uxzmf9JAR1SNYAHj5cxI1ZP0c3wAAAP__", "1 attachment(s)")</f>
        <v>1 attachment(s)</v>
      </c>
      <c r="AG2437" t="inlineStr">
        <is>
          <t>NzQyNTk5MTgyNzQ4MTg3MDM0MTo1QzhDRDE2OS1DRkU1LTQ0MkQtQkZDQy1GQUMwRjJEQjIzNzgtMTplMTYxZTkxNTU0ZmVlYmNlNGMxYmQyYThjOTMwYjU2ODox</t>
        </is>
      </c>
      <c r="AH2437" t="inlineStr">
        <is>
          <t>BYB Trophies Shop</t>
        </is>
      </c>
      <c r="AI2437"/>
      <c r="AJ2437" t="inlineStr">
        <is>
          <t>LIQUIDITY PLAN (PAR # 202511040070 / 2025TEG-P0211)
PRIZEPOOL &gt; Acrylic Trophies
Total Budget = Php 12,000.00
Actual Cost = Php 11,200.00
Balance = Php 800.00</t>
        </is>
      </c>
      <c r="AK2437"/>
    </row>
    <row r="2438" ht="25.5" customHeight="1">
      <c r="A2438" s="2" t="str">
        <f>=HYPERLINK("https://applink.larksuite.com/client/mini_program/open?appId=cli_9c7cc8a9a9edd105&amp;mode=appCenter&amp;path_pc=pc/pages/requested/index?instanceId=7632239637515325147&amp;source=bitable&amp;path=pages/detail/index?instanceId=7632239637515325147&amp;source=bitable", "202604240078")</f>
        <v>202604240078</v>
      </c>
      <c r="B2438" t="inlineStr">
        <is>
          <t>Approved</t>
        </is>
      </c>
      <c r="C2438" t="inlineStr">
        <is>
          <t>Procurement Order</t>
        </is>
      </c>
      <c r="D2438" s="3">
        <v>46136.685960648145</v>
      </c>
      <c r="E2438" s="3">
        <v>46139.74364583333</v>
      </c>
      <c r="F2438" t="inlineStr">
        <is>
          <t>Fatima Kathleen M. FLores</t>
        </is>
      </c>
      <c r="G2438" t="inlineStr">
        <is>
          <t>Procurement</t>
        </is>
      </c>
      <c r="H2438"/>
      <c r="I2438"/>
      <c r="J2438" t="inlineStr">
        <is>
          <t>Project</t>
        </is>
      </c>
      <c r="K2438" t="inlineStr">
        <is>
          <t>PDEI - Event Service</t>
        </is>
      </c>
      <c r="L2438" t="inlineStr">
        <is>
          <t>HOK Philippine Kings League - Fall Season</t>
        </is>
      </c>
      <c r="M2438" t="inlineStr">
        <is>
          <t>2025TEG-P0219</t>
        </is>
      </c>
      <c r="N2438" t="inlineStr">
        <is>
          <t>Frances Angelita Arreglado</t>
        </is>
      </c>
      <c r="O2438" t="inlineStr">
        <is>
          <t>202604230014-Frances Angelita Arreglado-费用报销 - 副本 - 副本 - 副本-2026-04-23 03:29:04</t>
        </is>
      </c>
      <c r="P2438" t="inlineStr">
        <is>
          <t>NO</t>
        </is>
      </c>
      <c r="Q2438"/>
      <c r="R2438" t="inlineStr">
        <is>
          <t>NO</t>
        </is>
      </c>
      <c r="S2438" t="inlineStr">
        <is>
          <t>Back-up Internet Line (Globe / Mar. 1 to 31, 2026)</t>
        </is>
      </c>
      <c r="T2438">
        <v>1</v>
      </c>
      <c r="U2438">
        <v>214396.72</v>
      </c>
      <c r="V2438" t="inlineStr">
        <is>
          <t>PHP</t>
        </is>
      </c>
      <c r="W2438">
        <v>214396.72</v>
      </c>
      <c r="X2438" s="2" t="str">
        <f>=HYPERLINK("https://www.larksuite.com/approval/admin/previewAttachment?key=PMg9igJBFATgK1W9v-q3l9lkmkFlBEEcMOizCwamXw2iRtKrEU1rcKnczLtcyXRLhpYtSg1RFWve9_8jb9vryvPge_ZjrvOy7fPJbJlBHuEDAP9-7oqI7gp8HZ8AAAD__w", "2 attachment(s)")</f>
        <v>2 attachment(s)</v>
      </c>
      <c r="Y2438" t="inlineStr">
        <is>
          <t>Check</t>
        </is>
      </c>
      <c r="Z2438" t="inlineStr">
        <is>
          <t>Innove Communications Inc.</t>
        </is>
      </c>
      <c r="AA2438" t="inlineStr">
        <is>
          <t>NA</t>
        </is>
      </c>
      <c r="AB2438" t="inlineStr">
        <is>
          <t>NA</t>
        </is>
      </c>
      <c r="AC2438" t="inlineStr">
        <is>
          <t>Taguig City</t>
        </is>
      </c>
      <c r="AD2438" s="4">
        <v>46142</v>
      </c>
      <c r="AE2438" t="inlineStr">
        <is>
          <t>100% Full Payment</t>
        </is>
      </c>
      <c r="AF2438" s="2"/>
      <c r="AG2438" t="inlineStr">
        <is>
          <t>NzQyNTk5MTgyNzQ4MTg3MDM0MToyRDcxRUFCOC04REQ1LTQyMkEtODc0OS1GRjBDMUE2NTIxNkYtMTphYjEyNmY4MWY0OWEwOWRlYjg5ODVmZTMyNzllMTA5MTox</t>
        </is>
      </c>
      <c r="AH2438" t="inlineStr">
        <is>
          <t>Innove Communications Inc.</t>
        </is>
      </c>
      <c r="AI2438"/>
      <c r="AJ2438" t="inlineStr">
        <is>
          <t>LIQUIDITY PLAN (PAR # 202508190134 / 2025TEG-P0219)
INTERNAL 0820 COST ESTIMATE &gt; 
PLAYOFFS &gt; Planning &amp; Management &gt;
NETWORK INFRASTRUCTURE &gt;
Internet (Main Line)
Internet (Back-up Line)
Total Budget = Php 235,000.00
Actual Cost = Php 214,396.72
Balance = Php 20,603.28</t>
        </is>
      </c>
      <c r="AK2438"/>
    </row>
    <row r="2439" ht="25.5" customHeight="1">
      <c r="A2439" s="2" t="str">
        <f>=HYPERLINK("https://applink.larksuite.com/client/mini_program/open?appId=cli_9c7cc8a9a9edd105&amp;mode=appCenter&amp;path_pc=pc/pages/requested/index?instanceId=7632243172711141088&amp;source=bitable&amp;path=pages/detail/index?instanceId=7632243172711141088&amp;source=bitable", "202604240081")</f>
        <v>202604240081</v>
      </c>
      <c r="B2439" t="inlineStr">
        <is>
          <t>Approved</t>
        </is>
      </c>
      <c r="C2439" t="inlineStr">
        <is>
          <t>Procurement Order</t>
        </is>
      </c>
      <c r="D2439" s="3">
        <v>46136.69548611111</v>
      </c>
      <c r="E2439" s="3">
        <v>46139.59164351852</v>
      </c>
      <c r="F2439" t="inlineStr">
        <is>
          <t>Fatima Kathleen M. FLores</t>
        </is>
      </c>
      <c r="G2439" t="inlineStr">
        <is>
          <t>Procurement</t>
        </is>
      </c>
      <c r="H2439"/>
      <c r="I2439"/>
      <c r="J2439" t="inlineStr">
        <is>
          <t>Project</t>
        </is>
      </c>
      <c r="K2439" t="inlineStr">
        <is>
          <t>PDEI - Event Service</t>
        </is>
      </c>
      <c r="L2439" t="inlineStr">
        <is>
          <t>MPL PH S17</t>
        </is>
      </c>
      <c r="M2439" t="inlineStr">
        <is>
          <t>2026TEG-P0009</t>
        </is>
      </c>
      <c r="N2439" t="inlineStr">
        <is>
          <t>Katherine Denise Lee Sy</t>
        </is>
      </c>
      <c r="O2439" t="inlineStr">
        <is>
          <t>202604240054-Katherine Denise Lee Sy-费用报销 - 副本 - 副本 - 副本-2026-04-24 07:03:25</t>
        </is>
      </c>
      <c r="P2439" t="inlineStr">
        <is>
          <t>NO</t>
        </is>
      </c>
      <c r="Q2439"/>
      <c r="R2439" t="inlineStr">
        <is>
          <t>NO</t>
        </is>
      </c>
      <c r="S2439" t="inlineStr">
        <is>
          <t>ENTERPRISE BROADBAND 500MBPS x2 TEMPO SERVICE FEE (May 21 to June 1, 2026)</t>
        </is>
      </c>
      <c r="T2439">
        <v>1</v>
      </c>
      <c r="U2439">
        <v>90000</v>
      </c>
      <c r="V2439" t="inlineStr">
        <is>
          <t>PHP</t>
        </is>
      </c>
      <c r="W2439">
        <v>90000</v>
      </c>
      <c r="X2439" s="2"/>
      <c r="Y2439" t="inlineStr">
        <is>
          <t>Bank Transfer</t>
        </is>
      </c>
      <c r="Z2439" t="inlineStr">
        <is>
          <t>PLDT</t>
        </is>
      </c>
      <c r="AA2439" t="inlineStr">
        <is>
          <t>on file</t>
        </is>
      </c>
      <c r="AB2439" t="inlineStr">
        <is>
          <t>on file</t>
        </is>
      </c>
      <c r="AC2439" t="inlineStr">
        <is>
          <t>Ramon Cojuangco Bldg., Makati Ave. cor. Dela Rosa St., Legazpi Village, Makati City</t>
        </is>
      </c>
      <c r="AD2439" s="4">
        <v>46142</v>
      </c>
      <c r="AE2439" t="inlineStr">
        <is>
          <t>100% Full Payment</t>
        </is>
      </c>
      <c r="AF2439" s="2"/>
      <c r="AG2439" t="inlineStr">
        <is>
          <t>NzQyNTk5MTgyNzQ4MTg3MDM0MTo2Njc5NTVCOS02OUJDLTRGMTQtQTM5Qi0zMTc5ODQ0RUIzQjgtMTo3Yzk3MTE4ZGE2OGQ5YzExZjgyM2Q0ZTJiNmY4ZDQwMTox</t>
        </is>
      </c>
      <c r="AH2439" t="inlineStr">
        <is>
          <t>PLDT</t>
        </is>
      </c>
      <c r="AI2439"/>
      <c r="AJ2439" t="inlineStr">
        <is>
          <t>LIQUIDITY PLAN (PAR # 202602190021 / 2026TEG-P0009) - AS OF 031626
PLAYOFFS SPECIFIC &gt; INTERNET &amp; NETWORKINGS &gt;
ISP Playoffs (PLDT)
Total Budget = Php 152,800.00
Actual Cost = Php 95,600.00
Balance = Php 57,200.00</t>
        </is>
      </c>
      <c r="AK2439"/>
    </row>
    <row r="2440" ht="25.5" customHeight="1">
      <c r="A2440" s="2" t="str">
        <f>=HYPERLINK("https://applink.larksuite.com/client/mini_program/open?appId=cli_9c7cc8a9a9edd105&amp;mode=appCenter&amp;path_pc=pc/pages/requested/index?instanceId=7632243172711141088&amp;source=bitable&amp;path=pages/detail/index?instanceId=7632243172711141088&amp;source=bitable", "202604240081")</f>
        <v>202604240081</v>
      </c>
      <c r="B2440" t="inlineStr">
        <is>
          <t>Approved</t>
        </is>
      </c>
      <c r="C2440" t="inlineStr">
        <is>
          <t>Procurement Order</t>
        </is>
      </c>
      <c r="D2440" s="3">
        <v>46136.69548611111</v>
      </c>
      <c r="E2440" s="3">
        <v>46139.59164351852</v>
      </c>
      <c r="F2440" t="inlineStr">
        <is>
          <t>Fatima Kathleen M. FLores</t>
        </is>
      </c>
      <c r="G2440" t="inlineStr">
        <is>
          <t>Procurement</t>
        </is>
      </c>
      <c r="H2440"/>
      <c r="I2440"/>
      <c r="J2440" t="inlineStr">
        <is>
          <t>Project</t>
        </is>
      </c>
      <c r="K2440" t="inlineStr">
        <is>
          <t>PDEI - Event Service</t>
        </is>
      </c>
      <c r="L2440" t="inlineStr">
        <is>
          <t>MPL PH S17</t>
        </is>
      </c>
      <c r="M2440" t="inlineStr">
        <is>
          <t>2026TEG-P0009</t>
        </is>
      </c>
      <c r="N2440" t="inlineStr">
        <is>
          <t>Katherine Denise Lee Sy</t>
        </is>
      </c>
      <c r="O2440" t="inlineStr">
        <is>
          <t>202604240054-Katherine Denise Lee Sy-费用报销 - 副本 - 副本 - 副本-2026-04-24 07:03:25</t>
        </is>
      </c>
      <c r="P2440" t="inlineStr">
        <is>
          <t>NO</t>
        </is>
      </c>
      <c r="Q2440"/>
      <c r="R2440" t="inlineStr">
        <is>
          <t>NO</t>
        </is>
      </c>
      <c r="S2440" t="inlineStr">
        <is>
          <t>BRIDGE MODE FEE</t>
        </is>
      </c>
      <c r="T2440">
        <v>1</v>
      </c>
      <c r="U2440">
        <v>5600</v>
      </c>
      <c r="V2440" t="inlineStr">
        <is>
          <t>PHP</t>
        </is>
      </c>
      <c r="W2440">
        <v>5600</v>
      </c>
      <c r="X2440" s="2" t="str">
        <f>=HYPERLINK("https://www.larksuite.com/approval/admin/previewAttachment?key=PMi7DQJBDATQlmbsWXtNMySsTvyOBAmRuHYkgktfTCLmoEdBRSuwM9xMzrQkKWLOtmZmIZmhXvt2_t4HblgvPW09du_P9bKtN0elGdIlnwB4OtxTUlUIf-cvAAD__w", "2 attachment(s)")</f>
        <v>2 attachment(s)</v>
      </c>
      <c r="Y2440"/>
      <c r="Z2440"/>
      <c r="AA2440"/>
      <c r="AB2440"/>
      <c r="AC2440"/>
      <c r="AD2440" s="4"/>
      <c r="AE2440"/>
      <c r="AF2440" s="2"/>
      <c r="AG2440" t="inlineStr">
        <is>
          <t>NzQyNTk5MTgyNzQ4MTg3MDM0MTo2Njc5NTVCOS02OUJDLTRGMTQtQTM5Qi0zMTc5ODQ0RUIzQjgtMjpkNTBjMWVkNmFhMmM4YzcyMDMwMDY1NzRjYjMwYjgwZTox</t>
        </is>
      </c>
      <c r="AH2440"/>
      <c r="AI2440"/>
      <c r="AJ2440" t="inlineStr">
        <is>
          <t>LIQUIDITY PLAN (PAR # 202602190021 / 2026TEG-P0009) - AS OF 031626
PLAYOFFS SPECIFIC &gt; INTERNET &amp; NETWORKINGS &gt;
ISP Playoffs (PLDT)
Total Budget = Php 152,800.00
Actual Cost = Php 95,600.00
Balance = Php 57,200.00</t>
        </is>
      </c>
      <c r="AK2440"/>
    </row>
    <row r="2441" ht="25.5" customHeight="1">
      <c r="A2441" s="2" t="str">
        <f>=HYPERLINK("https://applink.larksuite.com/client/mini_program/open?appId=cli_9c7cc8a9a9edd105&amp;mode=appCenter&amp;path_pc=pc/pages/requested/index?instanceId=7630761046864662236&amp;source=bitable&amp;path=pages/detail/index?instanceId=7630761046864662236&amp;source=bitable", "202604200107")</f>
        <v>202604200107</v>
      </c>
      <c r="B2441" t="inlineStr">
        <is>
          <t>Approved</t>
        </is>
      </c>
      <c r="C2441" t="inlineStr">
        <is>
          <t>Procurement Order</t>
        </is>
      </c>
      <c r="D2441" s="3">
        <v>46132.70145833334</v>
      </c>
      <c r="E2441" s="3">
        <v>46147.44248842593</v>
      </c>
      <c r="F2441" t="inlineStr">
        <is>
          <t>Fatima Kathleen M. FLores</t>
        </is>
      </c>
      <c r="G2441" t="inlineStr">
        <is>
          <t>Procurement</t>
        </is>
      </c>
      <c r="H2441"/>
      <c r="I2441"/>
      <c r="J2441" t="inlineStr">
        <is>
          <t>Project</t>
        </is>
      </c>
      <c r="K2441" t="inlineStr">
        <is>
          <t>GG - Event Service</t>
        </is>
      </c>
      <c r="L2441" t="inlineStr">
        <is>
          <t>Philippine Kings League Spring Season 2026 (PKL)</t>
        </is>
      </c>
      <c r="M2441" t="inlineStr">
        <is>
          <t>2026TEG-P0037</t>
        </is>
      </c>
      <c r="N2441" t="inlineStr">
        <is>
          <t>Frances Angelita Arreglado</t>
        </is>
      </c>
      <c r="O2441" t="inlineStr">
        <is>
          <t>202603260142-Frances Angelita Arreglado-费用报销 - 副本 - 副本 - 副本-2026-03-26 08:47:50</t>
        </is>
      </c>
      <c r="P2441" t="inlineStr">
        <is>
          <t>NO</t>
        </is>
      </c>
      <c r="Q2441"/>
      <c r="R2441" t="inlineStr">
        <is>
          <t>YES</t>
        </is>
      </c>
      <c r="S2441" t="inlineStr">
        <is>
          <t>Rental of Iwata Fans (Mar. 27 to 29, 2026)</t>
        </is>
      </c>
      <c r="T2441">
        <v>2</v>
      </c>
      <c r="U2441">
        <v>5040</v>
      </c>
      <c r="V2441" t="inlineStr">
        <is>
          <t>PHP</t>
        </is>
      </c>
      <c r="W2441">
        <v>10080</v>
      </c>
      <c r="X2441" s="2"/>
      <c r="Y2441" t="inlineStr">
        <is>
          <t>Bank Transfer</t>
        </is>
      </c>
      <c r="Z2441" t="inlineStr">
        <is>
          <t>SPE Events Mgt And Services Party Needs Rental</t>
        </is>
      </c>
      <c r="AA2441" t="inlineStr">
        <is>
          <t>141102017588</t>
        </is>
      </c>
      <c r="AB2441" t="inlineStr">
        <is>
          <t>China Bank Corporation</t>
        </is>
      </c>
      <c r="AC2441" t="inlineStr">
        <is>
          <t>10A St. Benedict St. Paradise Village Sangandaan Quezon City</t>
        </is>
      </c>
      <c r="AD2441" s="4">
        <v>46136</v>
      </c>
      <c r="AE2441" t="inlineStr">
        <is>
          <t>100% Full Payment</t>
        </is>
      </c>
      <c r="AF2441" s="2"/>
      <c r="AG2441" t="inlineStr">
        <is>
          <t>NzQyNTk5MTgyNzQ4MTg3MDM0MTpDMDIzQzY0Qy03QkU4LTQ1QUQtOENEQi01MDdDNzc5RTEyMTktMTo3MDIwZmFlNTlhODAzMWY4YzBlMzc4Zjk2MzQ4MmZkZDox</t>
        </is>
      </c>
      <c r="AH2441" t="inlineStr">
        <is>
          <t>SPE Events Mgt And Services Party Needs Rental</t>
        </is>
      </c>
      <c r="AI2441"/>
      <c r="AJ2441" t="inlineStr">
        <is>
          <t>No line item in internal CE. UNBUDGETED.</t>
        </is>
      </c>
      <c r="AK2441"/>
    </row>
    <row r="2442" ht="25.5" customHeight="1">
      <c r="A2442" s="2" t="str">
        <f>=HYPERLINK("https://applink.larksuite.com/client/mini_program/open?appId=cli_9c7cc8a9a9edd105&amp;mode=appCenter&amp;path_pc=pc/pages/requested/index?instanceId=7630761046864662236&amp;source=bitable&amp;path=pages/detail/index?instanceId=7630761046864662236&amp;source=bitable", "202604200107")</f>
        <v>202604200107</v>
      </c>
      <c r="B2442" t="inlineStr">
        <is>
          <t>Approved</t>
        </is>
      </c>
      <c r="C2442" t="inlineStr">
        <is>
          <t>Procurement Order</t>
        </is>
      </c>
      <c r="D2442" s="3">
        <v>46132.70145833334</v>
      </c>
      <c r="E2442" s="3">
        <v>46147.44248842593</v>
      </c>
      <c r="F2442" t="inlineStr">
        <is>
          <t>Fatima Kathleen M. FLores</t>
        </is>
      </c>
      <c r="G2442" t="inlineStr">
        <is>
          <t>Procurement</t>
        </is>
      </c>
      <c r="H2442"/>
      <c r="I2442"/>
      <c r="J2442" t="inlineStr">
        <is>
          <t>Project</t>
        </is>
      </c>
      <c r="K2442" t="inlineStr">
        <is>
          <t>GG - Event Service</t>
        </is>
      </c>
      <c r="L2442" t="inlineStr">
        <is>
          <t>Philippine Kings League Spring Season 2026 (PKL)</t>
        </is>
      </c>
      <c r="M2442" t="inlineStr">
        <is>
          <t>2026TEG-P0037</t>
        </is>
      </c>
      <c r="N2442" t="inlineStr">
        <is>
          <t>Frances Angelita Arreglado</t>
        </is>
      </c>
      <c r="O2442" t="inlineStr">
        <is>
          <t>202603260142-Frances Angelita Arreglado-费用报销 - 副本 - 副本 - 副本-2026-03-26 08:47:50</t>
        </is>
      </c>
      <c r="P2442" t="inlineStr">
        <is>
          <t>NO</t>
        </is>
      </c>
      <c r="Q2442"/>
      <c r="R2442" t="inlineStr">
        <is>
          <t>YES</t>
        </is>
      </c>
      <c r="S2442" t="inlineStr">
        <is>
          <t>Delivery Fee</t>
        </is>
      </c>
      <c r="T2442">
        <v>1</v>
      </c>
      <c r="U2442">
        <v>3360</v>
      </c>
      <c r="V2442" t="inlineStr">
        <is>
          <t>PHP</t>
        </is>
      </c>
      <c r="W2442">
        <v>3360</v>
      </c>
      <c r="X2442" s="2" t="str">
        <f>=HYPERLINK("https://www.larksuite.com/approval/admin/previewAttachment?key=PMgxqgJBEATQK1V111ZP_8v8xGUQZCJhNZmzCwamz4PwOJhuqBkN7nKiTMjDsiPSOzarGsWy9rnm_8WlNUe9zvdjzrWv-22eTx5dEaiUcgDg38-zJHVb-Do_AQAA__8", "2 attachment(s)")</f>
        <v>2 attachment(s)</v>
      </c>
      <c r="Y2442"/>
      <c r="Z2442"/>
      <c r="AA2442"/>
      <c r="AB2442"/>
      <c r="AC2442"/>
      <c r="AD2442" s="4"/>
      <c r="AE2442"/>
      <c r="AF2442" s="2"/>
      <c r="AG2442" t="inlineStr">
        <is>
          <t>NzQyNTk5MTgyNzQ4MTg3MDM0MTpDMDIzQzY0Qy03QkU4LTQ1QUQtOENEQi01MDdDNzc5RTEyMTktMjo3OGY4NDZmYzFjZjk2NWE1OThjMmI3MmUyYmUwMTQ0Mjox</t>
        </is>
      </c>
      <c r="AH2442"/>
      <c r="AI2442"/>
      <c r="AJ2442" t="inlineStr">
        <is>
          <t>No line item in internal CE. UNBUDGETED.</t>
        </is>
      </c>
      <c r="AK2442"/>
    </row>
    <row r="2443" ht="25.5" customHeight="1">
      <c r="A2443" s="2" t="str">
        <f>=HYPERLINK("https://applink.larksuite.com/client/mini_program/open?appId=cli_9c7cc8a9a9edd105&amp;mode=appCenter&amp;path_pc=pc/pages/requested/index?instanceId=7633734575893647074&amp;source=bitable&amp;path=pages/detail/index?instanceId=7633734575893647074&amp;source=bitable", "202604280104")</f>
        <v>202604280104</v>
      </c>
      <c r="B2443" t="inlineStr">
        <is>
          <t>Approved</t>
        </is>
      </c>
      <c r="C2443" t="inlineStr">
        <is>
          <t>Procurement Order</t>
        </is>
      </c>
      <c r="D2443" s="3">
        <v>46140.71451388889</v>
      </c>
      <c r="E2443" s="3">
        <v>46141.71046296296</v>
      </c>
      <c r="F2443" t="inlineStr">
        <is>
          <t>Fatima Kathleen M. FLores</t>
        </is>
      </c>
      <c r="G2443" t="inlineStr">
        <is>
          <t>Procurement</t>
        </is>
      </c>
      <c r="H2443"/>
      <c r="I2443"/>
      <c r="J2443" t="inlineStr">
        <is>
          <t>Project</t>
        </is>
      </c>
      <c r="K2443" t="inlineStr">
        <is>
          <t>PDEI - Game Marketing</t>
        </is>
      </c>
      <c r="L2443" t="inlineStr">
        <is>
          <t>SportsPlus MPBL Roadtrip Watchparty 2026</t>
        </is>
      </c>
      <c r="M2443" t="inlineStr">
        <is>
          <t>2026TEG-P0028</t>
        </is>
      </c>
      <c r="N2443" t="inlineStr">
        <is>
          <t>Kervin</t>
        </is>
      </c>
      <c r="O2443" t="inlineStr">
        <is>
          <t>202603260052-Kervin-费用报销 - 副本 - 副本 - 副本-2026-03-26 04:47:32</t>
        </is>
      </c>
      <c r="P2443" t="inlineStr">
        <is>
          <t>YES</t>
        </is>
      </c>
      <c r="Q2443"/>
      <c r="R2443" t="inlineStr">
        <is>
          <t>NO</t>
        </is>
      </c>
      <c r="S2443" t="inlineStr">
        <is>
          <t>Outsourced Logistics Associate (Pop-up Shot / Apr 27 &amp; 30 / Bulacan &amp; Batangas)</t>
        </is>
      </c>
      <c r="T2443">
        <v>1</v>
      </c>
      <c r="U2443">
        <v>4000</v>
      </c>
      <c r="V2443" t="inlineStr">
        <is>
          <t>PHP</t>
        </is>
      </c>
      <c r="W2443">
        <v>4000</v>
      </c>
      <c r="X2443" s="2" t="str">
        <f>=HYPERLINK("https://www.larksuite.com/approval/admin/previewAttachment?key=PMgxrsJADATQK43XY8_6X-Y3iVZARIWU0PjsSBS0L6chZ5hngWWjYK10lzMUszwpiD3apIJMyd6f6__iedzf49rWo45gn7dt7S-L0hiQkz4B2N_PXSSrkvg6PgEAAP__", "2 attachment(s)")</f>
        <v>2 attachment(s)</v>
      </c>
      <c r="Y2443" t="inlineStr">
        <is>
          <t>Bank Transfer</t>
        </is>
      </c>
      <c r="Z2443" t="inlineStr">
        <is>
          <t>Renzo E. Lacsamana</t>
        </is>
      </c>
      <c r="AA2443" t="inlineStr">
        <is>
          <t>109664387317</t>
        </is>
      </c>
      <c r="AB2443" t="inlineStr">
        <is>
          <t>Unionbank</t>
        </is>
      </c>
      <c r="AC2443" t="inlineStr">
        <is>
          <t>#19 Paris St. Greenland village Nangka, Marikina City</t>
        </is>
      </c>
      <c r="AD2443" s="4">
        <v>46164</v>
      </c>
      <c r="AE2443" t="inlineStr">
        <is>
          <t>100% Full Payment - May 22, 2026</t>
        </is>
      </c>
      <c r="AF2443" s="2"/>
      <c r="AG2443" t="inlineStr">
        <is>
          <t>NzQyNTk5MTgyNzQ4MTg3MDM0MTo5NDMwNUNGOS00MEY2LTQ0Q0ItQUU5OC02OEFEQjFGNDJEMEEtMTpjNWFjZjMxYjIwOGZmYjlkN2U5MWJkNTY1NjRkY2E1MTox</t>
        </is>
      </c>
      <c r="AH2443" t="inlineStr">
        <is>
          <t>Renzo E. Lacsamana</t>
        </is>
      </c>
      <c r="AI2443"/>
      <c r="AJ2443" t="inlineStr">
        <is>
          <t>LIQUIDITY PLAN (PAR # 202603240070 / 2026TEG-P0028)
MANPOWER &gt; Logistics
Total Remaining Budget = Php 100,600.00
Actual Cost = Php 4,000.00
Balance = Php 96,600.00</t>
        </is>
      </c>
      <c r="AK2443"/>
    </row>
    <row r="2444" ht="25.5" customHeight="1">
      <c r="A2444" s="2" t="str">
        <f>=HYPERLINK("https://applink.larksuite.com/client/mini_program/open?appId=cli_9c7cc8a9a9edd105&amp;mode=appCenter&amp;path_pc=pc/pages/requested/index?instanceId=7633733868142513893&amp;source=bitable&amp;path=pages/detail/index?instanceId=7633733868142513893&amp;source=bitable", "202604280102")</f>
        <v>202604280102</v>
      </c>
      <c r="B2444" t="inlineStr">
        <is>
          <t>Approved</t>
        </is>
      </c>
      <c r="C2444" t="inlineStr">
        <is>
          <t>Procurement Order</t>
        </is>
      </c>
      <c r="D2444" s="3">
        <v>46140.71261574074</v>
      </c>
      <c r="E2444" s="3">
        <v>46141.70956018518</v>
      </c>
      <c r="F2444" t="inlineStr">
        <is>
          <t>Fatima Kathleen M. FLores</t>
        </is>
      </c>
      <c r="G2444" t="inlineStr">
        <is>
          <t>Procurement</t>
        </is>
      </c>
      <c r="H2444"/>
      <c r="I2444"/>
      <c r="J2444" t="inlineStr">
        <is>
          <t>Project</t>
        </is>
      </c>
      <c r="K2444" t="inlineStr">
        <is>
          <t>PDEI - Game Marketing</t>
        </is>
      </c>
      <c r="L2444" t="inlineStr">
        <is>
          <t>SportsPlus MPBL Roadtrip Watchparty 2026</t>
        </is>
      </c>
      <c r="M2444" t="inlineStr">
        <is>
          <t>2026TEG-P0028</t>
        </is>
      </c>
      <c r="N2444" t="inlineStr">
        <is>
          <t>Kervin</t>
        </is>
      </c>
      <c r="O2444" t="inlineStr">
        <is>
          <t>202603260052-Kervin-费用报销 - 副本 - 副本 - 副本-2026-03-26 04:47:32</t>
        </is>
      </c>
      <c r="P2444" t="inlineStr">
        <is>
          <t>YES</t>
        </is>
      </c>
      <c r="Q2444"/>
      <c r="R2444" t="inlineStr">
        <is>
          <t>NO</t>
        </is>
      </c>
      <c r="S2444" t="inlineStr">
        <is>
          <t>Outsourced Logistics Associate (Pop-up Shot / Apr 27 &amp; 30 / Bulacan &amp; Batangas)</t>
        </is>
      </c>
      <c r="T2444">
        <v>1</v>
      </c>
      <c r="U2444">
        <v>4000</v>
      </c>
      <c r="V2444" t="inlineStr">
        <is>
          <t>PHP</t>
        </is>
      </c>
      <c r="W2444">
        <v>4000</v>
      </c>
      <c r="X2444" s="2" t="str">
        <f>=HYPERLINK("https://www.larksuite.com/approval/admin/previewAttachment?key=PMg7CgJBEATQK3V11fTHy5jsMoiiCMJqMmcXDExfFCxqgNGmhrdhZZBJVhTkA6zm8oXMtkSG1n6fZ_mxvTVveo5rPz7ruGxzf2F0ultSYpkZTn9nSuoO2c_tGwAA__8", "2 attachment(s)")</f>
        <v>2 attachment(s)</v>
      </c>
      <c r="Y2444" t="inlineStr">
        <is>
          <t>Bank Transfer</t>
        </is>
      </c>
      <c r="Z2444" t="inlineStr">
        <is>
          <t>Molines Lord JC</t>
        </is>
      </c>
      <c r="AA2444" t="inlineStr">
        <is>
          <t>00005 8448 372</t>
        </is>
      </c>
      <c r="AB2444" t="inlineStr">
        <is>
          <t>Security Bank</t>
        </is>
      </c>
      <c r="AC2444" t="inlineStr">
        <is>
          <t>B7 L11 Kingston St. Greenland Ph.1 Nangka Marikina City</t>
        </is>
      </c>
      <c r="AD2444" s="4">
        <v>46157</v>
      </c>
      <c r="AE2444" t="inlineStr">
        <is>
          <t>100% Full Payment - May 15, 2026</t>
        </is>
      </c>
      <c r="AF2444" s="2"/>
      <c r="AG2444" t="inlineStr">
        <is>
          <t>NzQyNTk5MTgyNzQ4MTg3MDM0MTpBQjZDODI0MS0yMUQ5LTQwQkQtQTJFNC0xMjlGNjk1QzU1MzQtMToxMjcxMDIxYTUxMmFkZDQ4MmUzYmIwN2EzODU4NjRhZjox</t>
        </is>
      </c>
      <c r="AH2444" t="inlineStr">
        <is>
          <t>Molines Lord JC</t>
        </is>
      </c>
      <c r="AI2444"/>
      <c r="AJ2444" t="inlineStr">
        <is>
          <t>LIQUIDITY PLAN (PAR # 202603240070 / 2026TEG-P0028)
MANPOWER &gt; Logistics
Total Remaining Budget = Php 104,600.00
Actual Cost = Php 4,000.00
Balance = Php 100,600.00</t>
        </is>
      </c>
      <c r="AK2444"/>
    </row>
    <row r="2445" ht="25.5" customHeight="1">
      <c r="A2445" s="2" t="str">
        <f>=HYPERLINK("https://applink.larksuite.com/client/mini_program/open?appId=cli_9c7cc8a9a9edd105&amp;mode=appCenter&amp;path_pc=pc/pages/requested/index?instanceId=7633732976429256421&amp;source=bitable&amp;path=pages/detail/index?instanceId=7633732976429256421&amp;source=bitable", "202604280100")</f>
        <v>202604280100</v>
      </c>
      <c r="B2445" t="inlineStr">
        <is>
          <t>Approved</t>
        </is>
      </c>
      <c r="C2445" t="inlineStr">
        <is>
          <t>Procurement Order</t>
        </is>
      </c>
      <c r="D2445" s="3">
        <v>46140.71020833333</v>
      </c>
      <c r="E2445" s="3">
        <v>46141.71145833333</v>
      </c>
      <c r="F2445" t="inlineStr">
        <is>
          <t>Fatima Kathleen M. FLores</t>
        </is>
      </c>
      <c r="G2445" t="inlineStr">
        <is>
          <t>Procurement</t>
        </is>
      </c>
      <c r="H2445"/>
      <c r="I2445"/>
      <c r="J2445" t="inlineStr">
        <is>
          <t>Project</t>
        </is>
      </c>
      <c r="K2445" t="inlineStr">
        <is>
          <t>PDEI - Game Marketing</t>
        </is>
      </c>
      <c r="L2445" t="inlineStr">
        <is>
          <t>SportsPlus MPBL Roadtrip Watchparty 2026</t>
        </is>
      </c>
      <c r="M2445" t="inlineStr">
        <is>
          <t>2026TEG-P0028</t>
        </is>
      </c>
      <c r="N2445" t="inlineStr">
        <is>
          <t>Kervin</t>
        </is>
      </c>
      <c r="O2445" t="inlineStr">
        <is>
          <t>202603260052-Kervin-费用报销 - 副本 - 副本 - 副本-2026-03-26 04:47:32</t>
        </is>
      </c>
      <c r="P2445" t="inlineStr">
        <is>
          <t>YES</t>
        </is>
      </c>
      <c r="Q2445"/>
      <c r="R2445" t="inlineStr">
        <is>
          <t>NO</t>
        </is>
      </c>
      <c r="S2445" t="inlineStr">
        <is>
          <t>Outsourced Logistics Associate (Pop-up Shot / Apr 25 /Pasig)</t>
        </is>
      </c>
      <c r="T2445">
        <v>1</v>
      </c>
      <c r="U2445">
        <v>1700</v>
      </c>
      <c r="V2445" t="inlineStr">
        <is>
          <t>PHP</t>
        </is>
      </c>
      <c r="W2445">
        <v>1700</v>
      </c>
      <c r="X2445" s="2" t="str">
        <f>=HYPERLINK("https://www.larksuite.com/approval/admin/previewAttachment?key=PMgxDsJQDAPQKzmJG39zGRaqCiRgQS0s_-xIDKyvR6DHEtUGHWnEVFep0mqmc2lmzJwhGQo15_rYzs-wPvd6axy3fcc8rpdtfcViZUJF1gAQp7-XSNpN_BzfAAAA__8", "2 attachment(s)")</f>
        <v>2 attachment(s)</v>
      </c>
      <c r="Y2445" t="inlineStr">
        <is>
          <t>Bank Transfer</t>
        </is>
      </c>
      <c r="Z2445" t="inlineStr">
        <is>
          <t>Von Aloysius To</t>
        </is>
      </c>
      <c r="AA2445" t="inlineStr">
        <is>
          <t>934105046804</t>
        </is>
      </c>
      <c r="AB2445" t="inlineStr">
        <is>
          <t>AUB (Hello Money)</t>
        </is>
      </c>
      <c r="AC2445" t="inlineStr">
        <is>
          <t>Blk10 Lot18 Phase-C Brgy.Mulawin Francisco Homes SJDM</t>
        </is>
      </c>
      <c r="AD2445" s="4">
        <v>46150</v>
      </c>
      <c r="AE2445" t="inlineStr">
        <is>
          <t>100% Full Payment - May 8, 2026</t>
        </is>
      </c>
      <c r="AF2445" s="2"/>
      <c r="AG2445" t="inlineStr">
        <is>
          <t>NzQyNTk5MTgyNzQ4MTg3MDM0MTowQ0U3ODI4RS0wOUY1LTRCMDItODkyNS0yMzVFQ0JENkVCNjItMTo1OTE5MDhhODc5NDc4ZmM2YjFhNDUwMmFmZDdhYzM5NDox</t>
        </is>
      </c>
      <c r="AH2445" t="inlineStr">
        <is>
          <t>Von Aloysius To</t>
        </is>
      </c>
      <c r="AI2445"/>
      <c r="AJ2445" t="inlineStr">
        <is>
          <t>LIQUIDITY PLAN (PAR # 202603240070 / 2026TEG-P0028)
MANPOWER &gt; Logistics
Total Remaining Budget = Php 106,000.00
Actual Cost = Php 1,700.00
Balance = Php 104,600.00</t>
        </is>
      </c>
      <c r="AK2445"/>
    </row>
    <row r="2446" ht="25.5" customHeight="1">
      <c r="A2446" s="2" t="str">
        <f>=HYPERLINK("https://applink.larksuite.com/client/mini_program/open?appId=cli_9c7cc8a9a9edd105&amp;mode=appCenter&amp;path_pc=pc/pages/requested/index?instanceId=7633731614121053919&amp;source=bitable&amp;path=pages/detail/index?instanceId=7633731614121053919&amp;source=bitable", "202604280097")</f>
        <v>202604280097</v>
      </c>
      <c r="B2446" t="inlineStr">
        <is>
          <t>Approved</t>
        </is>
      </c>
      <c r="C2446" t="inlineStr">
        <is>
          <t>Procurement Order</t>
        </is>
      </c>
      <c r="D2446" s="3">
        <v>46140.70653935185</v>
      </c>
      <c r="E2446" s="3">
        <v>46141.71209490741</v>
      </c>
      <c r="F2446" t="inlineStr">
        <is>
          <t>Fatima Kathleen M. FLores</t>
        </is>
      </c>
      <c r="G2446" t="inlineStr">
        <is>
          <t>Procurement</t>
        </is>
      </c>
      <c r="H2446"/>
      <c r="I2446"/>
      <c r="J2446" t="inlineStr">
        <is>
          <t>Project</t>
        </is>
      </c>
      <c r="K2446" t="inlineStr">
        <is>
          <t>PDEI - Game Marketing</t>
        </is>
      </c>
      <c r="L2446" t="inlineStr">
        <is>
          <t>SportsPlus MPBL Roadtrip Watchparty 2026</t>
        </is>
      </c>
      <c r="M2446" t="inlineStr">
        <is>
          <t>2026TEG-P0028</t>
        </is>
      </c>
      <c r="N2446" t="inlineStr">
        <is>
          <t>Kervin</t>
        </is>
      </c>
      <c r="O2446" t="inlineStr">
        <is>
          <t>202603260052-Kervin-费用报销 - 副本 - 副本 - 副本-2026-03-26 04:47:32</t>
        </is>
      </c>
      <c r="P2446" t="inlineStr">
        <is>
          <t>YES</t>
        </is>
      </c>
      <c r="Q2446"/>
      <c r="R2446" t="inlineStr">
        <is>
          <t>NO</t>
        </is>
      </c>
      <c r="S2446" t="inlineStr">
        <is>
          <t>Outsourced Logistics Associate (Pop-up Shote / Apr 25 /Pasig)</t>
        </is>
      </c>
      <c r="T2446">
        <v>1</v>
      </c>
      <c r="U2446">
        <v>1700</v>
      </c>
      <c r="V2446" t="inlineStr">
        <is>
          <t>PHP</t>
        </is>
      </c>
      <c r="W2446">
        <v>1700</v>
      </c>
      <c r="X2446" s="2" t="str">
        <f>=HYPERLINK("https://www.larksuite.com/approval/admin/previewAttachment?key=PMgxCgJBDAXQK_2fZJKJl7FxCC64IMgIFjm7YGH7fBI-B9UTlpQEO1w1lE6jEEOT2dKMSATDrddZ1_1ZOJ6TZz121dHv-63WiyNDBKFmOgHw8ncNM8t0w8_xDQAA__8", "2 attachment(s)")</f>
        <v>2 attachment(s)</v>
      </c>
      <c r="Y2446" t="inlineStr">
        <is>
          <t>Bank Transfer</t>
        </is>
      </c>
      <c r="Z2446" t="inlineStr">
        <is>
          <t>Benjamin Bucayu</t>
        </is>
      </c>
      <c r="AA2446" t="inlineStr">
        <is>
          <t>0930-579-9219</t>
        </is>
      </c>
      <c r="AB2446" t="inlineStr">
        <is>
          <t>GCash</t>
        </is>
      </c>
      <c r="AC2446" t="inlineStr">
        <is>
          <t>21 Edinburgh st., Greenland Subdivision Phase 1 Nangka, Marikina</t>
        </is>
      </c>
      <c r="AD2446" s="4">
        <v>46150</v>
      </c>
      <c r="AE2446" t="inlineStr">
        <is>
          <t>100% Full Payment - May 8, 2026</t>
        </is>
      </c>
      <c r="AF2446" s="2"/>
      <c r="AG2446" t="inlineStr">
        <is>
          <t>NzQyNTk5MTgyNzQ4MTg3MDM0MTo4QkRFNUNFQS03RkJELTQ5OUUtQTAzMy1BRTVDOTc0Qjk2M0QtMTo5YjdhZmI2NWE3MDJiMWE3ZjJkODc4YTkwODhmMTU2Mjox</t>
        </is>
      </c>
      <c r="AH2446" t="inlineStr">
        <is>
          <t>Benjamin Bucayu</t>
        </is>
      </c>
      <c r="AI2446"/>
      <c r="AJ2446" t="inlineStr">
        <is>
          <t>LIQUIDITY PLAN (PAR # 202603240070 / 2026TEG-P0028)
MANPOWER &gt; Logistics
Total Remaining Budget = Php 108,000.00
Actual Cost = Php 1,700.00
Balance = Php 106,300.00</t>
        </is>
      </c>
      <c r="AK2446"/>
    </row>
    <row r="2447" ht="25.5" customHeight="1">
      <c r="A2447" s="2" t="str">
        <f>=HYPERLINK("https://applink.larksuite.com/client/mini_program/open?appId=cli_9c7cc8a9a9edd105&amp;mode=appCenter&amp;path_pc=pc/pages/requested/index?instanceId=7633999842399309532&amp;source=bitable&amp;path=pages/detail/index?instanceId=7633999842399309532&amp;source=bitable", "202604290003")</f>
        <v>202604290003</v>
      </c>
      <c r="B2447" t="inlineStr">
        <is>
          <t>Under Review</t>
        </is>
      </c>
      <c r="C2447" t="inlineStr">
        <is>
          <t>Procurement Order</t>
        </is>
      </c>
      <c r="D2447" s="3">
        <v>46141.42936342592</v>
      </c>
      <c r="E2447" s="3"/>
      <c r="F2447" t="inlineStr">
        <is>
          <t>Fatima Kathleen M. FLores</t>
        </is>
      </c>
      <c r="G2447" t="inlineStr">
        <is>
          <t>Procurement</t>
        </is>
      </c>
      <c r="H2447" t="inlineStr">
        <is>
          <t>Dar</t>
        </is>
      </c>
      <c r="I2447" t="inlineStr">
        <is>
          <t>Approval</t>
        </is>
      </c>
      <c r="J2447" t="inlineStr">
        <is>
          <t>GAE</t>
        </is>
      </c>
      <c r="K2447"/>
      <c r="L2447"/>
      <c r="M2447"/>
      <c r="N2447"/>
      <c r="O2447" t="inlineStr">
        <is>
          <t>202604280095-Jean Pauline Dela Luna Dela Luna-费用报销 - 副本 - 副本 - 副本-2026-04-28 08:50:25</t>
        </is>
      </c>
      <c r="P2447"/>
      <c r="Q2447" t="inlineStr">
        <is>
          <t>Mineski PH</t>
        </is>
      </c>
      <c r="R2447"/>
      <c r="S2447" t="inlineStr">
        <is>
          <t>Roller Blinds (APEX, Finance, Procurement &amp; IT Rooms)</t>
        </is>
      </c>
      <c r="T2447">
        <v>1</v>
      </c>
      <c r="U2447">
        <v>68625</v>
      </c>
      <c r="V2447" t="inlineStr">
        <is>
          <t>PHP</t>
        </is>
      </c>
      <c r="W2447">
        <v>68625</v>
      </c>
      <c r="X2447" s="2" t="str">
        <f>=HYPERLINK("https://www.larksuite.com/approval/admin/previewAttachment?key=PMg7CsNADATQK42kWWknl0ljY8KCq0A-hc4eSOH25TTkHBYpUOaCdWWEpEkPKaAR3t5WJZRVsvfzuK_zG8Omfeq9La5-PbZjf9pQuaOCjAnAbpdHkZSS-Dt-AQAA__8", "2 attachment(s)")</f>
        <v>2 attachment(s)</v>
      </c>
      <c r="Y2447" t="inlineStr">
        <is>
          <t>Bank Transfer</t>
        </is>
      </c>
      <c r="Z2447" t="inlineStr">
        <is>
          <t>PANGILINAN FABRIC AND LEATHER SUPPLY</t>
        </is>
      </c>
      <c r="AA2447" t="inlineStr">
        <is>
          <t>011698004345</t>
        </is>
      </c>
      <c r="AB2447" t="inlineStr">
        <is>
          <t>BDO</t>
        </is>
      </c>
      <c r="AC2447" t="inlineStr">
        <is>
          <t>Unit 4 Redgold Bldg. Villa Classica Sumulong Hi-way, Mayamot, Antipolo Rizal</t>
        </is>
      </c>
      <c r="AD2447" s="4">
        <v>46150</v>
      </c>
      <c r="AE2447" t="inlineStr">
        <is>
          <t>50% Down Payment upon confirmation
50% Final Payment upon completion of services</t>
        </is>
      </c>
      <c r="AF2447" s="2"/>
      <c r="AG2447" t="inlineStr">
        <is>
          <t>NzQyNTk5MTgyNzQ4MTg3MDM0MTpEMzM1MkFBQy0xNDBDLTQwNTEtOUU3Mi0xMENGOTM4NjlBMDMtMTphMzk5ZGNmYjI5ZWQ0NDJjOTgyODU5Mzg5ZmY3MjEwZDox</t>
        </is>
      </c>
      <c r="AH2447" t="inlineStr">
        <is>
          <t>PANGILINAN FABRIC AND LEATHER SUPPLY</t>
        </is>
      </c>
      <c r="AI2447"/>
      <c r="AJ2447"/>
      <c r="AK2447" t="inlineStr">
        <is>
          <t>Jean Pauline Dela Luna Dela Luna</t>
        </is>
      </c>
    </row>
    <row r="2448" ht="25.5" customHeight="1">
      <c r="A2448" s="2" t="str">
        <f>=HYPERLINK("https://applink.larksuite.com/client/mini_program/open?appId=cli_9c7cc8a9a9edd105&amp;mode=appCenter&amp;path_pc=pc/pages/requested/index?instanceId=7634030042931646173&amp;source=bitable&amp;path=pages/detail/index?instanceId=7634030042931646173&amp;source=bitable", "202604290019")</f>
        <v>202604290019</v>
      </c>
      <c r="B2448" t="inlineStr">
        <is>
          <t>Approved</t>
        </is>
      </c>
      <c r="C2448" t="inlineStr">
        <is>
          <t>Procurement Order</t>
        </is>
      </c>
      <c r="D2448" s="3">
        <v>46141.51074074074</v>
      </c>
      <c r="E2448" s="3">
        <v>46141.719988425924</v>
      </c>
      <c r="F2448" t="inlineStr">
        <is>
          <t>Fatima Kathleen M. FLores</t>
        </is>
      </c>
      <c r="G2448" t="inlineStr">
        <is>
          <t>Procurement</t>
        </is>
      </c>
      <c r="H2448"/>
      <c r="I2448"/>
      <c r="J2448" t="inlineStr">
        <is>
          <t>Project</t>
        </is>
      </c>
      <c r="K2448" t="inlineStr">
        <is>
          <t>PDEI - Event Service</t>
        </is>
      </c>
      <c r="L2448" t="inlineStr">
        <is>
          <t>MPL PH S17</t>
        </is>
      </c>
      <c r="M2448" t="inlineStr">
        <is>
          <t>2026TEG-P0009</t>
        </is>
      </c>
      <c r="N2448" t="inlineStr">
        <is>
          <t>Katherine Denise Lee Sy</t>
        </is>
      </c>
      <c r="O2448" t="inlineStr">
        <is>
          <t>202604240090-Katherine Denise Lee Sy-费用报销 - 副本 - 副本 - 副本-2026-04-24 09:21:47</t>
        </is>
      </c>
      <c r="P2448" t="inlineStr">
        <is>
          <t>YES</t>
        </is>
      </c>
      <c r="Q2448"/>
      <c r="R2448" t="inlineStr">
        <is>
          <t>NO</t>
        </is>
      </c>
      <c r="S2448" t="inlineStr">
        <is>
          <t>Outsourced Logistics Associate (Event Days / Week 7)</t>
        </is>
      </c>
      <c r="T2448">
        <v>1</v>
      </c>
      <c r="U2448">
        <v>3450</v>
      </c>
      <c r="V2448" t="inlineStr">
        <is>
          <t>PHP</t>
        </is>
      </c>
      <c r="W2448">
        <v>3450</v>
      </c>
      <c r="X2448" s="2" t="str">
        <f>=HYPERLINK("https://www.larksuite.com/approval/admin/previewAttachment?key=PMgxCgJBDAXQK_2f_EkmXsbGYREXQZBVLHJ2wcL2xSRiDnoUVLQCO8MFB2TlDAXT25qZhWSGet23826s8T4e-zpun1S_rpdtPTkqzZAu-QTA0989JVWF8HN8AwAA__8", "2 attachment(s)")</f>
        <v>2 attachment(s)</v>
      </c>
      <c r="Y2448" t="inlineStr">
        <is>
          <t>Bank Transfer</t>
        </is>
      </c>
      <c r="Z2448" t="inlineStr">
        <is>
          <t>Arhies Arrozal</t>
        </is>
      </c>
      <c r="AA2448" t="inlineStr">
        <is>
          <t>109860702121</t>
        </is>
      </c>
      <c r="AB2448" t="inlineStr">
        <is>
          <t>Unionbank</t>
        </is>
      </c>
      <c r="AC2448" t="inlineStr">
        <is>
          <t>Blk 03 Lot 16 Cresdaville 2 Brgy San Juan Taytay Rizal</t>
        </is>
      </c>
      <c r="AD2448" s="4">
        <v>46164</v>
      </c>
      <c r="AE2448" t="inlineStr">
        <is>
          <t>100% Full Payment - May 22, 2026</t>
        </is>
      </c>
      <c r="AF2448" s="2"/>
      <c r="AG2448" t="inlineStr">
        <is>
          <t>NzQyNTk5MTgyNzQ4MTg3MDM0MTpBN0UyODhFMC1DMUY2LTQ4OTMtOTE2Qi04QzlCNDQzRjIwNjktMTo0MDY5ZWZlMzBlMzkzMTEzMTgxMDM5MTYzMjc4ZmI0NTox</t>
        </is>
      </c>
      <c r="AH2448" t="inlineStr">
        <is>
          <t>Arhies Arrozal</t>
        </is>
      </c>
      <c r="AI2448"/>
      <c r="AJ2448" t="inlineStr">
        <is>
          <t>LIQUIDITY PLAN (PAR # 202602190021 / 2026TEG-P0009) - AS OF 031626
MANPOWER &gt; Logistics &gt;
Ingress Manpower
Egress Manpower
Event Logistics Manpower
Total Remaining Budget = Php 82,800.00
Actual Cost = Php 3,450.00
Balance = Php 79,350.00</t>
        </is>
      </c>
      <c r="AK2448"/>
    </row>
    <row r="2449" ht="25.5" customHeight="1">
      <c r="A2449" s="2" t="str">
        <f>=HYPERLINK("https://applink.larksuite.com/client/mini_program/open?appId=cli_9c7cc8a9a9edd105&amp;mode=appCenter&amp;path_pc=pc/pages/requested/index?instanceId=7634031485292383966&amp;source=bitable&amp;path=pages/detail/index?instanceId=7634031485292383966&amp;source=bitable", "202604290021")</f>
        <v>202604290021</v>
      </c>
      <c r="B2449" t="inlineStr">
        <is>
          <t>Approved</t>
        </is>
      </c>
      <c r="C2449" t="inlineStr">
        <is>
          <t>Procurement Order</t>
        </is>
      </c>
      <c r="D2449" s="3">
        <v>46141.51462962963</v>
      </c>
      <c r="E2449" s="3">
        <v>46141.7196412037</v>
      </c>
      <c r="F2449" t="inlineStr">
        <is>
          <t>Fatima Kathleen M. FLores</t>
        </is>
      </c>
      <c r="G2449" t="inlineStr">
        <is>
          <t>Procurement</t>
        </is>
      </c>
      <c r="H2449"/>
      <c r="I2449"/>
      <c r="J2449" t="inlineStr">
        <is>
          <t>Project</t>
        </is>
      </c>
      <c r="K2449" t="inlineStr">
        <is>
          <t>PDEI - Event Service</t>
        </is>
      </c>
      <c r="L2449" t="inlineStr">
        <is>
          <t>MPL PH S17</t>
        </is>
      </c>
      <c r="M2449" t="inlineStr">
        <is>
          <t>2026TEG-P0009</t>
        </is>
      </c>
      <c r="N2449" t="inlineStr">
        <is>
          <t>Katherine Denise Lee Sy</t>
        </is>
      </c>
      <c r="O2449" t="inlineStr">
        <is>
          <t>202604240090-Katherine Denise Lee Sy-费用报销 - 副本 - 副本 - 副本-2026-04-24 09:21:47</t>
        </is>
      </c>
      <c r="P2449" t="inlineStr">
        <is>
          <t>YES</t>
        </is>
      </c>
      <c r="Q2449"/>
      <c r="R2449" t="inlineStr">
        <is>
          <t>NO</t>
        </is>
      </c>
      <c r="S2449" t="inlineStr">
        <is>
          <t>Outsourced Logistics Associate (Event Days / Week 8)</t>
        </is>
      </c>
      <c r="T2449">
        <v>1</v>
      </c>
      <c r="U2449">
        <v>3450</v>
      </c>
      <c r="V2449" t="inlineStr">
        <is>
          <t>PHP</t>
        </is>
      </c>
      <c r="W2449">
        <v>3450</v>
      </c>
      <c r="X2449" s="2" t="str">
        <f>=HYPERLINK("https://www.larksuite.com/approval/admin/previewAttachment?key=PMhBqgJBDATQK1WS6qTrX-ZvZmhUGBHEARc5u-DC7ctpyDksUqDMBevKIMI4h8tjhjLb26qEskr2fqx_-rndHi_F-7DrffV52db-tKFyRwUZE4D9_TyKpJTE1_EJAAD__w", "2 attachment(s)")</f>
        <v>2 attachment(s)</v>
      </c>
      <c r="Y2449" t="inlineStr">
        <is>
          <t>Bank Transfer</t>
        </is>
      </c>
      <c r="Z2449" t="inlineStr">
        <is>
          <t>Froilan Aboga</t>
        </is>
      </c>
      <c r="AA2449" t="inlineStr">
        <is>
          <t>09121533877</t>
        </is>
      </c>
      <c r="AB2449" t="inlineStr">
        <is>
          <t>GCash</t>
        </is>
      </c>
      <c r="AC2449" t="inlineStr">
        <is>
          <t>3854 F Nazario St. Brgy Singkamas Makati City</t>
        </is>
      </c>
      <c r="AD2449" s="4">
        <v>46171</v>
      </c>
      <c r="AE2449" t="inlineStr">
        <is>
          <t>100% Full Payment - May 29, 2026</t>
        </is>
      </c>
      <c r="AF2449" s="2"/>
      <c r="AG2449" t="inlineStr">
        <is>
          <t>NzQyNTk5MTgyNzQ4MTg3MDM0MTpENDU3MzYwRC1GOTNFLTRFNzMtQjk1MS04NjE3RDA5QkZGQkEtMTo0ZWUxODhkNDI4MDJmYTVlYzA0NjY0MTYyMmNiYzVhMTox</t>
        </is>
      </c>
      <c r="AH2449" t="inlineStr">
        <is>
          <t>Froilan Aboga</t>
        </is>
      </c>
      <c r="AI2449"/>
      <c r="AJ2449" t="inlineStr">
        <is>
          <t>LIQUIDITY PLAN (PAR # 202602190021 / 2026TEG-P0009) - AS OF 031626
MANPOWER &gt; Logistics &gt;
Ingress Manpower
Egress Manpower
Event Logistics Manpower
Total Remaining Budget = Php 79,350.00
Actual Cost = Php 3,450.00
Balance = Php 75,900.00</t>
        </is>
      </c>
      <c r="AK2449"/>
    </row>
    <row r="2450" ht="25.5" customHeight="1">
      <c r="A2450" s="2" t="str">
        <f>=HYPERLINK("https://applink.larksuite.com/client/mini_program/open?appId=cli_9c7cc8a9a9edd105&amp;mode=appCenter&amp;path_pc=pc/pages/requested/index?instanceId=7634056052689866459&amp;source=bitable&amp;path=pages/detail/index?instanceId=7634056052689866459&amp;source=bitable", "202604290037")</f>
        <v>202604290037</v>
      </c>
      <c r="B2450" t="inlineStr">
        <is>
          <t>Approved</t>
        </is>
      </c>
      <c r="C2450" t="inlineStr">
        <is>
          <t>Procurement Order</t>
        </is>
      </c>
      <c r="D2450" s="3">
        <v>46141.58083333333</v>
      </c>
      <c r="E2450" s="3">
        <v>46141.7265162037</v>
      </c>
      <c r="F2450" t="inlineStr">
        <is>
          <t>Fatima Kathleen M. FLores</t>
        </is>
      </c>
      <c r="G2450" t="inlineStr">
        <is>
          <t>Procurement</t>
        </is>
      </c>
      <c r="H2450"/>
      <c r="I2450"/>
      <c r="J2450" t="inlineStr">
        <is>
          <t>Project</t>
        </is>
      </c>
      <c r="K2450" t="inlineStr">
        <is>
          <t>PDEI - Event Service</t>
        </is>
      </c>
      <c r="L2450" t="inlineStr">
        <is>
          <t>MPL PH S17</t>
        </is>
      </c>
      <c r="M2450" t="inlineStr">
        <is>
          <t>2026TEG-P0009</t>
        </is>
      </c>
      <c r="N2450" t="inlineStr">
        <is>
          <t>Katherine Denise Lee Sy</t>
        </is>
      </c>
      <c r="O2450" t="inlineStr">
        <is>
          <t>202604240090-Katherine Denise Lee Sy-费用报销 - 副本 - 副本 - 副本-2026-04-24 09:21:47</t>
        </is>
      </c>
      <c r="P2450" t="inlineStr">
        <is>
          <t>YES</t>
        </is>
      </c>
      <c r="Q2450"/>
      <c r="R2450" t="inlineStr">
        <is>
          <t>NO</t>
        </is>
      </c>
      <c r="S2450" t="inlineStr">
        <is>
          <t>Outsourced Logistics Associate (Event Days / Week 5 &amp; 6)</t>
        </is>
      </c>
      <c r="T2450">
        <v>1</v>
      </c>
      <c r="U2450">
        <v>13800</v>
      </c>
      <c r="V2450" t="inlineStr">
        <is>
          <t>PHP</t>
        </is>
      </c>
      <c r="W2450">
        <v>13800</v>
      </c>
      <c r="X2450" s="2" t="str">
        <f>=HYPERLINK("https://www.larksuite.com/approval/admin/previewAttachment?key=PMhLCoIxDATgK02a6STxMm78KVIsCIKPRc8uuHD7KQ3Kbq4Cy1rBdsiJLvSmrJTYa7dtEYWwEPexxvk9V778M485buvu-3m9jONhvaI1hJOeAOz0dw-SVSJ-jm8AAAD__w", "2 attachment(s)")</f>
        <v>2 attachment(s)</v>
      </c>
      <c r="Y2450" t="inlineStr">
        <is>
          <t>Bank Transfer</t>
        </is>
      </c>
      <c r="Z2450" t="inlineStr">
        <is>
          <t>RIC JACA</t>
        </is>
      </c>
      <c r="AA2450" t="inlineStr">
        <is>
          <t>109332038874</t>
        </is>
      </c>
      <c r="AB2450" t="inlineStr">
        <is>
          <t>Unionbank</t>
        </is>
      </c>
      <c r="AC2450" t="inlineStr">
        <is>
          <t>321 Sitio Langhaya Brgy. Dela Paz Antipolo Rizal</t>
        </is>
      </c>
      <c r="AD2450" s="4">
        <v>46150</v>
      </c>
      <c r="AE2450" t="inlineStr">
        <is>
          <t>1st Payment - May 8, 2026
Final Payment - May 15, 2026</t>
        </is>
      </c>
      <c r="AF2450" s="2"/>
      <c r="AG2450" t="inlineStr">
        <is>
          <t>NzQyNTk5MTgyNzQ4MTg3MDM0MTo0OEFERDBEQi1BOTU1LTRBODQtOTFDMC1CNTc4OTU4MjA3RDItMTphYzI5NzlmZTk3Y2IyNzMyYWI5Mjc5ZTA2NzhjYmNmNzox</t>
        </is>
      </c>
      <c r="AH2450" t="inlineStr">
        <is>
          <t>RIC JACA</t>
        </is>
      </c>
      <c r="AI2450"/>
      <c r="AJ2450" t="inlineStr">
        <is>
          <t>LIQUIDITY PLAN (PAR # 202602190021 / 2026TEG-P0009) - AS OF 031626
MANPOWER &gt; Logistics &gt;
Ingress Manpower
Egress Manpower
Event Logistics Manpower
Total Remaining Budget = Php 75,900.00
Actual Cost = Php 13,800.00
Balance = Php 62,100.00</t>
        </is>
      </c>
      <c r="AK2450"/>
    </row>
    <row r="2451" ht="25.5" customHeight="1">
      <c r="A2451" s="2" t="str">
        <f>=HYPERLINK("https://applink.larksuite.com/client/mini_program/open?appId=cli_9c7cc8a9a9edd105&amp;mode=appCenter&amp;path_pc=pc/pages/requested/index?instanceId=7634056874735816414&amp;source=bitable&amp;path=pages/detail/index?instanceId=7634056874735816414&amp;source=bitable", "202604290038")</f>
        <v>202604290038</v>
      </c>
      <c r="B2451" t="inlineStr">
        <is>
          <t>Approved</t>
        </is>
      </c>
      <c r="C2451" t="inlineStr">
        <is>
          <t>Procurement Order</t>
        </is>
      </c>
      <c r="D2451" s="3">
        <v>46141.58305555556</v>
      </c>
      <c r="E2451" s="3">
        <v>46141.720601851855</v>
      </c>
      <c r="F2451" t="inlineStr">
        <is>
          <t>Fatima Kathleen M. FLores</t>
        </is>
      </c>
      <c r="G2451" t="inlineStr">
        <is>
          <t>Procurement</t>
        </is>
      </c>
      <c r="H2451"/>
      <c r="I2451"/>
      <c r="J2451" t="inlineStr">
        <is>
          <t>Project</t>
        </is>
      </c>
      <c r="K2451" t="inlineStr">
        <is>
          <t>PDEI - Event Service</t>
        </is>
      </c>
      <c r="L2451" t="inlineStr">
        <is>
          <t>MPL PH S17</t>
        </is>
      </c>
      <c r="M2451" t="inlineStr">
        <is>
          <t>2026TEG-P0009</t>
        </is>
      </c>
      <c r="N2451" t="inlineStr">
        <is>
          <t>Katherine Denise Lee Sy</t>
        </is>
      </c>
      <c r="O2451" t="inlineStr">
        <is>
          <t>202604240090-Katherine Denise Lee Sy-费用报销 - 副本 - 副本 - 副本-2026-04-24 09:21:47</t>
        </is>
      </c>
      <c r="P2451" t="inlineStr">
        <is>
          <t>YES</t>
        </is>
      </c>
      <c r="Q2451"/>
      <c r="R2451" t="inlineStr">
        <is>
          <t>NO</t>
        </is>
      </c>
      <c r="S2451" t="inlineStr">
        <is>
          <t>Outsourced Logistics Associate (Event Days / Week 7 &amp; 8)</t>
        </is>
      </c>
      <c r="T2451">
        <v>1</v>
      </c>
      <c r="U2451">
        <v>6900</v>
      </c>
      <c r="V2451" t="inlineStr">
        <is>
          <t>PHP</t>
        </is>
      </c>
      <c r="W2451">
        <v>6900</v>
      </c>
      <c r="X2451" s="2" t="str">
        <f>=HYPERLINK("https://www.larksuite.com/approval/admin/previewAttachment?key=PMgxCgJRDATQK838zM8kXsZml0VRK0Gx-GcXLGxfFpE1GdlQczS4nCHMLMsxiylqjUW7YTq19sdxpoOf2q7HvL-3W63XZTv2J2d7DDikKAA8_T0sqTuFn-MbAAD__w", "2 attachment(s)")</f>
        <v>2 attachment(s)</v>
      </c>
      <c r="Y2451" t="inlineStr">
        <is>
          <t>Bank Transfer</t>
        </is>
      </c>
      <c r="Z2451" t="inlineStr">
        <is>
          <t>Von Aloysius To</t>
        </is>
      </c>
      <c r="AA2451" t="inlineStr">
        <is>
          <t>934105046804</t>
        </is>
      </c>
      <c r="AB2451" t="inlineStr">
        <is>
          <t>AUB (Hello Money)</t>
        </is>
      </c>
      <c r="AC2451" t="inlineStr">
        <is>
          <t>Blk10 Lot18 Phase-C Brgy. Mulawin Francisco Homes SJDM</t>
        </is>
      </c>
      <c r="AD2451" s="4">
        <v>46164</v>
      </c>
      <c r="AE2451" t="inlineStr">
        <is>
          <t>1st Payment - May 22, 2026
Final Payment - May 29, 2026</t>
        </is>
      </c>
      <c r="AF2451" s="2"/>
      <c r="AG2451" t="inlineStr">
        <is>
          <t>NzQyNTk5MTgyNzQ4MTg3MDM0MTpCOTkxNTI2Mi00NEYyLTQxQTMtOUVBNS05QjQ1ODE2NTQ4QzItMTpjNTNkYjljMjExM2Q4MzgzMzUxN2VlNDU4MWEzMDZkNDox</t>
        </is>
      </c>
      <c r="AH2451" t="inlineStr">
        <is>
          <t>Von Aloysius To</t>
        </is>
      </c>
      <c r="AI2451"/>
      <c r="AJ2451" t="inlineStr">
        <is>
          <t>LIQUIDITY PLAN (PAR # 202602190021 / 2026TEG-P0009) - AS OF 031626
MANPOWER &gt; Logistics &gt;
Ingress Manpower
Egress Manpower
Event Logistics Manpower
Total Remaining Budget = Php 62,100.00
Actual Cost = Php 6,900.00
Balance = Php 55,200.00</t>
        </is>
      </c>
      <c r="AK2451"/>
    </row>
    <row r="2452" ht="25.5" customHeight="1">
      <c r="A2452" s="2" t="str">
        <f>=HYPERLINK("https://applink.larksuite.com/client/mini_program/open?appId=cli_9c7cc8a9a9edd105&amp;mode=appCenter&amp;path_pc=pc/pages/requested/index?instanceId=7633370252859936480&amp;source=bitable&amp;path=pages/detail/index?instanceId=7633370252859936480&amp;source=bitable", "202604270101")</f>
        <v>202604270101</v>
      </c>
      <c r="B2452" t="inlineStr">
        <is>
          <t>Approved</t>
        </is>
      </c>
      <c r="C2452" t="inlineStr">
        <is>
          <t>Procurement Order</t>
        </is>
      </c>
      <c r="D2452" s="3">
        <v>46139.73274305555</v>
      </c>
      <c r="E2452" s="3">
        <v>46147.429085648146</v>
      </c>
      <c r="F2452" t="inlineStr">
        <is>
          <t>Fatima Kathleen M. FLores</t>
        </is>
      </c>
      <c r="G2452" t="inlineStr">
        <is>
          <t>Procurement</t>
        </is>
      </c>
      <c r="H2452"/>
      <c r="I2452"/>
      <c r="J2452" t="inlineStr">
        <is>
          <t>Project</t>
        </is>
      </c>
      <c r="K2452" t="inlineStr">
        <is>
          <t>PDEI - Game Marketing</t>
        </is>
      </c>
      <c r="L2452" t="inlineStr">
        <is>
          <t>SportsPlus MPBL Roadtrip Watchparty 2026</t>
        </is>
      </c>
      <c r="M2452" t="inlineStr">
        <is>
          <t>2026TEG-P0028</t>
        </is>
      </c>
      <c r="N2452" t="inlineStr">
        <is>
          <t>Kervin</t>
        </is>
      </c>
      <c r="O2452" t="inlineStr">
        <is>
          <t>202603260033-Kervin-费用报销 - 副本 - 副本 - 副本-2026-03-26 04:25:34</t>
        </is>
      </c>
      <c r="P2452" t="inlineStr">
        <is>
          <t>NO</t>
        </is>
      </c>
      <c r="Q2452"/>
      <c r="R2452" t="inlineStr">
        <is>
          <t>YES</t>
        </is>
      </c>
      <c r="S2452" t="inlineStr">
        <is>
          <t>Rental of Arcade Machine (Basketball) - SJDM, Bulacan</t>
        </is>
      </c>
      <c r="T2452">
        <v>1</v>
      </c>
      <c r="U2452">
        <v>7800</v>
      </c>
      <c r="V2452" t="inlineStr">
        <is>
          <t>PHP</t>
        </is>
      </c>
      <c r="W2452">
        <v>7800</v>
      </c>
      <c r="X2452" s="2"/>
      <c r="Y2452" t="inlineStr">
        <is>
          <t>Bank Transfer</t>
        </is>
      </c>
      <c r="Z2452" t="inlineStr">
        <is>
          <t>Mirasol Yubia</t>
        </is>
      </c>
      <c r="AA2452" t="inlineStr">
        <is>
          <t>001571161951</t>
        </is>
      </c>
      <c r="AB2452" t="inlineStr">
        <is>
          <t>BDO</t>
        </is>
      </c>
      <c r="AC2452" t="inlineStr">
        <is>
          <t>1730 Santiago St., Quiricada, Manila</t>
        </is>
      </c>
      <c r="AD2452" s="4">
        <v>46140</v>
      </c>
      <c r="AE2452" t="inlineStr">
        <is>
          <t>50% Down Payment upon confirmation
50% Final Payment upon delivery of machines</t>
        </is>
      </c>
      <c r="AF2452" s="2" t="str">
        <f>=HYPERLINK("https://www.larksuite.com/approval/admin/previewAttachment?key=TMgxCgJBDAXQK_2fZJJ8L2Ozy6ArWwmixZxdsLJ92UT2oKcQoglcle5esGE9JM9oLFusEoqVsfZzXs_P8bAj5j7vb9m2Xrdt7k9meyI0IigAvPw5CbWn_xzfAAAA__8", "4 attachment(s)")</f>
        <v>4 attachment(s)</v>
      </c>
      <c r="AG2452" t="inlineStr">
        <is>
          <t>NzQyNTk5MTgyNzQ4MTg3MDM0MToxQ0VENzdBMS00NEMzLTRGNjYtQTVFQy1DODJFNENDRkVEMzEtMTowMGFjMGMwZTRkY2FlNTk4ZmRmMTdkMTIyODhhZjllZTox</t>
        </is>
      </c>
      <c r="AH2452" t="inlineStr">
        <is>
          <t>ARCADE RENTALS PHILIPPINES</t>
        </is>
      </c>
      <c r="AI2452"/>
      <c r="AJ2452" t="inlineStr">
        <is>
          <t>LIQUIDITY PLAN (PAR # 202603240070 / 2026TEG-P0028)
PRE-PURCHASED ITEMS &gt;
Arcade Basketball
Total Remaining Budget = (Php 5,408.48) NEGATIVE BUDGET
Actual Cost = Php 18,300.00
Balance = (Php 23,708.48) OVER BUDGET</t>
        </is>
      </c>
      <c r="AK2452"/>
    </row>
    <row r="2453" ht="25.5" customHeight="1">
      <c r="A2453" s="2" t="str">
        <f>=HYPERLINK("https://applink.larksuite.com/client/mini_program/open?appId=cli_9c7cc8a9a9edd105&amp;mode=appCenter&amp;path_pc=pc/pages/requested/index?instanceId=7633370252859936480&amp;source=bitable&amp;path=pages/detail/index?instanceId=7633370252859936480&amp;source=bitable", "202604270101")</f>
        <v>202604270101</v>
      </c>
      <c r="B2453" t="inlineStr">
        <is>
          <t>Approved</t>
        </is>
      </c>
      <c r="C2453" t="inlineStr">
        <is>
          <t>Procurement Order</t>
        </is>
      </c>
      <c r="D2453" s="3">
        <v>46139.73274305555</v>
      </c>
      <c r="E2453" s="3">
        <v>46147.429085648146</v>
      </c>
      <c r="F2453" t="inlineStr">
        <is>
          <t>Fatima Kathleen M. FLores</t>
        </is>
      </c>
      <c r="G2453" t="inlineStr">
        <is>
          <t>Procurement</t>
        </is>
      </c>
      <c r="H2453"/>
      <c r="I2453"/>
      <c r="J2453" t="inlineStr">
        <is>
          <t>Project</t>
        </is>
      </c>
      <c r="K2453" t="inlineStr">
        <is>
          <t>PDEI - Game Marketing</t>
        </is>
      </c>
      <c r="L2453" t="inlineStr">
        <is>
          <t>SportsPlus MPBL Roadtrip Watchparty 2026</t>
        </is>
      </c>
      <c r="M2453" t="inlineStr">
        <is>
          <t>2026TEG-P0028</t>
        </is>
      </c>
      <c r="N2453" t="inlineStr">
        <is>
          <t>Kervin</t>
        </is>
      </c>
      <c r="O2453" t="inlineStr">
        <is>
          <t>202603260033-Kervin-费用报销 - 副本 - 副本 - 副本-2026-03-26 04:25:34</t>
        </is>
      </c>
      <c r="P2453" t="inlineStr">
        <is>
          <t>NO</t>
        </is>
      </c>
      <c r="Q2453"/>
      <c r="R2453" t="inlineStr">
        <is>
          <t>YES</t>
        </is>
      </c>
      <c r="S2453" t="inlineStr">
        <is>
          <t>Rental of Arcade Machine (Basketball) - Batangas</t>
        </is>
      </c>
      <c r="T2453">
        <v>1</v>
      </c>
      <c r="U2453">
        <v>10500</v>
      </c>
      <c r="V2453" t="inlineStr">
        <is>
          <t>PHP</t>
        </is>
      </c>
      <c r="W2453">
        <v>10500</v>
      </c>
      <c r="X2453" s="2" t="str">
        <f>=HYPERLINK("https://www.larksuite.com/approval/admin/previewAttachment?key=PMgxCgJBDAXQK_0kf5L5XsZml0FXthJEi5xdsLB9OQ05h0UKlLlgXRkRBR8-hxTJifa2KqGskr2f63p-jocfXPu6v-Vbv27b2p82VO6oIGMCsMvfo0hKSfzcvgEAAP__", "2 attachment(s)")</f>
        <v>2 attachment(s)</v>
      </c>
      <c r="Y2453"/>
      <c r="Z2453"/>
      <c r="AA2453"/>
      <c r="AB2453"/>
      <c r="AC2453"/>
      <c r="AD2453" s="4"/>
      <c r="AE2453"/>
      <c r="AF2453" s="2"/>
      <c r="AG2453" t="inlineStr">
        <is>
          <t>NzQyNTk5MTgyNzQ4MTg3MDM0MToxQ0VENzdBMS00NEMzLTRGNjYtQTVFQy1DODJFNENDRkVEMzEtMjozOWRlNmZlYzVmZjg3YzdjYzA1ODNmOTkwNTA5ZWZjMjox</t>
        </is>
      </c>
      <c r="AH2453"/>
      <c r="AI2453"/>
      <c r="AJ2453" t="inlineStr">
        <is>
          <t>LIQUIDITY PLAN (PAR # 202603240070 / 2026TEG-P0028)
PRE-PURCHASED ITEMS &gt;
Arcade Basketball
Total Remaining Budget = (Php 5,408.48) NEGATIVE BUDGET
Actual Cost = Php 18,300.00
Balance = (Php 23,708.48) OVER BUDGET</t>
        </is>
      </c>
      <c r="AK2453"/>
    </row>
    <row r="2454" ht="25.5" customHeight="1">
      <c r="A2454" s="2" t="str">
        <f>=HYPERLINK("https://applink.larksuite.com/client/mini_program/open?appId=cli_9c7cc8a9a9edd105&amp;mode=appCenter&amp;path_pc=pc/pages/requested/index?instanceId=7633282818790510306&amp;source=bitable&amp;path=pages/detail/index?instanceId=7633282818790510306&amp;source=bitable", "202604270023")</f>
        <v>202604270023</v>
      </c>
      <c r="B2454" t="inlineStr">
        <is>
          <t>Approved</t>
        </is>
      </c>
      <c r="C2454" t="inlineStr">
        <is>
          <t>Procurement Order</t>
        </is>
      </c>
      <c r="D2454" s="3">
        <v>46139.49712962963</v>
      </c>
      <c r="E2454" s="3">
        <v>46149.718506944446</v>
      </c>
      <c r="F2454" t="inlineStr">
        <is>
          <t>Fatima Kathleen M. FLores</t>
        </is>
      </c>
      <c r="G2454" t="inlineStr">
        <is>
          <t>Procurement</t>
        </is>
      </c>
      <c r="H2454"/>
      <c r="I2454"/>
      <c r="J2454" t="inlineStr">
        <is>
          <t>Project</t>
        </is>
      </c>
      <c r="K2454" t="inlineStr">
        <is>
          <t>PDEI - Game Marketing</t>
        </is>
      </c>
      <c r="L2454" t="inlineStr">
        <is>
          <t>SportsPlus MPBL Fan Zone Opening Day</t>
        </is>
      </c>
      <c r="M2454" t="inlineStr">
        <is>
          <t>2026TEG-P0088</t>
        </is>
      </c>
      <c r="N2454" t="inlineStr">
        <is>
          <t>Kervin</t>
        </is>
      </c>
      <c r="O2454" t="inlineStr">
        <is>
          <t>202604060058-Kervin-费用报销 - 副本 - 副本 - 副本-2026-04-06 04:15:34</t>
        </is>
      </c>
      <c r="P2454" t="inlineStr">
        <is>
          <t>NO</t>
        </is>
      </c>
      <c r="Q2454"/>
      <c r="R2454" t="inlineStr">
        <is>
          <t>YES</t>
        </is>
      </c>
      <c r="S2454" t="inlineStr">
        <is>
          <t>Refurbishment and Reprinting of Entrance Arch + Collaterals</t>
        </is>
      </c>
      <c r="T2454">
        <v>1</v>
      </c>
      <c r="U2454">
        <v>93451.23</v>
      </c>
      <c r="V2454" t="inlineStr">
        <is>
          <t>PHP</t>
        </is>
      </c>
      <c r="W2454">
        <v>93451.23</v>
      </c>
      <c r="X2454" s="2" t="str">
        <f>=HYPERLINK("https://www.larksuite.com/approval/admin/previewAttachment?key=PMgxDgIxDATAL-3ajtfmMzREJxpoECelyNuRKK6dLCJr0LMRTWtwK92trFhqDMKR2zalhqiMPV_H_bsm1jrfWIGats_n45gfjpYZ5BFeAHi73BUR3Rn4O34BAAD__w", "2 attachment(s)")</f>
        <v>2 attachment(s)</v>
      </c>
      <c r="Y2454" t="inlineStr">
        <is>
          <t>Bank Transfer</t>
        </is>
      </c>
      <c r="Z2454" t="inlineStr">
        <is>
          <t>PANGILINAN FABRIC AND LEATHER SUPPLY</t>
        </is>
      </c>
      <c r="AA2454" t="inlineStr">
        <is>
          <t>011698004345</t>
        </is>
      </c>
      <c r="AB2454" t="inlineStr">
        <is>
          <t>BDO</t>
        </is>
      </c>
      <c r="AC2454" t="inlineStr">
        <is>
          <t>Unit 4 Redgold Bldg. Villa Classica Sumulong Hi-way, Mayamot, Antipolo Rizal</t>
        </is>
      </c>
      <c r="AD2454" s="4">
        <v>46140</v>
      </c>
      <c r="AE2454" t="inlineStr">
        <is>
          <t>50% Down Payment upon confirmation
50% Final Payment upon completion of services</t>
        </is>
      </c>
      <c r="AF2454" s="2"/>
      <c r="AG2454" t="inlineStr">
        <is>
          <t>NzQyNTk5MTgyNzQ4MTg3MDM0MTo5OTdERkZFQS1GODU1LTQzNjEtODAyRC1GMEFCQUQ1OUFEMzAtMTo4MjdiMzg1ODFmMzFkNjdhNDU0NGQxZGYzMTk5MGJlNTox</t>
        </is>
      </c>
      <c r="AH2454" t="inlineStr">
        <is>
          <t>PANGILINAN FABRIC AND LEATHER SUPPLY</t>
        </is>
      </c>
      <c r="AI2454"/>
      <c r="AJ2454" t="inlineStr">
        <is>
          <t>LIQUIDITY PLAN (PAR # 202604060049 / 2026TEG-P0088)
FABRICATIONS / COLLATERALS
Branded Booth Table
Collapsible Booth (Lemonade Stand)
Entrance Arc
Standees
Column Post Tarpaulins
Total Remaining Budget = Php 500.00
Actual Cost = Php 93,451.23
Balance = (Php 92,951.23) OVER BUDGET</t>
        </is>
      </c>
      <c r="AK2454"/>
    </row>
    <row r="2455" ht="25.5" customHeight="1">
      <c r="A2455" s="2" t="str">
        <f>=HYPERLINK("https://applink.larksuite.com/client/mini_program/open?appId=cli_9c7cc8a9a9edd105&amp;mode=appCenter&amp;path_pc=pc/pages/requested/index?instanceId=7635944078705692384&amp;source=bitable&amp;path=pages/detail/index?instanceId=7635944078705692384&amp;source=bitable", "202605040056")</f>
        <v>202605040056</v>
      </c>
      <c r="B2455" t="inlineStr">
        <is>
          <t>Approved</t>
        </is>
      </c>
      <c r="C2455" t="inlineStr">
        <is>
          <t>Procurement Order</t>
        </is>
      </c>
      <c r="D2455" s="3">
        <v>46146.66868055556</v>
      </c>
      <c r="E2455" s="3">
        <v>46147.43949074074</v>
      </c>
      <c r="F2455" t="inlineStr">
        <is>
          <t>Fatima Kathleen M. FLores</t>
        </is>
      </c>
      <c r="G2455" t="inlineStr">
        <is>
          <t>Procurement</t>
        </is>
      </c>
      <c r="H2455"/>
      <c r="I2455"/>
      <c r="J2455" t="inlineStr">
        <is>
          <t>Project</t>
        </is>
      </c>
      <c r="K2455" t="inlineStr">
        <is>
          <t>PDEI - Game Marketing</t>
        </is>
      </c>
      <c r="L2455" t="inlineStr">
        <is>
          <t>Jobstreet Level Up v2</t>
        </is>
      </c>
      <c r="M2455" t="inlineStr">
        <is>
          <t>2025TEG-P0211</t>
        </is>
      </c>
      <c r="N2455" t="inlineStr">
        <is>
          <t>Maura Aurel Atilano Yap</t>
        </is>
      </c>
      <c r="O2455" t="inlineStr">
        <is>
          <t>202601080010-Maura Aurel Atilano Yap-费用报销 - 副本 - 副本 - 副本-2026-01-08 02:54:23</t>
        </is>
      </c>
      <c r="P2455" t="inlineStr">
        <is>
          <t>NO</t>
        </is>
      </c>
      <c r="Q2455"/>
      <c r="R2455" t="inlineStr">
        <is>
          <t>NO</t>
        </is>
      </c>
      <c r="S2455" t="inlineStr">
        <is>
          <t>Rental of Gaming Computers with Peripherals (3 days)</t>
        </is>
      </c>
      <c r="T2455">
        <v>10</v>
      </c>
      <c r="U2455">
        <v>7500</v>
      </c>
      <c r="V2455" t="inlineStr">
        <is>
          <t>PHP</t>
        </is>
      </c>
      <c r="W2455">
        <v>75000</v>
      </c>
      <c r="X2455" s="2" t="str">
        <f>=HYPERLINK("https://www.larksuite.com/approval/admin/previewAttachment?key=PMgxCgJBDAXQK_1M_uQnXsZml0FW1kaQbXJ2wcL2RRoip3kUWDYK1gqfRUIpzKjhyR5tUkGmYO_nul_HuW2HXXzmay3vz2Nb-9tmaQzISU8Advu7i2RVED_HNwAA__8", "2 attachment(s)")</f>
        <v>2 attachment(s)</v>
      </c>
      <c r="Y2455" t="inlineStr">
        <is>
          <t>Bank Transfer</t>
        </is>
      </c>
      <c r="Z2455" t="inlineStr">
        <is>
          <t>Manila Esports Icafe Inc.</t>
        </is>
      </c>
      <c r="AA2455" t="inlineStr">
        <is>
          <t>002908019834</t>
        </is>
      </c>
      <c r="AB2455" t="inlineStr">
        <is>
          <t>BDO</t>
        </is>
      </c>
      <c r="AC2455" t="inlineStr">
        <is>
          <t>Unit 2A, 2nd Floor, H&amp;L Santiago Building,103 McArthur Hwy, Marulas, Valenzuela City</t>
        </is>
      </c>
      <c r="AD2455" s="4">
        <v>46150</v>
      </c>
      <c r="AE2455" t="inlineStr">
        <is>
          <t>50% Down Payment upon confirmation
50% Balance - 1 week after event completion</t>
        </is>
      </c>
      <c r="AF2455" s="2"/>
      <c r="AG2455" t="inlineStr">
        <is>
          <t>NzQyNTk5MTgyNzQ4MTg3MDM0MTpGQTYwODQ4Mi04Qzk1LTQzNTYtODk3RC0yNEFCQjE5MDM4NTAtMTo2YjMyZjRlNzVkMmFiMjM5YzFlZjdjM2M2MWRlYTIxNDox</t>
        </is>
      </c>
      <c r="AH2455" t="inlineStr">
        <is>
          <t>Manila Esports Icafe Inc.</t>
        </is>
      </c>
      <c r="AI2455"/>
      <c r="AJ2455" t="inlineStr">
        <is>
          <t>LIQUIDITY PLAN (PAR # 202511040070 / 2025TEG-P0211)
LEAGUE OPS &gt;
Player Monitors (12 pcs)
Player Headset (12 pcs)
Comms System
PC (12 pcs)
Total Budget = Php 59,000.00
Actual Cost = Php 75,000.00
Balance = (Php 16,000.00) OVER BUDGET TO BE CHARGED TO ADDENDUM
LIQUIDITY PLAN (PAR # 202601300013)
EQUIPMENT &gt; LEAGUE OPS &gt;
Gaming PC Rental Package
Total Budget = Php 30,000.00
Actual Cost = Php 16,000.00 (Over budget from Main CE)
Balance = Php 14,000.00</t>
        </is>
      </c>
      <c r="AK2455"/>
    </row>
    <row r="2456" ht="25.5" customHeight="1">
      <c r="A2456" s="2" t="str">
        <f>=HYPERLINK("https://applink.larksuite.com/client/mini_program/open?appId=cli_9c7cc8a9a9edd105&amp;mode=appCenter&amp;path_pc=pc/pages/requested/index?instanceId=7635954867772690142&amp;source=bitable&amp;path=pages/detail/index?instanceId=7635954867772690142&amp;source=bitable", "202605040063")</f>
        <v>202605040063</v>
      </c>
      <c r="B2456" t="inlineStr">
        <is>
          <t>Approved</t>
        </is>
      </c>
      <c r="C2456" t="inlineStr">
        <is>
          <t>Procurement Order</t>
        </is>
      </c>
      <c r="D2456" s="3">
        <v>46146.69775462963</v>
      </c>
      <c r="E2456" s="3">
        <v>46147.42128472222</v>
      </c>
      <c r="F2456" t="inlineStr">
        <is>
          <t>Fatima Kathleen M. FLores</t>
        </is>
      </c>
      <c r="G2456" t="inlineStr">
        <is>
          <t>Procurement</t>
        </is>
      </c>
      <c r="H2456"/>
      <c r="I2456"/>
      <c r="J2456" t="inlineStr">
        <is>
          <t>Project</t>
        </is>
      </c>
      <c r="K2456" t="inlineStr">
        <is>
          <t>PDEI - Game Marketing</t>
        </is>
      </c>
      <c r="L2456" t="inlineStr">
        <is>
          <t>SportsPlus MPBL Roadtrip Watchparty 2026</t>
        </is>
      </c>
      <c r="M2456" t="inlineStr">
        <is>
          <t>2026TEG-P0028</t>
        </is>
      </c>
      <c r="N2456" t="inlineStr">
        <is>
          <t>Kervin</t>
        </is>
      </c>
      <c r="O2456" t="inlineStr">
        <is>
          <t>202603260049-Kervin-费用报销 - 副本 - 副本 - 副本-2026-03-26 04:44:59</t>
        </is>
      </c>
      <c r="P2456" t="inlineStr">
        <is>
          <t>YES</t>
        </is>
      </c>
      <c r="Q2456"/>
      <c r="R2456" t="inlineStr">
        <is>
          <t>NO</t>
        </is>
      </c>
      <c r="S2456" t="inlineStr">
        <is>
          <t>Outsourced Brand Ambassadors (Apr. 30 &amp; May 2)</t>
        </is>
      </c>
      <c r="T2456">
        <v>1</v>
      </c>
      <c r="U2456">
        <v>7500</v>
      </c>
      <c r="V2456" t="inlineStr">
        <is>
          <t>PHP</t>
        </is>
      </c>
      <c r="W2456">
        <v>7500</v>
      </c>
      <c r="X2456" s="2" t="str">
        <f>=HYPERLINK("https://www.larksuite.com/approval/admin/previewAttachment?key=PMgxCkIxEATQK81uJjsZL2PzQxA_VqJgkbMLFravRqBGj1YGHWnEVrXuzlGSsoxg7twhGQoV93ys6-sz7Xuea8wj49zv27HmM7qVCTWyDQBx-XsTSbuIn-MbAAD__w", "2 attachment(s)")</f>
        <v>2 attachment(s)</v>
      </c>
      <c r="Y2456" t="inlineStr">
        <is>
          <t>Bank Transfer</t>
        </is>
      </c>
      <c r="Z2456" t="inlineStr">
        <is>
          <t>Jasmine Dava</t>
        </is>
      </c>
      <c r="AA2456" t="inlineStr">
        <is>
          <t>09664084097</t>
        </is>
      </c>
      <c r="AB2456" t="inlineStr">
        <is>
          <t>GCash</t>
        </is>
      </c>
      <c r="AC2456" t="inlineStr">
        <is>
          <t>1559 1st st. Fabie Subdivision Paco, Manila</t>
        </is>
      </c>
      <c r="AD2456" s="4">
        <v>46150</v>
      </c>
      <c r="AE2456" t="inlineStr">
        <is>
          <t>100% Full Payment - May 8, 2026</t>
        </is>
      </c>
      <c r="AF2456" s="2"/>
      <c r="AG2456" t="inlineStr">
        <is>
          <t>NzQyNTk5MTgyNzQ4MTg3MDM0MTpENEU4RkU5Ny0yQTA1LTQzMTMtQTgwMS1COEU3Nzk2REQ5QUMtMTo1NzU3NGEyMDBlNjVjZjIzYzg2OWJjZDJkYjJiNDdkYTox</t>
        </is>
      </c>
      <c r="AH2456" t="inlineStr">
        <is>
          <t>Jasmine Dava</t>
        </is>
      </c>
      <c r="AI2456"/>
      <c r="AJ2456" t="inlineStr">
        <is>
          <t>LIQUIDITY PLAN (PAR # 202603240070 / 2026TEG-P0028)
MANPOWER &gt; Brand Ambassador
Total Remaining Budget = Php 67,500.00
Actual Cost = Php 7,500.00
Balance = Php 60,000.00</t>
        </is>
      </c>
      <c r="AK2456"/>
    </row>
    <row r="2457" ht="25.5" customHeight="1">
      <c r="A2457" s="2" t="str">
        <f>=HYPERLINK("https://applink.larksuite.com/client/mini_program/open?appId=cli_9c7cc8a9a9edd105&amp;mode=appCenter&amp;path_pc=pc/pages/requested/index?instanceId=7635973840908078811&amp;source=bitable&amp;path=pages/detail/index?instanceId=7635973840908078811&amp;source=bitable", "202605040072")</f>
        <v>202605040072</v>
      </c>
      <c r="B2457" t="inlineStr">
        <is>
          <t>Approved</t>
        </is>
      </c>
      <c r="C2457" t="inlineStr">
        <is>
          <t>Procurement Order</t>
        </is>
      </c>
      <c r="D2457" s="3">
        <v>46146.74888888889</v>
      </c>
      <c r="E2457" s="3">
        <v>46147.4275462963</v>
      </c>
      <c r="F2457" t="inlineStr">
        <is>
          <t>Fatima Kathleen M. FLores</t>
        </is>
      </c>
      <c r="G2457" t="inlineStr">
        <is>
          <t>Procurement</t>
        </is>
      </c>
      <c r="H2457"/>
      <c r="I2457"/>
      <c r="J2457" t="inlineStr">
        <is>
          <t>Project</t>
        </is>
      </c>
      <c r="K2457" t="inlineStr">
        <is>
          <t>PDEI - Game Marketing</t>
        </is>
      </c>
      <c r="L2457" t="inlineStr">
        <is>
          <t>SportsPlus MPBL Roadtrip Watchparty 2026</t>
        </is>
      </c>
      <c r="M2457" t="inlineStr">
        <is>
          <t>2026TEG-P0028</t>
        </is>
      </c>
      <c r="N2457" t="inlineStr">
        <is>
          <t>Kervin</t>
        </is>
      </c>
      <c r="O2457" t="inlineStr">
        <is>
          <t>202603260050-Kervin-费用报销 - 副本 - 副本 - 副本-2026-03-26 04:45:50</t>
        </is>
      </c>
      <c r="P2457" t="inlineStr">
        <is>
          <t>YES</t>
        </is>
      </c>
      <c r="Q2457"/>
      <c r="R2457" t="inlineStr">
        <is>
          <t>NO</t>
        </is>
      </c>
      <c r="S2457" t="inlineStr">
        <is>
          <t>Outsourced Booth Manpower / Logistics (May 2)</t>
        </is>
      </c>
      <c r="T2457">
        <v>1</v>
      </c>
      <c r="U2457">
        <v>2000</v>
      </c>
      <c r="V2457" t="inlineStr">
        <is>
          <t>PHP</t>
        </is>
      </c>
      <c r="W2457">
        <v>2000</v>
      </c>
      <c r="X2457" s="2" t="str">
        <f>=HYPERLINK("https://www.larksuite.com/approval/admin/previewAttachment?key=PMgxqoJBDATgK002s5nkXeY1_8-ixYogKBY5u2Bh-0UaIqd5FFg2CtYKnyVPopBQplmPNqkgU7DPvf59v4DrnVvHet-8n5djnQ-bpTEgJz0B2N_PXSSrgvg6PgEAAP__", "2 attachment(s)")</f>
        <v>2 attachment(s)</v>
      </c>
      <c r="Y2457" t="inlineStr">
        <is>
          <t>Bank Transfer</t>
        </is>
      </c>
      <c r="Z2457" t="inlineStr">
        <is>
          <t>Edzel Jay Vesencio</t>
        </is>
      </c>
      <c r="AA2457" t="inlineStr">
        <is>
          <t>09499825404</t>
        </is>
      </c>
      <c r="AB2457" t="inlineStr">
        <is>
          <t>GCash</t>
        </is>
      </c>
      <c r="AC2457" t="inlineStr">
        <is>
          <t>30 Balubad St., Twin River Subdivision, Nangka, Marikina City</t>
        </is>
      </c>
      <c r="AD2457" s="4">
        <v>46157</v>
      </c>
      <c r="AE2457" t="inlineStr">
        <is>
          <t>100% Full Payment - May 15, 2026</t>
        </is>
      </c>
      <c r="AF2457" s="2"/>
      <c r="AG2457" t="inlineStr">
        <is>
          <t>NzQyNTk5MTgyNzQ4MTg3MDM0MTpEMDZCODYwMC1DQzA4LTQwRkItQkFDOC04QzdFODJFQkEyNzEtMTpiOWQ1NDJjNDg1M2RjNjI0MzcxYzhlNzdmMzk1ZTZjYjox</t>
        </is>
      </c>
      <c r="AH2457" t="inlineStr">
        <is>
          <t>Edzel Jay Vesencio</t>
        </is>
      </c>
      <c r="AI2457"/>
      <c r="AJ2457" t="inlineStr">
        <is>
          <t>LIQUIDITY PLAN (PAR # 202603240070 / 2026TEG-P0028)
MANPOWER &gt; Logistics
Total Remaining Budget = Php 96,600.00
Actual Cost = Php 2,000.00
Balance = Php 94,600.00</t>
        </is>
      </c>
      <c r="AK2457"/>
    </row>
    <row r="2458" ht="25.5" customHeight="1">
      <c r="A2458" s="2" t="str">
        <f>=HYPERLINK("https://applink.larksuite.com/client/mini_program/open?appId=cli_9c7cc8a9a9edd105&amp;mode=appCenter&amp;path_pc=pc/pages/requested/index?instanceId=7635974528379670245&amp;source=bitable&amp;path=pages/detail/index?instanceId=7635974528379670245&amp;source=bitable", "202605040073")</f>
        <v>202605040073</v>
      </c>
      <c r="B2458" t="inlineStr">
        <is>
          <t>Approved</t>
        </is>
      </c>
      <c r="C2458" t="inlineStr">
        <is>
          <t>Procurement Order</t>
        </is>
      </c>
      <c r="D2458" s="3">
        <v>46146.75074074074</v>
      </c>
      <c r="E2458" s="3">
        <v>46147.42599537037</v>
      </c>
      <c r="F2458" t="inlineStr">
        <is>
          <t>Fatima Kathleen M. FLores</t>
        </is>
      </c>
      <c r="G2458" t="inlineStr">
        <is>
          <t>Procurement</t>
        </is>
      </c>
      <c r="H2458"/>
      <c r="I2458"/>
      <c r="J2458" t="inlineStr">
        <is>
          <t>Project</t>
        </is>
      </c>
      <c r="K2458" t="inlineStr">
        <is>
          <t>PDEI - Game Marketing</t>
        </is>
      </c>
      <c r="L2458" t="inlineStr">
        <is>
          <t>SportsPlus MPBL Roadtrip Watchparty 2026</t>
        </is>
      </c>
      <c r="M2458" t="inlineStr">
        <is>
          <t>2026TEG-P0028</t>
        </is>
      </c>
      <c r="N2458" t="inlineStr">
        <is>
          <t>Kervin</t>
        </is>
      </c>
      <c r="O2458" t="inlineStr">
        <is>
          <t>202603260050-Kervin-费用报销 - 副本 - 副本 - 副本-2026-03-26 04:45:50</t>
        </is>
      </c>
      <c r="P2458" t="inlineStr">
        <is>
          <t>YES</t>
        </is>
      </c>
      <c r="Q2458"/>
      <c r="R2458" t="inlineStr">
        <is>
          <t>NO</t>
        </is>
      </c>
      <c r="S2458" t="inlineStr">
        <is>
          <t>Outsourced Booth Manpower (May 2)</t>
        </is>
      </c>
      <c r="T2458">
        <v>1</v>
      </c>
      <c r="U2458">
        <v>1700</v>
      </c>
      <c r="V2458" t="inlineStr">
        <is>
          <t>PHP</t>
        </is>
      </c>
      <c r="W2458">
        <v>1700</v>
      </c>
      <c r="X2458" s="2" t="str">
        <f>=HYPERLINK("https://www.larksuite.com/approval/admin/previewAttachment?key=PMgxCkJBDATQK02S2czGy9j4WVSwkhWbnF2w-O3Lacg5LLLAMi9YK2OUOHyGKgXnaG-TCjIl-3itK-K794Nbvpbbsz_32zreNkruUJAxAdjl9BDJqiT-jl8AAAD__w", "2 attachment(s)")</f>
        <v>2 attachment(s)</v>
      </c>
      <c r="Y2458" t="inlineStr">
        <is>
          <t>Bank Transfer</t>
        </is>
      </c>
      <c r="Z2458" t="inlineStr">
        <is>
          <t>Jacinto Garado</t>
        </is>
      </c>
      <c r="AA2458" t="inlineStr">
        <is>
          <t>09541707188</t>
        </is>
      </c>
      <c r="AB2458" t="inlineStr">
        <is>
          <t>GCash</t>
        </is>
      </c>
      <c r="AC2458" t="inlineStr">
        <is>
          <t>142-2 WEST BANK RD MAYBUNGA PASIG CITY</t>
        </is>
      </c>
      <c r="AD2458" s="4">
        <v>46157</v>
      </c>
      <c r="AE2458" t="inlineStr">
        <is>
          <t>100% Full Payment - May 15, 2026</t>
        </is>
      </c>
      <c r="AF2458" s="2"/>
      <c r="AG2458" t="inlineStr">
        <is>
          <t>NzQyNTk5MTgyNzQ4MTg3MDM0MTo0MTQzODk1QS0yMEVCLTQwNUMtQTE5My1COEU5NjRFREZBNkQtMTo2N2RhODgzNjQ4ZTEzM2M3NWZjZmM4OThhNjVjMzQ5Njox</t>
        </is>
      </c>
      <c r="AH2458" t="inlineStr">
        <is>
          <t>Jacinto Garado</t>
        </is>
      </c>
      <c r="AI2458"/>
      <c r="AJ2458" t="inlineStr">
        <is>
          <t>LIQUIDITY PLAN (PAR # 202603240070 / 2026TEG-P0028)
MANPOWER &gt; Booth Manpower
Total Remaining Budget = Php 38,000.00
Actual Cost = Php 1,700.00
Balance = Php 36,300.00</t>
        </is>
      </c>
      <c r="AK2458"/>
    </row>
    <row r="2459" ht="25.5" customHeight="1">
      <c r="A2459" s="2" t="str">
        <f>=HYPERLINK("https://applink.larksuite.com/client/mini_program/open?appId=cli_9c7cc8a9a9edd105&amp;mode=appCenter&amp;path_pc=pc/pages/requested/index?instanceId=7635975322399182559&amp;source=bitable&amp;path=pages/detail/index?instanceId=7635975322399182559&amp;source=bitable", "202605040074")</f>
        <v>202605040074</v>
      </c>
      <c r="B2459" t="inlineStr">
        <is>
          <t>Approved</t>
        </is>
      </c>
      <c r="C2459" t="inlineStr">
        <is>
          <t>Procurement Order</t>
        </is>
      </c>
      <c r="D2459" s="3">
        <v>46146.75288194444</v>
      </c>
      <c r="E2459" s="3">
        <v>46147.42533564815</v>
      </c>
      <c r="F2459" t="inlineStr">
        <is>
          <t>Fatima Kathleen M. FLores</t>
        </is>
      </c>
      <c r="G2459" t="inlineStr">
        <is>
          <t>Procurement</t>
        </is>
      </c>
      <c r="H2459"/>
      <c r="I2459"/>
      <c r="J2459" t="inlineStr">
        <is>
          <t>Project</t>
        </is>
      </c>
      <c r="K2459" t="inlineStr">
        <is>
          <t>PDEI - Game Marketing</t>
        </is>
      </c>
      <c r="L2459" t="inlineStr">
        <is>
          <t>SportsPlus MPBL Roadtrip Watchparty 2026</t>
        </is>
      </c>
      <c r="M2459" t="inlineStr">
        <is>
          <t>2026TEG-P0028</t>
        </is>
      </c>
      <c r="N2459" t="inlineStr">
        <is>
          <t>Kervin</t>
        </is>
      </c>
      <c r="O2459" t="inlineStr">
        <is>
          <t>202603260050-Kervin-费用报销 - 副本 - 副本 - 副本-2026-03-26 04:45:50</t>
        </is>
      </c>
      <c r="P2459" t="inlineStr">
        <is>
          <t>YES</t>
        </is>
      </c>
      <c r="Q2459"/>
      <c r="R2459" t="inlineStr">
        <is>
          <t>NO</t>
        </is>
      </c>
      <c r="S2459" t="inlineStr">
        <is>
          <t>Outsourced Booth Manpower (May 2)</t>
        </is>
      </c>
      <c r="T2459">
        <v>1</v>
      </c>
      <c r="U2459">
        <v>1700</v>
      </c>
      <c r="V2459" t="inlineStr">
        <is>
          <t>PHP</t>
        </is>
      </c>
      <c r="W2459">
        <v>1700</v>
      </c>
      <c r="X2459" s="2" t="str">
        <f>=HYPERLINK("https://www.larksuite.com/approval/admin/previewAttachment?key=PMg7CsIAEATQK83-d7yMTUJQSWxEwWLPLlikfdmC7BBLwilKyFRasMJUjZTWCI6OVBEllT7rsV0fx7c77sv-3vH0mM9t2daXBEsVZe7WAORyupW7k-n4O34BAAD__w", "2 attachment(s)")</f>
        <v>2 attachment(s)</v>
      </c>
      <c r="Y2459" t="inlineStr">
        <is>
          <t>Bank Transfer</t>
        </is>
      </c>
      <c r="Z2459" t="inlineStr">
        <is>
          <t>Danica E. Reyes</t>
        </is>
      </c>
      <c r="AA2459" t="inlineStr">
        <is>
          <t>0916-514-6339</t>
        </is>
      </c>
      <c r="AB2459" t="inlineStr">
        <is>
          <t>GCash</t>
        </is>
      </c>
      <c r="AC2459" t="inlineStr">
        <is>
          <t>Purok 3 Zone 6 Peñafrancia Brgy. Cupang Antipolo City</t>
        </is>
      </c>
      <c r="AD2459" s="4">
        <v>46157</v>
      </c>
      <c r="AE2459" t="inlineStr">
        <is>
          <t>100% Full Payment - May 15, 2026</t>
        </is>
      </c>
      <c r="AF2459" s="2"/>
      <c r="AG2459" t="inlineStr">
        <is>
          <t>NzQyNTk5MTgyNzQ4MTg3MDM0MTozMkUwQTgzMS04NTk2LTQyMEYtODhFRC0zOTk5OUM3Rjk1MDMtMTpjMWY1OGE4OTZjNGMxZWEwNmRkMDU1MzExMTZhZDg1MDox</t>
        </is>
      </c>
      <c r="AH2459" t="inlineStr">
        <is>
          <t>Danica E. Reyes</t>
        </is>
      </c>
      <c r="AI2459"/>
      <c r="AJ2459" t="inlineStr">
        <is>
          <t>LIQUIDITY PLAN (PAR # 202603240070 / 2026TEG-P0028)
MANPOWER &gt; Booth Manpower
Total Remaining Budget = Php 36,300.00
Actual Cost = Php 1,700.00
Balance = Php 34,600.00</t>
        </is>
      </c>
      <c r="AK2459"/>
    </row>
    <row r="2460" ht="25.5" customHeight="1">
      <c r="A2460" s="2" t="str">
        <f>=HYPERLINK("https://applink.larksuite.com/client/mini_program/open?appId=cli_9c7cc8a9a9edd105&amp;mode=appCenter&amp;path_pc=pc/pages/requested/index?instanceId=7635975966728163037&amp;source=bitable&amp;path=pages/detail/index?instanceId=7635975966728163037&amp;source=bitable", "202605040075")</f>
        <v>202605040075</v>
      </c>
      <c r="B2460" t="inlineStr">
        <is>
          <t>Approved</t>
        </is>
      </c>
      <c r="C2460" t="inlineStr">
        <is>
          <t>Procurement Order</t>
        </is>
      </c>
      <c r="D2460" s="3">
        <v>46146.75461805556</v>
      </c>
      <c r="E2460" s="3">
        <v>46147.424467592595</v>
      </c>
      <c r="F2460" t="inlineStr">
        <is>
          <t>Fatima Kathleen M. FLores</t>
        </is>
      </c>
      <c r="G2460" t="inlineStr">
        <is>
          <t>Procurement</t>
        </is>
      </c>
      <c r="H2460"/>
      <c r="I2460"/>
      <c r="J2460" t="inlineStr">
        <is>
          <t>Project</t>
        </is>
      </c>
      <c r="K2460" t="inlineStr">
        <is>
          <t>PDEI - Game Marketing</t>
        </is>
      </c>
      <c r="L2460" t="inlineStr">
        <is>
          <t>SportsPlus MPBL Roadtrip Watchparty 2026</t>
        </is>
      </c>
      <c r="M2460" t="inlineStr">
        <is>
          <t>2026TEG-P0028</t>
        </is>
      </c>
      <c r="N2460" t="inlineStr">
        <is>
          <t>Kervin</t>
        </is>
      </c>
      <c r="O2460" t="inlineStr">
        <is>
          <t>202603260050-Kervin-费用报销 - 副本 - 副本 - 副本-2026-03-26 04:45:50</t>
        </is>
      </c>
      <c r="P2460" t="inlineStr">
        <is>
          <t>YES</t>
        </is>
      </c>
      <c r="Q2460"/>
      <c r="R2460" t="inlineStr">
        <is>
          <t>NO</t>
        </is>
      </c>
      <c r="S2460" t="inlineStr">
        <is>
          <t>Outsourced Booth Manpower (May 2)</t>
        </is>
      </c>
      <c r="T2460">
        <v>1</v>
      </c>
      <c r="U2460">
        <v>3400</v>
      </c>
      <c r="V2460" t="inlineStr">
        <is>
          <t>PHP</t>
        </is>
      </c>
      <c r="W2460">
        <v>3400</v>
      </c>
      <c r="X2460" s="2" t="str">
        <f>=HYPERLINK("https://www.larksuite.com/approval/admin/previewAttachment?key=PMg7CsJgEATgK80-Z8fL2BiCGARBMNV_dsHC9usx9JRFCylzwRY7Six108c6EFy-jBRo7Fzbc78ebjN1npWP135ofe63fXtbie5gZMYAsMvfg5kpdeLn-AYAAP__", "2 attachment(s)")</f>
        <v>2 attachment(s)</v>
      </c>
      <c r="Y2460" t="inlineStr">
        <is>
          <t>Bank Transfer</t>
        </is>
      </c>
      <c r="Z2460" t="inlineStr">
        <is>
          <t>Sam Ylagan</t>
        </is>
      </c>
      <c r="AA2460" t="inlineStr">
        <is>
          <t>09661700244</t>
        </is>
      </c>
      <c r="AB2460" t="inlineStr">
        <is>
          <t>GCash</t>
        </is>
      </c>
      <c r="AC2460" t="inlineStr">
        <is>
          <t>3848 F. Nazario St. Barangay Singkamas Makati City</t>
        </is>
      </c>
      <c r="AD2460" s="4">
        <v>46157</v>
      </c>
      <c r="AE2460" t="inlineStr">
        <is>
          <t>100% Full Payment - May 15, 2026</t>
        </is>
      </c>
      <c r="AF2460" s="2"/>
      <c r="AG2460" t="inlineStr">
        <is>
          <t>NzQyNTk5MTgyNzQ4MTg3MDM0MTpDM0Q3NTMwNC1CRjlCLTQ2NDQtODEwMC0wNTUxMDE3ODdDODItMTowYmU1MDA0NDYyNjVjYmYwMDU4ZWI2OGVhYTY1NmQ0Zjox</t>
        </is>
      </c>
      <c r="AH2460" t="inlineStr">
        <is>
          <t>Sam Ylagan</t>
        </is>
      </c>
      <c r="AI2460"/>
      <c r="AJ2460" t="inlineStr">
        <is>
          <t>LIQUIDITY PLAN (PAR # 202603240070 / 2026TEG-P0028)
MANPOWER &gt; Booth Manpower
Total Remaining Budget = Php 34,600.00
Actual Cost = Php 3,400.00
Balance = Php 31,200.00</t>
        </is>
      </c>
      <c r="AK2460"/>
    </row>
    <row r="2461" ht="25.5" customHeight="1">
      <c r="A2461" s="2" t="str">
        <f>=HYPERLINK("https://applink.larksuite.com/client/mini_program/open?appId=cli_9c7cc8a9a9edd105&amp;mode=appCenter&amp;path_pc=pc/pages/requested/index?instanceId=7635976955665338082&amp;source=bitable&amp;path=pages/detail/index?instanceId=7635976955665338082&amp;source=bitable", "202605040076")</f>
        <v>202605040076</v>
      </c>
      <c r="B2461" t="inlineStr">
        <is>
          <t>Approved</t>
        </is>
      </c>
      <c r="C2461" t="inlineStr">
        <is>
          <t>Procurement Order</t>
        </is>
      </c>
      <c r="D2461" s="3">
        <v>46146.75728009259</v>
      </c>
      <c r="E2461" s="3">
        <v>46147.42240740741</v>
      </c>
      <c r="F2461" t="inlineStr">
        <is>
          <t>Fatima Kathleen M. FLores</t>
        </is>
      </c>
      <c r="G2461" t="inlineStr">
        <is>
          <t>Procurement</t>
        </is>
      </c>
      <c r="H2461"/>
      <c r="I2461"/>
      <c r="J2461" t="inlineStr">
        <is>
          <t>Project</t>
        </is>
      </c>
      <c r="K2461" t="inlineStr">
        <is>
          <t>PDEI - Game Marketing</t>
        </is>
      </c>
      <c r="L2461" t="inlineStr">
        <is>
          <t>SportsPlus MPBL Roadtrip Watchparty 2026</t>
        </is>
      </c>
      <c r="M2461" t="inlineStr">
        <is>
          <t>2026TEG-P0028</t>
        </is>
      </c>
      <c r="N2461" t="inlineStr">
        <is>
          <t>Kervin</t>
        </is>
      </c>
      <c r="O2461" t="inlineStr">
        <is>
          <t>202603260052-Kervin-费用报销 - 副本 - 副本 - 副本-2026-03-26 04:47:32</t>
        </is>
      </c>
      <c r="P2461" t="inlineStr">
        <is>
          <t>YES</t>
        </is>
      </c>
      <c r="Q2461"/>
      <c r="R2461" t="inlineStr">
        <is>
          <t>NO</t>
        </is>
      </c>
      <c r="S2461" t="inlineStr">
        <is>
          <t>Outsourced Logistics Associate (May 2)</t>
        </is>
      </c>
      <c r="T2461">
        <v>1</v>
      </c>
      <c r="U2461">
        <v>6000</v>
      </c>
      <c r="V2461" t="inlineStr">
        <is>
          <t>PHP</t>
        </is>
      </c>
      <c r="W2461">
        <v>6000</v>
      </c>
      <c r="X2461" s="2" t="str">
        <f>=HYPERLINK("https://www.larksuite.com/approval/admin/previewAttachment?key=PMgxCkIxEATQK81kZ3czXsbGz0cEKyH8JmcXLGxfTaJmMsqQOQzurkh3ObMqIybm2GOz22h2aR_v8-4XrwuKlQs8tNfzcR4fpnsMdEgxAfD292hJdgk_xzcAAP__", "2 attachment(s)")</f>
        <v>2 attachment(s)</v>
      </c>
      <c r="Y2461" t="inlineStr">
        <is>
          <t>Bank Transfer</t>
        </is>
      </c>
      <c r="Z2461" t="inlineStr">
        <is>
          <t>Rizel John Obong</t>
        </is>
      </c>
      <c r="AA2461" t="inlineStr">
        <is>
          <t>109328279479</t>
        </is>
      </c>
      <c r="AB2461" t="inlineStr">
        <is>
          <t>Unionbank</t>
        </is>
      </c>
      <c r="AC2461" t="inlineStr">
        <is>
          <t>Blk 1j Lot 31 Phase 3 E-1 Dagat Dagatan Caloocan City</t>
        </is>
      </c>
      <c r="AD2461" s="4">
        <v>46157</v>
      </c>
      <c r="AE2461" t="inlineStr">
        <is>
          <t>100% Full Payment - May 15, 2026</t>
        </is>
      </c>
      <c r="AF2461" s="2"/>
      <c r="AG2461" t="inlineStr">
        <is>
          <t>NzQyNTk5MTgyNzQ4MTg3MDM0MTpGQkI4NDlFNy0xNTU4LTQwQ0ItOTU1RC1FODRDRjE0RDcxOTUtMTplODlkYjYzYmM3MDE0MmFjZjY0YjYyMTM5M2MyMDg0Yjox</t>
        </is>
      </c>
      <c r="AH2461" t="inlineStr">
        <is>
          <t>Rizel John Obong</t>
        </is>
      </c>
      <c r="AI2461"/>
      <c r="AJ2461" t="inlineStr">
        <is>
          <t>LIQUIDITY PLAN (PAR # 202603240070 / 2026TEG-P0028)
MANPOWER &gt; Logistics
Total Remaining Budget = Php 94,600.00
Actual Cost = Php 6,000.00
Balance = Php 88,600.00</t>
        </is>
      </c>
      <c r="AK2461"/>
    </row>
    <row r="2462" ht="25.5" customHeight="1">
      <c r="A2462" s="2" t="str">
        <f>=HYPERLINK("https://applink.larksuite.com/client/mini_program/open?appId=cli_9c7cc8a9a9edd105&amp;mode=appCenter&amp;path_pc=pc/pages/requested/index?instanceId=7636292243996806880&amp;source=bitable&amp;path=pages/detail/index?instanceId=7636292243996806880&amp;source=bitable", "202605050037")</f>
        <v>202605050037</v>
      </c>
      <c r="B2462" t="inlineStr">
        <is>
          <t>Under Review</t>
        </is>
      </c>
      <c r="C2462" t="inlineStr">
        <is>
          <t>Procurement Order</t>
        </is>
      </c>
      <c r="D2462" s="3">
        <v>46147.6069212963</v>
      </c>
      <c r="E2462" s="3"/>
      <c r="F2462" t="inlineStr">
        <is>
          <t>Fatima Kathleen M. FLores</t>
        </is>
      </c>
      <c r="G2462" t="inlineStr">
        <is>
          <t>Procurement</t>
        </is>
      </c>
      <c r="H2462" t="inlineStr">
        <is>
          <t>Farah Lucky Ballesteros</t>
        </is>
      </c>
      <c r="I2462" t="inlineStr">
        <is>
          <t>Controller</t>
        </is>
      </c>
      <c r="J2462" t="inlineStr">
        <is>
          <t>Project</t>
        </is>
      </c>
      <c r="K2462" t="inlineStr">
        <is>
          <t>GG - Event Service</t>
        </is>
      </c>
      <c r="L2462" t="inlineStr">
        <is>
          <t>KIC 2025 - Mini Battle (GS)</t>
        </is>
      </c>
      <c r="M2462" t="inlineStr">
        <is>
          <t>2025TEG-P0314</t>
        </is>
      </c>
      <c r="N2462" t="inlineStr">
        <is>
          <t>Frances Angelita Arreglado</t>
        </is>
      </c>
      <c r="O2462" t="inlineStr">
        <is>
          <t>202601190146-Frances Angelita Arreglado-费用报销 - 副本 - 副本 - 副本-2026-01-19 11:22:09</t>
        </is>
      </c>
      <c r="P2462" t="inlineStr">
        <is>
          <t>NO</t>
        </is>
      </c>
      <c r="Q2462"/>
      <c r="R2462" t="inlineStr">
        <is>
          <t>NO</t>
        </is>
      </c>
      <c r="S2462" t="inlineStr">
        <is>
          <t>Asset Rental / Services</t>
        </is>
      </c>
      <c r="T2462">
        <v>1</v>
      </c>
      <c r="U2462">
        <v>1936634.56</v>
      </c>
      <c r="V2462" t="inlineStr">
        <is>
          <t>PHP</t>
        </is>
      </c>
      <c r="W2462">
        <v>1936634.56</v>
      </c>
      <c r="X2462" s="2" t="str">
        <f>=HYPERLINK("https://www.larksuite.com/approval/admin/previewAttachment?key=PMg7CgJBEATQK1V_tqvLy5jsMIgfEMQFgzm7YGD6qg3Vm0UJKXPBFivK5Z4hVaO6sXwZKdBYucZjnmcc2m_PHh_a_fpex2Wf42Wb6A5GZjQAO_09mJlSJX6ObwAAAP__", "3 attachment(s)")</f>
        <v>3 attachment(s)</v>
      </c>
      <c r="Y2462" t="inlineStr">
        <is>
          <t>Bank Transfer</t>
        </is>
      </c>
      <c r="Z2462" t="inlineStr">
        <is>
          <t>PILLAR DIGITAL E-COMMERCE INC.</t>
        </is>
      </c>
      <c r="AA2462" t="inlineStr">
        <is>
          <t>000004293135-3</t>
        </is>
      </c>
      <c r="AB2462" t="inlineStr">
        <is>
          <t>Security Bank</t>
        </is>
      </c>
      <c r="AC2462" t="inlineStr">
        <is>
          <t>9F Santolan Town Plaza, Col. Bonny Serrano Ave., San Juan City</t>
        </is>
      </c>
      <c r="AD2462" s="4">
        <v>46087</v>
      </c>
      <c r="AE2462" t="inlineStr">
        <is>
          <t>100% Full Payment</t>
        </is>
      </c>
      <c r="AF2462" s="2"/>
      <c r="AG2462" t="inlineStr">
        <is>
          <t>NzQyNTk5MTgyNzQ4MTg3MDM0MTpDMDY3MkYwOS0zNThCLTQ1QTQtODBDMy1DQjU5MzAzRTYwOTQtMTpjMmY5MzgyMjdlNjQ5ZGEwYTUzMjMyNjQyM2FjYjAzODox</t>
        </is>
      </c>
      <c r="AH2462" t="inlineStr">
        <is>
          <t>PILLAR DIGITAL E-COMMERCE INC.</t>
        </is>
      </c>
      <c r="AI2462"/>
      <c r="AJ2462" t="inlineStr">
        <is>
          <t>INTERNAL.</t>
        </is>
      </c>
      <c r="AK2462"/>
    </row>
    <row r="2463" ht="25.5" customHeight="1">
      <c r="A2463" s="2" t="str">
        <f>=HYPERLINK("https://applink.larksuite.com/client/mini_program/open?appId=cli_9c7cc8a9a9edd105&amp;mode=appCenter&amp;path_pc=pc/pages/requested/index?instanceId=7636335509941260000&amp;source=bitable&amp;path=pages/detail/index?instanceId=7636335509941260000&amp;source=bitable", "202605050091")</f>
        <v>202605050091</v>
      </c>
      <c r="B2463" t="inlineStr">
        <is>
          <t>Approved</t>
        </is>
      </c>
      <c r="C2463" t="inlineStr">
        <is>
          <t>Procurement Order</t>
        </is>
      </c>
      <c r="D2463" s="3">
        <v>46147.72351851852</v>
      </c>
      <c r="E2463" s="3">
        <v>46149.727118055554</v>
      </c>
      <c r="F2463" t="inlineStr">
        <is>
          <t>Fatima Kathleen M. FLores</t>
        </is>
      </c>
      <c r="G2463" t="inlineStr">
        <is>
          <t>Procurement</t>
        </is>
      </c>
      <c r="H2463"/>
      <c r="I2463"/>
      <c r="J2463" t="inlineStr">
        <is>
          <t>Project</t>
        </is>
      </c>
      <c r="K2463" t="inlineStr">
        <is>
          <t>PDEI - Game Marketing</t>
        </is>
      </c>
      <c r="L2463" t="inlineStr">
        <is>
          <t>Jobstreet Level Up v2</t>
        </is>
      </c>
      <c r="M2463" t="inlineStr">
        <is>
          <t>2025TEG-P0211</t>
        </is>
      </c>
      <c r="N2463" t="inlineStr">
        <is>
          <t>Maura Aurel Atilano Yap</t>
        </is>
      </c>
      <c r="O2463" t="inlineStr">
        <is>
          <t>202604080011-Maura Aurel Atilano Yap-费用报销 - 副本 - 副本 - 副本-2026-04-08 02:38:50</t>
        </is>
      </c>
      <c r="P2463" t="inlineStr">
        <is>
          <t>YES</t>
        </is>
      </c>
      <c r="Q2463"/>
      <c r="R2463" t="inlineStr">
        <is>
          <t>NO</t>
        </is>
      </c>
      <c r="S2463" t="inlineStr">
        <is>
          <t>Outsourced Logistics Associates (Ingress &amp; Egress)</t>
        </is>
      </c>
      <c r="T2463">
        <v>1</v>
      </c>
      <c r="U2463">
        <v>2600</v>
      </c>
      <c r="V2463" t="inlineStr">
        <is>
          <t>PHP</t>
        </is>
      </c>
      <c r="W2463">
        <v>2600</v>
      </c>
      <c r="X2463" s="2" t="str">
        <f>=HYPERLINK("https://www.larksuite.com/approval/admin/previewAttachment?key=PMgxCsJQEATQK8383b_zx8vYGIJFAoIoWOzZBQvbV4uoNRllpDkMtioqYk7YyVEA0KMpGaIqezv3KxXWcR58xOe1rX7fb_v25LTGgCIzFgBe_h7KTLsSP8c3AAD__w", "2 attachment(s)")</f>
        <v>2 attachment(s)</v>
      </c>
      <c r="Y2463" t="inlineStr">
        <is>
          <t>Bank Transfer</t>
        </is>
      </c>
      <c r="Z2463" t="inlineStr">
        <is>
          <t>Von Aloysius To</t>
        </is>
      </c>
      <c r="AA2463" t="inlineStr">
        <is>
          <t>934105046804</t>
        </is>
      </c>
      <c r="AB2463" t="inlineStr">
        <is>
          <t>AUB (Hello Money)</t>
        </is>
      </c>
      <c r="AC2463" t="inlineStr">
        <is>
          <t>Blk10 Lot18 Phase-C Brgy.Mulawin Francisco Homes SJDM</t>
        </is>
      </c>
      <c r="AD2463" s="4">
        <v>46164</v>
      </c>
      <c r="AE2463" t="inlineStr">
        <is>
          <t>100% Full Payment - May 22, 2026</t>
        </is>
      </c>
      <c r="AF2463" s="2"/>
      <c r="AG2463" t="inlineStr">
        <is>
          <t>NzQyNTk5MTgyNzQ4MTg3MDM0MTowMEMxM0I1RS1CMTc3LTQ2RUYtQUI0Ny05RTQ3QjFGRjUxMzQtMTo0YTFmNjExODJmOTRmYTBjZTQ2ZWM2ODhhNDI2YmY2Mjox</t>
        </is>
      </c>
      <c r="AH2463" t="inlineStr">
        <is>
          <t>Von Aloysius To</t>
        </is>
      </c>
      <c r="AI2463"/>
      <c r="AJ2463" t="inlineStr">
        <is>
          <t>LIQUIDITY PLAN (PAR # 202511040070 / 2025TEG-P0211)
MANPOWER &gt; LOGISTICS &gt;
Ingress Manpower
Egress Manpower
Total Remaining Budget = Php 7,800.00
Actual Cost = Php 2,600.00
Balance = Php 5,200.00</t>
        </is>
      </c>
      <c r="AK2463"/>
    </row>
    <row r="2464" ht="25.5" customHeight="1">
      <c r="A2464" s="2" t="str">
        <f>=HYPERLINK("https://applink.larksuite.com/client/mini_program/open?appId=cli_9c7cc8a9a9edd105&amp;mode=appCenter&amp;path_pc=pc/pages/requested/index?instanceId=7636338169335615196&amp;source=bitable&amp;path=pages/detail/index?instanceId=7636338169335615196&amp;source=bitable", "202605050093")</f>
        <v>202605050093</v>
      </c>
      <c r="B2464" t="inlineStr">
        <is>
          <t>Approved</t>
        </is>
      </c>
      <c r="C2464" t="inlineStr">
        <is>
          <t>Procurement Order</t>
        </is>
      </c>
      <c r="D2464" s="3">
        <v>46147.73068287037</v>
      </c>
      <c r="E2464" s="3">
        <v>46148.61891203704</v>
      </c>
      <c r="F2464" t="inlineStr">
        <is>
          <t>Fatima Kathleen M. FLores</t>
        </is>
      </c>
      <c r="G2464" t="inlineStr">
        <is>
          <t>Procurement</t>
        </is>
      </c>
      <c r="H2464"/>
      <c r="I2464"/>
      <c r="J2464" t="inlineStr">
        <is>
          <t>Project</t>
        </is>
      </c>
      <c r="K2464" t="inlineStr">
        <is>
          <t>PDEI - Game Marketing</t>
        </is>
      </c>
      <c r="L2464" t="inlineStr">
        <is>
          <t>SportsPlus MPBL Roadtrip Watchparty 2026</t>
        </is>
      </c>
      <c r="M2464" t="inlineStr">
        <is>
          <t>2026TEG-P0028</t>
        </is>
      </c>
      <c r="N2464" t="inlineStr">
        <is>
          <t>Kervin</t>
        </is>
      </c>
      <c r="O2464" t="inlineStr">
        <is>
          <t>202603260044-Kervin-费用报销 - 副本 - 副本 - 副本-2026-03-26 04:36:19</t>
        </is>
      </c>
      <c r="P2464" t="inlineStr">
        <is>
          <t>NO</t>
        </is>
      </c>
      <c r="Q2464"/>
      <c r="R2464" t="inlineStr">
        <is>
          <t>NO</t>
        </is>
      </c>
      <c r="S2464" t="inlineStr">
        <is>
          <t>Customized Basketball (Full Print)</t>
        </is>
      </c>
      <c r="T2464">
        <v>20</v>
      </c>
      <c r="U2464">
        <v>1500</v>
      </c>
      <c r="V2464" t="inlineStr">
        <is>
          <t>PHP</t>
        </is>
      </c>
      <c r="W2464">
        <v>30000</v>
      </c>
      <c r="X2464" s="2"/>
      <c r="Y2464" t="inlineStr">
        <is>
          <t>Check</t>
        </is>
      </c>
      <c r="Z2464" t="inlineStr">
        <is>
          <t>GTOG NON-CONTAINERIZED CARGO HANDLING TRANSPORT SERVICES</t>
        </is>
      </c>
      <c r="AA2464" t="inlineStr">
        <is>
          <t>012208000984</t>
        </is>
      </c>
      <c r="AB2464" t="inlineStr">
        <is>
          <t>BDO</t>
        </is>
      </c>
      <c r="AC2464" t="inlineStr">
        <is>
          <t>103 A. Biak na Bato St Barangay Sienna Quezon City</t>
        </is>
      </c>
      <c r="AD2464" s="4">
        <v>46150</v>
      </c>
      <c r="AE2464" t="inlineStr">
        <is>
          <t>50% Down Payment (Check) - May 8, 2026
50% Final Payment - 2 days before delivery</t>
        </is>
      </c>
      <c r="AF2464" s="2" t="str">
        <f>=HYPERLINK("https://www.larksuite.com/approval/admin/previewAttachment?key=TMg9igJREATgK1VN9avu3sts4jAo_iCIo8k7u2Bk-rkI16DciObS4EzLUtEtDXOwPZfJzEYyHXO9bv_Q-6naX6fz7Z5xmfvxsK0PumREjwg2AP79OIkuWV_HJwAA__8", "4 attachment(s)")</f>
        <v>4 attachment(s)</v>
      </c>
      <c r="AG2464" t="inlineStr">
        <is>
          <t>NzQyNTk5MTgyNzQ4MTg3MDM0MTo1OUQ1MDM5Ri1DMkYzLTQxMkMtOUJBRi0zMkI3N0ZFMUUwMTktMTo4MWFhNzYzZjE2ZmFmOWQzYTVlMWVlNWVkN2QzNmY1MTox</t>
        </is>
      </c>
      <c r="AH2464" t="inlineStr">
        <is>
          <t>GTOG NON-CONTAINERIZED CARGO HANDLING TRANSPORT SERVICES</t>
        </is>
      </c>
      <c r="AI2464"/>
      <c r="AJ2464" t="inlineStr">
        <is>
          <t>LIQUIDITY PLAN (PAR # 202603240070 / 2026TEG-P0028)
MERCH &gt; Basketball
Total Remaining Budget = Php 66,100.00
Actual Cost = Php 32,400.00
Balance = Php 33,700.00</t>
        </is>
      </c>
      <c r="AK2464"/>
    </row>
    <row r="2465" ht="25.5" customHeight="1">
      <c r="A2465" s="2" t="str">
        <f>=HYPERLINK("https://applink.larksuite.com/client/mini_program/open?appId=cli_9c7cc8a9a9edd105&amp;mode=appCenter&amp;path_pc=pc/pages/requested/index?instanceId=7636338169335615196&amp;source=bitable&amp;path=pages/detail/index?instanceId=7636338169335615196&amp;source=bitable", "202605050093")</f>
        <v>202605050093</v>
      </c>
      <c r="B2465" t="inlineStr">
        <is>
          <t>Approved</t>
        </is>
      </c>
      <c r="C2465" t="inlineStr">
        <is>
          <t>Procurement Order</t>
        </is>
      </c>
      <c r="D2465" s="3">
        <v>46147.73068287037</v>
      </c>
      <c r="E2465" s="3">
        <v>46148.61891203704</v>
      </c>
      <c r="F2465" t="inlineStr">
        <is>
          <t>Fatima Kathleen M. FLores</t>
        </is>
      </c>
      <c r="G2465" t="inlineStr">
        <is>
          <t>Procurement</t>
        </is>
      </c>
      <c r="H2465"/>
      <c r="I2465"/>
      <c r="J2465" t="inlineStr">
        <is>
          <t>Project</t>
        </is>
      </c>
      <c r="K2465" t="inlineStr">
        <is>
          <t>PDEI - Game Marketing</t>
        </is>
      </c>
      <c r="L2465" t="inlineStr">
        <is>
          <t>SportsPlus MPBL Roadtrip Watchparty 2026</t>
        </is>
      </c>
      <c r="M2465" t="inlineStr">
        <is>
          <t>2026TEG-P0028</t>
        </is>
      </c>
      <c r="N2465" t="inlineStr">
        <is>
          <t>Kervin</t>
        </is>
      </c>
      <c r="O2465" t="inlineStr">
        <is>
          <t>202603260044-Kervin-费用报销 - 副本 - 副本 - 副本-2026-03-26 04:36:19</t>
        </is>
      </c>
      <c r="P2465" t="inlineStr">
        <is>
          <t>NO</t>
        </is>
      </c>
      <c r="Q2465"/>
      <c r="R2465" t="inlineStr">
        <is>
          <t>NO</t>
        </is>
      </c>
      <c r="S2465" t="inlineStr">
        <is>
          <t>Gold Lining</t>
        </is>
      </c>
      <c r="T2465">
        <v>20</v>
      </c>
      <c r="U2465">
        <v>35</v>
      </c>
      <c r="V2465" t="inlineStr">
        <is>
          <t>PHP</t>
        </is>
      </c>
      <c r="W2465">
        <v>700</v>
      </c>
      <c r="X2465" s="2"/>
      <c r="Y2465"/>
      <c r="Z2465"/>
      <c r="AA2465"/>
      <c r="AB2465"/>
      <c r="AC2465"/>
      <c r="AD2465" s="4"/>
      <c r="AE2465"/>
      <c r="AF2465" s="2"/>
      <c r="AG2465" t="inlineStr">
        <is>
          <t>NzQyNTk5MTgyNzQ4MTg3MDM0MTo1OUQ1MDM5Ri1DMkYzLTQxMkMtOUJBRi0zMkI3N0ZFMUUwMTktMjo0MjE2YmUxNWI0ZDVhODFjMGU1MzQ3OTQwZTU4YjE1Nzox</t>
        </is>
      </c>
      <c r="AH2465"/>
      <c r="AI2465"/>
      <c r="AJ2465" t="inlineStr">
        <is>
          <t>LIQUIDITY PLAN (PAR # 202603240070 / 2026TEG-P0028)
MERCH &gt; Basketball
Total Remaining Budget = Php 66,100.00
Actual Cost = Php 32,400.00
Balance = Php 33,700.00</t>
        </is>
      </c>
      <c r="AK2465"/>
    </row>
    <row r="2466" ht="25.5" customHeight="1">
      <c r="A2466" s="2" t="str">
        <f>=HYPERLINK("https://applink.larksuite.com/client/mini_program/open?appId=cli_9c7cc8a9a9edd105&amp;mode=appCenter&amp;path_pc=pc/pages/requested/index?instanceId=7636338169335615196&amp;source=bitable&amp;path=pages/detail/index?instanceId=7636338169335615196&amp;source=bitable", "202605050093")</f>
        <v>202605050093</v>
      </c>
      <c r="B2466" t="inlineStr">
        <is>
          <t>Approved</t>
        </is>
      </c>
      <c r="C2466" t="inlineStr">
        <is>
          <t>Procurement Order</t>
        </is>
      </c>
      <c r="D2466" s="3">
        <v>46147.73068287037</v>
      </c>
      <c r="E2466" s="3">
        <v>46148.61891203704</v>
      </c>
      <c r="F2466" t="inlineStr">
        <is>
          <t>Fatima Kathleen M. FLores</t>
        </is>
      </c>
      <c r="G2466" t="inlineStr">
        <is>
          <t>Procurement</t>
        </is>
      </c>
      <c r="H2466"/>
      <c r="I2466"/>
      <c r="J2466" t="inlineStr">
        <is>
          <t>Project</t>
        </is>
      </c>
      <c r="K2466" t="inlineStr">
        <is>
          <t>PDEI - Game Marketing</t>
        </is>
      </c>
      <c r="L2466" t="inlineStr">
        <is>
          <t>SportsPlus MPBL Roadtrip Watchparty 2026</t>
        </is>
      </c>
      <c r="M2466" t="inlineStr">
        <is>
          <t>2026TEG-P0028</t>
        </is>
      </c>
      <c r="N2466" t="inlineStr">
        <is>
          <t>Kervin</t>
        </is>
      </c>
      <c r="O2466" t="inlineStr">
        <is>
          <t>202603260044-Kervin-费用报销 - 副本 - 副本 - 副本-2026-03-26 04:36:19</t>
        </is>
      </c>
      <c r="P2466" t="inlineStr">
        <is>
          <t>NO</t>
        </is>
      </c>
      <c r="Q2466"/>
      <c r="R2466" t="inlineStr">
        <is>
          <t>NO</t>
        </is>
      </c>
      <c r="S2466" t="inlineStr">
        <is>
          <t>Additional Logo</t>
        </is>
      </c>
      <c r="T2466">
        <v>20</v>
      </c>
      <c r="U2466">
        <v>85</v>
      </c>
      <c r="V2466" t="inlineStr">
        <is>
          <t>PHP</t>
        </is>
      </c>
      <c r="W2466">
        <v>1700</v>
      </c>
      <c r="X2466" s="2" t="str">
        <f>=HYPERLINK("https://www.larksuite.com/approval/admin/previewAttachment?key=PMg7CgJBEATQK1VN9VRPexkTl0XxgyCuJnN2wWDT50F4dMqFKLYCZ1qWBl1SNzvLs01mFpLpmMt9PULft8b2uVwfz4zb3M6ndXmxV7aGVIQGAB52V0ZElQN_b78AAAD__w", "2 attachment(s)")</f>
        <v>2 attachment(s)</v>
      </c>
      <c r="Y2466"/>
      <c r="Z2466"/>
      <c r="AA2466"/>
      <c r="AB2466"/>
      <c r="AC2466"/>
      <c r="AD2466" s="4"/>
      <c r="AE2466"/>
      <c r="AF2466" s="2"/>
      <c r="AG2466" t="inlineStr">
        <is>
          <t>NzQyNTk5MTgyNzQ4MTg3MDM0MTo1OUQ1MDM5Ri1DMkYzLTQxMkMtOUJBRi0zMkI3N0ZFMUUwMTktMzowOTlmZWVlMDVkYTFmMGUyNzY2MTk5M2Q5Y2QxMDg4NTox</t>
        </is>
      </c>
      <c r="AH2466"/>
      <c r="AI2466"/>
      <c r="AJ2466" t="inlineStr">
        <is>
          <t>LIQUIDITY PLAN (PAR # 202603240070 / 2026TEG-P0028)
MERCH &gt; Basketball
Total Remaining Budget = Php 66,100.00
Actual Cost = Php 32,400.00
Balance = Php 33,700.00</t>
        </is>
      </c>
      <c r="AK2466"/>
    </row>
    <row r="2467" ht="25.5" customHeight="1">
      <c r="A2467" s="2" t="str">
        <f>=HYPERLINK("https://applink.larksuite.com/client/mini_program/open?appId=cli_9c7cc8a9a9edd105&amp;mode=appCenter&amp;path_pc=pc/pages/requested/index?instanceId=7636324918430273250&amp;source=bitable&amp;path=pages/detail/index?instanceId=7636324918430273250&amp;source=bitable", "202605050078")</f>
        <v>202605050078</v>
      </c>
      <c r="B2467" t="inlineStr">
        <is>
          <t>Approved</t>
        </is>
      </c>
      <c r="C2467" t="inlineStr">
        <is>
          <t>Procurement Order</t>
        </is>
      </c>
      <c r="D2467" s="3">
        <v>46147.69497685185</v>
      </c>
      <c r="E2467" s="3">
        <v>46149.72589120371</v>
      </c>
      <c r="F2467" t="inlineStr">
        <is>
          <t>Fatima Kathleen M. FLores</t>
        </is>
      </c>
      <c r="G2467" t="inlineStr">
        <is>
          <t>Procurement</t>
        </is>
      </c>
      <c r="H2467"/>
      <c r="I2467"/>
      <c r="J2467" t="inlineStr">
        <is>
          <t>Project</t>
        </is>
      </c>
      <c r="K2467" t="inlineStr">
        <is>
          <t>PDEI - Game Marketing</t>
        </is>
      </c>
      <c r="L2467" t="inlineStr">
        <is>
          <t>Jobstreet Level Up v2</t>
        </is>
      </c>
      <c r="M2467" t="inlineStr">
        <is>
          <t>2025TEG-P0211</t>
        </is>
      </c>
      <c r="N2467" t="inlineStr">
        <is>
          <t>Maura Aurel Atilano Yap</t>
        </is>
      </c>
      <c r="O2467" t="inlineStr">
        <is>
          <t>202604080011-Maura Aurel Atilano Yap-费用报销 - 副本 - 副本 - 副本-2026-04-08 02:38:50</t>
        </is>
      </c>
      <c r="P2467" t="inlineStr">
        <is>
          <t>YES</t>
        </is>
      </c>
      <c r="Q2467"/>
      <c r="R2467" t="inlineStr">
        <is>
          <t>NO</t>
        </is>
      </c>
      <c r="S2467" t="inlineStr">
        <is>
          <t>Outsourced Logistics Associates (Ingress &amp; Egress)</t>
        </is>
      </c>
      <c r="T2467">
        <v>1</v>
      </c>
      <c r="U2467">
        <v>2600</v>
      </c>
      <c r="V2467" t="inlineStr">
        <is>
          <t>PHP</t>
        </is>
      </c>
      <c r="W2467">
        <v>2600</v>
      </c>
      <c r="X2467" s="2" t="str">
        <f>=HYPERLINK("https://www.larksuite.com/approval/admin/previewAttachment?key=PMgxCkJBDATQK80ks8nGy9i4fAQRBFG2ydkFi9--mETMQY-CilZgZ3i4qTjlsHQbaGtmFpIZ6vU8rsnxIR9r7NfcW_2934715qg0Q7rkEwAvp3tKqgrh7_gFAAD__w", "2 attachment(s)")</f>
        <v>2 attachment(s)</v>
      </c>
      <c r="Y2467" t="inlineStr">
        <is>
          <t>Bank Transfer</t>
        </is>
      </c>
      <c r="Z2467" t="inlineStr">
        <is>
          <t>Arhies Arrozal</t>
        </is>
      </c>
      <c r="AA2467" t="inlineStr">
        <is>
          <t>109860702121</t>
        </is>
      </c>
      <c r="AB2467" t="inlineStr">
        <is>
          <t>Unionbank</t>
        </is>
      </c>
      <c r="AC2467" t="inlineStr">
        <is>
          <t>Blk 03 Lot 16 Cresdaville 2 Brgy San Juan Taytay Rizal</t>
        </is>
      </c>
      <c r="AD2467" s="4">
        <v>46164</v>
      </c>
      <c r="AE2467" t="inlineStr">
        <is>
          <t>100% Full Payment - May 22, 2026</t>
        </is>
      </c>
      <c r="AF2467" s="2"/>
      <c r="AG2467" t="inlineStr">
        <is>
          <t>NzQyNTk5MTgyNzQ4MTg3MDM0MTpBMDEzQTZGNy1CNzUxLTQ3QUUtODc4Mi0zODcwRTE3QjlEOUMtMTo1YTJhZjRjODU4YTAzNzg0NDZhY2U5MjA2OGZmZGU2Zjox</t>
        </is>
      </c>
      <c r="AH2467" t="inlineStr">
        <is>
          <t>Arhies Arrozal</t>
        </is>
      </c>
      <c r="AI2467"/>
      <c r="AJ2467" t="inlineStr">
        <is>
          <t>LIQUIDITY PLAN (PAR # 202511040070 / 2025TEG-P0211)
MANPOWER &gt; LOGISTICS &gt;
Ingress Manpower
Egress Manpower
Total Remaining Budget = Php 10,400.00
Actual Cost = Php 2,600.00
Balance = Php 7,800.00</t>
        </is>
      </c>
      <c r="AK2467"/>
    </row>
    <row r="2468" ht="25.5" customHeight="1">
      <c r="A2468" s="2" t="str">
        <f>=HYPERLINK("https://applink.larksuite.com/client/mini_program/open?appId=cli_9c7cc8a9a9edd105&amp;mode=appCenter&amp;path_pc=pc/pages/requested/index?instanceId=7636671771675987675&amp;source=bitable&amp;path=pages/detail/index?instanceId=7636671771675987675&amp;source=bitable", "202605060045")</f>
        <v>202605060045</v>
      </c>
      <c r="B2468" t="inlineStr">
        <is>
          <t>Approved</t>
        </is>
      </c>
      <c r="C2468" t="inlineStr">
        <is>
          <t>Procurement Order</t>
        </is>
      </c>
      <c r="D2468" s="3">
        <v>46148.62967592593</v>
      </c>
      <c r="E2468" s="3">
        <v>46148.64172453704</v>
      </c>
      <c r="F2468" t="inlineStr">
        <is>
          <t>Fatima Kathleen M. FLores</t>
        </is>
      </c>
      <c r="G2468" t="inlineStr">
        <is>
          <t>Procurement</t>
        </is>
      </c>
      <c r="H2468"/>
      <c r="I2468"/>
      <c r="J2468" t="inlineStr">
        <is>
          <t>GAE</t>
        </is>
      </c>
      <c r="K2468"/>
      <c r="L2468"/>
      <c r="M2468"/>
      <c r="N2468"/>
      <c r="O2468" t="inlineStr">
        <is>
          <t>202605060035-Juvie Anne Asis Castres-费用报销 - 副本 - 副本 - 副本-2026-05-06 06:14:58</t>
        </is>
      </c>
      <c r="P2468"/>
      <c r="Q2468" t="inlineStr">
        <is>
          <t>Project Management</t>
        </is>
      </c>
      <c r="R2468"/>
      <c r="S2468" t="inlineStr">
        <is>
          <t>Outsourced Services (Technical Drawings for SIGMA Asia)</t>
        </is>
      </c>
      <c r="T2468">
        <v>1</v>
      </c>
      <c r="U2468">
        <v>20000</v>
      </c>
      <c r="V2468" t="inlineStr">
        <is>
          <t>PHP</t>
        </is>
      </c>
      <c r="W2468">
        <v>20000</v>
      </c>
      <c r="X2468" s="2" t="str">
        <f>=HYPERLINK("https://www.larksuite.com/approval/admin/previewAttachment?key=PMhBCoIhFATgK83oc8bXZdooPxUEQSS18OxBi7afOqHeWJWIZElwW1Uybcotu-W2y6adMK3Y836cP6vM12OsuA6-b97rMo75ZEuXAteI2gHw9PfqiMhU4Of4BgAA__8", "2 attachment(s)")</f>
        <v>2 attachment(s)</v>
      </c>
      <c r="Y2468" t="inlineStr">
        <is>
          <t>Bank Transfer</t>
        </is>
      </c>
      <c r="Z2468" t="inlineStr">
        <is>
          <t>Romeo O. Cadua Jr.</t>
        </is>
      </c>
      <c r="AA2468" t="inlineStr">
        <is>
          <t>50010011101</t>
        </is>
      </c>
      <c r="AB2468" t="inlineStr">
        <is>
          <t>UCPB</t>
        </is>
      </c>
      <c r="AC2468" t="inlineStr">
        <is>
          <t>Blk 18 Lot 5 Ph 2 Pkg. 1, Brgy. 176 Bagong Silang, Caloocan City</t>
        </is>
      </c>
      <c r="AD2468" s="4">
        <v>46149</v>
      </c>
      <c r="AE2468" t="inlineStr">
        <is>
          <t>50% Down payment - May 7, 2026
50% Final payment before release of drawings</t>
        </is>
      </c>
      <c r="AF2468" s="2" t="str">
        <f>=HYPERLINK("https://www.larksuite.com/approval/admin/previewAttachment?key=TMhBCoIhFATgK83oc8bXZdooPxUEQSS18OxBq7afOqHeWJWIZElwW1Uybcotu-W2y6adMK3Y836cP6vM12OsuA6-b97rMo75pHoVIlsEEwBPf04ie1X9Ob4BAAD__w", "1 attachment(s)")</f>
        <v>1 attachment(s)</v>
      </c>
      <c r="AG2468" t="inlineStr">
        <is>
          <t>NzQyNTk5MTgyNzQ4MTg3MDM0MTo2MUE0MjQ1NS05OUMyLTQwOUMtQUQyNS0zMjUwNUQ4QTRDM0ItMToxOGMwYjc2MGYxMmE5MzBkZmE2OGViNDE3MGM3YWUxOTox</t>
        </is>
      </c>
      <c r="AH2468" t="inlineStr">
        <is>
          <t>CADUA METAL FABRICATION WORKS</t>
        </is>
      </c>
      <c r="AI2468"/>
      <c r="AJ2468"/>
      <c r="AK2468" t="inlineStr">
        <is>
          <t>Juvie Anne Asis Castres</t>
        </is>
      </c>
    </row>
    <row r="2469" ht="25.5" customHeight="1">
      <c r="A2469" s="2" t="str">
        <f>=HYPERLINK("https://applink.larksuite.com/client/mini_program/open?appId=cli_9c7cc8a9a9edd105&amp;mode=appCenter&amp;path_pc=pc/pages/requested/index?instanceId=7636667202267025117&amp;source=bitable&amp;path=pages/detail/index?instanceId=7636667202267025117&amp;source=bitable", "202605060040")</f>
        <v>202605060040</v>
      </c>
      <c r="B2469" t="inlineStr">
        <is>
          <t>Under Review</t>
        </is>
      </c>
      <c r="C2469" t="inlineStr">
        <is>
          <t>Procurement Order</t>
        </is>
      </c>
      <c r="D2469" s="3">
        <v>46148.61736111111</v>
      </c>
      <c r="E2469" s="3"/>
      <c r="F2469" t="inlineStr">
        <is>
          <t>Fatima Kathleen M. FLores</t>
        </is>
      </c>
      <c r="G2469" t="inlineStr">
        <is>
          <t>Procurement</t>
        </is>
      </c>
      <c r="H2469" t="inlineStr">
        <is>
          <t>Dar</t>
        </is>
      </c>
      <c r="I2469" t="inlineStr">
        <is>
          <t>Approval</t>
        </is>
      </c>
      <c r="J2469" t="inlineStr">
        <is>
          <t>GAE</t>
        </is>
      </c>
      <c r="K2469"/>
      <c r="L2469"/>
      <c r="M2469"/>
      <c r="N2469"/>
      <c r="O2469" t="inlineStr">
        <is>
          <t>202604300006-Rachel Anne Aquino-费用报销 - 副本 - 副本 - 副本-2026-04-30 02:03:59</t>
        </is>
      </c>
      <c r="P2469"/>
      <c r="Q2469" t="inlineStr">
        <is>
          <t>Mineski PH</t>
        </is>
      </c>
      <c r="R2469"/>
      <c r="S2469" t="inlineStr">
        <is>
          <t>SOPHOS ENDPOINT - USER (3yrs Subscription)</t>
        </is>
      </c>
      <c r="T2469">
        <v>100</v>
      </c>
      <c r="U2469">
        <v>6800</v>
      </c>
      <c r="V2469" t="inlineStr">
        <is>
          <t>PHP</t>
        </is>
      </c>
      <c r="W2469">
        <v>680000</v>
      </c>
      <c r="X2469" s="2"/>
      <c r="Y2469" t="inlineStr">
        <is>
          <t>Bank Transfer</t>
        </is>
      </c>
      <c r="Z2469" t="inlineStr">
        <is>
          <t>Direc Business Technologies, Inc.</t>
        </is>
      </c>
      <c r="AA2469" t="inlineStr">
        <is>
          <t>2-0002-2070-133</t>
        </is>
      </c>
      <c r="AB2469" t="inlineStr">
        <is>
          <t>Eastwest Bank</t>
        </is>
      </c>
      <c r="AC2469" t="inlineStr">
        <is>
          <t>4/F VICTORIA ONE 1670 QUEZON AVE. SOUTH TRIANGLE QUEZON CITY</t>
        </is>
      </c>
      <c r="AD2469" s="4">
        <v>46157</v>
      </c>
      <c r="AE2469" t="inlineStr">
        <is>
          <t>70% Down Payment upon signing of agreement
30% Final Payment - 30 days from receipt of signed agreement</t>
        </is>
      </c>
      <c r="AF2469" s="2" t="str">
        <f>=HYPERLINK("https://www.larksuite.com/approval/admin/previewAttachment?key=TMgxDsJADATAL-3avvWZz9AkipAIFVKOxm9HoqIdTUJz0FWIohXYKZeUBjMlbJDZ1swsJFPR--u4X1zjuc79xLLPxr4e27G_qelC1IhgAeDtz0nUdPnP8Q0AAP__", "3 attachment(s)")</f>
        <v>3 attachment(s)</v>
      </c>
      <c r="AG2469" t="inlineStr">
        <is>
          <t>NzQyNTk5MTgyNzQ4MTg3MDM0MTpGNjMyQ0I2Ri1GRjM2LTQ3MTQtQTA1My0zOTg1MzlEMTlGODItMToyMGYyYTE0ZTYyMTYzZWY3NWFlZTRlNDNkYjhlNDhhZTox</t>
        </is>
      </c>
      <c r="AH2469" t="inlineStr">
        <is>
          <t>Direc Business Technologies, Inc.</t>
        </is>
      </c>
      <c r="AI2469"/>
      <c r="AJ2469"/>
      <c r="AK2469" t="inlineStr">
        <is>
          <t>Rachel Anne Aquino</t>
        </is>
      </c>
    </row>
    <row r="2470" ht="25.5" customHeight="1">
      <c r="A2470" s="2" t="str">
        <f>=HYPERLINK("https://applink.larksuite.com/client/mini_program/open?appId=cli_9c7cc8a9a9edd105&amp;mode=appCenter&amp;path_pc=pc/pages/requested/index?instanceId=7636667202267025117&amp;source=bitable&amp;path=pages/detail/index?instanceId=7636667202267025117&amp;source=bitable", "202605060040")</f>
        <v>202605060040</v>
      </c>
      <c r="B2470" t="inlineStr">
        <is>
          <t>Under Review</t>
        </is>
      </c>
      <c r="C2470" t="inlineStr">
        <is>
          <t>Procurement Order</t>
        </is>
      </c>
      <c r="D2470" s="3">
        <v>46148.61736111111</v>
      </c>
      <c r="E2470" s="3"/>
      <c r="F2470" t="inlineStr">
        <is>
          <t>Fatima Kathleen M. FLores</t>
        </is>
      </c>
      <c r="G2470" t="inlineStr">
        <is>
          <t>Procurement</t>
        </is>
      </c>
      <c r="H2470" t="inlineStr">
        <is>
          <t>Dar</t>
        </is>
      </c>
      <c r="I2470" t="inlineStr">
        <is>
          <t>Approval</t>
        </is>
      </c>
      <c r="J2470" t="inlineStr">
        <is>
          <t>GAE</t>
        </is>
      </c>
      <c r="K2470"/>
      <c r="L2470"/>
      <c r="M2470"/>
      <c r="N2470"/>
      <c r="O2470" t="inlineStr">
        <is>
          <t>202604300006-Rachel Anne Aquino-费用报销 - 副本 - 副本 - 副本-2026-04-30 02:03:59</t>
        </is>
      </c>
      <c r="P2470"/>
      <c r="Q2470" t="inlineStr">
        <is>
          <t>Mineski PH</t>
        </is>
      </c>
      <c r="R2470"/>
      <c r="S2470" t="inlineStr">
        <is>
          <t>Deployment &amp; Configuration Services: One (1) Man-day</t>
        </is>
      </c>
      <c r="T2470">
        <v>1</v>
      </c>
      <c r="U2470">
        <v>16800</v>
      </c>
      <c r="V2470" t="inlineStr">
        <is>
          <t>PHP</t>
        </is>
      </c>
      <c r="W2470">
        <v>16800</v>
      </c>
      <c r="X2470" s="2"/>
      <c r="Y2470"/>
      <c r="Z2470"/>
      <c r="AA2470"/>
      <c r="AB2470"/>
      <c r="AC2470"/>
      <c r="AD2470" s="4"/>
      <c r="AE2470"/>
      <c r="AF2470" s="2"/>
      <c r="AG2470" t="inlineStr">
        <is>
          <t>NzQyNTk5MTgyNzQ4MTg3MDM0MTpGNjMyQ0I2Ri1GRjM2LTQ3MTQtQTA1My0zOTg1MzlEMTlGODItMjo4YmQyNjkxNmI4NDFjNzUxMGU2YTYxMDBlOWQxNDM1Nzox</t>
        </is>
      </c>
      <c r="AH2470"/>
      <c r="AI2470"/>
      <c r="AJ2470"/>
      <c r="AK2470" t="inlineStr">
        <is>
          <t>Rachel Anne Aquino</t>
        </is>
      </c>
    </row>
    <row r="2471" ht="25.5" customHeight="1">
      <c r="A2471" s="2" t="str">
        <f>=HYPERLINK("https://applink.larksuite.com/client/mini_program/open?appId=cli_9c7cc8a9a9edd105&amp;mode=appCenter&amp;path_pc=pc/pages/requested/index?instanceId=7636667202267025117&amp;source=bitable&amp;path=pages/detail/index?instanceId=7636667202267025117&amp;source=bitable", "202605060040")</f>
        <v>202605060040</v>
      </c>
      <c r="B2471" t="inlineStr">
        <is>
          <t>Under Review</t>
        </is>
      </c>
      <c r="C2471" t="inlineStr">
        <is>
          <t>Procurement Order</t>
        </is>
      </c>
      <c r="D2471" s="3">
        <v>46148.61736111111</v>
      </c>
      <c r="E2471" s="3"/>
      <c r="F2471" t="inlineStr">
        <is>
          <t>Fatima Kathleen M. FLores</t>
        </is>
      </c>
      <c r="G2471" t="inlineStr">
        <is>
          <t>Procurement</t>
        </is>
      </c>
      <c r="H2471" t="inlineStr">
        <is>
          <t>Dar</t>
        </is>
      </c>
      <c r="I2471" t="inlineStr">
        <is>
          <t>Approval</t>
        </is>
      </c>
      <c r="J2471" t="inlineStr">
        <is>
          <t>GAE</t>
        </is>
      </c>
      <c r="K2471"/>
      <c r="L2471"/>
      <c r="M2471"/>
      <c r="N2471"/>
      <c r="O2471" t="inlineStr">
        <is>
          <t>202604300006-Rachel Anne Aquino-费用报销 - 副本 - 副本 - 副本-2026-04-30 02:03:59</t>
        </is>
      </c>
      <c r="P2471"/>
      <c r="Q2471" t="inlineStr">
        <is>
          <t>Mineski PH</t>
        </is>
      </c>
      <c r="R2471"/>
      <c r="S2471" t="inlineStr">
        <is>
          <t>MAINTENANCE AND SUPPORT: Two (2) Man-days (valid until the end of subscription)</t>
        </is>
      </c>
      <c r="T2471">
        <v>2</v>
      </c>
      <c r="U2471">
        <v>16800</v>
      </c>
      <c r="V2471" t="inlineStr">
        <is>
          <t>PHP</t>
        </is>
      </c>
      <c r="W2471">
        <v>33600</v>
      </c>
      <c r="X2471" s="2" t="str">
        <f>=HYPERLINK("https://www.larksuite.com/approval/admin/previewAttachment?key=PMgxDsIwFAPQK9k_P3Y_l2FpVCFRJqSGJWdHYmB92ghtnU2FLEaBy2qSHIiQEZ30ikW7YFq5xuu4X5z9Oc9xYsZn57oe-zHe7OUIuGW2DQBvf2_OzColfh7fAAAA__8", "2 attachment(s)")</f>
        <v>2 attachment(s)</v>
      </c>
      <c r="Y2471"/>
      <c r="Z2471"/>
      <c r="AA2471"/>
      <c r="AB2471"/>
      <c r="AC2471"/>
      <c r="AD2471" s="4"/>
      <c r="AE2471"/>
      <c r="AF2471" s="2"/>
      <c r="AG2471" t="inlineStr">
        <is>
          <t>NzQyNTk5MTgyNzQ4MTg3MDM0MTpGNjMyQ0I2Ri1GRjM2LTQ3MTQtQTA1My0zOTg1MzlEMTlGODItMzo5NWQ3YWRiYjIzNjRiOGM5MTgxYjFlOWViYzg2ZGMwZTox</t>
        </is>
      </c>
      <c r="AH2471"/>
      <c r="AI2471"/>
      <c r="AJ2471"/>
      <c r="AK2471" t="inlineStr">
        <is>
          <t>Rachel Anne Aquino</t>
        </is>
      </c>
    </row>
    <row r="2472" ht="25.5" customHeight="1">
      <c r="A2472" s="2" t="str">
        <f>=HYPERLINK("https://applink.larksuite.com/client/mini_program/open?appId=cli_9c7cc8a9a9edd105&amp;mode=appCenter&amp;path_pc=pc/pages/requested/index?instanceId=7636714914534510303&amp;source=bitable&amp;path=pages/detail/index?instanceId=7636714914534510303&amp;source=bitable", "202605060088")</f>
        <v>202605060088</v>
      </c>
      <c r="B2472" t="inlineStr">
        <is>
          <t>Approved</t>
        </is>
      </c>
      <c r="C2472" t="inlineStr">
        <is>
          <t>Procurement Order</t>
        </is>
      </c>
      <c r="D2472" s="3">
        <v>46148.7459375</v>
      </c>
      <c r="E2472" s="3">
        <v>46149.73358796296</v>
      </c>
      <c r="F2472" t="inlineStr">
        <is>
          <t>Fatima Kathleen M. FLores</t>
        </is>
      </c>
      <c r="G2472" t="inlineStr">
        <is>
          <t>Procurement</t>
        </is>
      </c>
      <c r="H2472"/>
      <c r="I2472"/>
      <c r="J2472" t="inlineStr">
        <is>
          <t>Project</t>
        </is>
      </c>
      <c r="K2472" t="inlineStr">
        <is>
          <t>PDEI - Game Marketing</t>
        </is>
      </c>
      <c r="L2472" t="inlineStr">
        <is>
          <t>CRIF VIA Vendor Fair 2026</t>
        </is>
      </c>
      <c r="M2472" t="inlineStr">
        <is>
          <t>2026TEG-P0101</t>
        </is>
      </c>
      <c r="N2472" t="inlineStr">
        <is>
          <t>Petronilo Cruz Samson Jr.</t>
        </is>
      </c>
      <c r="O2472" t="inlineStr">
        <is>
          <t>202604300052-Petronilo Cruz Samson Jr.-费用报销 - 副本 - 副本 - 副本-2026-04-30 09:04:42</t>
        </is>
      </c>
      <c r="P2472" t="inlineStr">
        <is>
          <t>YES</t>
        </is>
      </c>
      <c r="Q2472"/>
      <c r="R2472" t="inlineStr">
        <is>
          <t>NO</t>
        </is>
      </c>
      <c r="S2472" t="inlineStr">
        <is>
          <t>Outsourced Logistics Associate (Egress)</t>
        </is>
      </c>
      <c r="T2472">
        <v>1</v>
      </c>
      <c r="U2472">
        <v>1500</v>
      </c>
      <c r="V2472" t="inlineStr">
        <is>
          <t>PHP</t>
        </is>
      </c>
      <c r="W2472">
        <v>1500</v>
      </c>
      <c r="X2472" s="2" t="str">
        <f>=HYPERLINK("https://www.larksuite.com/approval/admin/previewAttachment?key=PMgxqgJBEATQK1VN13RN_8v8xGUwEQRx2aTPLhiYvlxErsnIgoqjwHZGmipqhiYRiB5Nu2A6s4_H_kdcb43pdZ3ruaPP-20fL87yGHBIsQDw7-dhSVUpfB2fAAAA__8", "2 attachment(s)")</f>
        <v>2 attachment(s)</v>
      </c>
      <c r="Y2472" t="inlineStr">
        <is>
          <t>Bank Transfer</t>
        </is>
      </c>
      <c r="Z2472" t="inlineStr">
        <is>
          <t>Jacinto Garado</t>
        </is>
      </c>
      <c r="AA2472" t="inlineStr">
        <is>
          <t>09541707188</t>
        </is>
      </c>
      <c r="AB2472" t="inlineStr">
        <is>
          <t>GCash</t>
        </is>
      </c>
      <c r="AC2472" t="inlineStr">
        <is>
          <t>142-2 WEST BANK RD MAYBUNGA PASIG CITY</t>
        </is>
      </c>
      <c r="AD2472" s="4">
        <v>46164</v>
      </c>
      <c r="AE2472" t="inlineStr">
        <is>
          <t>100% Full Payment - May 22, 2026</t>
        </is>
      </c>
      <c r="AF2472" s="2"/>
      <c r="AG2472" t="inlineStr">
        <is>
          <t>NzQyNTk5MTgyNzQ4MTg3MDM0MToyRUUwQjhGOS03MDJGLTQ2QTItODRCMC1CRDUxMTA0OTJFNkQtMTphMjEwZWZlODY2ZjdkNzc2ZGJjNmY2NjczYjU2MDc4ZTox</t>
        </is>
      </c>
      <c r="AH2472" t="inlineStr">
        <is>
          <t>Jacinto Garado</t>
        </is>
      </c>
      <c r="AI2472"/>
      <c r="AJ2472" t="inlineStr">
        <is>
          <t>LIQUIDITY PLAN (PAR # 202604290018 / 2026TEG-P0101)
MANPOWER &gt;
Ingress Manpower
Egress Manpower
Total Budget = Php 15,000.00
Actual Cost = Php 1,500.00
Balance = Php 13,500.00</t>
        </is>
      </c>
      <c r="AK2472"/>
    </row>
    <row r="2473" ht="25.5" customHeight="1">
      <c r="A2473" s="2" t="str">
        <f>=HYPERLINK("https://applink.larksuite.com/client/mini_program/open?appId=cli_9c7cc8a9a9edd105&amp;mode=appCenter&amp;path_pc=pc/pages/requested/index?instanceId=7636715692619730652&amp;source=bitable&amp;path=pages/detail/index?instanceId=7636715692619730652&amp;source=bitable", "202605060091")</f>
        <v>202605060091</v>
      </c>
      <c r="B2473" t="inlineStr">
        <is>
          <t>Approved</t>
        </is>
      </c>
      <c r="C2473" t="inlineStr">
        <is>
          <t>Procurement Order</t>
        </is>
      </c>
      <c r="D2473" s="3">
        <v>46148.748032407406</v>
      </c>
      <c r="E2473" s="3">
        <v>46149.73299768518</v>
      </c>
      <c r="F2473" t="inlineStr">
        <is>
          <t>Fatima Kathleen M. FLores</t>
        </is>
      </c>
      <c r="G2473" t="inlineStr">
        <is>
          <t>Procurement</t>
        </is>
      </c>
      <c r="H2473"/>
      <c r="I2473"/>
      <c r="J2473" t="inlineStr">
        <is>
          <t>Project</t>
        </is>
      </c>
      <c r="K2473" t="inlineStr">
        <is>
          <t>PDEI - Game Marketing</t>
        </is>
      </c>
      <c r="L2473" t="inlineStr">
        <is>
          <t>CRIF VIA Vendor Fair 2026</t>
        </is>
      </c>
      <c r="M2473" t="inlineStr">
        <is>
          <t>2026TEG-P0101</t>
        </is>
      </c>
      <c r="N2473" t="inlineStr">
        <is>
          <t>Petronilo Cruz Samson Jr.</t>
        </is>
      </c>
      <c r="O2473" t="inlineStr">
        <is>
          <t>202604300052-Petronilo Cruz Samson Jr.-费用报销 - 副本 - 副本 - 副本-2026-04-30 09:04:42</t>
        </is>
      </c>
      <c r="P2473" t="inlineStr">
        <is>
          <t>YES</t>
        </is>
      </c>
      <c r="Q2473"/>
      <c r="R2473" t="inlineStr">
        <is>
          <t>NO</t>
        </is>
      </c>
      <c r="S2473" t="inlineStr">
        <is>
          <t>Outsourced Logistics Associate (Egress)</t>
        </is>
      </c>
      <c r="T2473">
        <v>1</v>
      </c>
      <c r="U2473">
        <v>1500</v>
      </c>
      <c r="V2473" t="inlineStr">
        <is>
          <t>PHP</t>
        </is>
      </c>
      <c r="W2473">
        <v>1500</v>
      </c>
      <c r="X2473" s="2" t="str">
        <f>=HYPERLINK("https://www.larksuite.com/approval/admin/previewAttachment?key=PMg9CsJAEAXgK7352fd2vIxNwmKjBISIxZxdsEj7cRo4hwULWeYFazEoGyynlQIc3t4mFWQie3-u-yfP73odiXlsOdDnY1v720bJHYrMmADsdnkoM6uY-Dt-AQAA__8", "2 attachment(s)")</f>
        <v>2 attachment(s)</v>
      </c>
      <c r="Y2473" t="inlineStr">
        <is>
          <t>Bank Transfer</t>
        </is>
      </c>
      <c r="Z2473" t="inlineStr">
        <is>
          <t>Arhies Arrozal</t>
        </is>
      </c>
      <c r="AA2473" t="inlineStr">
        <is>
          <t>109860702121</t>
        </is>
      </c>
      <c r="AB2473" t="inlineStr">
        <is>
          <t>Unionbank</t>
        </is>
      </c>
      <c r="AC2473" t="inlineStr">
        <is>
          <t>Blk 03 Lot 16 Cresdaville 2 Brgy San Juan Taytay Rizal</t>
        </is>
      </c>
      <c r="AD2473" s="4">
        <v>46164</v>
      </c>
      <c r="AE2473" t="inlineStr">
        <is>
          <t>100% Full Payment - May 22, 2026</t>
        </is>
      </c>
      <c r="AF2473" s="2"/>
      <c r="AG2473" t="inlineStr">
        <is>
          <t>NzQyNTk5MTgyNzQ4MTg3MDM0MToyOTYxNzc0QS0wRDA1LTRDMDAtODc2My05MUI4Rjg1NDRGQjktMTo2ZTM0ZjJmZjdkZTE3ZjIwZGY3ODQ2NzQ2NDIzZDQ5MTox</t>
        </is>
      </c>
      <c r="AH2473" t="inlineStr">
        <is>
          <t>Arhies Arrozal</t>
        </is>
      </c>
      <c r="AI2473"/>
      <c r="AJ2473" t="inlineStr">
        <is>
          <t>LIQUIDITY PLAN (PAR # 202604290018 / 2026TEG-P0101)
MANPOWER &gt;
Ingress Manpower
Egress Manpower
Total Remaining Budget = Php 13,500.00
Actual Cost = Php 1,500.00
Balance = Php 12,000.00</t>
        </is>
      </c>
      <c r="AK2473"/>
    </row>
    <row r="2474" ht="25.5" customHeight="1">
      <c r="A2474" s="2" t="str">
        <f>=HYPERLINK("https://applink.larksuite.com/client/mini_program/open?appId=cli_9c7cc8a9a9edd105&amp;mode=appCenter&amp;path_pc=pc/pages/requested/index?instanceId=7636719228313177820&amp;source=bitable&amp;path=pages/detail/index?instanceId=7636719228313177820&amp;source=bitable", "202605060100")</f>
        <v>202605060100</v>
      </c>
      <c r="B2474" t="inlineStr">
        <is>
          <t>Approved</t>
        </is>
      </c>
      <c r="C2474" t="inlineStr">
        <is>
          <t>Procurement Order</t>
        </is>
      </c>
      <c r="D2474" s="3">
        <v>46148.75755787037</v>
      </c>
      <c r="E2474" s="3">
        <v>46149.73234953704</v>
      </c>
      <c r="F2474" t="inlineStr">
        <is>
          <t>Fatima Kathleen M. FLores</t>
        </is>
      </c>
      <c r="G2474" t="inlineStr">
        <is>
          <t>Procurement</t>
        </is>
      </c>
      <c r="H2474"/>
      <c r="I2474"/>
      <c r="J2474" t="inlineStr">
        <is>
          <t>Project</t>
        </is>
      </c>
      <c r="K2474" t="inlineStr">
        <is>
          <t>PDEI - Game Marketing</t>
        </is>
      </c>
      <c r="L2474" t="inlineStr">
        <is>
          <t>CRIF VIA Vendor Fair 2026</t>
        </is>
      </c>
      <c r="M2474" t="inlineStr">
        <is>
          <t>2026TEG-P0101</t>
        </is>
      </c>
      <c r="N2474" t="inlineStr">
        <is>
          <t>Petronilo Cruz Samson Jr.</t>
        </is>
      </c>
      <c r="O2474" t="inlineStr">
        <is>
          <t>202604300052-Petronilo Cruz Samson Jr.-费用报销 - 副本 - 副本 - 副本-2026-04-30 09:04:42</t>
        </is>
      </c>
      <c r="P2474" t="inlineStr">
        <is>
          <t>YES</t>
        </is>
      </c>
      <c r="Q2474"/>
      <c r="R2474" t="inlineStr">
        <is>
          <t>NO</t>
        </is>
      </c>
      <c r="S2474" t="inlineStr">
        <is>
          <t>Outsourced Logistics Associate (Ingress &amp; Egress)</t>
        </is>
      </c>
      <c r="T2474">
        <v>1</v>
      </c>
      <c r="U2474">
        <v>3000</v>
      </c>
      <c r="V2474" t="inlineStr">
        <is>
          <t>PHP</t>
        </is>
      </c>
      <c r="W2474">
        <v>3000</v>
      </c>
      <c r="X2474" s="2" t="str">
        <f>=HYPERLINK("https://www.larksuite.com/approval/admin/previewAttachment?key=PMgxCgJBDAXQK_2fZPMTL2Ozy6DgVuKAxZxdsNj2ZRFZGz0b0bQGl9JTbLNyOqUyLFuUGqIy13GOe9j8vCqiz_35nWPNxz6ON7eWGeQRXgB4u9wVEd0Z-Dt-AQAA__8", "2 attachment(s)")</f>
        <v>2 attachment(s)</v>
      </c>
      <c r="Y2474" t="inlineStr">
        <is>
          <t>Bank Transfer</t>
        </is>
      </c>
      <c r="Z2474" t="inlineStr">
        <is>
          <t>John Michael Borja</t>
        </is>
      </c>
      <c r="AA2474" t="inlineStr">
        <is>
          <t>018996274139</t>
        </is>
      </c>
      <c r="AB2474" t="inlineStr">
        <is>
          <t>Gotyme</t>
        </is>
      </c>
      <c r="AC2474" t="inlineStr">
        <is>
          <t>#09 P.Gomez St. Brgy Sta Lucia Novaliches Quezon City</t>
        </is>
      </c>
      <c r="AD2474" s="4">
        <v>46164</v>
      </c>
      <c r="AE2474" t="inlineStr">
        <is>
          <t>100% Full Payment - May 22, 2026</t>
        </is>
      </c>
      <c r="AF2474" s="2"/>
      <c r="AG2474" t="inlineStr">
        <is>
          <t>NzQyNTk5MTgyNzQ4MTg3MDM0MTpGRjVCNDA5RC1DRkMzLTQxNkUtOTE4MC02MjU5NjIwNTE1Q0MtMTpiMmUxZTk1NGMyZTEwOGJkMTg3ODJjOTA5ZjJkYTQ1Nzox</t>
        </is>
      </c>
      <c r="AH2474" t="inlineStr">
        <is>
          <t>John Michael Borja</t>
        </is>
      </c>
      <c r="AI2474"/>
      <c r="AJ2474" t="inlineStr">
        <is>
          <t>LIQUIDITY PLAN (PAR # 202604290018 / 2026TEG-P0101)
MANPOWER &gt;
Ingress Manpower
Egress Manpower
Total Remaining Budget = Php 12,000.00
Actual Cost = Php 3,000.00
Balance = Php 9,000.00</t>
        </is>
      </c>
      <c r="AK2474"/>
    </row>
    <row r="2475" ht="25.5" customHeight="1">
      <c r="A2475" s="2" t="str">
        <f>=HYPERLINK("https://applink.larksuite.com/client/mini_program/open?appId=cli_9c7cc8a9a9edd105&amp;mode=appCenter&amp;path_pc=pc/pages/requested/index?instanceId=7636719927604285152&amp;source=bitable&amp;path=pages/detail/index?instanceId=7636719927604285152&amp;source=bitable", "202605060103")</f>
        <v>202605060103</v>
      </c>
      <c r="B2475" t="inlineStr">
        <is>
          <t>Approved</t>
        </is>
      </c>
      <c r="C2475" t="inlineStr">
        <is>
          <t>Procurement Order</t>
        </is>
      </c>
      <c r="D2475" s="3">
        <v>46148.75944444445</v>
      </c>
      <c r="E2475" s="3">
        <v>46149.731412037036</v>
      </c>
      <c r="F2475" t="inlineStr">
        <is>
          <t>Fatima Kathleen M. FLores</t>
        </is>
      </c>
      <c r="G2475" t="inlineStr">
        <is>
          <t>Procurement</t>
        </is>
      </c>
      <c r="H2475"/>
      <c r="I2475"/>
      <c r="J2475" t="inlineStr">
        <is>
          <t>Project</t>
        </is>
      </c>
      <c r="K2475" t="inlineStr">
        <is>
          <t>PDEI - Game Marketing</t>
        </is>
      </c>
      <c r="L2475" t="inlineStr">
        <is>
          <t>CRIF VIA Vendor Fair 2026</t>
        </is>
      </c>
      <c r="M2475" t="inlineStr">
        <is>
          <t>2026TEG-P0101</t>
        </is>
      </c>
      <c r="N2475" t="inlineStr">
        <is>
          <t>Petronilo Cruz Samson Jr.</t>
        </is>
      </c>
      <c r="O2475" t="inlineStr">
        <is>
          <t>202604300052-Petronilo Cruz Samson Jr.-费用报销 - 副本 - 副本 - 副本-2026-04-30 09:04:42</t>
        </is>
      </c>
      <c r="P2475" t="inlineStr">
        <is>
          <t>YES</t>
        </is>
      </c>
      <c r="Q2475"/>
      <c r="R2475" t="inlineStr">
        <is>
          <t>NO</t>
        </is>
      </c>
      <c r="S2475" t="inlineStr">
        <is>
          <t>Outsourced Logistics Associate (Ingress &amp; Egress)</t>
        </is>
      </c>
      <c r="T2475">
        <v>1</v>
      </c>
      <c r="U2475">
        <v>3000</v>
      </c>
      <c r="V2475" t="inlineStr">
        <is>
          <t>PHP</t>
        </is>
      </c>
      <c r="W2475">
        <v>3000</v>
      </c>
      <c r="X2475" s="2" t="str">
        <f>=HYPERLINK("https://www.larksuite.com/approval/admin/previewAttachment?key=PMgxCgJBDAXQK_0kf_InXsbGZRFFG2FWi5xdsLB9OQ05h0UWWOYFa2WkrMqVoM9hw9vbpIJMyd4e-_ng-uyxjuftrrfY63rZt5eNkjsUZEwAdvp7iGRVEj_HNwAA__8", "2 attachment(s)")</f>
        <v>2 attachment(s)</v>
      </c>
      <c r="Y2475" t="inlineStr">
        <is>
          <t>Bank Transfer</t>
        </is>
      </c>
      <c r="Z2475" t="inlineStr">
        <is>
          <t>Nordan Burabo</t>
        </is>
      </c>
      <c r="AA2475" t="inlineStr">
        <is>
          <t>09636201512</t>
        </is>
      </c>
      <c r="AB2475" t="inlineStr">
        <is>
          <t>GCash</t>
        </is>
      </c>
      <c r="AC2475" t="inlineStr">
        <is>
          <t>Blk 1 Lot 23 Agoncillo St. Sta Lucia Novaliches, Quezon City</t>
        </is>
      </c>
      <c r="AD2475" s="4">
        <v>46164</v>
      </c>
      <c r="AE2475" t="inlineStr">
        <is>
          <t>100% Full Payment - May 22, 2026</t>
        </is>
      </c>
      <c r="AF2475" s="2"/>
      <c r="AG2475" t="inlineStr">
        <is>
          <t>NzQyNTk5MTgyNzQ4MTg3MDM0MTo4RkFDRjgwMC0yRkY2LTREODgtQjcyMS03MjhBNzkxN0MxRDMtMTo1NzFkMDdkNTdjM2Q2MzM3Yjk1ZTJjMzVkM2QyMDRlMjox</t>
        </is>
      </c>
      <c r="AH2475" t="inlineStr">
        <is>
          <t>Nordan Burabo</t>
        </is>
      </c>
      <c r="AI2475"/>
      <c r="AJ2475" t="inlineStr">
        <is>
          <t>LIQUIDITY PLAN (PAR # 202604290018 / 2026TEG-P0101)
MANPOWER &gt;
Ingress Manpower
Egress Manpower
Total Remaining Budget = Php 9,000.00
Actual Cost = Php 3,000.00
Balance = Php 6,000.00</t>
        </is>
      </c>
      <c r="AK2475"/>
    </row>
    <row r="2476" ht="25.5" customHeight="1">
      <c r="A2476" s="2" t="str">
        <f>=HYPERLINK("https://applink.larksuite.com/client/mini_program/open?appId=cli_9c7cc8a9a9edd105&amp;mode=appCenter&amp;path_pc=pc/pages/requested/index?instanceId=7636720462965264094&amp;source=bitable&amp;path=pages/detail/index?instanceId=7636720462965264094&amp;source=bitable", "202605060106")</f>
        <v>202605060106</v>
      </c>
      <c r="B2476" t="inlineStr">
        <is>
          <t>Approved</t>
        </is>
      </c>
      <c r="C2476" t="inlineStr">
        <is>
          <t>Procurement Order</t>
        </is>
      </c>
      <c r="D2476" s="3">
        <v>46148.760879629626</v>
      </c>
      <c r="E2476" s="3">
        <v>46149.730729166666</v>
      </c>
      <c r="F2476" t="inlineStr">
        <is>
          <t>Fatima Kathleen M. FLores</t>
        </is>
      </c>
      <c r="G2476" t="inlineStr">
        <is>
          <t>Procurement</t>
        </is>
      </c>
      <c r="H2476"/>
      <c r="I2476"/>
      <c r="J2476" t="inlineStr">
        <is>
          <t>Project</t>
        </is>
      </c>
      <c r="K2476" t="inlineStr">
        <is>
          <t>PDEI - Game Marketing</t>
        </is>
      </c>
      <c r="L2476" t="inlineStr">
        <is>
          <t>CRIF VIA Vendor Fair 2026</t>
        </is>
      </c>
      <c r="M2476" t="inlineStr">
        <is>
          <t>2026TEG-P0101</t>
        </is>
      </c>
      <c r="N2476" t="inlineStr">
        <is>
          <t>Petronilo Cruz Samson Jr.</t>
        </is>
      </c>
      <c r="O2476" t="inlineStr">
        <is>
          <t>202604300052-Petronilo Cruz Samson Jr.-费用报销 - 副本 - 副本 - 副本-2026-04-30 09:04:42</t>
        </is>
      </c>
      <c r="P2476" t="inlineStr">
        <is>
          <t>YES</t>
        </is>
      </c>
      <c r="Q2476"/>
      <c r="R2476" t="inlineStr">
        <is>
          <t>NO</t>
        </is>
      </c>
      <c r="S2476" t="inlineStr">
        <is>
          <t>Outsourced Logistics Associate (Ingress &amp; Egress)</t>
        </is>
      </c>
      <c r="T2476">
        <v>1</v>
      </c>
      <c r="U2476">
        <v>3000</v>
      </c>
      <c r="V2476" t="inlineStr">
        <is>
          <t>PHP</t>
        </is>
      </c>
      <c r="W2476">
        <v>3000</v>
      </c>
      <c r="X2476" s="2" t="str">
        <f>=HYPERLINK("https://www.larksuite.com/approval/admin/previewAttachment?key=PMhBCsJADAXQK_0kf34mXsZNh6KiIgi1Lubsgotun7pBvVmowDIv2EyF0kF5qbmI4vRpmYW0FOd4rOfr1j6v2_gu933v8ZzbZVnH21qlOzLI6ADsdHgkySoRf8cvAAD__w", "2 attachment(s)")</f>
        <v>2 attachment(s)</v>
      </c>
      <c r="Y2476" t="inlineStr">
        <is>
          <t>Bank Transfer</t>
        </is>
      </c>
      <c r="Z2476" t="inlineStr">
        <is>
          <t>Wenzy Andrei De Lara</t>
        </is>
      </c>
      <c r="AA2476" t="inlineStr">
        <is>
          <t>09949496978</t>
        </is>
      </c>
      <c r="AB2476" t="inlineStr">
        <is>
          <t>GCash</t>
        </is>
      </c>
      <c r="AC2476" t="inlineStr">
        <is>
          <t>18 P.Gomez Santa Lucia Quezon City</t>
        </is>
      </c>
      <c r="AD2476" s="4">
        <v>46164</v>
      </c>
      <c r="AE2476" t="inlineStr">
        <is>
          <t>100% Full Payment - May 22, 2026</t>
        </is>
      </c>
      <c r="AF2476" s="2"/>
      <c r="AG2476" t="inlineStr">
        <is>
          <t>NzQyNTk5MTgyNzQ4MTg3MDM0MTo0NjE2NDVFRS02Mjg0LTREOTQtODJENi01NDc5MUNCRTQ5RjctMTpmY2JiNzZmOTdkZTA0Y2U1MTYxYjdiODBjMjc1ZWNjNDox</t>
        </is>
      </c>
      <c r="AH2476" t="inlineStr">
        <is>
          <t>Wenzy Andrei De Lara</t>
        </is>
      </c>
      <c r="AI2476"/>
      <c r="AJ2476" t="inlineStr">
        <is>
          <t>LIQUIDITY PLAN (PAR # 202604290018 / 2026TEG-P0101)
MANPOWER &gt;
Ingress Manpower
Egress Manpower
Total Remaining Budget = Php 6,000.00
Actual Cost = Php 3,000.00
Balance = Php 3,000.00</t>
        </is>
      </c>
      <c r="AK2476"/>
    </row>
    <row r="2477" ht="25.5" customHeight="1">
      <c r="A2477" s="2" t="str">
        <f>=HYPERLINK("https://applink.larksuite.com/client/mini_program/open?appId=cli_9c7cc8a9a9edd105&amp;mode=appCenter&amp;path_pc=pc/pages/requested/index?instanceId=7637361207585869538&amp;source=bitable&amp;path=pages/detail/index?instanceId=7637361207585869538&amp;source=bitable", "202605080004")</f>
        <v>202605080004</v>
      </c>
      <c r="B2477" t="inlineStr">
        <is>
          <t>Approved</t>
        </is>
      </c>
      <c r="C2477" t="inlineStr">
        <is>
          <t>Procurement Order</t>
        </is>
      </c>
      <c r="D2477" s="3">
        <v>46150.48755787037</v>
      </c>
      <c r="E2477" s="3">
        <v>46150.50209490741</v>
      </c>
      <c r="F2477" t="inlineStr">
        <is>
          <t>Fatima Kathleen M. FLores</t>
        </is>
      </c>
      <c r="G2477" t="inlineStr">
        <is>
          <t>Procurement</t>
        </is>
      </c>
      <c r="H2477"/>
      <c r="I2477"/>
      <c r="J2477" t="inlineStr">
        <is>
          <t>Project</t>
        </is>
      </c>
      <c r="K2477" t="inlineStr">
        <is>
          <t>PDEI - Game Marketing</t>
        </is>
      </c>
      <c r="L2477" t="inlineStr">
        <is>
          <t>MPL PH S17 - Addendum 2</t>
        </is>
      </c>
      <c r="M2477" t="inlineStr">
        <is>
          <t>2026TEG-P0123</t>
        </is>
      </c>
      <c r="N2477" t="inlineStr">
        <is>
          <t>Katherine Denise Lee Sy</t>
        </is>
      </c>
      <c r="O2477" t="inlineStr">
        <is>
          <t>202605070064-Katherine Denise Lee Sy-费用报销 - 副本 - 副本 - 副本-2026-05-07 11:28:45</t>
        </is>
      </c>
      <c r="P2477" t="inlineStr">
        <is>
          <t>NO</t>
        </is>
      </c>
      <c r="Q2477"/>
      <c r="R2477" t="inlineStr">
        <is>
          <t>NO</t>
        </is>
      </c>
      <c r="S2477" t="inlineStr">
        <is>
          <t>Customized single-seater Sofa (with detachable logo embroidery)</t>
        </is>
      </c>
      <c r="T2477">
        <v>40</v>
      </c>
      <c r="U2477">
        <v>5000</v>
      </c>
      <c r="V2477" t="inlineStr">
        <is>
          <t>PHP</t>
        </is>
      </c>
      <c r="W2477">
        <v>200000</v>
      </c>
      <c r="X2477" s="2" t="str">
        <f>=HYPERLINK("https://www.larksuite.com/approval/admin/previewAttachment?key=PMg7CsJgEATgK80-Z9fL2CQEkd9KVCz27IJF2i9LkBVi2fAWbcgwjZaiYFRUdliNjpANCjNnfxzX7WX3L5eu1dD1mfdtO_anRFMVNHcrAHI53eju3en4O34BAAD__w", "2 attachment(s)")</f>
        <v>2 attachment(s)</v>
      </c>
      <c r="Y2477" t="inlineStr">
        <is>
          <t>Bank Transfer</t>
        </is>
      </c>
      <c r="Z2477" t="inlineStr">
        <is>
          <t>John Michael M. Danwata</t>
        </is>
      </c>
      <c r="AA2477" t="inlineStr">
        <is>
          <t>09356148674</t>
        </is>
      </c>
      <c r="AB2477" t="inlineStr">
        <is>
          <t>GCash</t>
        </is>
      </c>
      <c r="AC2477" t="inlineStr">
        <is>
          <t>#98 Kabesang Imo st. Balangkas Valenzuela City</t>
        </is>
      </c>
      <c r="AD2477" s="4">
        <v>46150</v>
      </c>
      <c r="AE2477" t="inlineStr">
        <is>
          <t>50% Down Payment upon confirmation
50% Final Payment upon complete delivery</t>
        </is>
      </c>
      <c r="AF2477" s="2" t="str">
        <f>=HYPERLINK("https://www.larksuite.com/approval/admin/previewAttachment?key=TMgxCgJBDAXQK_0_mfwkXsZml0VkrETFImcXrLZ9SkLpNBVmcRTYIQsTB8LTU-WWPZoRhWBIvT-O6_ay-zfWWKsw1qfft-3Yn1SaMMvnZAHg5eQkKk32d_wCAAD__w", "4 attachment(s)")</f>
        <v>4 attachment(s)</v>
      </c>
      <c r="AG2477" t="inlineStr">
        <is>
          <t>NzQyNTk5MTgyNzQ4MTg3MDM0MToyRUM0QTU5OC1CQzAwLTRBQjItQkU4OS1BQUY3OUFGNzJENjMtMTphMzI2YzFiYmQ4ODY5ZjEyM2JkMjIzMjkxYjY0ZGJmZjox</t>
        </is>
      </c>
      <c r="AH2477" t="inlineStr">
        <is>
          <t>IZYYAH HOME &amp; OFFICE FUNITURE TRADING</t>
        </is>
      </c>
      <c r="AI2477"/>
      <c r="AJ2477" t="inlineStr">
        <is>
          <t>LIQUIDITY PLAN (PAR # 202605070063 / 2026TEG-P0123)
VIP Sofa Chair
Total Budget = Php 200,000.00
Actual Cost = Php 200,000.00</t>
        </is>
      </c>
      <c r="AK2477"/>
    </row>
    <row r="2478" ht="25.5" customHeight="1">
      <c r="A2478" s="2" t="str">
        <f>=HYPERLINK("https://applink.larksuite.com/client/mini_program/open?appId=cli_9c7cc8a9a9edd105&amp;mode=appCenter&amp;path_pc=pc/pages/requested/index?instanceId=7637390311794151131&amp;source=bitable&amp;path=pages/detail/index?instanceId=7637390311794151131&amp;source=bitable", "202605080026")</f>
        <v>202605080026</v>
      </c>
      <c r="B2478" t="inlineStr">
        <is>
          <t>Approved</t>
        </is>
      </c>
      <c r="C2478" t="inlineStr">
        <is>
          <t>Procurement Order</t>
        </is>
      </c>
      <c r="D2478" s="3">
        <v>46150.56599537037</v>
      </c>
      <c r="E2478" s="3">
        <v>46150.74684027778</v>
      </c>
      <c r="F2478" t="inlineStr">
        <is>
          <t>Fatima Kathleen M. FLores</t>
        </is>
      </c>
      <c r="G2478" t="inlineStr">
        <is>
          <t>Procurement</t>
        </is>
      </c>
      <c r="H2478"/>
      <c r="I2478"/>
      <c r="J2478" t="inlineStr">
        <is>
          <t>Project</t>
        </is>
      </c>
      <c r="K2478" t="inlineStr">
        <is>
          <t>PDEI - Game Marketing</t>
        </is>
      </c>
      <c r="L2478" t="inlineStr">
        <is>
          <t>Jobstreet Level Up Season 2 [ADDENDUM]</t>
        </is>
      </c>
      <c r="M2478" t="inlineStr">
        <is>
          <t>2025TEG-P0341</t>
        </is>
      </c>
      <c r="N2478" t="inlineStr">
        <is>
          <t>Maura Aurel Atilano Yap</t>
        </is>
      </c>
      <c r="O2478" t="inlineStr">
        <is>
          <t>202604080041-Maura Aurel Atilano Yap-费用报销 - 副本 - 副本 - 副本-2026-04-08 05:10:04</t>
        </is>
      </c>
      <c r="P2478" t="inlineStr">
        <is>
          <t>YES</t>
        </is>
      </c>
      <c r="Q2478"/>
      <c r="R2478" t="inlineStr">
        <is>
          <t>NO</t>
        </is>
      </c>
      <c r="S2478" t="inlineStr">
        <is>
          <t>Outsourced Videographer and Video Editor</t>
        </is>
      </c>
      <c r="T2478">
        <v>1</v>
      </c>
      <c r="U2478">
        <v>30000</v>
      </c>
      <c r="V2478" t="inlineStr">
        <is>
          <t>PHP</t>
        </is>
      </c>
      <c r="W2478">
        <v>30000</v>
      </c>
      <c r="X2478" s="2" t="str">
        <f>=HYPERLINK("https://www.larksuite.com/approval/admin/previewAttachment?key=PMgxrgIxDATQK81kHNvzL_MbohUUVGhXNDk7EgXtyyayJ5VGmMPgrlTJEFkOTlLcY7PKKFbmXs_j_3HNVr_VOs1z7et-O9aL0zUGShFqAPz7uSoi7Ax8HZ8AAAD__w", "2 attachment(s)")</f>
        <v>2 attachment(s)</v>
      </c>
      <c r="Y2478" t="inlineStr">
        <is>
          <t>Bank Transfer</t>
        </is>
      </c>
      <c r="Z2478" t="inlineStr">
        <is>
          <t>Miguel Enrico Rivera</t>
        </is>
      </c>
      <c r="AA2478" t="inlineStr">
        <is>
          <t>0649006322</t>
        </is>
      </c>
      <c r="AB2478" t="inlineStr">
        <is>
          <t>BPI</t>
        </is>
      </c>
      <c r="AC2478" t="inlineStr">
        <is>
          <t>424 Zamora Street, Brgy. Parada Valenzuela City</t>
        </is>
      </c>
      <c r="AD2478" s="4">
        <v>46157</v>
      </c>
      <c r="AE2478" t="inlineStr">
        <is>
          <t>1st Payment  - May 15, 2026
Final Payment - May 22, 2026</t>
        </is>
      </c>
      <c r="AF2478" s="2"/>
      <c r="AG2478" t="inlineStr">
        <is>
          <t>NzQyNTk5MTgyNzQ4MTg3MDM0MTo4NjBFRENCRi1ENzZELTRGQjYtOTgxOC0wMUEzMDZENUY2RjEtMToyODViZDIwNjA3MTM2MTI2NzNiNDA0OWU2YTFmZGIxOTox</t>
        </is>
      </c>
      <c r="AH2478" t="inlineStr">
        <is>
          <t>Miguel Enrico Rivera</t>
        </is>
      </c>
      <c r="AI2478"/>
      <c r="AJ2478" t="inlineStr">
        <is>
          <t>LIQUIDITY PLAN (PAR # 202601300013)
MANPOWER &gt; Videographer and Editor
Total Budget = Php 30,000.00
Actual Cost = Php 30,000.00</t>
        </is>
      </c>
      <c r="AK2478"/>
    </row>
    <row r="2479" ht="25.5" customHeight="1">
      <c r="A2479" s="2" t="str">
        <f>=HYPERLINK("https://applink.larksuite.com/client/mini_program/open?appId=cli_9c7cc8a9a9edd105&amp;mode=appCenter&amp;path_pc=pc/pages/requested/index?instanceId=7637446186516926181&amp;source=bitable&amp;path=pages/detail/index?instanceId=7637446186516926181&amp;source=bitable", "202605080073")</f>
        <v>202605080073</v>
      </c>
      <c r="B2479" t="inlineStr">
        <is>
          <t>Approved</t>
        </is>
      </c>
      <c r="C2479" t="inlineStr">
        <is>
          <t>Procurement Order</t>
        </is>
      </c>
      <c r="D2479" s="3">
        <v>46150.7165625</v>
      </c>
      <c r="E2479" s="3">
        <v>46154.68568287037</v>
      </c>
      <c r="F2479" t="inlineStr">
        <is>
          <t>Fatima Kathleen M. FLores</t>
        </is>
      </c>
      <c r="G2479" t="inlineStr">
        <is>
          <t>Procurement</t>
        </is>
      </c>
      <c r="H2479"/>
      <c r="I2479"/>
      <c r="J2479" t="inlineStr">
        <is>
          <t>Project</t>
        </is>
      </c>
      <c r="K2479" t="inlineStr">
        <is>
          <t>PDEI - Game Marketing</t>
        </is>
      </c>
      <c r="L2479" t="inlineStr">
        <is>
          <t>SportsPlus MPBL Roadtrip Watchparty 2026</t>
        </is>
      </c>
      <c r="M2479" t="inlineStr">
        <is>
          <t>2026TEG-P0028</t>
        </is>
      </c>
      <c r="N2479" t="inlineStr">
        <is>
          <t>Kervin</t>
        </is>
      </c>
      <c r="O2479" t="inlineStr">
        <is>
          <t>202603260052-Kervin-费用报销 - 副本 - 副本 - 副本-2026-03-26 04:47:32</t>
        </is>
      </c>
      <c r="P2479" t="inlineStr">
        <is>
          <t>YES</t>
        </is>
      </c>
      <c r="Q2479"/>
      <c r="R2479" t="inlineStr">
        <is>
          <t>NO</t>
        </is>
      </c>
      <c r="S2479" t="inlineStr">
        <is>
          <t>Outsourced Logistics Associate (May 7)</t>
        </is>
      </c>
      <c r="T2479">
        <v>1</v>
      </c>
      <c r="U2479">
        <v>4000</v>
      </c>
      <c r="V2479" t="inlineStr">
        <is>
          <t>PHP</t>
        </is>
      </c>
      <c r="W2479">
        <v>4000</v>
      </c>
      <c r="X2479" s="2" t="str">
        <f>=HYPERLINK("https://www.larksuite.com/approval/admin/previewAttachment?key=PMwxrgIxDATQK80kztj-l_lNVhHFLg0iVD47goL2FU9BKAa7EpZsCZaru5kYGlQ2MVit6J5wulTHtf7HuM77c-85X1xnr32b63hwpLcG72Y9APDv55_TMmX4Ot4BAAD__w", "2 attachment(s)")</f>
        <v>2 attachment(s)</v>
      </c>
      <c r="Y2479" t="inlineStr">
        <is>
          <t>Bank Transfer</t>
        </is>
      </c>
      <c r="Z2479" t="inlineStr">
        <is>
          <t>RIC JACA</t>
        </is>
      </c>
      <c r="AA2479" t="inlineStr">
        <is>
          <t>109332038874</t>
        </is>
      </c>
      <c r="AB2479" t="inlineStr">
        <is>
          <t>Unionbank</t>
        </is>
      </c>
      <c r="AC2479" t="inlineStr">
        <is>
          <t>321 Sitio Langhaya Brgy. Dela Paz Antipolo Rizal</t>
        </is>
      </c>
      <c r="AD2479" s="4">
        <v>46164</v>
      </c>
      <c r="AE2479" t="inlineStr">
        <is>
          <t>100% Full Payment - May 22, 2026</t>
        </is>
      </c>
      <c r="AF2479" s="2"/>
      <c r="AG2479" t="inlineStr">
        <is>
          <t>NzQyNTk5MTgyNzQ4MTg3MDM0MTo0RTVDNTdFMy0zNkI1LTQwMzYtOTZGNi01QjgzRTZCRTI1MUUtMToxNWE4ZmVlZmU0NWM4OWYxNDIzOGUxODQyMjVjNWY4NDox</t>
        </is>
      </c>
      <c r="AH2479" t="inlineStr">
        <is>
          <t>RIC JACA</t>
        </is>
      </c>
      <c r="AI2479"/>
      <c r="AJ2479" t="inlineStr">
        <is>
          <t>LIQUIDITY PLAN (PAR # 202603240070 / 2026TEG-P0028)
MANPOWER &gt; Logistics
Total Remaining Budget = Php 79,200.00
Actual Cost = Php 4,000.00
Balance = Php 75,200.00</t>
        </is>
      </c>
      <c r="AK2479"/>
    </row>
    <row r="2480" ht="25.5" customHeight="1">
      <c r="A2480" s="2" t="str">
        <f>=HYPERLINK("https://applink.larksuite.com/client/mini_program/open?appId=cli_9c7cc8a9a9edd105&amp;mode=appCenter&amp;path_pc=pc/pages/requested/index?instanceId=7637444418177339101&amp;source=bitable&amp;path=pages/detail/index?instanceId=7637444418177339101&amp;source=bitable", "202605080071")</f>
        <v>202605080071</v>
      </c>
      <c r="B2480" t="inlineStr">
        <is>
          <t>Approved</t>
        </is>
      </c>
      <c r="C2480" t="inlineStr">
        <is>
          <t>Procurement Order</t>
        </is>
      </c>
      <c r="D2480" s="3">
        <v>46150.71179398148</v>
      </c>
      <c r="E2480" s="3">
        <v>46150.743125</v>
      </c>
      <c r="F2480" t="inlineStr">
        <is>
          <t>Fatima Kathleen M. FLores</t>
        </is>
      </c>
      <c r="G2480" t="inlineStr">
        <is>
          <t>Procurement</t>
        </is>
      </c>
      <c r="H2480"/>
      <c r="I2480"/>
      <c r="J2480" t="inlineStr">
        <is>
          <t>Project</t>
        </is>
      </c>
      <c r="K2480" t="inlineStr">
        <is>
          <t>PDEI - Game Marketing</t>
        </is>
      </c>
      <c r="L2480" t="inlineStr">
        <is>
          <t>SportsPlus MPBL Roadtrip Watchparty 2026</t>
        </is>
      </c>
      <c r="M2480" t="inlineStr">
        <is>
          <t>2026TEG-P0028</t>
        </is>
      </c>
      <c r="N2480" t="inlineStr">
        <is>
          <t>Kervin</t>
        </is>
      </c>
      <c r="O2480" t="inlineStr">
        <is>
          <t>202603260052-Kervin-费用报销 - 副本 - 副本 - 副本-2026-03-26 04:47:32</t>
        </is>
      </c>
      <c r="P2480" t="inlineStr">
        <is>
          <t>YES</t>
        </is>
      </c>
      <c r="Q2480"/>
      <c r="R2480" t="inlineStr">
        <is>
          <t>NO</t>
        </is>
      </c>
      <c r="S2480" t="inlineStr">
        <is>
          <t>Outsourced Logistics Associate (May 2)</t>
        </is>
      </c>
      <c r="T2480">
        <v>1</v>
      </c>
      <c r="U2480">
        <v>3400</v>
      </c>
      <c r="V2480" t="inlineStr">
        <is>
          <t>PHP</t>
        </is>
      </c>
      <c r="W2480">
        <v>3400</v>
      </c>
      <c r="X2480" s="2" t="str">
        <f>=HYPERLINK("https://www.larksuite.com/approval/admin/previewAttachment?key=PMwxCsMwDAXQK_1vKfpWL9PFITSFgKHQTjp7wUPWN7zoRPSNFglPtgRLYXJ3Z6dklgSrFaWEqIjar-OZb9o8z2v-htsc9X2NY_9wS7UGmbt1AHzcvs7McCzHPwAA__8", "2 attachment(s)")</f>
        <v>2 attachment(s)</v>
      </c>
      <c r="Y2480" t="inlineStr">
        <is>
          <t>Bank Transfer</t>
        </is>
      </c>
      <c r="Z2480" t="inlineStr">
        <is>
          <t>Ryan P. Mira</t>
        </is>
      </c>
      <c r="AA2480" t="inlineStr">
        <is>
          <t>09669372472</t>
        </is>
      </c>
      <c r="AB2480" t="inlineStr">
        <is>
          <t>GCash</t>
        </is>
      </c>
      <c r="AC2480" t="inlineStr">
        <is>
          <t>Blk1 J Lot31 Phase3 E1 Kaunlaran Village Brgy.14 Caloocan City</t>
        </is>
      </c>
      <c r="AD2480" s="4">
        <v>46157</v>
      </c>
      <c r="AE2480" t="inlineStr">
        <is>
          <t>100% Full Payment - May 15, 2026</t>
        </is>
      </c>
      <c r="AF2480" s="2"/>
      <c r="AG2480" t="inlineStr">
        <is>
          <t>NzQyNTk5MTgyNzQ4MTg3MDM0MTpEMjZBNUE1OC0yREEzLTRDNUEtOTEzQy02NzI2MUNDNjQxMUMtMTphODE1ZDdiMTVlMzE5MDhjMzk3OWVmM2FlYWQzNmI4MTox</t>
        </is>
      </c>
      <c r="AH2480" t="inlineStr">
        <is>
          <t>Ryan P. Mira</t>
        </is>
      </c>
      <c r="AI2480"/>
      <c r="AJ2480" t="inlineStr">
        <is>
          <t>LIQUIDITY PLAN (PAR # 202603240070 / 2026TEG-P0028)
MANPOWER &gt; Logistics
Total Remaining Budget = Php 84,600.00
Actual Cost = Php 3,400.00
Balance = Php 81,200.00</t>
        </is>
      </c>
      <c r="AK2480"/>
    </row>
    <row r="2481" ht="25.5" customHeight="1">
      <c r="A2481" s="2" t="str">
        <f>=HYPERLINK("https://applink.larksuite.com/client/mini_program/open?appId=cli_9c7cc8a9a9edd105&amp;mode=appCenter&amp;path_pc=pc/pages/requested/index?instanceId=7637443332985097947&amp;source=bitable&amp;path=pages/detail/index?instanceId=7637443332985097947&amp;source=bitable", "202605080070")</f>
        <v>202605080070</v>
      </c>
      <c r="B2481" t="inlineStr">
        <is>
          <t>Approved</t>
        </is>
      </c>
      <c r="C2481" t="inlineStr">
        <is>
          <t>Procurement Order</t>
        </is>
      </c>
      <c r="D2481" s="3">
        <v>46150.70887731481</v>
      </c>
      <c r="E2481" s="3">
        <v>46150.74358796296</v>
      </c>
      <c r="F2481" t="inlineStr">
        <is>
          <t>Fatima Kathleen M. FLores</t>
        </is>
      </c>
      <c r="G2481" t="inlineStr">
        <is>
          <t>Procurement</t>
        </is>
      </c>
      <c r="H2481"/>
      <c r="I2481"/>
      <c r="J2481" t="inlineStr">
        <is>
          <t>Project</t>
        </is>
      </c>
      <c r="K2481" t="inlineStr">
        <is>
          <t>PDEI - Game Marketing</t>
        </is>
      </c>
      <c r="L2481" t="inlineStr">
        <is>
          <t>SportsPlus MPBL Roadtrip Watchparty 2026</t>
        </is>
      </c>
      <c r="M2481" t="inlineStr">
        <is>
          <t>2026TEG-P0028</t>
        </is>
      </c>
      <c r="N2481" t="inlineStr">
        <is>
          <t>Kervin</t>
        </is>
      </c>
      <c r="O2481" t="inlineStr">
        <is>
          <t>202603260052-Kervin-费用报销 - 副本 - 副本 - 副本-2026-03-26 04:47:32</t>
        </is>
      </c>
      <c r="P2481" t="inlineStr">
        <is>
          <t>YES</t>
        </is>
      </c>
      <c r="Q2481"/>
      <c r="R2481" t="inlineStr">
        <is>
          <t>NO</t>
        </is>
      </c>
      <c r="S2481" t="inlineStr">
        <is>
          <t>Outsourced Logistics Associate (May 7)</t>
        </is>
      </c>
      <c r="T2481">
        <v>1</v>
      </c>
      <c r="U2481">
        <v>2000</v>
      </c>
      <c r="V2481" t="inlineStr">
        <is>
          <t>PHP</t>
        </is>
      </c>
      <c r="W2481">
        <v>2000</v>
      </c>
      <c r="X2481" s="2" t="str">
        <f>=HYPERLINK("https://www.larksuite.com/approval/admin/previewAttachment?key=PMw7qkJBEATQLVV_pmvqbeYlXgYRvIkwmvTaRQPTE5yahprDooSUuWDNCmZGhGsOiEq2t5ECjVV93Nd_-taJuddz33S-el8v63jYEN3ByIwJwP5-_jlTqsTX8Q4AAP__", "2 attachment(s)")</f>
        <v>2 attachment(s)</v>
      </c>
      <c r="Y2481" t="inlineStr">
        <is>
          <t>Bank Transfer</t>
        </is>
      </c>
      <c r="Z2481" t="inlineStr">
        <is>
          <t>Renzo E. Lacsamana</t>
        </is>
      </c>
      <c r="AA2481" t="inlineStr">
        <is>
          <t>109664387317</t>
        </is>
      </c>
      <c r="AB2481" t="inlineStr">
        <is>
          <t>Unionbank</t>
        </is>
      </c>
      <c r="AC2481" t="inlineStr">
        <is>
          <t>#19 Paris St. Greenland village Nangka, Marikina City</t>
        </is>
      </c>
      <c r="AD2481" s="4">
        <v>46164</v>
      </c>
      <c r="AE2481" t="inlineStr">
        <is>
          <t>100% Full Payment - May 22, 2026</t>
        </is>
      </c>
      <c r="AF2481" s="2"/>
      <c r="AG2481" t="inlineStr">
        <is>
          <t>NzQyNTk5MTgyNzQ4MTg3MDM0MTo0QTkyNDBGRS1CMzY5LTQ5OTQtOTk4RC01MTQ3RDA1Njk3MkQtMTo3YzVjOGE4ODE1ZjNmMTNmOThmZGZmYmVhNGEzZWRlZTox</t>
        </is>
      </c>
      <c r="AH2481" t="inlineStr">
        <is>
          <t>Renzo E. Lacsamana</t>
        </is>
      </c>
      <c r="AI2481"/>
      <c r="AJ2481" t="inlineStr">
        <is>
          <t>LIQUIDITY PLAN (PAR # 202603240070 / 2026TEG-P0028)
MANPOWER &gt; Logistics
Total Remaining Budget = Php 86,600.00
Actual Cost = Php 2,000.00
Balance = Php 84,600.00</t>
        </is>
      </c>
      <c r="AK2481"/>
    </row>
    <row r="2482" ht="25.5" customHeight="1">
      <c r="A2482" s="2" t="str">
        <f>=HYPERLINK("https://applink.larksuite.com/client/mini_program/open?appId=cli_9c7cc8a9a9edd105&amp;mode=appCenter&amp;path_pc=pc/pages/requested/index?instanceId=7637445391574716130&amp;source=bitable&amp;path=pages/detail/index?instanceId=7637445391574716130&amp;source=bitable", "202605080072")</f>
        <v>202605080072</v>
      </c>
      <c r="B2482" t="inlineStr">
        <is>
          <t>Approved</t>
        </is>
      </c>
      <c r="C2482" t="inlineStr">
        <is>
          <t>Procurement Order</t>
        </is>
      </c>
      <c r="D2482" s="3">
        <v>46150.714421296296</v>
      </c>
      <c r="E2482" s="3">
        <v>46150.74390046296</v>
      </c>
      <c r="F2482" t="inlineStr">
        <is>
          <t>Fatima Kathleen M. FLores</t>
        </is>
      </c>
      <c r="G2482" t="inlineStr">
        <is>
          <t>Procurement</t>
        </is>
      </c>
      <c r="H2482"/>
      <c r="I2482"/>
      <c r="J2482" t="inlineStr">
        <is>
          <t>Project</t>
        </is>
      </c>
      <c r="K2482" t="inlineStr">
        <is>
          <t>PDEI - Game Marketing</t>
        </is>
      </c>
      <c r="L2482" t="inlineStr">
        <is>
          <t>SportsPlus MPBL Roadtrip Watchparty 2026</t>
        </is>
      </c>
      <c r="M2482" t="inlineStr">
        <is>
          <t>2026TEG-P0028</t>
        </is>
      </c>
      <c r="N2482" t="inlineStr">
        <is>
          <t>Kervin</t>
        </is>
      </c>
      <c r="O2482" t="inlineStr">
        <is>
          <t>202603260052-Kervin-费用报销 - 副本 - 副本 - 副本-2026-03-26 04:47:32</t>
        </is>
      </c>
      <c r="P2482" t="inlineStr">
        <is>
          <t>YES</t>
        </is>
      </c>
      <c r="Q2482"/>
      <c r="R2482" t="inlineStr">
        <is>
          <t>NO</t>
        </is>
      </c>
      <c r="S2482" t="inlineStr">
        <is>
          <t>Outsourced Logistics Associate (May 7)</t>
        </is>
      </c>
      <c r="T2482">
        <v>1</v>
      </c>
      <c r="U2482">
        <v>2000</v>
      </c>
      <c r="V2482" t="inlineStr">
        <is>
          <t>PHP</t>
        </is>
      </c>
      <c r="W2482">
        <v>2000</v>
      </c>
      <c r="X2482" s="2" t="str">
        <f>=HYPERLINK("https://www.larksuite.com/approval/admin/previewAttachment?key=PMw7DsIwEATQK814P-PlMjSOLAqSBhHR-OwIirSveNmJ7EHLghdbgUtpcg8rhlxMGlZblAqiMte2z3vE_jzeMYXjM8a5zseY24tRag0yd-sAeLv8d3pVOv6ObwAAAP__", "2 attachment(s)")</f>
        <v>2 attachment(s)</v>
      </c>
      <c r="Y2482" t="inlineStr">
        <is>
          <t>Bank Transfer</t>
        </is>
      </c>
      <c r="Z2482" t="inlineStr">
        <is>
          <t>Molines Lord JC</t>
        </is>
      </c>
      <c r="AA2482" t="inlineStr">
        <is>
          <t>00005 8448 372</t>
        </is>
      </c>
      <c r="AB2482" t="inlineStr">
        <is>
          <t>Security Bank</t>
        </is>
      </c>
      <c r="AC2482" t="inlineStr">
        <is>
          <t>B7 L11 Kingston St. Greenland Ph.1 Nangka Marikina City</t>
        </is>
      </c>
      <c r="AD2482" s="4">
        <v>46164</v>
      </c>
      <c r="AE2482" t="inlineStr">
        <is>
          <t>100% Full Payment - May 22, 2026</t>
        </is>
      </c>
      <c r="AF2482" s="2"/>
      <c r="AG2482" t="inlineStr">
        <is>
          <t>NzQyNTk5MTgyNzQ4MTg3MDM0MTpCQTJENkEyNy1CRDMwLTQ5MUMtQTAxOC0yNERDNDE5QTZDQUUtMTo5NTJlYmUzNmU0MmU3ZGNjMmFiZjQ0MjYyOTc2Y2YzZTox</t>
        </is>
      </c>
      <c r="AH2482" t="inlineStr">
        <is>
          <t>Molines Lord JC</t>
        </is>
      </c>
      <c r="AI2482"/>
      <c r="AJ2482" t="inlineStr">
        <is>
          <t>LIQUIDITY PLAN (PAR # 202603240070 / 2026TEG-P0028)
MANPOWER &gt; Logistics
Total Remaining Budget = Php 81,200.00
Actual Cost = Php 2,000.00
Balance = Php 79,200.00</t>
        </is>
      </c>
      <c r="AK2482"/>
    </row>
    <row r="2483" ht="25.5" customHeight="1">
      <c r="A2483" s="2" t="str">
        <f>=HYPERLINK("https://applink.larksuite.com/client/mini_program/open?appId=cli_9c7cc8a9a9edd105&amp;mode=appCenter&amp;path_pc=pc/pages/requested/index?instanceId=7637442675351752421&amp;source=bitable&amp;path=pages/detail/index?instanceId=7637442675351752421&amp;source=bitable", "202605080067")</f>
        <v>202605080067</v>
      </c>
      <c r="B2483" t="inlineStr">
        <is>
          <t>Approved</t>
        </is>
      </c>
      <c r="C2483" t="inlineStr">
        <is>
          <t>Procurement Order</t>
        </is>
      </c>
      <c r="D2483" s="3">
        <v>46150.70710648148</v>
      </c>
      <c r="E2483" s="3">
        <v>46150.74422453704</v>
      </c>
      <c r="F2483" t="inlineStr">
        <is>
          <t>Fatima Kathleen M. FLores</t>
        </is>
      </c>
      <c r="G2483" t="inlineStr">
        <is>
          <t>Procurement</t>
        </is>
      </c>
      <c r="H2483"/>
      <c r="I2483"/>
      <c r="J2483" t="inlineStr">
        <is>
          <t>Project</t>
        </is>
      </c>
      <c r="K2483" t="inlineStr">
        <is>
          <t>PDEI - Game Marketing</t>
        </is>
      </c>
      <c r="L2483" t="inlineStr">
        <is>
          <t>SportsPlus MPBL Roadtrip Watchparty 2026</t>
        </is>
      </c>
      <c r="M2483" t="inlineStr">
        <is>
          <t>2026TEG-P0028</t>
        </is>
      </c>
      <c r="N2483" t="inlineStr">
        <is>
          <t>Kervin</t>
        </is>
      </c>
      <c r="O2483" t="inlineStr">
        <is>
          <t>202603260052-Kervin-费用报销 - 副本 - 副本 - 副本-2026-03-26 04:47:32</t>
        </is>
      </c>
      <c r="P2483" t="inlineStr">
        <is>
          <t>YES</t>
        </is>
      </c>
      <c r="Q2483"/>
      <c r="R2483" t="inlineStr">
        <is>
          <t>NO</t>
        </is>
      </c>
      <c r="S2483" t="inlineStr">
        <is>
          <t>Outsourced Logistics Associate (May 7)</t>
        </is>
      </c>
      <c r="T2483">
        <v>1</v>
      </c>
      <c r="U2483">
        <v>2000</v>
      </c>
      <c r="V2483" t="inlineStr">
        <is>
          <t>PHP</t>
        </is>
      </c>
      <c r="W2483">
        <v>2000</v>
      </c>
      <c r="X2483" s="2" t="str">
        <f>=HYPERLINK("https://www.larksuite.com/approval/admin/previewAttachment?key=PMwxDgJBDAPAL9lZb3zhMzSsTlBAgziJIm9HUNBOMbkRuU2OLKgYBbZzWIr0HJOeoWBH0y6Yzux138-Kox7wqtftbbGP62VfT85yBDyksQHg6e_fU1Up_ByfAAAA__8", "2 attachment(s)")</f>
        <v>2 attachment(s)</v>
      </c>
      <c r="Y2483" t="inlineStr">
        <is>
          <t>Bank Transfer</t>
        </is>
      </c>
      <c r="Z2483" t="inlineStr">
        <is>
          <t>Cristopher Borja</t>
        </is>
      </c>
      <c r="AA2483" t="inlineStr">
        <is>
          <t>17189771290</t>
        </is>
      </c>
      <c r="AB2483" t="inlineStr">
        <is>
          <t>MariBank</t>
        </is>
      </c>
      <c r="AC2483" t="inlineStr">
        <is>
          <t>Blk 1B Extension Samatadd Tanigue St. Dagat-dagatan Caloocan</t>
        </is>
      </c>
      <c r="AD2483" s="4">
        <v>46164</v>
      </c>
      <c r="AE2483" t="inlineStr">
        <is>
          <t>100% Full Payment - May 22, 2026</t>
        </is>
      </c>
      <c r="AF2483" s="2"/>
      <c r="AG2483" t="inlineStr">
        <is>
          <t>NzQyNTk5MTgyNzQ4MTg3MDM0MTpDQkU4NjdBNi1DREFCLTQxNDctODhCMC1BNEVDN0EzRDE3RjUtMTozZjk1ZmNiOTU4MDg5ODg0YzM5YjMyZTMzZmZkMGQzOTox</t>
        </is>
      </c>
      <c r="AH2483" t="inlineStr">
        <is>
          <t>Cristopher Borja</t>
        </is>
      </c>
      <c r="AI2483"/>
      <c r="AJ2483" t="inlineStr">
        <is>
          <t>LIQUIDITY PLAN (PAR # 202603240070 / 2026TEG-P0028)
MANPOWER &gt; Logistics
Total Remaining Budget = Php 88,600.00
Actual Cost = Php 2,000.00
Balance = Php 86,600.00</t>
        </is>
      </c>
      <c r="AK2483"/>
    </row>
    <row r="2484" ht="25.5" customHeight="1">
      <c r="A2484" s="2" t="str">
        <f>=HYPERLINK("https://applink.larksuite.com/client/mini_program/open?appId=cli_9c7cc8a9a9edd105&amp;mode=appCenter&amp;path_pc=pc/pages/requested/index?instanceId=7637441842623057631&amp;source=bitable&amp;path=pages/detail/index?instanceId=7637441842623057631&amp;source=bitable", "202605080064")</f>
        <v>202605080064</v>
      </c>
      <c r="B2484" t="inlineStr">
        <is>
          <t>Approved</t>
        </is>
      </c>
      <c r="C2484" t="inlineStr">
        <is>
          <t>Procurement Order</t>
        </is>
      </c>
      <c r="D2484" s="3">
        <v>46150.70486111111</v>
      </c>
      <c r="E2484" s="3">
        <v>46150.744733796295</v>
      </c>
      <c r="F2484" t="inlineStr">
        <is>
          <t>Fatima Kathleen M. FLores</t>
        </is>
      </c>
      <c r="G2484" t="inlineStr">
        <is>
          <t>Procurement</t>
        </is>
      </c>
      <c r="H2484"/>
      <c r="I2484"/>
      <c r="J2484" t="inlineStr">
        <is>
          <t>Project</t>
        </is>
      </c>
      <c r="K2484" t="inlineStr">
        <is>
          <t>PDEI - Game Marketing</t>
        </is>
      </c>
      <c r="L2484" t="inlineStr">
        <is>
          <t>SportsPlus MPBL Roadtrip Watchparty 2026</t>
        </is>
      </c>
      <c r="M2484" t="inlineStr">
        <is>
          <t>2026TEG-P0028</t>
        </is>
      </c>
      <c r="N2484" t="inlineStr">
        <is>
          <t>Kervin</t>
        </is>
      </c>
      <c r="O2484" t="inlineStr">
        <is>
          <t>202603260049-Kervin-费用报销 - 副本 - 副本 - 副本-2026-03-26 04:44:59</t>
        </is>
      </c>
      <c r="P2484" t="inlineStr">
        <is>
          <t>YES</t>
        </is>
      </c>
      <c r="Q2484"/>
      <c r="R2484" t="inlineStr">
        <is>
          <t>NO</t>
        </is>
      </c>
      <c r="S2484" t="inlineStr">
        <is>
          <t>Outsourced Brand Ambassador (May 2 / One Arena, Cainta)</t>
        </is>
      </c>
      <c r="T2484">
        <v>1</v>
      </c>
      <c r="U2484">
        <v>2500</v>
      </c>
      <c r="V2484" t="inlineStr">
        <is>
          <t>PHP</t>
        </is>
      </c>
      <c r="W2484">
        <v>2500</v>
      </c>
      <c r="X2484" s="2" t="str">
        <f>=HYPERLINK("https://www.larksuite.com/approval/admin/previewAttachment?key=PMw9CoJBDATQK80k2UziZWxcPsQfEITt9uyihe0rXhaRNejZiKY1uJWuCFZYmmMonds2pYaozD2fx9nW9Ojbo-5cNV97XS_HfHO0zCCP8ALA09-_Z3Rn4Of4BAAA__8", "2 attachment(s)")</f>
        <v>2 attachment(s)</v>
      </c>
      <c r="Y2484" t="inlineStr">
        <is>
          <t>Bank Transfer</t>
        </is>
      </c>
      <c r="Z2484" t="inlineStr">
        <is>
          <t>Jasmine Dava</t>
        </is>
      </c>
      <c r="AA2484" t="inlineStr">
        <is>
          <t>09664084097</t>
        </is>
      </c>
      <c r="AB2484" t="inlineStr">
        <is>
          <t>GCash</t>
        </is>
      </c>
      <c r="AC2484" t="inlineStr">
        <is>
          <t>1559 1st st. Fabie Subdivision Paco, Manila</t>
        </is>
      </c>
      <c r="AD2484" s="4">
        <v>46157</v>
      </c>
      <c r="AE2484" t="inlineStr">
        <is>
          <t>100% Full Payment - May 15, 2026</t>
        </is>
      </c>
      <c r="AF2484" s="2"/>
      <c r="AG2484" t="inlineStr">
        <is>
          <t>NzQyNTk5MTgyNzQ4MTg3MDM0MTo0QjdEMzQwNS1GNTRELTQ4QkUtODdGNS01QzI2OTVGMjFCRkUtMTowOGY0NGZiMzA0ODdiMGIyYTAxODk3YWJjZTBiZmVlYjox</t>
        </is>
      </c>
      <c r="AH2484" t="inlineStr">
        <is>
          <t>Jasmine Dava</t>
        </is>
      </c>
      <c r="AI2484"/>
      <c r="AJ2484" t="inlineStr">
        <is>
          <t>LIQUIDITY PLAN (PAR # 202603240070 / 2026TEG-P0028)
MANPOWER &gt; Brand Ambassador
Total Remaining Budget = Php 60,000.00
Actual Cost = Php 2,500.00
Balance = Php 57,500.00</t>
        </is>
      </c>
      <c r="AK2484"/>
    </row>
    <row r="2485" ht="25.5" customHeight="1">
      <c r="A2485" s="2" t="str">
        <f>=HYPERLINK("https://applink.larksuite.com/client/mini_program/open?appId=cli_9c7cc8a9a9edd105&amp;mode=appCenter&amp;path_pc=pc/pages/requested/index?instanceId=7638516506908905186&amp;source=bitable&amp;path=pages/detail/index?instanceId=7638516506908905186&amp;source=bitable", "202605110059")</f>
        <v>202605110059</v>
      </c>
      <c r="B2485" t="inlineStr">
        <is>
          <t>Approved</t>
        </is>
      </c>
      <c r="C2485" t="inlineStr">
        <is>
          <t>Procurement Order</t>
        </is>
      </c>
      <c r="D2485" s="3">
        <v>46153.60086805555</v>
      </c>
      <c r="E2485" s="3">
        <v>46154.69016203703</v>
      </c>
      <c r="F2485" t="inlineStr">
        <is>
          <t>Fatima Kathleen M. FLores</t>
        </is>
      </c>
      <c r="G2485" t="inlineStr">
        <is>
          <t>Procurement</t>
        </is>
      </c>
      <c r="H2485"/>
      <c r="I2485"/>
      <c r="J2485" t="inlineStr">
        <is>
          <t>Project</t>
        </is>
      </c>
      <c r="K2485" t="inlineStr">
        <is>
          <t>PDEI - Event Service</t>
        </is>
      </c>
      <c r="L2485" t="inlineStr">
        <is>
          <t>MPL PH S17</t>
        </is>
      </c>
      <c r="M2485" t="inlineStr">
        <is>
          <t>2026TEG-P0009</t>
        </is>
      </c>
      <c r="N2485" t="inlineStr">
        <is>
          <t>Katherine Denise Lee Sy</t>
        </is>
      </c>
      <c r="O2485" t="inlineStr">
        <is>
          <t>202604270150-Katherine Denise Lee Sy-费用报销 - 副本 - 副本 - 副本-2026-04-27 15:15:10</t>
        </is>
      </c>
      <c r="P2485" t="inlineStr">
        <is>
          <t>NO</t>
        </is>
      </c>
      <c r="Q2485"/>
      <c r="R2485" t="inlineStr">
        <is>
          <t>NO</t>
        </is>
      </c>
      <c r="S2485" t="inlineStr">
        <is>
          <t>Confetti Blizzard (Loose Metallic Gold)</t>
        </is>
      </c>
      <c r="T2485">
        <v>2</v>
      </c>
      <c r="U2485">
        <v>8000</v>
      </c>
      <c r="V2485" t="inlineStr">
        <is>
          <t>PHP</t>
        </is>
      </c>
      <c r="W2485">
        <v>16000</v>
      </c>
      <c r="X2485" s="2"/>
      <c r="Y2485" t="inlineStr">
        <is>
          <t>Bank Transfer</t>
        </is>
      </c>
      <c r="Z2485" t="inlineStr">
        <is>
          <t>Confetti Effects, Inc.</t>
        </is>
      </c>
      <c r="AA2485" t="inlineStr">
        <is>
          <t>3221-0180-78</t>
        </is>
      </c>
      <c r="AB2485" t="inlineStr">
        <is>
          <t>BPI</t>
        </is>
      </c>
      <c r="AC2485" t="inlineStr">
        <is>
          <t>2550 New Panaderos St., Brgy. 885 Zone 097, Sta. Ana, Manila</t>
        </is>
      </c>
      <c r="AD2485" s="4">
        <v>46164</v>
      </c>
      <c r="AE2485" t="inlineStr">
        <is>
          <t>50% Down Payment upon confirmation
50% Final Payment upon completion of services</t>
        </is>
      </c>
      <c r="AF2485" s="2"/>
      <c r="AG2485" t="inlineStr">
        <is>
          <t>NzQyNTk5MTgyNzQ4MTg3MDM0MTo1NjVFQkVDMS1GNzEzLTRFNEYtODU5NC0yNTY4MTE3QjQ3OEItMTphYzEwNTJhZWJlYWRiYzBjOTIzNDRlMmFiMzRmZGEwMTox</t>
        </is>
      </c>
      <c r="AH2485" t="inlineStr">
        <is>
          <t>Confetti Effects, Inc.</t>
        </is>
      </c>
      <c r="AI2485"/>
      <c r="AJ2485" t="inlineStr">
        <is>
          <t>LIQUIDITY PLAN (PAR # 202602190021 / 2026TEG-P0009) - AS OF 031626
PLAYOFFS SPECIFIC &gt; VENDORS &gt;
Stage Effects
Total Budget = Php 50,000.00
Actual Cost = Php 38,940.00
Balance = Php 11,060.00</t>
        </is>
      </c>
      <c r="AK2485"/>
    </row>
    <row r="2486" ht="25.5" customHeight="1">
      <c r="A2486" s="2" t="str">
        <f>=HYPERLINK("https://applink.larksuite.com/client/mini_program/open?appId=cli_9c7cc8a9a9edd105&amp;mode=appCenter&amp;path_pc=pc/pages/requested/index?instanceId=7638516506908905186&amp;source=bitable&amp;path=pages/detail/index?instanceId=7638516506908905186&amp;source=bitable", "202605110059")</f>
        <v>202605110059</v>
      </c>
      <c r="B2486" t="inlineStr">
        <is>
          <t>Approved</t>
        </is>
      </c>
      <c r="C2486" t="inlineStr">
        <is>
          <t>Procurement Order</t>
        </is>
      </c>
      <c r="D2486" s="3">
        <v>46153.60086805555</v>
      </c>
      <c r="E2486" s="3">
        <v>46154.69016203703</v>
      </c>
      <c r="F2486" t="inlineStr">
        <is>
          <t>Fatima Kathleen M. FLores</t>
        </is>
      </c>
      <c r="G2486" t="inlineStr">
        <is>
          <t>Procurement</t>
        </is>
      </c>
      <c r="H2486"/>
      <c r="I2486"/>
      <c r="J2486" t="inlineStr">
        <is>
          <t>Project</t>
        </is>
      </c>
      <c r="K2486" t="inlineStr">
        <is>
          <t>PDEI - Event Service</t>
        </is>
      </c>
      <c r="L2486" t="inlineStr">
        <is>
          <t>MPL PH S17</t>
        </is>
      </c>
      <c r="M2486" t="inlineStr">
        <is>
          <t>2026TEG-P0009</t>
        </is>
      </c>
      <c r="N2486" t="inlineStr">
        <is>
          <t>Katherine Denise Lee Sy</t>
        </is>
      </c>
      <c r="O2486" t="inlineStr">
        <is>
          <t>202604270150-Katherine Denise Lee Sy-费用报销 - 副本 - 副本 - 副本-2026-04-27 15:15:10</t>
        </is>
      </c>
      <c r="P2486" t="inlineStr">
        <is>
          <t>NO</t>
        </is>
      </c>
      <c r="Q2486"/>
      <c r="R2486" t="inlineStr">
        <is>
          <t>NO</t>
        </is>
      </c>
      <c r="S2486" t="inlineStr">
        <is>
          <t>Cryo Jets Floor Mount</t>
        </is>
      </c>
      <c r="T2486">
        <v>2</v>
      </c>
      <c r="U2486">
        <v>4800</v>
      </c>
      <c r="V2486" t="inlineStr">
        <is>
          <t>PHP</t>
        </is>
      </c>
      <c r="W2486">
        <v>9600</v>
      </c>
      <c r="X2486" s="2"/>
      <c r="Y2486"/>
      <c r="Z2486"/>
      <c r="AA2486"/>
      <c r="AB2486"/>
      <c r="AC2486"/>
      <c r="AD2486" s="4"/>
      <c r="AE2486"/>
      <c r="AF2486" s="2"/>
      <c r="AG2486" t="inlineStr">
        <is>
          <t>NzQyNTk5MTgyNzQ4MTg3MDM0MTo1NjVFQkVDMS1GNzEzLTRFNEYtODU5NC0yNTY4MTE3QjQ3OEItMjo1MjUzNjYxZGMxNWM2NGVhMWI0NTFkNTg0ZmE1ZjFlZDox</t>
        </is>
      </c>
      <c r="AH2486"/>
      <c r="AI2486"/>
      <c r="AJ2486" t="inlineStr">
        <is>
          <t>LIQUIDITY PLAN (PAR # 202602190021 / 2026TEG-P0009) - AS OF 031626
PLAYOFFS SPECIFIC &gt; VENDORS &gt;
Stage Effects
Total Budget = Php 50,000.00
Actual Cost = Php 38,940.00
Balance = Php 11,060.00</t>
        </is>
      </c>
      <c r="AK2486"/>
    </row>
    <row r="2487" ht="25.5" customHeight="1">
      <c r="A2487" s="2" t="str">
        <f>=HYPERLINK("https://applink.larksuite.com/client/mini_program/open?appId=cli_9c7cc8a9a9edd105&amp;mode=appCenter&amp;path_pc=pc/pages/requested/index?instanceId=7638516506908905186&amp;source=bitable&amp;path=pages/detail/index?instanceId=7638516506908905186&amp;source=bitable", "202605110059")</f>
        <v>202605110059</v>
      </c>
      <c r="B2487" t="inlineStr">
        <is>
          <t>Approved</t>
        </is>
      </c>
      <c r="C2487" t="inlineStr">
        <is>
          <t>Procurement Order</t>
        </is>
      </c>
      <c r="D2487" s="3">
        <v>46153.60086805555</v>
      </c>
      <c r="E2487" s="3">
        <v>46154.69016203703</v>
      </c>
      <c r="F2487" t="inlineStr">
        <is>
          <t>Fatima Kathleen M. FLores</t>
        </is>
      </c>
      <c r="G2487" t="inlineStr">
        <is>
          <t>Procurement</t>
        </is>
      </c>
      <c r="H2487"/>
      <c r="I2487"/>
      <c r="J2487" t="inlineStr">
        <is>
          <t>Project</t>
        </is>
      </c>
      <c r="K2487" t="inlineStr">
        <is>
          <t>PDEI - Event Service</t>
        </is>
      </c>
      <c r="L2487" t="inlineStr">
        <is>
          <t>MPL PH S17</t>
        </is>
      </c>
      <c r="M2487" t="inlineStr">
        <is>
          <t>2026TEG-P0009</t>
        </is>
      </c>
      <c r="N2487" t="inlineStr">
        <is>
          <t>Katherine Denise Lee Sy</t>
        </is>
      </c>
      <c r="O2487" t="inlineStr">
        <is>
          <t>202604270150-Katherine Denise Lee Sy-费用报销 - 副本 - 副本 - 副本-2026-04-27 15:15:10</t>
        </is>
      </c>
      <c r="P2487" t="inlineStr">
        <is>
          <t>NO</t>
        </is>
      </c>
      <c r="Q2487"/>
      <c r="R2487" t="inlineStr">
        <is>
          <t>NO</t>
        </is>
      </c>
      <c r="S2487" t="inlineStr">
        <is>
          <t>Sparkular - Mini (Granules - Medium)</t>
        </is>
      </c>
      <c r="T2487">
        <v>2</v>
      </c>
      <c r="U2487">
        <v>5500</v>
      </c>
      <c r="V2487" t="inlineStr">
        <is>
          <t>PHP</t>
        </is>
      </c>
      <c r="W2487">
        <v>11000</v>
      </c>
      <c r="X2487" s="2"/>
      <c r="Y2487"/>
      <c r="Z2487"/>
      <c r="AA2487"/>
      <c r="AB2487"/>
      <c r="AC2487"/>
      <c r="AD2487" s="4"/>
      <c r="AE2487"/>
      <c r="AF2487" s="2"/>
      <c r="AG2487" t="inlineStr">
        <is>
          <t>NzQyNTk5MTgyNzQ4MTg3MDM0MTo1NjVFQkVDMS1GNzEzLTRFNEYtODU5NC0yNTY4MTE3QjQ3OEItMzo3NGE2ZjJjZjhkNzI4MmJhMTAxZjM5Njk5OWVjY2IyMjox</t>
        </is>
      </c>
      <c r="AH2487"/>
      <c r="AI2487"/>
      <c r="AJ2487" t="inlineStr">
        <is>
          <t>LIQUIDITY PLAN (PAR # 202602190021 / 2026TEG-P0009) - AS OF 031626
PLAYOFFS SPECIFIC &gt; VENDORS &gt;
Stage Effects
Total Budget = Php 50,000.00
Actual Cost = Php 38,940.00
Balance = Php 11,060.00</t>
        </is>
      </c>
      <c r="AK2487"/>
    </row>
    <row r="2488" ht="25.5" customHeight="1">
      <c r="A2488" s="2" t="str">
        <f>=HYPERLINK("https://applink.larksuite.com/client/mini_program/open?appId=cli_9c7cc8a9a9edd105&amp;mode=appCenter&amp;path_pc=pc/pages/requested/index?instanceId=7638516506908905186&amp;source=bitable&amp;path=pages/detail/index?instanceId=7638516506908905186&amp;source=bitable", "202605110059")</f>
        <v>202605110059</v>
      </c>
      <c r="B2488" t="inlineStr">
        <is>
          <t>Approved</t>
        </is>
      </c>
      <c r="C2488" t="inlineStr">
        <is>
          <t>Procurement Order</t>
        </is>
      </c>
      <c r="D2488" s="3">
        <v>46153.60086805555</v>
      </c>
      <c r="E2488" s="3">
        <v>46154.69016203703</v>
      </c>
      <c r="F2488" t="inlineStr">
        <is>
          <t>Fatima Kathleen M. FLores</t>
        </is>
      </c>
      <c r="G2488" t="inlineStr">
        <is>
          <t>Procurement</t>
        </is>
      </c>
      <c r="H2488"/>
      <c r="I2488"/>
      <c r="J2488" t="inlineStr">
        <is>
          <t>Project</t>
        </is>
      </c>
      <c r="K2488" t="inlineStr">
        <is>
          <t>PDEI - Event Service</t>
        </is>
      </c>
      <c r="L2488" t="inlineStr">
        <is>
          <t>MPL PH S17</t>
        </is>
      </c>
      <c r="M2488" t="inlineStr">
        <is>
          <t>2026TEG-P0009</t>
        </is>
      </c>
      <c r="N2488" t="inlineStr">
        <is>
          <t>Katherine Denise Lee Sy</t>
        </is>
      </c>
      <c r="O2488" t="inlineStr">
        <is>
          <t>202604270150-Katherine Denise Lee Sy-费用报销 - 副本 - 副本 - 副本-2026-04-27 15:15:10</t>
        </is>
      </c>
      <c r="P2488" t="inlineStr">
        <is>
          <t>NO</t>
        </is>
      </c>
      <c r="Q2488"/>
      <c r="R2488" t="inlineStr">
        <is>
          <t>NO</t>
        </is>
      </c>
      <c r="S2488" t="inlineStr">
        <is>
          <t>Delivery and Installation</t>
        </is>
      </c>
      <c r="T2488">
        <v>1</v>
      </c>
      <c r="U2488">
        <v>2340</v>
      </c>
      <c r="V2488" t="inlineStr">
        <is>
          <t>PHP</t>
        </is>
      </c>
      <c r="W2488">
        <v>2340</v>
      </c>
      <c r="X2488" s="2" t="str">
        <f>=HYPERLINK("https://www.larksuite.com/approval/admin/previewAttachment?key=PMg7CsJgEATgK838-xwvY5MQVLASTbVnFyxsv2wiO2gpuLgETqV1MAMptBDsnDWsEoqVOfvzuOpBW3pvxfMe5zaf23bsL4ZqLZS5WwPg5e9W7i6l4-f2DQAA__8", "2 attachment(s)")</f>
        <v>2 attachment(s)</v>
      </c>
      <c r="Y2488"/>
      <c r="Z2488"/>
      <c r="AA2488"/>
      <c r="AB2488"/>
      <c r="AC2488"/>
      <c r="AD2488" s="4"/>
      <c r="AE2488"/>
      <c r="AF2488" s="2"/>
      <c r="AG2488" t="inlineStr">
        <is>
          <t>NzQyNTk5MTgyNzQ4MTg3MDM0MTo1NjVFQkVDMS1GNzEzLTRFNEYtODU5NC0yNTY4MTE3QjQ3OEItNDo0NTVlNGE0YjJiYmU4Yjg4MzM3MTA5Yzk0NjFkNTgwOTox</t>
        </is>
      </c>
      <c r="AH2488"/>
      <c r="AI2488"/>
      <c r="AJ2488" t="inlineStr">
        <is>
          <t>LIQUIDITY PLAN (PAR # 202602190021 / 2026TEG-P0009) - AS OF 031626
PLAYOFFS SPECIFIC &gt; VENDORS &gt;
Stage Effects
Total Budget = Php 50,000.00
Actual Cost = Php 38,940.00
Balance = Php 11,060.00</t>
        </is>
      </c>
      <c r="AK2488"/>
    </row>
    <row r="2489" ht="25.5" customHeight="1">
      <c r="A2489" s="2" t="str">
        <f>=HYPERLINK("https://applink.larksuite.com/client/mini_program/open?appId=cli_9c7cc8a9a9edd105&amp;mode=appCenter&amp;path_pc=pc/pages/requested/index?instanceId=7638560295954157280&amp;source=bitable&amp;path=pages/detail/index?instanceId=7638560295954157280&amp;source=bitable", "202605110099")</f>
        <v>202605110099</v>
      </c>
      <c r="B2489" t="inlineStr">
        <is>
          <t>Approved</t>
        </is>
      </c>
      <c r="C2489" t="inlineStr">
        <is>
          <t>Procurement Order</t>
        </is>
      </c>
      <c r="D2489" s="3">
        <v>46153.71886574074</v>
      </c>
      <c r="E2489" s="3">
        <v>46154.430497685185</v>
      </c>
      <c r="F2489" t="inlineStr">
        <is>
          <t>Fatima Kathleen M. FLores</t>
        </is>
      </c>
      <c r="G2489" t="inlineStr">
        <is>
          <t>Procurement</t>
        </is>
      </c>
      <c r="H2489"/>
      <c r="I2489"/>
      <c r="J2489" t="inlineStr">
        <is>
          <t>GAE</t>
        </is>
      </c>
      <c r="K2489"/>
      <c r="L2489"/>
      <c r="M2489"/>
      <c r="N2489"/>
      <c r="O2489" t="inlineStr">
        <is>
          <t>202605080041-Madelyn Espanto-费用报销 - 副本 - 副本 - 副本-2026-05-08 07:05:22</t>
        </is>
      </c>
      <c r="P2489"/>
      <c r="Q2489" t="inlineStr">
        <is>
          <t>Mineski PH</t>
        </is>
      </c>
      <c r="R2489"/>
      <c r="S2489" t="inlineStr">
        <is>
          <t>Seaory S Series Full - Panel YMCKO Ribbon</t>
        </is>
      </c>
      <c r="T2489">
        <v>2</v>
      </c>
      <c r="U2489">
        <v>6500</v>
      </c>
      <c r="V2489" t="inlineStr">
        <is>
          <t>PHP</t>
        </is>
      </c>
      <c r="W2489">
        <v>13000</v>
      </c>
      <c r="X2489" s="2" t="str">
        <f>=HYPERLINK("https://www.larksuite.com/approval/admin/previewAttachment?key=PMg7CoIxEATgK81s9pHxMjaGoMJvIwoWe3bBwvbLSeQMjhRcNIFdOWYkTKFwRtlEW7NKKFZmr2OfH9Rxf3HZthWfW7-vl72eDJUZariPCYCnv49ydykdP8c3AAD__w", "2 attachment(s)")</f>
        <v>2 attachment(s)</v>
      </c>
      <c r="Y2489" t="inlineStr">
        <is>
          <t>Bank Transfer</t>
        </is>
      </c>
      <c r="Z2489" t="inlineStr">
        <is>
          <t>ZETOS SWISS FORENSIC SUPPLY PHILIPPINES INC.</t>
        </is>
      </c>
      <c r="AA2489" t="inlineStr">
        <is>
          <t>0681-0007-63</t>
        </is>
      </c>
      <c r="AB2489" t="inlineStr">
        <is>
          <t>BPI</t>
        </is>
      </c>
      <c r="AC2489" t="inlineStr">
        <is>
          <t>31 Sugpo St., Jem 7 Subd. Talipapa, Novaliches, QC</t>
        </is>
      </c>
      <c r="AD2489" s="4">
        <v>46157</v>
      </c>
      <c r="AE2489" t="inlineStr">
        <is>
          <t>100% Full Payment</t>
        </is>
      </c>
      <c r="AF2489" s="2" t="str">
        <f>=HYPERLINK("https://www.larksuite.com/approval/admin/previewAttachment?key=TMg7CoIxEATgK81sso_xMjaGoMJvIwoWe3bByvaLIqKcI4QpmsDOGOUBk8snPa3Q1swUkhnR69jnB3XcX1y2bfnn1u_rZa8no0ZgyuekAPD05yRUI8bP8Q0AAP__", "2 attachment(s)")</f>
        <v>2 attachment(s)</v>
      </c>
      <c r="AG2489" t="inlineStr">
        <is>
          <t>NzQyNTk5MTgyNzQ4MTg3MDM0MTpBQTkwMjlCRS1EQ0UxLTQ2RkMtQTBDNS03QkU1NEM0QjVDNzMtMTowYWY1ZTlmOWEzZWI3OTE0YjY0YTM2ZDdhYjc0YjhhNzox</t>
        </is>
      </c>
      <c r="AH2489" t="inlineStr">
        <is>
          <t>ZETOS SWISS FORENSIC SUPPLY PHILIPPINES INC.</t>
        </is>
      </c>
      <c r="AI2489"/>
      <c r="AJ2489"/>
      <c r="AK2489" t="inlineStr">
        <is>
          <t>Madelyn Espanto</t>
        </is>
      </c>
    </row>
    <row r="2490" ht="25.5" customHeight="1">
      <c r="A2490" s="2" t="str">
        <f>=HYPERLINK("https://applink.larksuite.com/client/mini_program/open?appId=cli_9c7cc8a9a9edd105&amp;mode=appCenter&amp;path_pc=pc/pages/requested/index?instanceId=7638526725747511005&amp;source=bitable&amp;path=pages/detail/index?instanceId=7638526725747511005&amp;source=bitable", "202605110072")</f>
        <v>202605110072</v>
      </c>
      <c r="B2490" t="inlineStr">
        <is>
          <t>Approved</t>
        </is>
      </c>
      <c r="C2490" t="inlineStr">
        <is>
          <t>Procurement Order</t>
        </is>
      </c>
      <c r="D2490" s="3">
        <v>46153.62840277778</v>
      </c>
      <c r="E2490" s="3">
        <v>46156.51005787037</v>
      </c>
      <c r="F2490" t="inlineStr">
        <is>
          <t>Fatima Kathleen M. FLores</t>
        </is>
      </c>
      <c r="G2490" t="inlineStr">
        <is>
          <t>Procurement</t>
        </is>
      </c>
      <c r="H2490"/>
      <c r="I2490"/>
      <c r="J2490" t="inlineStr">
        <is>
          <t>Project</t>
        </is>
      </c>
      <c r="K2490" t="inlineStr">
        <is>
          <t>PDEI - Game Marketing</t>
        </is>
      </c>
      <c r="L2490" t="inlineStr">
        <is>
          <t>Jobstreet Addendum (Boosting and Parking)</t>
        </is>
      </c>
      <c r="M2490" t="inlineStr">
        <is>
          <t>2026TEG-P0121</t>
        </is>
      </c>
      <c r="N2490" t="inlineStr">
        <is>
          <t>Maura Aurel Atilano Yap</t>
        </is>
      </c>
      <c r="O2490" t="inlineStr">
        <is>
          <t>202605070029-Maura Aurel Atilano Yap-费用报销 - 副本 - 副本 - 副本-2026-05-07 06:33:14</t>
        </is>
      </c>
      <c r="P2490" t="inlineStr">
        <is>
          <t>YES</t>
        </is>
      </c>
      <c r="Q2490"/>
      <c r="R2490" t="inlineStr">
        <is>
          <t>YES</t>
        </is>
      </c>
      <c r="S2490" t="inlineStr">
        <is>
          <t>Outsourced Social Media Manager</t>
        </is>
      </c>
      <c r="T2490">
        <v>1</v>
      </c>
      <c r="U2490">
        <v>5000</v>
      </c>
      <c r="V2490" t="inlineStr">
        <is>
          <t>PHP</t>
        </is>
      </c>
      <c r="W2490">
        <v>5000</v>
      </c>
      <c r="X2490" s="2" t="str">
        <f>=HYPERLINK("https://www.larksuite.com/approval/admin/previewAttachment?key=PMg9CgIxEAXgK735fRkvY2MI7oKVGLCYswsW2345BDlCLAteogVppo3QpAadIQJEawtZoDCz52vddU87HOc-v5_DV-_nY823RFEVNHcbAOR2udHdq9Lxd_wCAAD__w", "2 attachment(s)")</f>
        <v>2 attachment(s)</v>
      </c>
      <c r="Y2490" t="inlineStr">
        <is>
          <t>Bank Transfer</t>
        </is>
      </c>
      <c r="Z2490" t="inlineStr">
        <is>
          <t>Vanessa Joy S Navarro</t>
        </is>
      </c>
      <c r="AA2490" t="inlineStr">
        <is>
          <t>006320394020</t>
        </is>
      </c>
      <c r="AB2490" t="inlineStr">
        <is>
          <t>BDO</t>
        </is>
      </c>
      <c r="AC2490" t="inlineStr">
        <is>
          <t>21 Aramismis Street, Barangay Veterans Village, Project 7, Quezon City</t>
        </is>
      </c>
      <c r="AD2490" s="4">
        <v>46164</v>
      </c>
      <c r="AE2490" t="inlineStr">
        <is>
          <t>100% Full Payment - May 22, 2026</t>
        </is>
      </c>
      <c r="AF2490" s="2"/>
      <c r="AG2490" t="inlineStr">
        <is>
          <t>NzQyNTk5MTgyNzQ4MTg3MDM0MToyRkRBRTk0Ni00OENDLTRBRTYtQTRGRS1BN0Q0RDc4OTZDNDMtMTo0Y2YxNzlkNWVjZjIzYmM3OTgxZTUzZjUwZWM3ZGI0Yjox</t>
        </is>
      </c>
      <c r="AH2490" t="inlineStr">
        <is>
          <t>Vanessa Joy S Navarro</t>
        </is>
      </c>
      <c r="AI2490"/>
      <c r="AJ2490" t="inlineStr">
        <is>
          <t>LIQUIDITY PLAN (PAR # 202605070027 / 2026TEG-P0121)
SERVICES &gt; Social Media &gt;
Social Media Manager
Total Budget = Php 4,000.00
Actual Cost = Php 5,000.00
Balance = (Php 1,000.00) OVER BUDGET</t>
        </is>
      </c>
      <c r="AK2490"/>
    </row>
    <row r="2491" ht="25.5" customHeight="1">
      <c r="A2491" s="2" t="str">
        <f>=HYPERLINK("https://applink.larksuite.com/client/mini_program/open?appId=cli_9c7cc8a9a9edd105&amp;mode=appCenter&amp;path_pc=pc/pages/requested/index?instanceId=7638896346237243099&amp;source=bitable&amp;path=pages/detail/index?instanceId=7638896346237243099&amp;source=bitable", "202605120050")</f>
        <v>202605120050</v>
      </c>
      <c r="B2491" t="inlineStr">
        <is>
          <t>Approved</t>
        </is>
      </c>
      <c r="C2491" t="inlineStr">
        <is>
          <t>Procurement Order</t>
        </is>
      </c>
      <c r="D2491" s="3">
        <v>46154.624456018515</v>
      </c>
      <c r="E2491" s="3">
        <v>46154.73284722222</v>
      </c>
      <c r="F2491" t="inlineStr">
        <is>
          <t>Fatima Kathleen M. FLores</t>
        </is>
      </c>
      <c r="G2491" t="inlineStr">
        <is>
          <t>Procurement</t>
        </is>
      </c>
      <c r="H2491"/>
      <c r="I2491"/>
      <c r="J2491" t="inlineStr">
        <is>
          <t>Project</t>
        </is>
      </c>
      <c r="K2491" t="inlineStr">
        <is>
          <t>PDEI - Game Marketing</t>
        </is>
      </c>
      <c r="L2491" t="inlineStr">
        <is>
          <t>SM Cyberzone Game Fest 2026</t>
        </is>
      </c>
      <c r="M2491" t="inlineStr">
        <is>
          <t>2025TEG-P0340</t>
        </is>
      </c>
      <c r="N2491" t="inlineStr">
        <is>
          <t>Alessandra Mae Villanueva Boado</t>
        </is>
      </c>
      <c r="O2491" t="inlineStr">
        <is>
          <t>202605080030-Alessandra Mae Villanueva Boado-费用报销 - 副本 - 副本 - 副本-2026-05-08 05:57:24</t>
        </is>
      </c>
      <c r="P2491" t="inlineStr">
        <is>
          <t>YES</t>
        </is>
      </c>
      <c r="Q2491"/>
      <c r="R2491" t="inlineStr">
        <is>
          <t>NO</t>
        </is>
      </c>
      <c r="S2491" t="inlineStr">
        <is>
          <t>Outsourced Motion Graphics Artist</t>
        </is>
      </c>
      <c r="T2491">
        <v>1</v>
      </c>
      <c r="U2491">
        <v>26320</v>
      </c>
      <c r="V2491" t="inlineStr">
        <is>
          <t>PHP</t>
        </is>
      </c>
      <c r="W2491">
        <v>26320</v>
      </c>
      <c r="X2491" s="2" t="str">
        <f>=HYPERLINK("https://www.larksuite.com/approval/admin/previewAttachment?key=PMg7jsJAEATQK1V_3DW1l9lkLAsbJkJCIuizIxGQvhqGGptFCSlzwZoVY6giy4OeAam9jRRorOp9Hf_rfT3u5zy1lLxmv27z2J-2ie5gZMYAYH8_D2amVImv4xMAAP__", "2 attachment(s)")</f>
        <v>2 attachment(s)</v>
      </c>
      <c r="Y2491" t="inlineStr">
        <is>
          <t>Bank Transfer</t>
        </is>
      </c>
      <c r="Z2491" t="inlineStr">
        <is>
          <t>Jeric Angelo C. Asinas</t>
        </is>
      </c>
      <c r="AA2491" t="inlineStr">
        <is>
          <t>4519301747</t>
        </is>
      </c>
      <c r="AB2491" t="inlineStr">
        <is>
          <t>BPI</t>
        </is>
      </c>
      <c r="AC2491" t="inlineStr">
        <is>
          <t>1723 Lirio Street, Camarin Area B, Brgy. 174, Caloocan City</t>
        </is>
      </c>
      <c r="AD2491" s="4">
        <v>46164</v>
      </c>
      <c r="AE2491" t="inlineStr">
        <is>
          <t>100% Full Payment - May 22, 2026</t>
        </is>
      </c>
      <c r="AF2491" s="2" t="str">
        <f>=HYPERLINK("https://www.larksuite.com/approval/admin/previewAttachment?key=TMgxjsJQDATQK818O2PPXmabRBEJpEJCovhnR6KifWpCvTBkpDkMzlJ0W5EaUSMD9hyTVUaxpLld-__1Ph_3Yz18Oetc5-u27tuT6hDSSyYNgH8_TsIdiq_jEwAA__8", "2 attachment(s)")</f>
        <v>2 attachment(s)</v>
      </c>
      <c r="AG2491" t="inlineStr">
        <is>
          <t>NzQyNTk5MTgyNzQ4MTg3MDM0MTpENzRENzQwMC01M0NDLTQ5RjktOUIzMy0yQzJDODAzRjVCRDQtMTo0MDkyZjA2NTQ0OTRiNzg2ZDkzMDU4YWI0NzMzMjYzNTox</t>
        </is>
      </c>
      <c r="AH2491" t="inlineStr">
        <is>
          <t>Jeric Angelo C. Asinas</t>
        </is>
      </c>
      <c r="AI2491"/>
      <c r="AJ2491" t="inlineStr">
        <is>
          <t>LIQUIDITY PLAN (PAR # 202604300034 / 2025TEG-P0340)
MANPOWER &gt; Creative Assets &gt; Event Design Package + 3D Design
Total Budget = Php 30,000.00
This Request = Php 26,320.00
Balance = Php 3,680.00</t>
        </is>
      </c>
      <c r="AK2491"/>
    </row>
    <row r="2492" ht="25.5" customHeight="1">
      <c r="A2492" s="2" t="str">
        <f>=HYPERLINK("https://applink.larksuite.com/client/mini_program/open?appId=cli_9c7cc8a9a9edd105&amp;mode=appCenter&amp;path_pc=pc/pages/requested/index?instanceId=7638923870279323355&amp;source=bitable&amp;path=pages/detail/index?instanceId=7638923870279323355&amp;source=bitable", "202605120070")</f>
        <v>202605120070</v>
      </c>
      <c r="B2492" t="inlineStr">
        <is>
          <t>Approved</t>
        </is>
      </c>
      <c r="C2492" t="inlineStr">
        <is>
          <t>Procurement Order</t>
        </is>
      </c>
      <c r="D2492" s="3">
        <v>46154.69862268519</v>
      </c>
      <c r="E2492" s="3">
        <v>46154.73988425926</v>
      </c>
      <c r="F2492" t="inlineStr">
        <is>
          <t>Fatima Kathleen M. FLores</t>
        </is>
      </c>
      <c r="G2492" t="inlineStr">
        <is>
          <t>Procurement</t>
        </is>
      </c>
      <c r="H2492"/>
      <c r="I2492"/>
      <c r="J2492" t="inlineStr">
        <is>
          <t>Project</t>
        </is>
      </c>
      <c r="K2492" t="inlineStr">
        <is>
          <t>PDEI - Game Marketing</t>
        </is>
      </c>
      <c r="L2492" t="inlineStr">
        <is>
          <t>SM Cyberzone Game Fest 2026</t>
        </is>
      </c>
      <c r="M2492" t="inlineStr">
        <is>
          <t>2025TEG-P0340</t>
        </is>
      </c>
      <c r="N2492" t="inlineStr">
        <is>
          <t>Alessandra Mae Villanueva Boado</t>
        </is>
      </c>
      <c r="O2492" t="inlineStr">
        <is>
          <t>202605060074-Alessandra Mae Villanueva Boado-费用报销 - 副本 - 副本 - 副本-2026-05-06 09:24:23</t>
        </is>
      </c>
      <c r="P2492" t="inlineStr">
        <is>
          <t>YES</t>
        </is>
      </c>
      <c r="Q2492"/>
      <c r="R2492" t="inlineStr">
        <is>
          <t>NO</t>
        </is>
      </c>
      <c r="S2492" t="inlineStr">
        <is>
          <t>Outsourced Photographer &amp; Videographer (SM MOA &amp; SM Fairview)</t>
        </is>
      </c>
      <c r="T2492">
        <v>1</v>
      </c>
      <c r="U2492">
        <v>70000</v>
      </c>
      <c r="V2492" t="inlineStr">
        <is>
          <t>PHP</t>
        </is>
      </c>
      <c r="W2492">
        <v>70000</v>
      </c>
      <c r="X2492" s="2" t="str">
        <f>=HYPERLINK("https://www.larksuite.com/approval/admin/previewAttachment?key=PMi7DcJgDATglc7Ps1mGJr8iCqBBIFJ4diSKtF-WICvEsuEt2pBhWrVaEco2NYsYHSEbFGbOeuzX97HuW7g843vU0vnctn29JJqqoLlbAZDL6UZ3707H3_ELAAD__w", "2 attachment(s)")</f>
        <v>2 attachment(s)</v>
      </c>
      <c r="Y2492" t="inlineStr">
        <is>
          <t>Bank Transfer</t>
        </is>
      </c>
      <c r="Z2492" t="inlineStr">
        <is>
          <t>Jeric Angelo C. Asinas</t>
        </is>
      </c>
      <c r="AA2492" t="inlineStr">
        <is>
          <t>4519301747</t>
        </is>
      </c>
      <c r="AB2492" t="inlineStr">
        <is>
          <t>BPI</t>
        </is>
      </c>
      <c r="AC2492" t="inlineStr">
        <is>
          <t>1723 Lirio Street, Camarin Area B, Brgy. 174, Caloocan City</t>
        </is>
      </c>
      <c r="AD2492" s="4">
        <v>46164</v>
      </c>
      <c r="AE2492" t="inlineStr">
        <is>
          <t>1st Payment - May 22, 2026
Final Payment - June 5, 2026</t>
        </is>
      </c>
      <c r="AF2492" s="2" t="str">
        <f>=HYPERLINK("https://www.larksuite.com/approval/admin/previewAttachment?key=TMgrDsJgEATgK83se7kMpn8aBGAIhIo9Owmq9osiopwaDWtKg5Oh1aKVkGwVVfeRYWYjmRGzHvv1faz75sanf49aMp_btq8XozRg7WZsALycnESXhv4dvwAAAP__", "2 attachment(s)")</f>
        <v>2 attachment(s)</v>
      </c>
      <c r="AG2492" t="inlineStr">
        <is>
          <t>NzQyNTk5MTgyNzQ4MTg3MDM0MTpBNjk3QTc1Ni0xNDk4LTQ0RUEtODY2Mi05NTQ5QkFDN0E4NTQtMTpiNmU3OTdiOTMxYTQwNDlhZjM0ZmVjZDlhOWM4ZDBhYjox</t>
        </is>
      </c>
      <c r="AH2492" t="inlineStr">
        <is>
          <t>Jeric Angelo C. Asinas</t>
        </is>
      </c>
      <c r="AI2492"/>
      <c r="AJ2492" t="inlineStr">
        <is>
          <t>LIQUIDITY PLAN (PAR # 202604300034 / 2025TEG-P0340)
SM Mall of Asia &gt; Manpower &gt; Photo &amp; Video Coverage
SM City Fairview &gt; Manpower &gt; Photo &amp; Video Coverage
Total Budget = Php 70,000.00
Actual Cost = Php 70,000.00</t>
        </is>
      </c>
      <c r="AK2492"/>
    </row>
    <row r="2493" ht="25.5" customHeight="1">
      <c r="A2493" s="2" t="str">
        <f>=HYPERLINK("https://applink.larksuite.com/client/mini_program/open?appId=cli_9c7cc8a9a9edd105&amp;mode=appCenter&amp;path_pc=pc/pages/requested/index?instanceId=7638931660729290469&amp;source=bitable&amp;path=pages/detail/index?instanceId=7638931660729290469&amp;source=bitable", "202605120076")</f>
        <v>202605120076</v>
      </c>
      <c r="B2493" t="inlineStr">
        <is>
          <t>Approved</t>
        </is>
      </c>
      <c r="C2493" t="inlineStr">
        <is>
          <t>Procurement Order</t>
        </is>
      </c>
      <c r="D2493" s="3">
        <v>46154.719618055555</v>
      </c>
      <c r="E2493" s="3">
        <v>46154.74747685185</v>
      </c>
      <c r="F2493" t="inlineStr">
        <is>
          <t>Fatima Kathleen M. FLores</t>
        </is>
      </c>
      <c r="G2493" t="inlineStr">
        <is>
          <t>Procurement</t>
        </is>
      </c>
      <c r="H2493"/>
      <c r="I2493"/>
      <c r="J2493" t="inlineStr">
        <is>
          <t>Project</t>
        </is>
      </c>
      <c r="K2493" t="inlineStr">
        <is>
          <t>PDEI - Game Marketing</t>
        </is>
      </c>
      <c r="L2493" t="inlineStr">
        <is>
          <t>Mineski Indonesia Video Support</t>
        </is>
      </c>
      <c r="M2493" t="inlineStr">
        <is>
          <t>2026TEG-P0116</t>
        </is>
      </c>
      <c r="N2493" t="inlineStr">
        <is>
          <t>Alessandra Mae Villanueva Boado</t>
        </is>
      </c>
      <c r="O2493" t="inlineStr">
        <is>
          <t>202605020003-Alessandra Mae Villanueva Boado-费用报销 - 副本 - 副本 - 副本-2026-05-02 05:31:42</t>
        </is>
      </c>
      <c r="P2493" t="inlineStr">
        <is>
          <t>YES</t>
        </is>
      </c>
      <c r="Q2493"/>
      <c r="R2493" t="inlineStr">
        <is>
          <t>NO</t>
        </is>
      </c>
      <c r="S2493" t="inlineStr">
        <is>
          <t>Outsourced Camera Operator (May 7)</t>
        </is>
      </c>
      <c r="T2493">
        <v>1</v>
      </c>
      <c r="U2493">
        <v>10976</v>
      </c>
      <c r="V2493" t="inlineStr">
        <is>
          <t>PHP</t>
        </is>
      </c>
      <c r="W2493">
        <v>10976</v>
      </c>
      <c r="X2493" s="2" t="str">
        <f>=HYPERLINK("https://www.larksuite.com/approval/admin/previewAttachment?key=PMgxDgIxDATAL-3ajp3lMzQXnUCICpHOb0eiuHZyEjkHPYUQTWBX-pQzE2UyIVJtzSqhWJm93uf9ucfLscY-NvldvR_HuT4cKjOUR_gEwNvlXhEhZeDv-AUAAP__", "2 attachment(s)")</f>
        <v>2 attachment(s)</v>
      </c>
      <c r="Y2493" t="inlineStr">
        <is>
          <t>Bank Transfer</t>
        </is>
      </c>
      <c r="Z2493" t="inlineStr">
        <is>
          <t>Jeric Angelo C. Asinas</t>
        </is>
      </c>
      <c r="AA2493" t="inlineStr">
        <is>
          <t>4519301747</t>
        </is>
      </c>
      <c r="AB2493" t="inlineStr">
        <is>
          <t>BPI</t>
        </is>
      </c>
      <c r="AC2493" t="inlineStr">
        <is>
          <t>1723 Lirio Street, Camarin Area B, Brgy. 174, Caloocan City</t>
        </is>
      </c>
      <c r="AD2493" s="4">
        <v>46164</v>
      </c>
      <c r="AE2493" t="inlineStr">
        <is>
          <t>100% Full Payment - May 22, 2026</t>
        </is>
      </c>
      <c r="AF2493" s="2" t="str">
        <f>=HYPERLINK("https://www.larksuite.com/approval/admin/previewAttachment?key=TMgxDgIxEAPAL9nZxBvzGZqLTiBEhUi3b0eiunY0Cc3BkNHNZrBSMR2UkM3N6HK1YqaRTKnW-7w_93gF1tjHJr-r9uM414eaIXSP3mkAvF2chGco_o5fAAAA__8", "2 attachment(s)")</f>
        <v>2 attachment(s)</v>
      </c>
      <c r="AG2493" t="inlineStr">
        <is>
          <t>NzQyNTk5MTgyNzQ4MTg3MDM0MToyMjQyMTQ0OC0wNjQ1LTQ2NzgtODVBQS00RUNDMzJBREVFN0MtMTo5MWFlODUxNjM1ZDViOTUxNzJhMDNhOWE3MjEwMzBlMjox</t>
        </is>
      </c>
      <c r="AH2493" t="inlineStr">
        <is>
          <t>Jeric Angelo C. Asinas</t>
        </is>
      </c>
      <c r="AI2493"/>
      <c r="AJ2493" t="inlineStr">
        <is>
          <t>LIQUIDITY PLAN (PAR # 202604300068 / 2026TEG-P0116)
MANPOWER &gt; Creatives &gt; Video Shooter
Total Budget = Php 11,000.00
Actual Cost = Php 10,976.00
Balance = Php 24.00</t>
        </is>
      </c>
      <c r="AK2493"/>
    </row>
    <row r="2494" ht="25.5" customHeight="1">
      <c r="A2494" s="2" t="str">
        <f>=HYPERLINK("https://applink.larksuite.com/client/mini_program/open?appId=cli_9c7cc8a9a9edd105&amp;mode=appCenter&amp;path_pc=pc/pages/requested/index?instanceId=7639599456400215771&amp;source=bitable&amp;path=pages/detail/index?instanceId=7639599456400215771&amp;source=bitable", "202605140021")</f>
        <v>202605140021</v>
      </c>
      <c r="B2494" t="inlineStr">
        <is>
          <t>Approved</t>
        </is>
      </c>
      <c r="C2494" t="inlineStr">
        <is>
          <t>Procurement Order</t>
        </is>
      </c>
      <c r="D2494" s="3">
        <v>46156.51918981481</v>
      </c>
      <c r="E2494" s="3">
        <v>46156.64026620371</v>
      </c>
      <c r="F2494" t="inlineStr">
        <is>
          <t>Fatima Kathleen M. FLores</t>
        </is>
      </c>
      <c r="G2494" t="inlineStr">
        <is>
          <t>Procurement</t>
        </is>
      </c>
      <c r="H2494"/>
      <c r="I2494"/>
      <c r="J2494" t="inlineStr">
        <is>
          <t>Project</t>
        </is>
      </c>
      <c r="K2494" t="inlineStr">
        <is>
          <t>PDEI - Game Marketing</t>
        </is>
      </c>
      <c r="L2494" t="inlineStr">
        <is>
          <t>SM Cyberzone Game Fest 2026</t>
        </is>
      </c>
      <c r="M2494" t="inlineStr">
        <is>
          <t>2025TEG-P0340</t>
        </is>
      </c>
      <c r="N2494" t="inlineStr">
        <is>
          <t>Alessandra Mae Villanueva Boado</t>
        </is>
      </c>
      <c r="O2494" t="inlineStr">
        <is>
          <t>202605060047-Alessandra Mae Villanueva Boado-费用报销 - 副本 - 副本 - 副本-2026-05-06 07:20:11</t>
        </is>
      </c>
      <c r="P2494" t="inlineStr">
        <is>
          <t>YES</t>
        </is>
      </c>
      <c r="Q2494"/>
      <c r="R2494" t="inlineStr">
        <is>
          <t>NO</t>
        </is>
      </c>
      <c r="S2494" t="inlineStr">
        <is>
          <t>Outsourced Road Manager (SM MOA &amp; SM Fairview)</t>
        </is>
      </c>
      <c r="T2494">
        <v>1</v>
      </c>
      <c r="U2494">
        <v>6800</v>
      </c>
      <c r="V2494" t="inlineStr">
        <is>
          <t>PHP</t>
        </is>
      </c>
      <c r="W2494">
        <v>6800</v>
      </c>
      <c r="X2494" s="2" t="str">
        <f>=HYPERLINK("https://www.larksuite.com/approval/admin/previewAttachment?key=PMw7isNAEATQK1VPf2pqL7OJB-FABoNhUNJnN0qcvuDVNNRM8xJCNgRrliulyApgWJLWo40UaKzq9Tr-l6_Y74Xr0rnP7P18HOtjKY4BeoRPAPb3c2dESPd5O74BAAD__w", "2 attachment(s)")</f>
        <v>2 attachment(s)</v>
      </c>
      <c r="Y2494" t="inlineStr">
        <is>
          <t>Bank Transfer</t>
        </is>
      </c>
      <c r="Z2494" t="inlineStr">
        <is>
          <t>Jaizel Joy Gonzaga</t>
        </is>
      </c>
      <c r="AA2494" t="inlineStr">
        <is>
          <t>09946980204</t>
        </is>
      </c>
      <c r="AB2494" t="inlineStr">
        <is>
          <t>Gcash</t>
        </is>
      </c>
      <c r="AC2494" t="inlineStr">
        <is>
          <t>Blk 1 Sitio Pusawan, Brgy. Ususan, Taguig City</t>
        </is>
      </c>
      <c r="AD2494" s="4">
        <v>46178</v>
      </c>
      <c r="AE2494" t="inlineStr">
        <is>
          <t>100% Full Payment - Jun 5, 2026</t>
        </is>
      </c>
      <c r="AF2494" s="2"/>
      <c r="AG2494" t="inlineStr">
        <is>
          <t>NzQyNTk5MTgyNzQ4MTg3MDM0MTo3RDQzQ0I2QS0wOTgyLTQwMEItQjQ2Qy00MzY5ODY2RUE5MzYtMTowZGQ2YmRlOGQyMTdhNTY5Y2JkNjk2YjgyY2VmNTFhZTox</t>
        </is>
      </c>
      <c r="AH2494" t="inlineStr">
        <is>
          <t>Jaizel Joy Gonzaga</t>
        </is>
      </c>
      <c r="AI2494"/>
      <c r="AJ2494" t="inlineStr">
        <is>
          <t>LIQUIDITY PLAN (PAR # 202604300034 / 2025TEG-P0340)
MANPOWER &gt; Talents &gt; Road Manager
Total Budget = Php 14,400.00
Actual Cost = Php 6,800.00
Balance = Php 7,600.00</t>
        </is>
      </c>
      <c r="AK2494"/>
    </row>
    <row r="2495" ht="25.5" customHeight="1">
      <c r="A2495" s="2" t="str">
        <f>=HYPERLINK("https://applink.larksuite.com/client/mini_program/open?appId=cli_9c7cc8a9a9edd105&amp;mode=appCenter&amp;path_pc=pc/pages/requested/index?instanceId=7639597893619355365&amp;source=bitable&amp;path=pages/detail/index?instanceId=7639597893619355365&amp;source=bitable", "202605140019")</f>
        <v>202605140019</v>
      </c>
      <c r="B2495" t="inlineStr">
        <is>
          <t>Approved</t>
        </is>
      </c>
      <c r="C2495" t="inlineStr">
        <is>
          <t>Procurement Order</t>
        </is>
      </c>
      <c r="D2495" s="3">
        <v>46156.51497685185</v>
      </c>
      <c r="E2495" s="3">
        <v>46156.64115740741</v>
      </c>
      <c r="F2495" t="inlineStr">
        <is>
          <t>Fatima Kathleen M. FLores</t>
        </is>
      </c>
      <c r="G2495" t="inlineStr">
        <is>
          <t>Procurement</t>
        </is>
      </c>
      <c r="H2495"/>
      <c r="I2495"/>
      <c r="J2495" t="inlineStr">
        <is>
          <t>Project</t>
        </is>
      </c>
      <c r="K2495" t="inlineStr">
        <is>
          <t>PDEI - Game Marketing</t>
        </is>
      </c>
      <c r="L2495" t="inlineStr">
        <is>
          <t>SM Cyberzone Game Fest 2026</t>
        </is>
      </c>
      <c r="M2495" t="inlineStr">
        <is>
          <t>2025TEG-P0340</t>
        </is>
      </c>
      <c r="N2495" t="inlineStr">
        <is>
          <t>Alessandra Mae Villanueva Boado</t>
        </is>
      </c>
      <c r="O2495" t="inlineStr">
        <is>
          <t>202605060043-Alessandra Mae Villanueva Boado-费用报销 - 副本 - 副本 - 副本-2026-05-06 06:57:41</t>
        </is>
      </c>
      <c r="P2495" t="inlineStr">
        <is>
          <t>YES</t>
        </is>
      </c>
      <c r="Q2495"/>
      <c r="R2495" t="inlineStr">
        <is>
          <t>NO</t>
        </is>
      </c>
      <c r="S2495" t="inlineStr">
        <is>
          <t>Outsourced Event Coordinator (SM MOA &amp; SM Fairview)</t>
        </is>
      </c>
      <c r="T2495">
        <v>1</v>
      </c>
      <c r="U2495">
        <v>8000</v>
      </c>
      <c r="V2495" t="inlineStr">
        <is>
          <t>PHP</t>
        </is>
      </c>
      <c r="W2495">
        <v>8000</v>
      </c>
      <c r="X2495" s="2" t="str">
        <f>=HYPERLINK("https://www.larksuite.com/approval/admin/previewAttachment?key=PMg9DkFBHATwK83_c3ZcRmPzQvAaQRR7dolC--th6FEWLaTMBVvsUIlD0aaoiq7ly0iBxu4179vx-Zm3a_p733WRx3qdT9t8WInuYGTGAGCHvwczU-rEz_ENAAD__w", "2 attachment(s)")</f>
        <v>2 attachment(s)</v>
      </c>
      <c r="Y2495" t="inlineStr">
        <is>
          <t>Bank Transfer</t>
        </is>
      </c>
      <c r="Z2495" t="inlineStr">
        <is>
          <t>James Melo Jarapa</t>
        </is>
      </c>
      <c r="AA2495" t="inlineStr">
        <is>
          <t>0961-501-2579</t>
        </is>
      </c>
      <c r="AB2495" t="inlineStr">
        <is>
          <t>Gcash</t>
        </is>
      </c>
      <c r="AC2495" t="inlineStr">
        <is>
          <t>Cordova tower unit 951, sto. niño Marikina City</t>
        </is>
      </c>
      <c r="AD2495" s="4">
        <v>46178</v>
      </c>
      <c r="AE2495" t="inlineStr">
        <is>
          <t>100% Full Payment - Jun 5, 2026</t>
        </is>
      </c>
      <c r="AF2495" s="2"/>
      <c r="AG2495" t="inlineStr">
        <is>
          <t>NzQyNTk5MTgyNzQ4MTg3MDM0MTpCRkQ2OTZENC0wOEFELTREMjMtQjFBMC1DMzFCMTc5RTQ5QTgtMTo2ZTFmMDMxNjQ5Y2RhZWMzMWY4ZWU1NzMwMGU3NTZkNzox</t>
        </is>
      </c>
      <c r="AH2495" t="inlineStr">
        <is>
          <t>James Melo Jarapa</t>
        </is>
      </c>
      <c r="AI2495"/>
      <c r="AJ2495" t="inlineStr">
        <is>
          <t>LIQUIDITY PLAN (PAR # 202604300034 / 2025TEG-P0340)
SM Mall of Asia &gt; Manpower &gt; Event Coordinator
SM City Fairview &gt; Manpower &gt; Event Coordinator
Total Budget = Php 8,000.00
Actual Cost = Php 8,000.00</t>
        </is>
      </c>
      <c r="AK2495"/>
    </row>
    <row r="2496" ht="25.5" customHeight="1">
      <c r="A2496" s="2" t="str">
        <f>=HYPERLINK("https://applink.larksuite.com/client/mini_program/open?appId=cli_9c7cc8a9a9edd105&amp;mode=appCenter&amp;path_pc=pc/pages/requested/index?instanceId=7639596329047461605&amp;source=bitable&amp;path=pages/detail/index?instanceId=7639596329047461605&amp;source=bitable", "202605140018")</f>
        <v>202605140018</v>
      </c>
      <c r="B2496" t="inlineStr">
        <is>
          <t>Approved</t>
        </is>
      </c>
      <c r="C2496" t="inlineStr">
        <is>
          <t>Procurement Order</t>
        </is>
      </c>
      <c r="D2496" s="3">
        <v>46156.51076388889</v>
      </c>
      <c r="E2496" s="3">
        <v>46156.64177083333</v>
      </c>
      <c r="F2496" t="inlineStr">
        <is>
          <t>Fatima Kathleen M. FLores</t>
        </is>
      </c>
      <c r="G2496" t="inlineStr">
        <is>
          <t>Procurement</t>
        </is>
      </c>
      <c r="H2496"/>
      <c r="I2496"/>
      <c r="J2496" t="inlineStr">
        <is>
          <t>Project</t>
        </is>
      </c>
      <c r="K2496" t="inlineStr">
        <is>
          <t>PDEI - Game Marketing</t>
        </is>
      </c>
      <c r="L2496" t="inlineStr">
        <is>
          <t>SM Cyberzone Game Fest 2026</t>
        </is>
      </c>
      <c r="M2496" t="inlineStr">
        <is>
          <t>2025TEG-P0340</t>
        </is>
      </c>
      <c r="N2496" t="inlineStr">
        <is>
          <t>Alessandra Mae Villanueva Boado</t>
        </is>
      </c>
      <c r="O2496" t="inlineStr">
        <is>
          <t>202605060039-Alessandra Mae Villanueva Boado-费用报销 - 副本 - 副本 - 副本-2026-05-06 06:48:25</t>
        </is>
      </c>
      <c r="P2496" t="inlineStr">
        <is>
          <t>YES</t>
        </is>
      </c>
      <c r="Q2496"/>
      <c r="R2496" t="inlineStr">
        <is>
          <t>NO</t>
        </is>
      </c>
      <c r="S2496" t="inlineStr">
        <is>
          <t>Outsourced League Operations Manager &amp; Consultant</t>
        </is>
      </c>
      <c r="T2496">
        <v>1</v>
      </c>
      <c r="U2496">
        <v>25000</v>
      </c>
      <c r="V2496" t="inlineStr">
        <is>
          <t>PHP</t>
        </is>
      </c>
      <c r="W2496">
        <v>25000</v>
      </c>
      <c r="X2496" s="2" t="str">
        <f>=HYPERLINK("https://www.larksuite.com/approval/admin/previewAttachment?key=PMhBqsJAEATQK1VP11RP_cv8jSEoEhEkiZs5u-DC7dMIaPRIGXQ0I2Yp3a1sBosKoc82o8qoKGku2_p_xPl4847bzv18bvO4XtblFd3VGirJHADi7-dZJG0RX8cnAAD__w", "2 attachment(s)")</f>
        <v>2 attachment(s)</v>
      </c>
      <c r="Y2496" t="inlineStr">
        <is>
          <t>Bank Transfer</t>
        </is>
      </c>
      <c r="Z2496" t="inlineStr">
        <is>
          <t>Adrian Amorato</t>
        </is>
      </c>
      <c r="AA2496" t="inlineStr">
        <is>
          <t>013639339766</t>
        </is>
      </c>
      <c r="AB2496" t="inlineStr">
        <is>
          <t>GoTyme Bank</t>
        </is>
      </c>
      <c r="AC2496" t="inlineStr">
        <is>
          <t>1047 Bagong Silang St, Nangka, Marikina City</t>
        </is>
      </c>
      <c r="AD2496" s="4">
        <v>46171</v>
      </c>
      <c r="AE2496" t="inlineStr">
        <is>
          <t>1st Payment - May 29, 2026
2nd Payment - Jun 19, 2026
Final Payment - Jul 10, 2026</t>
        </is>
      </c>
      <c r="AF2496" s="2"/>
      <c r="AG2496" t="inlineStr">
        <is>
          <t>NzQyNTk5MTgyNzQ4MTg3MDM0MTpBRDI4RTZGRC02OTE3LTQyQ0MtOUEwNC1GNEUxRkNBMkZERTktMTowM2U1M2QxYTAzMDU3ZGY4N2FhZWU2N2ZiMGU2N2U3Yjox</t>
        </is>
      </c>
      <c r="AH2496" t="inlineStr">
        <is>
          <t>Adrian Amorato</t>
        </is>
      </c>
      <c r="AI2496"/>
      <c r="AJ2496" t="inlineStr">
        <is>
          <t>LIQUIDITY PLAN (PAR # 202604300034 / 2025TEG-P0340)
MANPOWER &gt; Project Planning &gt;
League Operations Manager
Total Budget = Php 25,000.00
Actual Cost = Php 25,000.00</t>
        </is>
      </c>
      <c r="AK2496"/>
    </row>
    <row r="2497" ht="25.5" customHeight="1">
      <c r="A2497" s="2" t="str">
        <f>=HYPERLINK("https://applink.larksuite.com/client/mini_program/open?appId=cli_9c7cc8a9a9edd105&amp;mode=appCenter&amp;path_pc=pc/pages/requested/index?instanceId=7639604282592874213&amp;source=bitable&amp;path=pages/detail/index?instanceId=7639604282592874213&amp;source=bitable", "202605140027")</f>
        <v>202605140027</v>
      </c>
      <c r="B2497" t="inlineStr">
        <is>
          <t>Approved</t>
        </is>
      </c>
      <c r="C2497" t="inlineStr">
        <is>
          <t>Procurement Order</t>
        </is>
      </c>
      <c r="D2497" s="3">
        <v>46156.53219907408</v>
      </c>
      <c r="E2497" s="3">
        <v>46156.642858796295</v>
      </c>
      <c r="F2497" t="inlineStr">
        <is>
          <t>Fatima Kathleen M. FLores</t>
        </is>
      </c>
      <c r="G2497" t="inlineStr">
        <is>
          <t>Procurement</t>
        </is>
      </c>
      <c r="H2497"/>
      <c r="I2497"/>
      <c r="J2497" t="inlineStr">
        <is>
          <t>Project</t>
        </is>
      </c>
      <c r="K2497" t="inlineStr">
        <is>
          <t>PDEI - Game Marketing</t>
        </is>
      </c>
      <c r="L2497" t="inlineStr">
        <is>
          <t>SM Cyberzone Game Fest 2026</t>
        </is>
      </c>
      <c r="M2497" t="inlineStr">
        <is>
          <t>2025TEG-P0340</t>
        </is>
      </c>
      <c r="N2497" t="inlineStr">
        <is>
          <t>Alessandra Mae Villanueva Boado</t>
        </is>
      </c>
      <c r="O2497" t="inlineStr">
        <is>
          <t>202605060048-Alessandra Mae Villanueva Boado-费用报销 - 副本 - 副本 - 副本-2026-05-06 07:27:23</t>
        </is>
      </c>
      <c r="P2497" t="inlineStr">
        <is>
          <t>YES</t>
        </is>
      </c>
      <c r="Q2497"/>
      <c r="R2497" t="inlineStr">
        <is>
          <t>NO</t>
        </is>
      </c>
      <c r="S2497" t="inlineStr">
        <is>
          <t>Outsourced Usher (SM MOA &amp; SM Fairview)</t>
        </is>
      </c>
      <c r="T2497">
        <v>1</v>
      </c>
      <c r="U2497">
        <v>6000</v>
      </c>
      <c r="V2497" t="inlineStr">
        <is>
          <t>PHP</t>
        </is>
      </c>
      <c r="W2497">
        <v>6000</v>
      </c>
      <c r="X2497" s="2" t="str">
        <f>=HYPERLINK("https://www.larksuite.com/approval/admin/previewAttachment?key=PMg7CsJgEATgK83se72MTcKPElKJwWbPLljYflFElFOjYU1pcDK0AyYl3lJpQh0ZZjaSGTH7ue7bW_1znVzrWX4ccz22tb_onSJINdMCwNvfNc2sOww_xzcAAP__", "2 attachment(s)")</f>
        <v>2 attachment(s)</v>
      </c>
      <c r="Y2497" t="inlineStr">
        <is>
          <t>Bank Transfer</t>
        </is>
      </c>
      <c r="Z2497" t="inlineStr">
        <is>
          <t>Kimberly Rose Culala</t>
        </is>
      </c>
      <c r="AA2497" t="inlineStr">
        <is>
          <t>1010-1024-0818</t>
        </is>
      </c>
      <c r="AB2497" t="inlineStr">
        <is>
          <t>PNB</t>
        </is>
      </c>
      <c r="AC2497" t="inlineStr">
        <is>
          <t>12 Little Tagaytay Marulas Valenzuela City</t>
        </is>
      </c>
      <c r="AD2497" s="4">
        <v>46178</v>
      </c>
      <c r="AE2497" t="inlineStr">
        <is>
          <t>100% Full Payment - Jun 5, 2026</t>
        </is>
      </c>
      <c r="AF2497" s="2"/>
      <c r="AG2497" t="inlineStr">
        <is>
          <t>NzQyNTk5MTgyNzQ4MTg3MDM0MToyOTZBRkNCMy1FQTNGLTQzREEtQTU2Qy01MUM0NTU3QzA0MjYtMTo4OThlZmM2NmU5MjE5NDMzMGEzM2U1ZGJkMjc1OGJhOTox</t>
        </is>
      </c>
      <c r="AH2497" t="inlineStr">
        <is>
          <t>Kimberly Rose Culala</t>
        </is>
      </c>
      <c r="AI2497"/>
      <c r="AJ2497" t="inlineStr">
        <is>
          <t>LIQUIDITY PLAN (PAR # 202604300034 / 2025TEG-P0340)
SM Mall of Asia &gt; Manpower &gt; Ushers
SM City Fairview &gt; Manpower &gt; Ushers
Total Remaining Budget = Php 7,200.00
Actual Cost = Php 6,000.00
Balance = Php 1,200.00</t>
        </is>
      </c>
      <c r="AK2497"/>
    </row>
    <row r="2498" ht="25.5" customHeight="1">
      <c r="A2498" s="2" t="str">
        <f>=HYPERLINK("https://applink.larksuite.com/client/mini_program/open?appId=cli_9c7cc8a9a9edd105&amp;mode=appCenter&amp;path_pc=pc/pages/requested/index?instanceId=7639603443459460831&amp;source=bitable&amp;path=pages/detail/index?instanceId=7639603443459460831&amp;source=bitable", "202605140026")</f>
        <v>202605140026</v>
      </c>
      <c r="B2498" t="inlineStr">
        <is>
          <t>Approved</t>
        </is>
      </c>
      <c r="C2498" t="inlineStr">
        <is>
          <t>Procurement Order</t>
        </is>
      </c>
      <c r="D2498" s="3">
        <v>46156.52994212963</v>
      </c>
      <c r="E2498" s="3">
        <v>46156.64355324074</v>
      </c>
      <c r="F2498" t="inlineStr">
        <is>
          <t>Fatima Kathleen M. FLores</t>
        </is>
      </c>
      <c r="G2498" t="inlineStr">
        <is>
          <t>Procurement</t>
        </is>
      </c>
      <c r="H2498"/>
      <c r="I2498"/>
      <c r="J2498" t="inlineStr">
        <is>
          <t>Project</t>
        </is>
      </c>
      <c r="K2498" t="inlineStr">
        <is>
          <t>PDEI - Game Marketing</t>
        </is>
      </c>
      <c r="L2498" t="inlineStr">
        <is>
          <t>SM Cyberzone Game Fest 2026</t>
        </is>
      </c>
      <c r="M2498" t="inlineStr">
        <is>
          <t>2025TEG-P0340</t>
        </is>
      </c>
      <c r="N2498" t="inlineStr">
        <is>
          <t>Alessandra Mae Villanueva Boado</t>
        </is>
      </c>
      <c r="O2498" t="inlineStr">
        <is>
          <t>202605060048-Alessandra Mae Villanueva Boado-费用报销 - 副本 - 副本 - 副本-2026-05-06 07:27:23</t>
        </is>
      </c>
      <c r="P2498" t="inlineStr">
        <is>
          <t>YES</t>
        </is>
      </c>
      <c r="Q2498"/>
      <c r="R2498" t="inlineStr">
        <is>
          <t>NO</t>
        </is>
      </c>
      <c r="S2498" t="inlineStr">
        <is>
          <t>Outsourced Usher (SM MOA &amp; SM Fairview)</t>
        </is>
      </c>
      <c r="T2498">
        <v>1</v>
      </c>
      <c r="U2498">
        <v>6000</v>
      </c>
      <c r="V2498" t="inlineStr">
        <is>
          <t>PHP</t>
        </is>
      </c>
      <c r="W2498">
        <v>6000</v>
      </c>
      <c r="X2498" s="2" t="str">
        <f>=HYPERLINK("https://www.larksuite.com/approval/admin/previewAttachment?key=PMsxDsJADATAL63PPq-Xz9AQRRApFUpS-e0ICtqRJsuQNc1TCNkQrJmuhEd4TEWi3Hq0kQKNmb3s69336zi3yVdtlx_o8_lYl7dNcQzwmwuA3f7ujAgpAz_HJwAA__8", "2 attachment(s)")</f>
        <v>2 attachment(s)</v>
      </c>
      <c r="Y2498" t="inlineStr">
        <is>
          <t>Bank Transfer</t>
        </is>
      </c>
      <c r="Z2498" t="inlineStr">
        <is>
          <t>John Ravean Cabrera</t>
        </is>
      </c>
      <c r="AA2498" t="inlineStr">
        <is>
          <t>011249098679</t>
        </is>
      </c>
      <c r="AB2498" t="inlineStr">
        <is>
          <t>Gotyme</t>
        </is>
      </c>
      <c r="AC2498" t="inlineStr">
        <is>
          <t>330 Marulas A. Caloocan City</t>
        </is>
      </c>
      <c r="AD2498" s="4">
        <v>46178</v>
      </c>
      <c r="AE2498" t="inlineStr">
        <is>
          <t>100% Full Payment - Jun 5, 2026</t>
        </is>
      </c>
      <c r="AF2498" s="2"/>
      <c r="AG2498" t="inlineStr">
        <is>
          <t>NzQyNTk5MTgyNzQ4MTg3MDM0MTo3MkIyMDEzNi0yRTNFLTQyMzYtOTY2NS1ERDdFNUE2RDFDNTEtMTpmNDc0MTg3ZTYzNzNiNzQ0ZGRkZmFkOTFjMzQ5Y2FmYzox</t>
        </is>
      </c>
      <c r="AH2498" t="inlineStr">
        <is>
          <t>John Ravean Cabrera</t>
        </is>
      </c>
      <c r="AI2498"/>
      <c r="AJ2498" t="inlineStr">
        <is>
          <t>LIQUIDITY PLAN (PAR # 202604300034 / 2025TEG-P0340)
SM Mall of Asia &gt; Manpower &gt; Ushers
SM City Fairview &gt; Manpower &gt; Ushers
Total Remaining Budget = Php 13,200.00
Actual Cost = Php 6,000.00
Balance = Php 7,200.00</t>
        </is>
      </c>
      <c r="AK2498"/>
    </row>
    <row r="2499" ht="25.5" customHeight="1">
      <c r="A2499" s="2" t="str">
        <f>=HYPERLINK("https://applink.larksuite.com/client/mini_program/open?appId=cli_9c7cc8a9a9edd105&amp;mode=appCenter&amp;path_pc=pc/pages/requested/index?instanceId=7639602479688060639&amp;source=bitable&amp;path=pages/detail/index?instanceId=7639602479688060639&amp;source=bitable", "202605140024")</f>
        <v>202605140024</v>
      </c>
      <c r="B2499" t="inlineStr">
        <is>
          <t>Approved</t>
        </is>
      </c>
      <c r="C2499" t="inlineStr">
        <is>
          <t>Procurement Order</t>
        </is>
      </c>
      <c r="D2499" s="3">
        <v>46156.527337962965</v>
      </c>
      <c r="E2499" s="3">
        <v>46156.6440625</v>
      </c>
      <c r="F2499" t="inlineStr">
        <is>
          <t>Fatima Kathleen M. FLores</t>
        </is>
      </c>
      <c r="G2499" t="inlineStr">
        <is>
          <t>Procurement</t>
        </is>
      </c>
      <c r="H2499"/>
      <c r="I2499"/>
      <c r="J2499" t="inlineStr">
        <is>
          <t>Project</t>
        </is>
      </c>
      <c r="K2499" t="inlineStr">
        <is>
          <t>PDEI - Game Marketing</t>
        </is>
      </c>
      <c r="L2499" t="inlineStr">
        <is>
          <t>SM Cyberzone Game Fest 2026</t>
        </is>
      </c>
      <c r="M2499" t="inlineStr">
        <is>
          <t>2025TEG-P0340</t>
        </is>
      </c>
      <c r="N2499" t="inlineStr">
        <is>
          <t>Alessandra Mae Villanueva Boado</t>
        </is>
      </c>
      <c r="O2499" t="inlineStr">
        <is>
          <t>202605060048-Alessandra Mae Villanueva Boado-费用报销 - 副本 - 副本 - 副本-2026-05-06 07:27:23</t>
        </is>
      </c>
      <c r="P2499" t="inlineStr">
        <is>
          <t>YES</t>
        </is>
      </c>
      <c r="Q2499"/>
      <c r="R2499" t="inlineStr">
        <is>
          <t>NO</t>
        </is>
      </c>
      <c r="S2499" t="inlineStr">
        <is>
          <t>Outsourced Usher (SM MOA &amp; SM Fairview)</t>
        </is>
      </c>
      <c r="T2499">
        <v>1</v>
      </c>
      <c r="U2499">
        <v>6000</v>
      </c>
      <c r="V2499" t="inlineStr">
        <is>
          <t>PHP</t>
        </is>
      </c>
      <c r="W2499">
        <v>6000</v>
      </c>
      <c r="X2499" s="2" t="str">
        <f>=HYPERLINK("https://www.larksuite.com/approval/admin/previewAttachment?key=PMgxCsJQEATQK83uTmb_eBkbQ1DCrwRJ888uWNg-jYDGFiWDjjRitcpCsq0xIKi8ckW30dHS2udxPzPOy9uLmFdMrs_zcezv2NyZ6CJrAIjb36tJ2iJ-jm8AAAD__w", "2 attachment(s)")</f>
        <v>2 attachment(s)</v>
      </c>
      <c r="Y2499" t="inlineStr">
        <is>
          <t>Bank Transfer</t>
        </is>
      </c>
      <c r="Z2499" t="inlineStr">
        <is>
          <t>Criszel Joy P Saludo</t>
        </is>
      </c>
      <c r="AA2499" t="inlineStr">
        <is>
          <t>09120359221</t>
        </is>
      </c>
      <c r="AB2499" t="inlineStr">
        <is>
          <t>Maya Wallet</t>
        </is>
      </c>
      <c r="AC2499" t="inlineStr">
        <is>
          <t>0297 Sitio Pusawan Brgy Ususan, Taguig City</t>
        </is>
      </c>
      <c r="AD2499" s="4">
        <v>46178</v>
      </c>
      <c r="AE2499" t="inlineStr">
        <is>
          <t>100% Full Payment - Jun 5, 2026</t>
        </is>
      </c>
      <c r="AF2499" s="2"/>
      <c r="AG2499" t="inlineStr">
        <is>
          <t>NzQyNTk5MTgyNzQ4MTg3MDM0MToyMTk2OUI3NC1FNEExLTQ4RDctOURENi1FRjI3MEZCRkIyRjMtMTpjZTU3Nzc3ZjJlNGEzMTUwYTVkMDRlMWE0N2Y1NGJkNTox</t>
        </is>
      </c>
      <c r="AH2499" t="inlineStr">
        <is>
          <t>Criszel Joy P Saludo</t>
        </is>
      </c>
      <c r="AI2499"/>
      <c r="AJ2499" t="inlineStr">
        <is>
          <t>LIQUIDITY PLAN (PAR # 202604300034 / 2025TEG-P0340)
SM Mall of Asia &gt; Manpower &gt; Ushers
SM City Fairview &gt; Manpower &gt; Ushers
Total Budget = Php 19,200.00
Actual Cost = Php 6,000.00
Balance = Php 13,200.00</t>
        </is>
      </c>
      <c r="AK2499"/>
    </row>
    <row r="2500" ht="25.5" customHeight="1">
      <c r="A2500" s="2" t="str">
        <f>=HYPERLINK("https://applink.larksuite.com/client/mini_program/open?appId=cli_9c7cc8a9a9edd105&amp;mode=appCenter&amp;path_pc=pc/pages/requested/index?instanceId=7639623561400848094&amp;source=bitable&amp;path=pages/detail/index?instanceId=7639623561400848094&amp;source=bitable", "202605140037")</f>
        <v>202605140037</v>
      </c>
      <c r="B2500" t="inlineStr">
        <is>
          <t>Approved</t>
        </is>
      </c>
      <c r="C2500" t="inlineStr">
        <is>
          <t>Procurement Order</t>
        </is>
      </c>
      <c r="D2500" s="3">
        <v>46156.58415509259</v>
      </c>
      <c r="E2500" s="3">
        <v>46156.64574074074</v>
      </c>
      <c r="F2500" t="inlineStr">
        <is>
          <t>Fatima Kathleen M. FLores</t>
        </is>
      </c>
      <c r="G2500" t="inlineStr">
        <is>
          <t>Procurement</t>
        </is>
      </c>
      <c r="H2500"/>
      <c r="I2500"/>
      <c r="J2500" t="inlineStr">
        <is>
          <t>Project</t>
        </is>
      </c>
      <c r="K2500" t="inlineStr">
        <is>
          <t>PDEI - Game Marketing</t>
        </is>
      </c>
      <c r="L2500" t="inlineStr">
        <is>
          <t>SM Cyberzone Game Fest 2026</t>
        </is>
      </c>
      <c r="M2500" t="inlineStr">
        <is>
          <t>2025TEG-P0340</t>
        </is>
      </c>
      <c r="N2500" t="inlineStr">
        <is>
          <t>Alessandra Mae Villanueva Boado</t>
        </is>
      </c>
      <c r="O2500" t="inlineStr">
        <is>
          <t>202605060066-Alessandra Mae Villanueva Boado-费用报销 - 副本 - 副本 - 副本-2026-05-06 08:50:28</t>
        </is>
      </c>
      <c r="P2500" t="inlineStr">
        <is>
          <t>YES</t>
        </is>
      </c>
      <c r="Q2500"/>
      <c r="R2500" t="inlineStr">
        <is>
          <t>NO</t>
        </is>
      </c>
      <c r="S2500" t="inlineStr">
        <is>
          <t>Outsourced Graphic Artist</t>
        </is>
      </c>
      <c r="T2500">
        <v>1</v>
      </c>
      <c r="U2500">
        <v>42000</v>
      </c>
      <c r="V2500" t="inlineStr">
        <is>
          <t>PHP</t>
        </is>
      </c>
      <c r="W2500">
        <v>42000</v>
      </c>
      <c r="X2500" s="2" t="str">
        <f>=HYPERLINK("https://www.larksuite.com/approval/admin/previewAttachment?key=PMgxCgJRDATQK80k85M_XsZml0VQK1G0-GcXLGxfTaLmYJYhMwyurnRFjqKAqQlrxWK30eyqtd-Pc3Pkh7fjusXTb63XZTv2B4c7Ap1STgA8_T1bkl3Cz_ENAAD__w", "2 attachment(s)")</f>
        <v>2 attachment(s)</v>
      </c>
      <c r="Y2500" t="inlineStr">
        <is>
          <t>Bank Transfer</t>
        </is>
      </c>
      <c r="Z2500" t="inlineStr">
        <is>
          <t>Ma Kathrina Dela Cruz Buhay</t>
        </is>
      </c>
      <c r="AA2500" t="inlineStr">
        <is>
          <t>1093 2306 5431</t>
        </is>
      </c>
      <c r="AB2500" t="inlineStr">
        <is>
          <t>Union Bank</t>
        </is>
      </c>
      <c r="AC2500" t="inlineStr">
        <is>
          <t>1332 A.H. Lacson st., Sta Cruz, Manila</t>
        </is>
      </c>
      <c r="AD2500" s="4">
        <v>46171</v>
      </c>
      <c r="AE2500" t="inlineStr">
        <is>
          <t>1st Payment - May 29, 2026
2nd Payment - Jun 19, 2026
Final Payment - Jul 10, 2026</t>
        </is>
      </c>
      <c r="AF2500" s="2"/>
      <c r="AG2500" t="inlineStr">
        <is>
          <t>NzQyNTk5MTgyNzQ4MTg3MDM0MTpDMzlFNjRDMi0wQTJDLTQxRUUtODgyQy01NzdFMzdBMzk2NTktMTpkZjc2NjgxYjQ1YmEyNjk5ZWU3MDZlN2ZhNjliOWIxYzox</t>
        </is>
      </c>
      <c r="AH2500" t="inlineStr">
        <is>
          <t>Ma Kathrina Dela Cruz Buhay</t>
        </is>
      </c>
      <c r="AI2500"/>
      <c r="AJ2500" t="inlineStr">
        <is>
          <t>LIQUIDITY PLAN (PAR # 202604300034 / 2025TEG-P0340)
MANPOWER &gt; Social Media Package &gt; 
Social Media bundle
Total Budget = Php 80,000.00
Actual Cost = Php 42,000.00
Balance = Php 38,000.00</t>
        </is>
      </c>
      <c r="AK2500"/>
    </row>
    <row r="2501" ht="25.5" customHeight="1">
      <c r="A2501" s="2" t="str">
        <f>=HYPERLINK("https://applink.larksuite.com/client/mini_program/open?appId=cli_9c7cc8a9a9edd105&amp;mode=appCenter&amp;path_pc=pc/pages/requested/index?instanceId=7639626351544110814&amp;source=bitable&amp;path=pages/detail/index?instanceId=7639626351544110814&amp;source=bitable", "202605140038")</f>
        <v>202605140038</v>
      </c>
      <c r="B2501" t="inlineStr">
        <is>
          <t>Approved</t>
        </is>
      </c>
      <c r="C2501" t="inlineStr">
        <is>
          <t>Procurement Order</t>
        </is>
      </c>
      <c r="D2501" s="3">
        <v>46156.59166666667</v>
      </c>
      <c r="E2501" s="3">
        <v>46156.64497685185</v>
      </c>
      <c r="F2501" t="inlineStr">
        <is>
          <t>Fatima Kathleen M. FLores</t>
        </is>
      </c>
      <c r="G2501" t="inlineStr">
        <is>
          <t>Procurement</t>
        </is>
      </c>
      <c r="H2501"/>
      <c r="I2501"/>
      <c r="J2501" t="inlineStr">
        <is>
          <t>Project</t>
        </is>
      </c>
      <c r="K2501" t="inlineStr">
        <is>
          <t>PDEI - Game Marketing</t>
        </is>
      </c>
      <c r="L2501" t="inlineStr">
        <is>
          <t>SM Cyberzone Game Fest 2026</t>
        </is>
      </c>
      <c r="M2501" t="inlineStr">
        <is>
          <t>2025TEG-P0340</t>
        </is>
      </c>
      <c r="N2501" t="inlineStr">
        <is>
          <t>Alessandra Mae Villanueva Boado</t>
        </is>
      </c>
      <c r="O2501" t="inlineStr">
        <is>
          <t>202605060066-Alessandra Mae Villanueva Boado-费用报销 - 副本 - 副本 - 副本-2026-05-06 08:50:28</t>
        </is>
      </c>
      <c r="P2501" t="inlineStr">
        <is>
          <t>YES</t>
        </is>
      </c>
      <c r="Q2501"/>
      <c r="R2501" t="inlineStr">
        <is>
          <t>NO</t>
        </is>
      </c>
      <c r="S2501" t="inlineStr">
        <is>
          <t>Outsourced IT Associate (SM MOA &amp; SM Fairview)</t>
        </is>
      </c>
      <c r="T2501">
        <v>1</v>
      </c>
      <c r="U2501">
        <v>6600</v>
      </c>
      <c r="V2501" t="inlineStr">
        <is>
          <t>PHP</t>
        </is>
      </c>
      <c r="W2501">
        <v>6600</v>
      </c>
      <c r="X2501" s="2" t="str">
        <f>=HYPERLINK("https://www.larksuite.com/approval/admin/previewAttachment?key=PMhBCsJQDATQK80kk-THy7ixFIt2JbS4-GcXXHT7chA5gp4NNa3BWemdlh4MicSgpk1WNYqVOZd9vUfstNf3tO3A-d7m8Xysy4fRZYZyyQcA3i73ktSdwt_xCwAA__8", "2 attachment(s)")</f>
        <v>2 attachment(s)</v>
      </c>
      <c r="Y2501" t="inlineStr">
        <is>
          <t>Bank Transfer</t>
        </is>
      </c>
      <c r="Z2501" t="inlineStr">
        <is>
          <t>Jay Laurence Francisco</t>
        </is>
      </c>
      <c r="AA2501" t="inlineStr">
        <is>
          <t>09275444740</t>
        </is>
      </c>
      <c r="AB2501" t="inlineStr">
        <is>
          <t>GCash</t>
        </is>
      </c>
      <c r="AC2501" t="inlineStr">
        <is>
          <t>45 Zamora Compound Banaba San Mateo Rizal</t>
        </is>
      </c>
      <c r="AD2501" s="4">
        <v>46171</v>
      </c>
      <c r="AE2501" t="inlineStr">
        <is>
          <t>100% Full Payment  - Jun 5, 2026</t>
        </is>
      </c>
      <c r="AF2501" s="2"/>
      <c r="AG2501" t="inlineStr">
        <is>
          <t>NzQyNTk5MTgyNzQ4MTg3MDM0MTo4M0U0RUNCOS1GMDI5LTRERUEtODNFRS1BMDIwRjFEOERDRjItMTo1YjM5ZDc5MDg5N2JhNTg4YTE5NDU2YjhlYWE1OTU2ODox</t>
        </is>
      </c>
      <c r="AH2501" t="inlineStr">
        <is>
          <t>Jay Laurence Francisco</t>
        </is>
      </c>
      <c r="AI2501"/>
      <c r="AJ2501" t="inlineStr">
        <is>
          <t>LIQUIDITY PLAN (PAR # 202604300034 / 2025TEG-P0340)
SM Mall of Asia &gt; Manpower &gt; IT Support
SM City Fairview  &gt; Manpower &gt; IT Support
Total Budget = Php 7,200.00
Actual Cost = Php 6,600.00
Balance = Php 600.00</t>
        </is>
      </c>
      <c r="AK2501"/>
    </row>
    <row r="2502" ht="25.5" customHeight="1">
      <c r="A2502" s="2" t="str">
        <f>=HYPERLINK("https://applink.larksuite.com/client/mini_program/open?appId=cli_9c7cc8a9a9edd105&amp;mode=appCenter&amp;path_pc=pc/pages/requested/index?instanceId=7639678152146472668&amp;source=bitable&amp;path=pages/detail/index?instanceId=7639678152146472668&amp;source=bitable", "202605140061")</f>
        <v>202605140061</v>
      </c>
      <c r="B2502" t="inlineStr">
        <is>
          <t>Approved</t>
        </is>
      </c>
      <c r="C2502" t="inlineStr">
        <is>
          <t>Procurement Order</t>
        </is>
      </c>
      <c r="D2502" s="3">
        <v>46156.731261574074</v>
      </c>
      <c r="E2502" s="3">
        <v>46156.775671296295</v>
      </c>
      <c r="F2502" t="inlineStr">
        <is>
          <t>Fatima Kathleen M. FLores</t>
        </is>
      </c>
      <c r="G2502" t="inlineStr">
        <is>
          <t>Procurement</t>
        </is>
      </c>
      <c r="H2502"/>
      <c r="I2502"/>
      <c r="J2502" t="inlineStr">
        <is>
          <t>Project</t>
        </is>
      </c>
      <c r="K2502" t="inlineStr">
        <is>
          <t>PDEI - Game Marketing</t>
        </is>
      </c>
      <c r="L2502" t="inlineStr">
        <is>
          <t>SportsPlus MPBL Roadtrip Watchparty 2026</t>
        </is>
      </c>
      <c r="M2502" t="inlineStr">
        <is>
          <t>2026TEG-P0028</t>
        </is>
      </c>
      <c r="N2502" t="inlineStr">
        <is>
          <t>Kervin</t>
        </is>
      </c>
      <c r="O2502" t="inlineStr">
        <is>
          <t>202603260050-Kervin-费用报销 - 副本 - 副本 - 副本-2026-03-26 04:45:50</t>
        </is>
      </c>
      <c r="P2502" t="inlineStr">
        <is>
          <t>YES</t>
        </is>
      </c>
      <c r="Q2502"/>
      <c r="R2502" t="inlineStr">
        <is>
          <t>NO</t>
        </is>
      </c>
      <c r="S2502" t="inlineStr">
        <is>
          <t>Outsourced Booth Manpower / Logistics (May 7) - One Arena</t>
        </is>
      </c>
      <c r="T2502">
        <v>1</v>
      </c>
      <c r="U2502">
        <v>2000</v>
      </c>
      <c r="V2502" t="inlineStr">
        <is>
          <t>PHP</t>
        </is>
      </c>
      <c r="W2502">
        <v>2000</v>
      </c>
      <c r="X2502" s="2" t="str">
        <f>=HYPERLINK("https://www.larksuite.com/approval/admin/previewAttachment?key=PMg7DsIwEATQK-1nPOPlMjREFk0qJIsUe3YkirSP041zeLIM5VHmLWZR00c4CAU5O9qlMrnIPs71XLlx6ZvrjNC-er9f6_j4KEWYEshpZv64PQWgirC_2y8AAP__", "2 attachment(s)")</f>
        <v>2 attachment(s)</v>
      </c>
      <c r="Y2502" t="inlineStr">
        <is>
          <t>Bank Transfer</t>
        </is>
      </c>
      <c r="Z2502" t="inlineStr">
        <is>
          <t>Edzel Jay Vesencio</t>
        </is>
      </c>
      <c r="AA2502" t="inlineStr">
        <is>
          <t>09499825404</t>
        </is>
      </c>
      <c r="AB2502" t="inlineStr">
        <is>
          <t>GCash</t>
        </is>
      </c>
      <c r="AC2502" t="inlineStr">
        <is>
          <t>30 Balubad St., Twin River Subdivision, Nangka, Marikina City</t>
        </is>
      </c>
      <c r="AD2502" s="4">
        <v>46164</v>
      </c>
      <c r="AE2502" t="inlineStr">
        <is>
          <t>1st Payment - May 22, 2026
2nd Payment - May 29, 2026</t>
        </is>
      </c>
      <c r="AF2502" s="2"/>
      <c r="AG2502" t="inlineStr">
        <is>
          <t>NzQyNTk5MTgyNzQ4MTg3MDM0MTo2RDVGMUEwQi00MEUxLTRGQzctODBCQy02Qjk2NEJFRjA0RDEtMToxZTdhMjc5ODgxMGEwMTI0MGMzMTFkMzhmN2I3YmRjZDox</t>
        </is>
      </c>
      <c r="AH2502" t="inlineStr">
        <is>
          <t>Edzel Jay Vesencio</t>
        </is>
      </c>
      <c r="AI2502"/>
      <c r="AJ2502" t="inlineStr">
        <is>
          <t>LIQUIDITY PLAN (PAR # 202603240070 / 2026TEG-P0028)
MANPOWER &gt; Booth Manpower
Total Remaining Budget = Php 31,200.00
Actual Cost = Php 7,200.00
Balance = Php 24,000.00</t>
        </is>
      </c>
      <c r="AK2502"/>
    </row>
    <row r="2503" ht="25.5" customHeight="1">
      <c r="A2503" s="2" t="str">
        <f>=HYPERLINK("https://applink.larksuite.com/client/mini_program/open?appId=cli_9c7cc8a9a9edd105&amp;mode=appCenter&amp;path_pc=pc/pages/requested/index?instanceId=7639678152146472668&amp;source=bitable&amp;path=pages/detail/index?instanceId=7639678152146472668&amp;source=bitable", "202605140061")</f>
        <v>202605140061</v>
      </c>
      <c r="B2503" t="inlineStr">
        <is>
          <t>Approved</t>
        </is>
      </c>
      <c r="C2503" t="inlineStr">
        <is>
          <t>Procurement Order</t>
        </is>
      </c>
      <c r="D2503" s="3">
        <v>46156.731261574074</v>
      </c>
      <c r="E2503" s="3">
        <v>46156.775671296295</v>
      </c>
      <c r="F2503" t="inlineStr">
        <is>
          <t>Fatima Kathleen M. FLores</t>
        </is>
      </c>
      <c r="G2503" t="inlineStr">
        <is>
          <t>Procurement</t>
        </is>
      </c>
      <c r="H2503"/>
      <c r="I2503"/>
      <c r="J2503" t="inlineStr">
        <is>
          <t>Project</t>
        </is>
      </c>
      <c r="K2503" t="inlineStr">
        <is>
          <t>PDEI - Game Marketing</t>
        </is>
      </c>
      <c r="L2503" t="inlineStr">
        <is>
          <t>SportsPlus MPBL Roadtrip Watchparty 2026</t>
        </is>
      </c>
      <c r="M2503" t="inlineStr">
        <is>
          <t>2026TEG-P0028</t>
        </is>
      </c>
      <c r="N2503" t="inlineStr">
        <is>
          <t>Kervin</t>
        </is>
      </c>
      <c r="O2503" t="inlineStr">
        <is>
          <t>202603260050-Kervin-费用报销 - 副本 - 副本 - 副本-2026-03-26 04:45:50</t>
        </is>
      </c>
      <c r="P2503" t="inlineStr">
        <is>
          <t>YES</t>
        </is>
      </c>
      <c r="Q2503"/>
      <c r="R2503" t="inlineStr">
        <is>
          <t>NO</t>
        </is>
      </c>
      <c r="S2503" t="inlineStr">
        <is>
          <t>Outsourced Booth Manpower / Logistics (May 12 to 14)</t>
        </is>
      </c>
      <c r="T2503">
        <v>1</v>
      </c>
      <c r="U2503">
        <v>5200</v>
      </c>
      <c r="V2503" t="inlineStr">
        <is>
          <t>PHP</t>
        </is>
      </c>
      <c r="W2503">
        <v>5200</v>
      </c>
      <c r="X2503" s="2" t="str">
        <f>=HYPERLINK("https://www.larksuite.com/approval/admin/previewAttachment?key=PMgxDsIwDAXQK_nbzv8xl2Ghilg6IUV08NmRGLo-ThjnQLAsC16GFqOoieFIppyc7Q2pTBDZx7meK3Ze-sY63bWv3u_XOj4YJXdTZMY0MzxuD2VmFdP-jl8AAAD__w", "1 attachment(s)")</f>
        <v>1 attachment(s)</v>
      </c>
      <c r="Y2503"/>
      <c r="Z2503"/>
      <c r="AA2503"/>
      <c r="AB2503"/>
      <c r="AC2503"/>
      <c r="AD2503" s="4"/>
      <c r="AE2503"/>
      <c r="AF2503" s="2"/>
      <c r="AG2503" t="inlineStr">
        <is>
          <t>NzQyNTk5MTgyNzQ4MTg3MDM0MTo2RDVGMUEwQi00MEUxLTRGQzctODBCQy02Qjk2NEJFRjA0RDEtMjo5YjQ5NDIzNWY5MGFjOGRmZDEzMTliYmI3MDFjZjllMTox</t>
        </is>
      </c>
      <c r="AH2503"/>
      <c r="AI2503"/>
      <c r="AJ2503" t="inlineStr">
        <is>
          <t>LIQUIDITY PLAN (PAR # 202603240070 / 2026TEG-P0028)
MANPOWER &gt; Booth Manpower
Total Remaining Budget = Php 31,200.00
Actual Cost = Php 7,200.00
Balance = Php 24,000.00</t>
        </is>
      </c>
      <c r="AK2503"/>
    </row>
    <row r="2504" ht="25.5" customHeight="1">
      <c r="A2504" s="2" t="str">
        <f>=HYPERLINK("https://applink.larksuite.com/client/mini_program/open?appId=cli_9c7cc8a9a9edd105&amp;mode=appCenter&amp;path_pc=pc/pages/requested/index?instanceId=7639673044377554652&amp;source=bitable&amp;path=pages/detail/index?instanceId=7639673044377554652&amp;source=bitable", "202605140057")</f>
        <v>202605140057</v>
      </c>
      <c r="B2504" t="inlineStr">
        <is>
          <t>Approved</t>
        </is>
      </c>
      <c r="C2504" t="inlineStr">
        <is>
          <t>Procurement Order</t>
        </is>
      </c>
      <c r="D2504" s="3">
        <v>46156.7175</v>
      </c>
      <c r="E2504" s="3">
        <v>46156.75224537037</v>
      </c>
      <c r="F2504" t="inlineStr">
        <is>
          <t>Fatima Kathleen M. FLores</t>
        </is>
      </c>
      <c r="G2504" t="inlineStr">
        <is>
          <t>Procurement</t>
        </is>
      </c>
      <c r="H2504"/>
      <c r="I2504"/>
      <c r="J2504" t="inlineStr">
        <is>
          <t>Project</t>
        </is>
      </c>
      <c r="K2504" t="inlineStr">
        <is>
          <t>PDEI - Event Service</t>
        </is>
      </c>
      <c r="L2504" t="inlineStr">
        <is>
          <t>MPL PH S17</t>
        </is>
      </c>
      <c r="M2504" t="inlineStr">
        <is>
          <t>2026TEG-P0009</t>
        </is>
      </c>
      <c r="N2504" t="inlineStr">
        <is>
          <t>Katherine Denise Lee Sy</t>
        </is>
      </c>
      <c r="O2504" t="inlineStr">
        <is>
          <t>202603020068-Katherine Denise Lee Sy-费用报销 - 副本 - 副本 - 副本-2026-03-02 05:38:42</t>
        </is>
      </c>
      <c r="P2504" t="inlineStr">
        <is>
          <t>YES</t>
        </is>
      </c>
      <c r="Q2504"/>
      <c r="R2504" t="inlineStr">
        <is>
          <t>NO</t>
        </is>
      </c>
      <c r="S2504" t="inlineStr">
        <is>
          <t>Outsourced Assistant Staging Director (Week 8 &amp; PO)</t>
        </is>
      </c>
      <c r="T2504">
        <v>1</v>
      </c>
      <c r="U2504">
        <v>78000</v>
      </c>
      <c r="V2504" t="inlineStr">
        <is>
          <t>PHP</t>
        </is>
      </c>
      <c r="W2504">
        <v>78000</v>
      </c>
      <c r="X2504" s="2" t="str">
        <f>=HYPERLINK("https://www.larksuite.com/approval/admin/previewAttachment?key=PMgxCgJBDAXQK_0kP_kTL2Ozw2KhIMguWMzZBYttXw1DjbSoBtu8YUsVXQqQIWWy0pcvkxoyVa352u9-zueI0XpvxzePdT62fX4sW-5QkDEA2O3yEMnuIv6OXwAAAP__", "2 attachment(s)")</f>
        <v>2 attachment(s)</v>
      </c>
      <c r="Y2504" t="inlineStr">
        <is>
          <t>Bank Transfer</t>
        </is>
      </c>
      <c r="Z2504" t="inlineStr">
        <is>
          <t>Allen Bert Araño</t>
        </is>
      </c>
      <c r="AA2504" t="inlineStr">
        <is>
          <t>109855637640</t>
        </is>
      </c>
      <c r="AB2504" t="inlineStr">
        <is>
          <t>Unionbank</t>
        </is>
      </c>
      <c r="AC2504" t="inlineStr">
        <is>
          <t>Marungko, Angat, Bulacan</t>
        </is>
      </c>
      <c r="AD2504" s="4">
        <v>46164</v>
      </c>
      <c r="AE2504" t="inlineStr">
        <is>
          <t>1st Payment - May 22, 2026
Final Payment - Jun 12, 2026</t>
        </is>
      </c>
      <c r="AF2504" s="2"/>
      <c r="AG2504" t="inlineStr">
        <is>
          <t>NzQyNTk5MTgyNzQ4MTg3MDM0MToxREE0QkMxMy02NTZELTQ3RjctQjFCOC03ODg1OTBGQkNCMjgtMToyYzBiZTQxZTI3YWZkNzJlMGU0ZGUzNjlhODRkYmFiYjox</t>
        </is>
      </c>
      <c r="AH2504" t="inlineStr">
        <is>
          <t>Allen Bert Araño</t>
        </is>
      </c>
      <c r="AI2504"/>
      <c r="AJ2504" t="inlineStr">
        <is>
          <t>LIQUIDITY PLAN (PAR # 202602190021 / 2026TEG-P0009) - AS OF 031626
MANPOWER &gt; Broadcast &amp; Production &gt;
Assistant Technical Director (Ingress)
Assistant Technical Director (Ingress)
PLAYOFFS SPECIFIC &gt; MANPOWER &gt;
Broadcast &amp; Production &gt; 
Assistant Technical Director (Ingress)
Assistant Technical Director (Event Day)
Total Remaining Budget = Php 84,000.00
Actual Cost = Php 78,000.00
Balance = Php 6,000.00
^ THIS SUPERSEDES PORTION OF PO 202603240055. CONTRACT OF SEÑOROSA WAS CUT SHORT DUE TO UNAVAILABILITY.</t>
        </is>
      </c>
      <c r="AK2504"/>
    </row>
    <row r="2505" ht="25.5" customHeight="1">
      <c r="A2505" s="2" t="str">
        <f>=HYPERLINK("https://applink.larksuite.com/client/mini_program/open?appId=cli_9c7cc8a9a9edd105&amp;mode=appCenter&amp;path_pc=pc/pages/requested/index?instanceId=7639675716333752030&amp;source=bitable&amp;path=pages/detail/index?instanceId=7639675716333752030&amp;source=bitable", "202605140058")</f>
        <v>202605140058</v>
      </c>
      <c r="B2505" t="inlineStr">
        <is>
          <t>Approved</t>
        </is>
      </c>
      <c r="C2505" t="inlineStr">
        <is>
          <t>Procurement Order</t>
        </is>
      </c>
      <c r="D2505" s="3">
        <v>46156.724699074075</v>
      </c>
      <c r="E2505" s="3">
        <v>46156.74601851852</v>
      </c>
      <c r="F2505" t="inlineStr">
        <is>
          <t>Fatima Kathleen M. FLores</t>
        </is>
      </c>
      <c r="G2505" t="inlineStr">
        <is>
          <t>Procurement</t>
        </is>
      </c>
      <c r="H2505"/>
      <c r="I2505"/>
      <c r="J2505" t="inlineStr">
        <is>
          <t>Project</t>
        </is>
      </c>
      <c r="K2505" t="inlineStr">
        <is>
          <t>PDEI - Game Marketing</t>
        </is>
      </c>
      <c r="L2505" t="inlineStr">
        <is>
          <t>SportsPlus MPBL Roadtrip Watchparty 2026</t>
        </is>
      </c>
      <c r="M2505" t="inlineStr">
        <is>
          <t>2026TEG-P0028</t>
        </is>
      </c>
      <c r="N2505" t="inlineStr">
        <is>
          <t>Kervin</t>
        </is>
      </c>
      <c r="O2505" t="inlineStr">
        <is>
          <t>202603260049-Kervin-费用报销 - 副本 - 副本 - 副本-2026-03-26 04:44:59</t>
        </is>
      </c>
      <c r="P2505" t="inlineStr">
        <is>
          <t>YES</t>
        </is>
      </c>
      <c r="Q2505"/>
      <c r="R2505" t="inlineStr">
        <is>
          <t>NO</t>
        </is>
      </c>
      <c r="S2505" t="inlineStr">
        <is>
          <t>Outsourced Brand Ambassador</t>
        </is>
      </c>
      <c r="T2505">
        <v>1</v>
      </c>
      <c r="U2505">
        <v>2500</v>
      </c>
      <c r="V2505" t="inlineStr">
        <is>
          <t>PHP</t>
        </is>
      </c>
      <c r="W2505">
        <v>2500</v>
      </c>
      <c r="X2505" s="2" t="str">
        <f>=HYPERLINK("https://www.larksuite.com/approval/admin/previewAttachment?key=PMg9CsJAEAXgK735fTtexsZlUUNEEAIWc3bBIu2XQ5AjxLLgJVqQZlolg5JmxlAYWlvIAoWZPfd1fRyxPbc3v_tLda4-7rc1PxJFVdDcbQCQy-lGd69Kx9_xCwAA__8", "2 attachment(s)")</f>
        <v>2 attachment(s)</v>
      </c>
      <c r="Y2505" t="inlineStr">
        <is>
          <t>Bank Transfer</t>
        </is>
      </c>
      <c r="Z2505" t="inlineStr">
        <is>
          <t>Jasmine Dava</t>
        </is>
      </c>
      <c r="AA2505" t="inlineStr">
        <is>
          <t>09664084097</t>
        </is>
      </c>
      <c r="AB2505" t="inlineStr">
        <is>
          <t>Gcash</t>
        </is>
      </c>
      <c r="AC2505" t="inlineStr">
        <is>
          <t>1559 1st st. Fabie Subdivision Paco, Manila</t>
        </is>
      </c>
      <c r="AD2505" s="4">
        <v>46164</v>
      </c>
      <c r="AE2505" t="inlineStr">
        <is>
          <t>100% Full Payment - May 22, 2026</t>
        </is>
      </c>
      <c r="AF2505" s="2"/>
      <c r="AG2505" t="inlineStr">
        <is>
          <t>NzQyNTk5MTgyNzQ4MTg3MDM0MTozMUY0NTFDQS1EQjhGLTRGOTItQUZCQi03MjA1ODRERDAxRDYtMTo2YTllNDRhNTNkODI2ZTRmZmEwNGYyZDljNDllODlkMjox</t>
        </is>
      </c>
      <c r="AH2505" t="inlineStr">
        <is>
          <t>Jasmine Dava</t>
        </is>
      </c>
      <c r="AI2505"/>
      <c r="AJ2505" t="inlineStr">
        <is>
          <t>LIQUIDITY PLAN (PAR # 202603240070 / 2026TEG-P0028)
MANPOWER &gt; Brand Ambassador
Total Remaining Budget = Php 57,500.00
Actual Cost = Php 2,500.00
Balance = Php 55,000.00</t>
        </is>
      </c>
      <c r="AK2505"/>
    </row>
    <row r="2506" ht="25.5" customHeight="1">
      <c r="A2506" s="2" t="str">
        <f>=HYPERLINK("https://applink.larksuite.com/client/mini_program/open?appId=cli_9c7cc8a9a9edd105&amp;mode=appCenter&amp;path_pc=pc/pages/requested/index?instanceId=7639685163638640350&amp;source=bitable&amp;path=pages/detail/index?instanceId=7639685163638640350&amp;source=bitable", "202605140067")</f>
        <v>202605140067</v>
      </c>
      <c r="B2506" t="inlineStr">
        <is>
          <t>Approved</t>
        </is>
      </c>
      <c r="C2506" t="inlineStr">
        <is>
          <t>Procurement Order</t>
        </is>
      </c>
      <c r="D2506" s="3">
        <v>46156.75016203704</v>
      </c>
      <c r="E2506" s="3">
        <v>46156.7765625</v>
      </c>
      <c r="F2506" t="inlineStr">
        <is>
          <t>Fatima Kathleen M. FLores</t>
        </is>
      </c>
      <c r="G2506" t="inlineStr">
        <is>
          <t>Procurement</t>
        </is>
      </c>
      <c r="H2506"/>
      <c r="I2506"/>
      <c r="J2506" t="inlineStr">
        <is>
          <t>Project</t>
        </is>
      </c>
      <c r="K2506" t="inlineStr">
        <is>
          <t>PDEI - Game Marketing</t>
        </is>
      </c>
      <c r="L2506" t="inlineStr">
        <is>
          <t>CRIF VIA Vendor Fair 2026</t>
        </is>
      </c>
      <c r="M2506" t="inlineStr">
        <is>
          <t>2026TEG-P0101</t>
        </is>
      </c>
      <c r="N2506" t="inlineStr">
        <is>
          <t>Petronilo Cruz Samson Jr.</t>
        </is>
      </c>
      <c r="O2506" t="inlineStr">
        <is>
          <t>202601220096-Kervin-费用报销 - 副本 - 副本 - 副本-2026-01-22 11:03:21</t>
        </is>
      </c>
      <c r="P2506" t="inlineStr">
        <is>
          <t>NO</t>
        </is>
      </c>
      <c r="Q2506"/>
      <c r="R2506" t="inlineStr">
        <is>
          <t>NO</t>
        </is>
      </c>
      <c r="S2506" t="inlineStr">
        <is>
          <t>Outsourced Logistics Services (Trucking) - Ingress</t>
        </is>
      </c>
      <c r="T2506">
        <v>1</v>
      </c>
      <c r="U2506">
        <v>7500</v>
      </c>
      <c r="V2506" t="inlineStr">
        <is>
          <t>PHP</t>
        </is>
      </c>
      <c r="W2506">
        <v>7500</v>
      </c>
      <c r="X2506" s="2" t="str">
        <f>=HYPERLINK("https://www.larksuite.com/approval/admin/previewAttachment?key=PMgxDsJQDAPQKznfrvPDZVioKqiABQnBkLMjGFifZ8BzCbqgilGITrO-ZprTAhf06MgsZKTd6207gq99co_LW9fUvZ_n07Y-YqkcA0mJE0Ac_s6UVGXh5_gEAAD__w", "2 attachment(s)")</f>
        <v>2 attachment(s)</v>
      </c>
      <c r="Y2506" t="inlineStr">
        <is>
          <t>Bank Transfer</t>
        </is>
      </c>
      <c r="Z2506" t="inlineStr">
        <is>
          <t>VICHAN TRUCKING SERVICES</t>
        </is>
      </c>
      <c r="AA2506" t="inlineStr">
        <is>
          <t>006220 1084 33</t>
        </is>
      </c>
      <c r="AB2506" t="inlineStr">
        <is>
          <t>BDO</t>
        </is>
      </c>
      <c r="AC2506" t="inlineStr">
        <is>
          <t>60 Corumi Street, Masambong, QC</t>
        </is>
      </c>
      <c r="AD2506" s="4">
        <v>46164</v>
      </c>
      <c r="AE2506" t="inlineStr">
        <is>
          <t>100% Full Payment</t>
        </is>
      </c>
      <c r="AF2506" s="2" t="str">
        <f>=HYPERLINK("https://www.larksuite.com/approval/admin/previewAttachment?key=TMgxDsJQDAPQK9l1vpNwGRaqCipgQUIw_LMjmFifi3ANyo1oLg3OtPprllUOaGAuk5mNZNpzvW1H6LWXdl7ecc24z-f5tK0PumREjwg2AB7-nESXrJ_jEwAA__8", "3 attachment(s)")</f>
        <v>3 attachment(s)</v>
      </c>
      <c r="AG2506" t="inlineStr">
        <is>
          <t>NzQyNTk5MTgyNzQ4MTg3MDM0MTo5MEE0NzQ4Mi1GRjkyLTRDRjQtODY5Ri0zOUFCNDMxNjJCODEtMTo5OTUwZTg4NWVhNzc3ODQ4MjA2NmY2NzliYTUyYmI3ZTox</t>
        </is>
      </c>
      <c r="AH2506" t="inlineStr">
        <is>
          <t>VICHAN TRUCKING SERVICES</t>
        </is>
      </c>
      <c r="AI2506"/>
      <c r="AJ2506" t="inlineStr">
        <is>
          <t>LIQUIDITY PLAN (PAR # 202604290018 / 2026TEG-P0101)
LOGISTICS &gt; Logistics and Mobility Fees
Total Budget = Php 20,000.00
Actual Cost = Php 15,000.00
Balance = Php 5,000.00</t>
        </is>
      </c>
      <c r="AK2506"/>
    </row>
    <row r="2507" ht="25.5" customHeight="1">
      <c r="A2507" s="2" t="str">
        <f>=HYPERLINK("https://applink.larksuite.com/client/mini_program/open?appId=cli_9c7cc8a9a9edd105&amp;mode=appCenter&amp;path_pc=pc/pages/requested/index?instanceId=7639685163638640350&amp;source=bitable&amp;path=pages/detail/index?instanceId=7639685163638640350&amp;source=bitable", "202605140067")</f>
        <v>202605140067</v>
      </c>
      <c r="B2507" t="inlineStr">
        <is>
          <t>Approved</t>
        </is>
      </c>
      <c r="C2507" t="inlineStr">
        <is>
          <t>Procurement Order</t>
        </is>
      </c>
      <c r="D2507" s="3">
        <v>46156.75016203704</v>
      </c>
      <c r="E2507" s="3">
        <v>46156.7765625</v>
      </c>
      <c r="F2507" t="inlineStr">
        <is>
          <t>Fatima Kathleen M. FLores</t>
        </is>
      </c>
      <c r="G2507" t="inlineStr">
        <is>
          <t>Procurement</t>
        </is>
      </c>
      <c r="H2507"/>
      <c r="I2507"/>
      <c r="J2507" t="inlineStr">
        <is>
          <t>Project</t>
        </is>
      </c>
      <c r="K2507" t="inlineStr">
        <is>
          <t>PDEI - Game Marketing</t>
        </is>
      </c>
      <c r="L2507" t="inlineStr">
        <is>
          <t>CRIF VIA Vendor Fair 2026</t>
        </is>
      </c>
      <c r="M2507" t="inlineStr">
        <is>
          <t>2026TEG-P0101</t>
        </is>
      </c>
      <c r="N2507" t="inlineStr">
        <is>
          <t>Petronilo Cruz Samson Jr.</t>
        </is>
      </c>
      <c r="O2507" t="inlineStr">
        <is>
          <t>202601220096-Kervin-费用报销 - 副本 - 副本 - 副本-2026-01-22 11:03:21</t>
        </is>
      </c>
      <c r="P2507" t="inlineStr">
        <is>
          <t>NO</t>
        </is>
      </c>
      <c r="Q2507"/>
      <c r="R2507" t="inlineStr">
        <is>
          <t>NO</t>
        </is>
      </c>
      <c r="S2507" t="inlineStr">
        <is>
          <t>Outsourced Logistics Services (Trucking) - Egress</t>
        </is>
      </c>
      <c r="T2507">
        <v>1</v>
      </c>
      <c r="U2507">
        <v>7500</v>
      </c>
      <c r="V2507" t="inlineStr">
        <is>
          <t>PHP</t>
        </is>
      </c>
      <c r="W2507">
        <v>7500</v>
      </c>
      <c r="X2507" s="2" t="str">
        <f>=HYPERLINK("https://www.larksuite.com/approval/admin/previewAttachment?key=PMgxDsJQDAPQKznfrvPDZVioKqiABQnBkLMjGFifZ8BzCbqgilGITrO-ZprTAhf06MgsZKTd6207gq99co_LW9fUvZ_n07Y-YqkcA0mJE0Ac_s6UVGXh5_EJAAD__w", "1 attachment(s)")</f>
        <v>1 attachment(s)</v>
      </c>
      <c r="Y2507"/>
      <c r="Z2507"/>
      <c r="AA2507"/>
      <c r="AB2507"/>
      <c r="AC2507"/>
      <c r="AD2507" s="4"/>
      <c r="AE2507"/>
      <c r="AF2507" s="2"/>
      <c r="AG2507" t="inlineStr">
        <is>
          <t>NzQyNTk5MTgyNzQ4MTg3MDM0MTo5MEE0NzQ4Mi1GRjkyLTRDRjQtODY5Ri0zOUFCNDMxNjJCODEtMjpmN2RkNGVhNmY4NmE5ZDcyOGY3Y2EzMDAzNjRiZTk3Yjox</t>
        </is>
      </c>
      <c r="AH2507"/>
      <c r="AI2507"/>
      <c r="AJ2507" t="inlineStr">
        <is>
          <t>LIQUIDITY PLAN (PAR # 202604290018 / 2026TEG-P0101)
LOGISTICS &gt; Logistics and Mobility Fees
Total Budget = Php 20,000.00
Actual Cost = Php 15,000.00
Balance = Php 5,000.00</t>
        </is>
      </c>
      <c r="AK2507"/>
    </row>
    <row r="2508" ht="25.5" customHeight="1">
      <c r="A2508" s="2" t="str">
        <f>=HYPERLINK("https://applink.larksuite.com/client/mini_program/open?appId=cli_9c7cc8a9a9edd105&amp;mode=appCenter&amp;path_pc=pc/pages/requested/index?instanceId=7639681629559983835&amp;source=bitable&amp;path=pages/detail/index?instanceId=7639681629559983835&amp;source=bitable", "202605140062")</f>
        <v>202605140062</v>
      </c>
      <c r="B2508" t="inlineStr">
        <is>
          <t>Under Review</t>
        </is>
      </c>
      <c r="C2508" t="inlineStr">
        <is>
          <t>Procurement Order</t>
        </is>
      </c>
      <c r="D2508" s="3">
        <v>46156.740636574075</v>
      </c>
      <c r="E2508" s="3"/>
      <c r="F2508" t="inlineStr">
        <is>
          <t>Fatima Kathleen M. FLores</t>
        </is>
      </c>
      <c r="G2508" t="inlineStr">
        <is>
          <t>Procurement</t>
        </is>
      </c>
      <c r="H2508" t="inlineStr">
        <is>
          <t>Sharleen Cayabyab</t>
        </is>
      </c>
      <c r="I2508" t="inlineStr">
        <is>
          <t>Controller</t>
        </is>
      </c>
      <c r="J2508" t="inlineStr">
        <is>
          <t>Project</t>
        </is>
      </c>
      <c r="K2508" t="inlineStr">
        <is>
          <t>PDEI - Game Marketing</t>
        </is>
      </c>
      <c r="L2508" t="inlineStr">
        <is>
          <t>Jobstreet Level Up v2</t>
        </is>
      </c>
      <c r="M2508" t="inlineStr">
        <is>
          <t>2025TEG-P0211</t>
        </is>
      </c>
      <c r="N2508" t="inlineStr">
        <is>
          <t>Maura Aurel Atilano Yap</t>
        </is>
      </c>
      <c r="O2508" t="inlineStr">
        <is>
          <t>202604080012-Maura Aurel Atilano Yap-费用报销 - 副本 - 副本 - 副本-2026-04-08 02:43:54</t>
        </is>
      </c>
      <c r="P2508" t="inlineStr">
        <is>
          <t>YES</t>
        </is>
      </c>
      <c r="Q2508"/>
      <c r="R2508" t="inlineStr">
        <is>
          <t>YES</t>
        </is>
      </c>
      <c r="S2508" t="inlineStr">
        <is>
          <t>Outsourced Broadcast Manpower (Addtl - May 8, 2026)</t>
        </is>
      </c>
      <c r="T2508">
        <v>1</v>
      </c>
      <c r="U2508">
        <v>1800</v>
      </c>
      <c r="V2508" t="inlineStr">
        <is>
          <t>PHP</t>
        </is>
      </c>
      <c r="W2508">
        <v>1800</v>
      </c>
      <c r="X2508" s="2" t="str">
        <f>=HYPERLINK("https://www.larksuite.com/approval/admin/previewAttachment?key=PMg7CsJgEATgK82-d7yMTUJQ8a-EgMWeXbBI-2ULskMsCacoIVNpzJZURpBtbTE6UkWUVNbs67iv7-u9hXevpWc_53xsx_6RYKmizN0agNwut3J3Mh1_xy8AAP__", "2 attachment(s)")</f>
        <v>2 attachment(s)</v>
      </c>
      <c r="Y2508" t="inlineStr">
        <is>
          <t>Bank Transfer</t>
        </is>
      </c>
      <c r="Z2508" t="inlineStr">
        <is>
          <t>John Benigno R. Magat</t>
        </is>
      </c>
      <c r="AA2508" t="inlineStr">
        <is>
          <t>046110005388</t>
        </is>
      </c>
      <c r="AB2508" t="inlineStr">
        <is>
          <t>PSBank</t>
        </is>
      </c>
      <c r="AC2508" t="inlineStr">
        <is>
          <t>228 Grissom st. Brgy Moonwalk Paranaque Metro Manila</t>
        </is>
      </c>
      <c r="AD2508" s="4">
        <v>46164</v>
      </c>
      <c r="AE2508" t="inlineStr">
        <is>
          <t>100% Full Payment - May 22, 2026</t>
        </is>
      </c>
      <c r="AF2508" s="2"/>
      <c r="AG2508" t="inlineStr">
        <is>
          <t>NzQyNTk5MTgyNzQ4MTg3MDM0MTozQUFEN0IwMi1EOEY1LTQ1NjQtQjMxMy1FN0VFM0ZDOUQyNjgtMToyZGM2MDYxYmRkYWRjZWQ0NmQ5MDM0YzQwZjZiMGY3Zjox</t>
        </is>
      </c>
      <c r="AH2508" t="inlineStr">
        <is>
          <t>John Benigno R. Magat</t>
        </is>
      </c>
      <c r="AI2508"/>
      <c r="AJ2508" t="inlineStr">
        <is>
          <t>LIQUIDITY PLAN (PAR # 202511040070 / 2025TEG-P0211)
MANPOWER &gt; BROADCAST &gt;
Highlights/ Replay Operator
Stream Engineer/ Tech Support
Total Remaining Budget = 0.00 (Negative Budget)
Actual Cost = Php 1,800.00
Balance = (Php 1,800.00) OVER BUDGET</t>
        </is>
      </c>
      <c r="AK2508"/>
    </row>
    <row r="2509" ht="25.5" customHeight="1">
      <c r="A2509" s="2" t="str">
        <f>=HYPERLINK("https://applink.larksuite.com/client/mini_program/open?appId=cli_9c7cc8a9a9edd105&amp;mode=appCenter&amp;path_pc=pc/pages/requested/index?instanceId=7640000173736726240&amp;source=bitable&amp;path=pages/detail/index?instanceId=7640000173736726240&amp;source=bitable", "202605150042")</f>
        <v>202605150042</v>
      </c>
      <c r="B2509" t="inlineStr">
        <is>
          <t>Approved</t>
        </is>
      </c>
      <c r="C2509" t="inlineStr">
        <is>
          <t>Procurement Order</t>
        </is>
      </c>
      <c r="D2509" s="3">
        <v>46157.59905092593</v>
      </c>
      <c r="E2509" s="3">
        <v>46157.68146990741</v>
      </c>
      <c r="F2509" t="inlineStr">
        <is>
          <t>Fatima Kathleen M. FLores</t>
        </is>
      </c>
      <c r="G2509" t="inlineStr">
        <is>
          <t>Procurement</t>
        </is>
      </c>
      <c r="H2509"/>
      <c r="I2509"/>
      <c r="J2509" t="inlineStr">
        <is>
          <t>Project</t>
        </is>
      </c>
      <c r="K2509" t="inlineStr">
        <is>
          <t>PDEI - Event Service</t>
        </is>
      </c>
      <c r="L2509" t="inlineStr">
        <is>
          <t>MPL PH S17 - Addendum 2</t>
        </is>
      </c>
      <c r="M2509" t="inlineStr">
        <is>
          <t>2026TEG-P0123</t>
        </is>
      </c>
      <c r="N2509" t="inlineStr">
        <is>
          <t>Katherine Denise Lee Sy</t>
        </is>
      </c>
      <c r="O2509" t="inlineStr">
        <is>
          <t>202605090006-Katherine Denise Lee Sy-费用报销 - 副本 - 副本 - 副本-2026-05-09 06:54:48</t>
        </is>
      </c>
      <c r="P2509" t="inlineStr">
        <is>
          <t>NO</t>
        </is>
      </c>
      <c r="Q2509"/>
      <c r="R2509" t="inlineStr">
        <is>
          <t>NO</t>
        </is>
      </c>
      <c r="S2509" t="inlineStr">
        <is>
          <t>Rental of LED / Multimedia, Video System</t>
        </is>
      </c>
      <c r="T2509">
        <v>1</v>
      </c>
      <c r="U2509">
        <v>616000</v>
      </c>
      <c r="V2509" t="inlineStr">
        <is>
          <t>PHP</t>
        </is>
      </c>
      <c r="W2509">
        <v>616000</v>
      </c>
      <c r="X2509" s="2" t="str">
        <f>=HYPERLINK("https://www.larksuite.com/approval/admin/previewAttachment?key=PMxBCsJQDATQK02Saeanl3Hjp4i0boSKi5xdBHH7Fi-HIcdikQWWecFaSQAwhSLl6UR7m1SQKdXz2C6nvR772yfvh-8j-rxdt_m0peQOBRnje6x_D5Gs-t0rPgEAAP__", "2 attachment(s)")</f>
        <v>2 attachment(s)</v>
      </c>
      <c r="Y2509" t="inlineStr">
        <is>
          <t>Bank Transfer</t>
        </is>
      </c>
      <c r="Z2509" t="inlineStr">
        <is>
          <t>APEX FRANCHISE VENTURES OPC.</t>
        </is>
      </c>
      <c r="AA2509" t="inlineStr">
        <is>
          <t>001620006872</t>
        </is>
      </c>
      <c r="AB2509" t="inlineStr">
        <is>
          <t>Unionbank</t>
        </is>
      </c>
      <c r="AC2509" t="inlineStr">
        <is>
          <t>9th Floor Santolan Town Plaza 276 Santolan Road Little Baguio 1500 City of San Juan</t>
        </is>
      </c>
      <c r="AD2509" s="4">
        <v>46164</v>
      </c>
      <c r="AE2509" t="inlineStr">
        <is>
          <t>100% Full Payment upon confirmation</t>
        </is>
      </c>
      <c r="AF2509" s="2"/>
      <c r="AG2509" t="inlineStr">
        <is>
          <t>NzQyNTk5MTgyNzQ4MTg3MDM0MTo3QTU1QjMyNS03M0YzLTRDMEMtQjk2RS04NEYxMUJDMEJGMzEtMTo3ZGFlNjYzMWUzODgxM2JkNDY4Y2UxYjQ1NDBiMDNmMjox</t>
        </is>
      </c>
      <c r="AH2509" t="inlineStr">
        <is>
          <t>APEX FRANCHISE VENTURES OPC.</t>
        </is>
      </c>
      <c r="AI2509"/>
      <c r="AJ2509" t="inlineStr">
        <is>
          <t>LIQUIDITY PLAN (PAR # 202605070063 / 2026TEG-P0123)
LED
Total Budget = Php 616,000.00
Actual Cost = Php 616,000.00</t>
        </is>
      </c>
      <c r="AK2509"/>
    </row>
    <row r="2510" ht="25.5" customHeight="1">
      <c r="A2510" s="2" t="str">
        <f>=HYPERLINK("https://applink.larksuite.com/client/mini_program/open?appId=cli_9c7cc8a9a9edd105&amp;mode=appCenter&amp;path_pc=pc/pages/requested/index?instanceId=7640007340955094757&amp;source=bitable&amp;path=pages/detail/index?instanceId=7640007340955094757&amp;source=bitable", "202605150048")</f>
        <v>202605150048</v>
      </c>
      <c r="B2510" t="inlineStr">
        <is>
          <t>Approved</t>
        </is>
      </c>
      <c r="C2510" t="inlineStr">
        <is>
          <t>Procurement Order</t>
        </is>
      </c>
      <c r="D2510" s="3">
        <v>46157.61835648148</v>
      </c>
      <c r="E2510" s="3">
        <v>46157.67435185185</v>
      </c>
      <c r="F2510" t="inlineStr">
        <is>
          <t>Fatima Kathleen M. FLores</t>
        </is>
      </c>
      <c r="G2510" t="inlineStr">
        <is>
          <t>Procurement</t>
        </is>
      </c>
      <c r="H2510"/>
      <c r="I2510"/>
      <c r="J2510" t="inlineStr">
        <is>
          <t>Project</t>
        </is>
      </c>
      <c r="K2510" t="inlineStr">
        <is>
          <t>GG - Event Service</t>
        </is>
      </c>
      <c r="L2510" t="inlineStr">
        <is>
          <t>KIC 2025 - Playoffs</t>
        </is>
      </c>
      <c r="M2510" t="inlineStr">
        <is>
          <t>2025TEG-P0321</t>
        </is>
      </c>
      <c r="N2510" t="inlineStr">
        <is>
          <t>Frances Angelita Arreglado</t>
        </is>
      </c>
      <c r="O2510" t="inlineStr">
        <is>
          <t>202605110004-Frances Angelita Arreglado-费用报销 - 副本 - 副本 - 副本-2026-05-11 01:37:38</t>
        </is>
      </c>
      <c r="P2510" t="inlineStr">
        <is>
          <t>NO</t>
        </is>
      </c>
      <c r="Q2510"/>
      <c r="R2510" t="inlineStr">
        <is>
          <t>NO</t>
        </is>
      </c>
      <c r="S2510" t="inlineStr">
        <is>
          <t>Direct Internet (Trinoma)</t>
        </is>
      </c>
      <c r="T2510">
        <v>1</v>
      </c>
      <c r="U2510">
        <v>195474.44</v>
      </c>
      <c r="V2510" t="inlineStr">
        <is>
          <t>PHP</t>
        </is>
      </c>
      <c r="W2510">
        <v>195474.44</v>
      </c>
      <c r="X2510" s="2" t="str">
        <f>=HYPERLINK("https://www.larksuite.com/approval/admin/previewAttachment?key=PMxBCsJAEETRK1XPdHdN5TJuEoKogQEx4KLPLrpw--G_HIYcYT0FlzXBiukA2B2KgJzBamWkQGOytmO_zNvj_p5xrq9DxKzzuu7b00Js7ft6HwBs-fdOd5d-NmzBJwAA__8", "2 attachment(s)")</f>
        <v>2 attachment(s)</v>
      </c>
      <c r="Y2510" t="inlineStr">
        <is>
          <t>Cash</t>
        </is>
      </c>
      <c r="Z2510" t="inlineStr">
        <is>
          <t>Innove Communications, Inc.</t>
        </is>
      </c>
      <c r="AA2510" t="inlineStr">
        <is>
          <t>on file</t>
        </is>
      </c>
      <c r="AB2510" t="inlineStr">
        <is>
          <t>Bills Payment</t>
        </is>
      </c>
      <c r="AC2510" t="inlineStr">
        <is>
          <t>32nd Street corner 7th Ave., BGC, Taguig City</t>
        </is>
      </c>
      <c r="AD2510" s="4">
        <v>46164</v>
      </c>
      <c r="AE2510" t="inlineStr">
        <is>
          <t>100% Full Payment</t>
        </is>
      </c>
      <c r="AF2510" s="2"/>
      <c r="AG2510" t="inlineStr">
        <is>
          <t>NzQyNTk5MTgyNzQ4MTg3MDM0MTo1NzNCOTE4NC1EMTg1LTRDMkQtOUFDNi0wMkNFMTM5NjZCQUQtMTo3NjczMTcwNjlmOTg3ZjgxYWQxOGIwNTRmZmE3ODMxMzox</t>
        </is>
      </c>
      <c r="AH2510" t="inlineStr">
        <is>
          <t>Innove Communications, Inc.</t>
        </is>
      </c>
      <c r="AI2510"/>
      <c r="AJ2510" t="inlineStr">
        <is>
          <t>LIQUIDITY PLAN (PAR # 202511200098 / 2025TEG-P0321)
NETWORK &amp; ISP &gt; ISP DEDICATED 1G
Total Budget = Php 450,000.00
Actual Cost = Php 195,474.44
Balance = Php 254,525.56</t>
        </is>
      </c>
      <c r="AK2510"/>
    </row>
    <row r="2511" ht="25.5" customHeight="1">
      <c r="A2511" s="2" t="str">
        <f>=HYPERLINK("https://applink.larksuite.com/client/mini_program/open?appId=cli_9c7cc8a9a9edd105&amp;mode=appCenter&amp;path_pc=pc/pages/requested/index?instanceId=7640011142647025374&amp;source=bitable&amp;path=pages/detail/index?instanceId=7640011142647025374&amp;source=bitable", "202605150056")</f>
        <v>202605150056</v>
      </c>
      <c r="B2511" t="inlineStr">
        <is>
          <t>Approved</t>
        </is>
      </c>
      <c r="C2511" t="inlineStr">
        <is>
          <t>Procurement Order</t>
        </is>
      </c>
      <c r="D2511" s="3">
        <v>46157.62861111111</v>
      </c>
      <c r="E2511" s="3">
        <v>46157.68269675926</v>
      </c>
      <c r="F2511" t="inlineStr">
        <is>
          <t>Fatima Kathleen M. FLores</t>
        </is>
      </c>
      <c r="G2511" t="inlineStr">
        <is>
          <t>Procurement</t>
        </is>
      </c>
      <c r="H2511"/>
      <c r="I2511"/>
      <c r="J2511" t="inlineStr">
        <is>
          <t>Project</t>
        </is>
      </c>
      <c r="K2511" t="inlineStr">
        <is>
          <t>PDEI - Game Marketing</t>
        </is>
      </c>
      <c r="L2511" t="inlineStr">
        <is>
          <t>SM Cyberzone Game Fest 2026</t>
        </is>
      </c>
      <c r="M2511" t="inlineStr">
        <is>
          <t>2025TEG-P0340</t>
        </is>
      </c>
      <c r="N2511" t="inlineStr">
        <is>
          <t>Alessandra Mae Villanueva Boado</t>
        </is>
      </c>
      <c r="O2511" t="inlineStr">
        <is>
          <t>202605140074-Alessandra Mae Villanueva Boado-费用报销 - 副本 - 副本 - 副本-2026-05-14 10:37:15</t>
        </is>
      </c>
      <c r="P2511" t="inlineStr">
        <is>
          <t>YES</t>
        </is>
      </c>
      <c r="Q2511"/>
      <c r="R2511" t="inlineStr">
        <is>
          <t>NO</t>
        </is>
      </c>
      <c r="S2511" t="inlineStr">
        <is>
          <t>Outsourced Manpower (Tekken and SF6 Game Installation)</t>
        </is>
      </c>
      <c r="T2511">
        <v>1</v>
      </c>
      <c r="U2511">
        <v>1700</v>
      </c>
      <c r="V2511" t="inlineStr">
        <is>
          <t>PHP</t>
        </is>
      </c>
      <c r="W2511">
        <v>1700</v>
      </c>
      <c r="X2511" s="2" t="str">
        <f>=HYPERLINK("https://www.larksuite.com/approval/admin/previewAttachment?key=PMwxCgJBDAXQK_2fZPInXsbGZVFRWBAWLHJ2mcb2FS8nkXPQsxBFK7CVAZAMyxBsuKKtKRVEpXp771fKD4w5Xt-nHY-zz_tt3z4cJTPII3wC4OXvroioWvdy_AIAAP__", "2 attachment(s)")</f>
        <v>2 attachment(s)</v>
      </c>
      <c r="Y2511" t="inlineStr">
        <is>
          <t>Bank Transfer</t>
        </is>
      </c>
      <c r="Z2511" t="inlineStr">
        <is>
          <t>Adrian Amorato</t>
        </is>
      </c>
      <c r="AA2511" t="inlineStr">
        <is>
          <t>013639339766</t>
        </is>
      </c>
      <c r="AB2511" t="inlineStr">
        <is>
          <t>GoTyme Bank</t>
        </is>
      </c>
      <c r="AC2511" t="inlineStr">
        <is>
          <t>1047 Bagong Silang St, Nangka, Marikina City</t>
        </is>
      </c>
      <c r="AD2511" s="4">
        <v>46171</v>
      </c>
      <c r="AE2511" t="inlineStr">
        <is>
          <t>100% Full Payment - May 29, 2026</t>
        </is>
      </c>
      <c r="AF2511" s="2"/>
      <c r="AG2511" t="inlineStr">
        <is>
          <t>NzQyNTk5MTgyNzQ4MTg3MDM0MTpEQzUzNEFCRi05NkMzLTQ3NTItQkQ0Ri02MEM0RTNEOTEyQTUtMToxMDdmZDIzYWUzMzkwMDJkMTIxNTZiYWE0YmQzZTkxYTox</t>
        </is>
      </c>
      <c r="AH2511" t="inlineStr">
        <is>
          <t>Adrian Amorato</t>
        </is>
      </c>
      <c r="AI2511"/>
      <c r="AJ2511" t="inlineStr">
        <is>
          <t>LIQUIDITY PLAN (PAR # 202604300034 / 2025TEG-P0340)
MANPOWER &gt; Add Ons &gt;
DLC for Games
Total Remaining Budget = Php 15,241.00
Actual Cost = Php 1,700.00
Balance = Php 13,541.00</t>
        </is>
      </c>
      <c r="AK2511"/>
    </row>
    <row r="2512" ht="25.5" customHeight="1">
      <c r="A2512" s="2" t="str">
        <f>=HYPERLINK("https://applink.larksuite.com/client/mini_program/open?appId=cli_9c7cc8a9a9edd105&amp;mode=appCenter&amp;path_pc=pc/pages/requested/index?instanceId=7640051806587850459&amp;source=bitable&amp;path=pages/detail/index?instanceId=7640051806587850459&amp;source=bitable", "202605150089")</f>
        <v>202605150089</v>
      </c>
      <c r="B2512" t="inlineStr">
        <is>
          <t>Under Review</t>
        </is>
      </c>
      <c r="C2512" t="inlineStr">
        <is>
          <t>Procurement Order</t>
        </is>
      </c>
      <c r="D2512" s="3">
        <v>46157.73818287037</v>
      </c>
      <c r="E2512" s="3"/>
      <c r="F2512" t="inlineStr">
        <is>
          <t>Fatima Kathleen M. FLores</t>
        </is>
      </c>
      <c r="G2512" t="inlineStr">
        <is>
          <t>Procurement</t>
        </is>
      </c>
      <c r="H2512" t="inlineStr">
        <is>
          <t>Sharleen Cayabyab</t>
        </is>
      </c>
      <c r="I2512" t="inlineStr">
        <is>
          <t>Controller</t>
        </is>
      </c>
      <c r="J2512" t="inlineStr">
        <is>
          <t>Project</t>
        </is>
      </c>
      <c r="K2512" t="inlineStr">
        <is>
          <t>PDEI - Event Service</t>
        </is>
      </c>
      <c r="L2512" t="inlineStr">
        <is>
          <t>MPL PH S17 - Addendum 2</t>
        </is>
      </c>
      <c r="M2512" t="inlineStr">
        <is>
          <t>2026TEG-P0123</t>
        </is>
      </c>
      <c r="N2512" t="inlineStr">
        <is>
          <t>Katherine Denise Lee Sy</t>
        </is>
      </c>
      <c r="O2512" t="inlineStr">
        <is>
          <t>202605140003-Katherine Denise Lee Sy-费用报销 - 副本 - 副本 - 副本-2026-05-14 01:54:13</t>
        </is>
      </c>
      <c r="P2512" t="inlineStr">
        <is>
          <t>NO</t>
        </is>
      </c>
      <c r="Q2512"/>
      <c r="R2512" t="inlineStr">
        <is>
          <t>NO</t>
        </is>
      </c>
      <c r="S2512" t="inlineStr">
        <is>
          <t>Rental of Lighting System (May 22 to 31, 2026)</t>
        </is>
      </c>
      <c r="T2512">
        <v>1</v>
      </c>
      <c r="U2512">
        <v>150000</v>
      </c>
      <c r="V2512" t="inlineStr">
        <is>
          <t>PHP</t>
        </is>
      </c>
      <c r="W2512">
        <v>150000</v>
      </c>
      <c r="X2512" s="2" t="str">
        <f>=HYPERLINK("https://www.larksuite.com/approval/admin/previewAttachment?key=PMwxCgJBDAXQK_0_k-QnXsZmh0ULQRAGm5xdtrF9xYskIp0zClYcBbbCAGciPJUO8-rRlAqiQr1e552a72eNnfvA-u7ej-NcH3ppDGiazQTA29-nzKzqui_HLwAA__8", "2 attachment(s)")</f>
        <v>2 attachment(s)</v>
      </c>
      <c r="Y2512" t="inlineStr">
        <is>
          <t>Bank Transfer</t>
        </is>
      </c>
      <c r="Z2512" t="inlineStr">
        <is>
          <t>RED APPLE ENTERTAINMENT PRODUCTION</t>
        </is>
      </c>
      <c r="AA2512" t="inlineStr">
        <is>
          <t>008848001369</t>
        </is>
      </c>
      <c r="AB2512" t="inlineStr">
        <is>
          <t>BDO</t>
        </is>
      </c>
      <c r="AC2512" t="inlineStr">
        <is>
          <t>Unit 1208 Corinthian Executive Regency, Ortigas Center, Pasig City</t>
        </is>
      </c>
      <c r="AD2512" s="4">
        <v>46171</v>
      </c>
      <c r="AE2512" t="inlineStr">
        <is>
          <t>50% Down Payment upon confirmation
50% Final Payment upon completion of services</t>
        </is>
      </c>
      <c r="AF2512" s="2"/>
      <c r="AG2512" t="inlineStr">
        <is>
          <t>NzQyNTk5MTgyNzQ4MTg3MDM0MTpCODI0OTFFMy1EQTI0LTRFMkUtQjcyOS0xOTg0QzlEMUVEREItMTowYTAyOGY3MTBlZWI3ZDhmODZkMGYzMjc3MTRjMDI5ZDox</t>
        </is>
      </c>
      <c r="AH2512" t="inlineStr">
        <is>
          <t>RED APPLE ENTERTAINMENT PRODUCTION</t>
        </is>
      </c>
      <c r="AI2512"/>
      <c r="AJ2512" t="inlineStr">
        <is>
          <t>LIQUIDITY PLAN (PAR # 202605070063 / 2026TEG-P0123)
Lights (tucked in VIP Sofa)
Total Budget = Php 150,000.00
Actual Cost = Php 150,000.00</t>
        </is>
      </c>
      <c r="AK2512"/>
    </row>
  </sheetData>
  <dataValidations count="8">
    <dataValidation allowBlank="false" sqref="B2:B2511" type="list">
      <formula1>"Approved,Deleted,Processing,Rejected,Canceled,Terminated,Recalled,Under Review"</formula1>
    </dataValidation>
    <dataValidation allowBlank="false" sqref="C2:C2511" type="list">
      <formula1>"Procurement Order PH,Procurement Order"</formula1>
    </dataValidation>
    <dataValidation allowBlank="false" sqref="J2:J2511" type="list">
      <formula1>"Project,GAE,CAPEX,Overhead,Others"</formula1>
    </dataValidation>
    <dataValidation allowBlank="false" sqref="P2:P2511" type="list">
      <formula1>"YES,NO"</formula1>
    </dataValidation>
    <dataValidation allowBlank="false" sqref="R2:R2511" type="list">
      <formula1>"YES,NO"</formula1>
    </dataValidation>
    <dataValidation allowBlank="false" sqref="V2:V2511" type="list">
      <formula1>"PHP,USD"</formula1>
    </dataValidation>
    <dataValidation allowBlank="false" sqref="Y2:Y2511" type="list">
      <formula1>"Bank Transfer,Check,Cash"</formula1>
    </dataValidation>
    <dataValidation allowBlank="false" sqref="AI2:AI2511" type="list">
      <formula1>"Esports Regional,Esports IDMY"</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