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melzhao/Library/Mobile Documents/com~apple~CloudDocs/Masters/ECE1388/"/>
    </mc:Choice>
  </mc:AlternateContent>
  <bookViews>
    <workbookView xWindow="0" yWindow="460" windowWidth="28800" windowHeight="17460" tabRatio="500" activeTab="1"/>
  </bookViews>
  <sheets>
    <sheet name="Summary" sheetId="1" r:id="rId1"/>
    <sheet name="2-stage" sheetId="3" r:id="rId2"/>
    <sheet name="3-stage" sheetId="4" r:id="rId3"/>
    <sheet name="4-stage" sheetId="5" r:id="rId4"/>
    <sheet name="5-stage" sheetId="6" r:id="rId5"/>
    <sheet name="6-stage" sheetId="7" r:id="rId6"/>
    <sheet name="scrap" sheetId="2" r:id="rId7"/>
  </sheets>
  <definedNames>
    <definedName name="_xlnm.Print_Area" localSheetId="0">Summary!$A$1:$H$28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1" i="6" l="1"/>
  <c r="D22" i="1"/>
  <c r="D21" i="1"/>
  <c r="D23" i="1"/>
  <c r="I48" i="6"/>
  <c r="D20" i="1"/>
  <c r="B49" i="6"/>
  <c r="B60" i="6"/>
  <c r="B21" i="1"/>
  <c r="B22" i="1"/>
  <c r="B23" i="1"/>
  <c r="B83" i="6"/>
  <c r="B20" i="1"/>
  <c r="H58" i="6"/>
  <c r="I49" i="6"/>
  <c r="B11" i="6"/>
  <c r="F11" i="6"/>
  <c r="E10" i="6"/>
  <c r="F10" i="6"/>
  <c r="E9" i="6"/>
  <c r="B9" i="6"/>
  <c r="F9" i="6"/>
  <c r="D2" i="6"/>
  <c r="E2" i="6"/>
  <c r="F2" i="6"/>
  <c r="G2" i="6"/>
  <c r="G4" i="6"/>
  <c r="E3" i="6"/>
  <c r="H2" i="6"/>
  <c r="A66" i="6"/>
  <c r="A68" i="6"/>
  <c r="A70" i="6"/>
  <c r="I19" i="6"/>
  <c r="G7" i="6"/>
  <c r="B15" i="6"/>
  <c r="E8" i="6"/>
  <c r="F8" i="6"/>
  <c r="E7" i="6"/>
  <c r="F7" i="6"/>
  <c r="C16" i="6"/>
  <c r="E15" i="6" a="1"/>
  <c r="E16" i="6"/>
  <c r="J19" i="6"/>
  <c r="K19" i="6"/>
  <c r="I20" i="6"/>
  <c r="G8" i="6"/>
  <c r="B20" i="6"/>
  <c r="C21" i="6"/>
  <c r="E20" i="6" a="1"/>
  <c r="E21" i="6"/>
  <c r="J20" i="6"/>
  <c r="K20" i="6"/>
  <c r="G9" i="6"/>
  <c r="B25" i="6"/>
  <c r="C26" i="6"/>
  <c r="E25" i="6" a="1"/>
  <c r="E25" i="6"/>
  <c r="J21" i="6"/>
  <c r="K21" i="6"/>
  <c r="G10" i="6"/>
  <c r="B30" i="6"/>
  <c r="C31" i="6"/>
  <c r="E30" i="6" a="1"/>
  <c r="E31" i="6"/>
  <c r="J22" i="6"/>
  <c r="K22" i="6"/>
  <c r="I23" i="6"/>
  <c r="G11" i="6"/>
  <c r="B35" i="6"/>
  <c r="C36" i="6"/>
  <c r="E35" i="6" a="1"/>
  <c r="E36" i="6"/>
  <c r="J23" i="6"/>
  <c r="K23" i="6"/>
  <c r="K24" i="6"/>
  <c r="K25" i="6"/>
  <c r="K26" i="6"/>
  <c r="A64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6" i="1"/>
  <c r="D2" i="7"/>
  <c r="E2" i="7"/>
  <c r="F2" i="7"/>
  <c r="G2" i="7"/>
  <c r="E3" i="7"/>
  <c r="H2" i="7"/>
  <c r="E15" i="1"/>
  <c r="B2" i="5"/>
  <c r="D2" i="5"/>
  <c r="E2" i="5"/>
  <c r="F2" i="5"/>
  <c r="G2" i="5"/>
  <c r="E3" i="5"/>
  <c r="H2" i="5"/>
  <c r="E13" i="1"/>
  <c r="D2" i="4"/>
  <c r="E2" i="4"/>
  <c r="F2" i="4"/>
  <c r="G2" i="4"/>
  <c r="E3" i="4"/>
  <c r="H2" i="4"/>
  <c r="E12" i="1"/>
  <c r="E3" i="3"/>
  <c r="D2" i="3"/>
  <c r="E2" i="3"/>
  <c r="F2" i="3"/>
  <c r="G2" i="3"/>
  <c r="H2" i="3"/>
  <c r="E11" i="1"/>
  <c r="E14" i="1"/>
  <c r="B8" i="5"/>
  <c r="I20" i="7"/>
  <c r="G7" i="7"/>
  <c r="B16" i="7"/>
  <c r="B12" i="7"/>
  <c r="F12" i="7"/>
  <c r="E11" i="7"/>
  <c r="F11" i="7"/>
  <c r="E10" i="7"/>
  <c r="B10" i="7"/>
  <c r="F10" i="7"/>
  <c r="E9" i="7"/>
  <c r="F9" i="7"/>
  <c r="E8" i="7"/>
  <c r="F8" i="7"/>
  <c r="E7" i="7"/>
  <c r="F7" i="7"/>
  <c r="C17" i="7"/>
  <c r="E16" i="7" a="1"/>
  <c r="E17" i="7"/>
  <c r="J20" i="7"/>
  <c r="K20" i="7"/>
  <c r="I21" i="7"/>
  <c r="G8" i="7"/>
  <c r="B21" i="7"/>
  <c r="C22" i="7"/>
  <c r="E21" i="7" a="1"/>
  <c r="E22" i="7"/>
  <c r="J21" i="7"/>
  <c r="K21" i="7"/>
  <c r="I22" i="7"/>
  <c r="G9" i="7"/>
  <c r="B26" i="7"/>
  <c r="C27" i="7"/>
  <c r="E26" i="7" a="1"/>
  <c r="E27" i="7"/>
  <c r="J22" i="7"/>
  <c r="K22" i="7"/>
  <c r="G10" i="7"/>
  <c r="B31" i="7"/>
  <c r="C32" i="7"/>
  <c r="E31" i="7" a="1"/>
  <c r="E31" i="7"/>
  <c r="J23" i="7"/>
  <c r="K23" i="7"/>
  <c r="G11" i="7"/>
  <c r="B36" i="7"/>
  <c r="C37" i="7"/>
  <c r="E36" i="7" a="1"/>
  <c r="E37" i="7"/>
  <c r="J24" i="7"/>
  <c r="K24" i="7"/>
  <c r="I25" i="7"/>
  <c r="G12" i="7"/>
  <c r="B41" i="7"/>
  <c r="C42" i="7"/>
  <c r="E41" i="7" a="1"/>
  <c r="E41" i="7"/>
  <c r="J25" i="7"/>
  <c r="K25" i="7"/>
  <c r="K26" i="7"/>
  <c r="K27" i="7"/>
  <c r="K28" i="7"/>
  <c r="E42" i="7"/>
  <c r="E36" i="7"/>
  <c r="E32" i="7"/>
  <c r="B10" i="5"/>
  <c r="F10" i="5"/>
  <c r="E9" i="5"/>
  <c r="F9" i="5"/>
  <c r="E8" i="5"/>
  <c r="F8" i="5"/>
  <c r="C20" i="5"/>
  <c r="G8" i="5"/>
  <c r="B19" i="5"/>
  <c r="E19" i="5" a="1"/>
  <c r="E19" i="5"/>
  <c r="J19" i="5"/>
  <c r="K19" i="5"/>
  <c r="C25" i="5"/>
  <c r="G9" i="5"/>
  <c r="B24" i="5"/>
  <c r="E24" i="5" a="1"/>
  <c r="E25" i="5"/>
  <c r="J20" i="5"/>
  <c r="K20" i="5"/>
  <c r="G7" i="5"/>
  <c r="B14" i="5"/>
  <c r="C15" i="5"/>
  <c r="E14" i="5" a="1"/>
  <c r="E15" i="5"/>
  <c r="J18" i="5"/>
  <c r="K18" i="5"/>
  <c r="I21" i="5"/>
  <c r="G10" i="5"/>
  <c r="B29" i="5"/>
  <c r="C30" i="5"/>
  <c r="E29" i="5" a="1"/>
  <c r="E30" i="5"/>
  <c r="J21" i="5"/>
  <c r="K21" i="5"/>
  <c r="K22" i="5"/>
  <c r="K23" i="5"/>
  <c r="K24" i="5"/>
  <c r="K2" i="5"/>
  <c r="L2" i="5"/>
  <c r="E36" i="5"/>
  <c r="E35" i="5"/>
  <c r="E7" i="5"/>
  <c r="F7" i="5"/>
  <c r="I17" i="4"/>
  <c r="C14" i="4"/>
  <c r="E13" i="4" a="1"/>
  <c r="E14" i="4"/>
  <c r="J17" i="4"/>
  <c r="K17" i="4"/>
  <c r="I18" i="4"/>
  <c r="B9" i="4"/>
  <c r="F9" i="4"/>
  <c r="E8" i="4"/>
  <c r="B8" i="4"/>
  <c r="F8" i="4"/>
  <c r="C19" i="4"/>
  <c r="E18" i="4" a="1"/>
  <c r="E19" i="4"/>
  <c r="J18" i="4"/>
  <c r="K18" i="4"/>
  <c r="I19" i="4"/>
  <c r="G9" i="4"/>
  <c r="B23" i="4"/>
  <c r="C24" i="4"/>
  <c r="E23" i="4" a="1"/>
  <c r="E23" i="4"/>
  <c r="J19" i="4"/>
  <c r="K19" i="4"/>
  <c r="K20" i="4"/>
  <c r="K21" i="4"/>
  <c r="K22" i="4"/>
  <c r="K2" i="4"/>
  <c r="A15" i="1"/>
  <c r="A14" i="1"/>
  <c r="A13" i="1"/>
  <c r="A12" i="1"/>
  <c r="A11" i="1"/>
  <c r="A3" i="1"/>
  <c r="D21" i="2"/>
  <c r="E21" i="2"/>
  <c r="F21" i="2"/>
  <c r="G21" i="2"/>
  <c r="E23" i="3"/>
  <c r="E24" i="3"/>
  <c r="E25" i="3"/>
  <c r="H21" i="2"/>
  <c r="E26" i="3"/>
  <c r="I21" i="2"/>
  <c r="D22" i="2"/>
  <c r="E22" i="2"/>
  <c r="F22" i="2"/>
  <c r="G22" i="2"/>
  <c r="E29" i="4"/>
  <c r="E30" i="4"/>
  <c r="E31" i="4"/>
  <c r="H22" i="2"/>
  <c r="E32" i="4"/>
  <c r="I22" i="2"/>
  <c r="B23" i="2"/>
  <c r="D23" i="2"/>
  <c r="E23" i="2"/>
  <c r="F23" i="2"/>
  <c r="G23" i="2"/>
  <c r="E37" i="5"/>
  <c r="H23" i="2"/>
  <c r="E38" i="5"/>
  <c r="I23" i="2"/>
  <c r="B24" i="2"/>
  <c r="D24" i="2"/>
  <c r="E24" i="2"/>
  <c r="F24" i="2"/>
  <c r="G24" i="2"/>
  <c r="E41" i="6"/>
  <c r="E42" i="6"/>
  <c r="E43" i="6"/>
  <c r="H24" i="2"/>
  <c r="E44" i="6"/>
  <c r="I24" i="2"/>
  <c r="B25" i="2"/>
  <c r="D25" i="2"/>
  <c r="E25" i="2"/>
  <c r="F25" i="2"/>
  <c r="G25" i="2"/>
  <c r="K34" i="7"/>
  <c r="K35" i="7"/>
  <c r="K36" i="7"/>
  <c r="H25" i="2"/>
  <c r="K37" i="7"/>
  <c r="I25" i="2"/>
  <c r="F30" i="2"/>
  <c r="G30" i="2"/>
  <c r="B7" i="1"/>
  <c r="C7" i="1"/>
  <c r="B15" i="1"/>
  <c r="C15" i="1"/>
  <c r="D15" i="1"/>
  <c r="D7" i="1"/>
  <c r="I2" i="7"/>
  <c r="E7" i="1"/>
  <c r="J2" i="7"/>
  <c r="F7" i="1"/>
  <c r="K2" i="7"/>
  <c r="G7" i="1"/>
  <c r="L2" i="7"/>
  <c r="H7" i="1"/>
  <c r="A7" i="1"/>
  <c r="B6" i="1"/>
  <c r="C6" i="1"/>
  <c r="B14" i="1"/>
  <c r="C14" i="1"/>
  <c r="D14" i="1"/>
  <c r="I2" i="6"/>
  <c r="E6" i="1"/>
  <c r="J2" i="6"/>
  <c r="F6" i="1"/>
  <c r="K2" i="6"/>
  <c r="G6" i="1"/>
  <c r="L2" i="6"/>
  <c r="H6" i="1"/>
  <c r="A6" i="1"/>
  <c r="B5" i="1"/>
  <c r="C5" i="1"/>
  <c r="B13" i="1"/>
  <c r="C13" i="1"/>
  <c r="D13" i="1"/>
  <c r="D5" i="1"/>
  <c r="I2" i="5"/>
  <c r="E5" i="1"/>
  <c r="J2" i="5"/>
  <c r="F5" i="1"/>
  <c r="E20" i="5"/>
  <c r="E24" i="5"/>
  <c r="G5" i="1"/>
  <c r="H5" i="1"/>
  <c r="A5" i="1"/>
  <c r="B4" i="1"/>
  <c r="C4" i="1"/>
  <c r="B12" i="1"/>
  <c r="C12" i="1"/>
  <c r="D12" i="1"/>
  <c r="D4" i="1"/>
  <c r="I2" i="4"/>
  <c r="E4" i="1"/>
  <c r="J2" i="4"/>
  <c r="F4" i="1"/>
  <c r="G4" i="1"/>
  <c r="L2" i="4"/>
  <c r="H4" i="1"/>
  <c r="A4" i="1"/>
  <c r="I16" i="3"/>
  <c r="C13" i="3"/>
  <c r="E12" i="3" a="1"/>
  <c r="E13" i="3"/>
  <c r="J16" i="3"/>
  <c r="K16" i="3"/>
  <c r="I17" i="3"/>
  <c r="K17" i="3"/>
  <c r="K18" i="3"/>
  <c r="K19" i="3"/>
  <c r="K20" i="3"/>
  <c r="K2" i="3"/>
  <c r="G3" i="1"/>
  <c r="L2" i="3"/>
  <c r="H3" i="1"/>
  <c r="I2" i="3"/>
  <c r="E3" i="1"/>
  <c r="J2" i="3"/>
  <c r="F3" i="1"/>
  <c r="B3" i="1"/>
  <c r="C3" i="1"/>
  <c r="B11" i="1"/>
  <c r="C11" i="1"/>
  <c r="D11" i="1"/>
  <c r="D3" i="1"/>
  <c r="E26" i="7"/>
  <c r="E18" i="4"/>
  <c r="B17" i="3"/>
  <c r="E17" i="3" a="1"/>
  <c r="E17" i="3"/>
  <c r="J17" i="3"/>
  <c r="E21" i="7"/>
  <c r="E16" i="7"/>
  <c r="E35" i="6"/>
  <c r="E30" i="6"/>
  <c r="E26" i="6"/>
  <c r="E20" i="6"/>
  <c r="E15" i="6"/>
  <c r="E29" i="5"/>
  <c r="E14" i="5"/>
  <c r="E24" i="4"/>
  <c r="E13" i="4"/>
  <c r="G8" i="4"/>
  <c r="G7" i="4"/>
  <c r="E7" i="4"/>
  <c r="F7" i="4"/>
  <c r="E18" i="3"/>
  <c r="E12" i="3"/>
  <c r="G8" i="3"/>
  <c r="B8" i="3"/>
  <c r="C8" i="3"/>
  <c r="F8" i="3"/>
  <c r="E7" i="3"/>
  <c r="C7" i="3"/>
  <c r="F7" i="3"/>
  <c r="G7" i="3"/>
  <c r="B18" i="2"/>
  <c r="F18" i="2"/>
  <c r="E17" i="2"/>
  <c r="B17" i="2"/>
  <c r="F17" i="2"/>
  <c r="E16" i="2"/>
  <c r="F16" i="2"/>
  <c r="E15" i="2"/>
  <c r="F15" i="2"/>
  <c r="E14" i="2"/>
  <c r="F14" i="2"/>
  <c r="F10" i="2"/>
  <c r="E9" i="2"/>
  <c r="B9" i="2"/>
  <c r="F9" i="2"/>
  <c r="E8" i="2"/>
  <c r="B8" i="2"/>
  <c r="F8" i="2"/>
  <c r="E7" i="2"/>
  <c r="F7" i="2"/>
  <c r="E6" i="2"/>
  <c r="F6" i="2"/>
</calcChain>
</file>

<file path=xl/sharedStrings.xml><?xml version="1.0" encoding="utf-8"?>
<sst xmlns="http://schemas.openxmlformats.org/spreadsheetml/2006/main" count="546" uniqueCount="170">
  <si>
    <t>Design Functional Description</t>
  </si>
  <si>
    <t>Path Logical Effort - G</t>
  </si>
  <si>
    <t>Path Parasitic Delay - P</t>
  </si>
  <si>
    <t>Path Delay - D</t>
  </si>
  <si>
    <t>Area in Lambda - Al</t>
  </si>
  <si>
    <t>Area in Microns - Am</t>
  </si>
  <si>
    <t>Dynamic Power Dissipation - Pd</t>
  </si>
  <si>
    <t>Power Delay Product - PD</t>
  </si>
  <si>
    <t>Width - um</t>
  </si>
  <si>
    <t>Word Line Width - Tracks</t>
  </si>
  <si>
    <t>Word Line Height - Tracks</t>
  </si>
  <si>
    <t>Lambda</t>
  </si>
  <si>
    <t>Word Lines</t>
  </si>
  <si>
    <t>Height - um</t>
  </si>
  <si>
    <t>INV-NAND5</t>
  </si>
  <si>
    <t>INV-INV-NAND5</t>
  </si>
  <si>
    <t>Stage</t>
  </si>
  <si>
    <t>1. INV</t>
  </si>
  <si>
    <t>2. NAND5</t>
  </si>
  <si>
    <t>g</t>
  </si>
  <si>
    <t>F</t>
  </si>
  <si>
    <t>B</t>
  </si>
  <si>
    <t>H</t>
  </si>
  <si>
    <t>f^</t>
  </si>
  <si>
    <t>Df</t>
  </si>
  <si>
    <t>Cout</t>
  </si>
  <si>
    <t>Cin</t>
  </si>
  <si>
    <t>Branching of Cout</t>
  </si>
  <si>
    <t>2. INV</t>
  </si>
  <si>
    <t>3. NAND5</t>
  </si>
  <si>
    <t>3. INV</t>
  </si>
  <si>
    <t>4. NAND2</t>
  </si>
  <si>
    <t>5. INV</t>
  </si>
  <si>
    <t>3. NAND3</t>
  </si>
  <si>
    <t>Optimizing 5-Stage</t>
  </si>
  <si>
    <t>INV-INV-NAND3-NAND2-INV</t>
  </si>
  <si>
    <t>INV-INV-INV-NAND3-NAND2</t>
  </si>
  <si>
    <t>4. NAND3</t>
  </si>
  <si>
    <t>5. NAND2</t>
  </si>
  <si>
    <t>INV-INV-NAND3-NAND2</t>
  </si>
  <si>
    <t>Scrap</t>
  </si>
  <si>
    <t>P/N Ratio</t>
  </si>
  <si>
    <t>p</t>
  </si>
  <si>
    <t>n</t>
  </si>
  <si>
    <t>p constant</t>
  </si>
  <si>
    <t>constant</t>
  </si>
  <si>
    <t>n constant</t>
  </si>
  <si>
    <t>2 Stage Design</t>
  </si>
  <si>
    <t>1. INV Size</t>
  </si>
  <si>
    <t>2.NAND5 Size</t>
  </si>
  <si>
    <t>3-stage</t>
  </si>
  <si>
    <t>4-stage</t>
  </si>
  <si>
    <t>5-stage</t>
  </si>
  <si>
    <t>6-stage</t>
  </si>
  <si>
    <t>INV-INV-INV-NAND3-NAND2-INV</t>
  </si>
  <si>
    <t>D</t>
  </si>
  <si>
    <t>G</t>
  </si>
  <si>
    <t>P</t>
  </si>
  <si>
    <t>Stick Diagrams</t>
  </si>
  <si>
    <t>NAND5</t>
  </si>
  <si>
    <t>H - tracks</t>
  </si>
  <si>
    <t>W - tracks</t>
  </si>
  <si>
    <t>INV</t>
  </si>
  <si>
    <t>Brief Description: 10 inverters at the top left corner, stacked NAND5s on the right</t>
  </si>
  <si>
    <t>Total W - tracks</t>
  </si>
  <si>
    <t>Total H - tracks</t>
  </si>
  <si>
    <t>Lambda per track</t>
  </si>
  <si>
    <t>Total Area - lambda</t>
  </si>
  <si>
    <t>Total Area - um</t>
  </si>
  <si>
    <t>INV-INV</t>
  </si>
  <si>
    <t>Brief Description: 10 sets of stacked inverters at the top left corner, stacked NAND5s on the right</t>
  </si>
  <si>
    <t>Brief Description: 10 sets of stacked inverters at the top left corner, stacked NAND3-NAND2-INVs on the right</t>
  </si>
  <si>
    <t>INV-INV-INV</t>
  </si>
  <si>
    <t>Power</t>
  </si>
  <si>
    <t>INV out node</t>
  </si>
  <si>
    <t>Node</t>
  </si>
  <si>
    <t>Unit Cap</t>
  </si>
  <si>
    <t>Activity Factor (α)</t>
  </si>
  <si>
    <t>frequency (f)</t>
  </si>
  <si>
    <t>Vdd</t>
  </si>
  <si>
    <t>Pswitching (W)</t>
  </si>
  <si>
    <t>Shot Circuit Power</t>
  </si>
  <si>
    <t>Total</t>
  </si>
  <si>
    <t>Branchout</t>
  </si>
  <si>
    <t>Total Per wordline</t>
  </si>
  <si>
    <t>Pd</t>
  </si>
  <si>
    <t>PD</t>
  </si>
  <si>
    <t>Am</t>
  </si>
  <si>
    <t>Al</t>
  </si>
  <si>
    <t>P/N multiplier</t>
  </si>
  <si>
    <t>Wordlines</t>
  </si>
  <si>
    <t>NAND5 out node</t>
  </si>
  <si>
    <t>1. INV   2/1</t>
  </si>
  <si>
    <t>2. INV   2/1</t>
  </si>
  <si>
    <t>3. NAND5  2/5</t>
  </si>
  <si>
    <t>NAND3 out</t>
  </si>
  <si>
    <t>NAND2 out</t>
  </si>
  <si>
    <t>Total Sw</t>
  </si>
  <si>
    <t>Total + scp</t>
  </si>
  <si>
    <t>Shot Circuit Power (scp)</t>
  </si>
  <si>
    <t>INV-NAND3-INV-NAND2</t>
  </si>
  <si>
    <t>2. NAND3</t>
  </si>
  <si>
    <t>NAND3-INV-NAND2</t>
  </si>
  <si>
    <t>Brief Description: 10 inverters at the top left corner, stacked NAND3-INV-NAND2s on the right</t>
  </si>
  <si>
    <t>4. INV</t>
  </si>
  <si>
    <t>6. NAND2</t>
  </si>
  <si>
    <t>INV-INV-NAND3-INV-NAND2</t>
  </si>
  <si>
    <t>INV-INV-INV-NAND3-INV-NAND2</t>
  </si>
  <si>
    <t>Path Delay - (seconds)</t>
  </si>
  <si>
    <t>Path delay (seconds)</t>
  </si>
  <si>
    <t>tau</t>
  </si>
  <si>
    <t>R</t>
  </si>
  <si>
    <t>C</t>
  </si>
  <si>
    <t>736ps</t>
  </si>
  <si>
    <t>Path Delay (seconds)</t>
  </si>
  <si>
    <t>763ps</t>
  </si>
  <si>
    <t>942ps</t>
  </si>
  <si>
    <t>1660ps</t>
  </si>
  <si>
    <t>746ps</t>
  </si>
  <si>
    <t>1.45 ns</t>
  </si>
  <si>
    <t>assuming 1fF/um</t>
  </si>
  <si>
    <t>pa&lt;0&gt;</t>
  </si>
  <si>
    <t>pa&lt;1&gt;</t>
  </si>
  <si>
    <t>pa&lt;2&gt;</t>
  </si>
  <si>
    <t>pa&lt;3&gt;</t>
  </si>
  <si>
    <t>pa&lt;4&gt;</t>
  </si>
  <si>
    <t>pab&lt;0&gt;</t>
  </si>
  <si>
    <t>pab&lt;1&gt;</t>
  </si>
  <si>
    <t>pab&lt;2&gt;</t>
  </si>
  <si>
    <t>pab&lt;3&gt;</t>
  </si>
  <si>
    <t>pab&lt;4&gt;</t>
  </si>
  <si>
    <t>Assuming unit capacitance is 1fF</t>
  </si>
  <si>
    <t>Supply power</t>
  </si>
  <si>
    <t>Address</t>
  </si>
  <si>
    <t>Average</t>
  </si>
  <si>
    <t>uW</t>
  </si>
  <si>
    <t>Avg Static Power consumption over each address</t>
  </si>
  <si>
    <t>Total Avg Power</t>
  </si>
  <si>
    <t>Calculated Switching power</t>
  </si>
  <si>
    <t>Simulated Total Power</t>
  </si>
  <si>
    <t>Simulated Static Power</t>
  </si>
  <si>
    <t>Estimated Switching Power from Simulation</t>
  </si>
  <si>
    <t>Theories on differences</t>
  </si>
  <si>
    <t>Calculation assumed two NAND3 gates on the third stage, whereas practicaly, the third stage had a NAND3+NAND2</t>
  </si>
  <si>
    <t>NAND3 consumes more power than NAND2, that's why the predicted power consumption is more than the actual power consumption</t>
  </si>
  <si>
    <t>Schematic Simulation</t>
  </si>
  <si>
    <t>Extracted Simulation</t>
  </si>
  <si>
    <t>Delay From Plot</t>
  </si>
  <si>
    <t>1.07 ns</t>
  </si>
  <si>
    <t>Wordline 16</t>
  </si>
  <si>
    <t>Wordline 31</t>
  </si>
  <si>
    <t>1.46ns</t>
  </si>
  <si>
    <t>Average Power</t>
  </si>
  <si>
    <t>Avg Static Power consumption rolling address</t>
  </si>
  <si>
    <t>10.89 uW</t>
  </si>
  <si>
    <t>Dynamic Power Dissipation</t>
  </si>
  <si>
    <t>Part 2 Results</t>
  </si>
  <si>
    <t>2.2 Circuit Delay</t>
  </si>
  <si>
    <t>2.3 Total Power Dissipation</t>
  </si>
  <si>
    <t>2.4 Static Power Dissipation</t>
  </si>
  <si>
    <t>2.5 Dynamic Power Dissipation</t>
  </si>
  <si>
    <t>1.45us</t>
  </si>
  <si>
    <t>1.05mW</t>
  </si>
  <si>
    <t>6.78nW</t>
  </si>
  <si>
    <t>Part 3 Results</t>
  </si>
  <si>
    <t>1.07us</t>
  </si>
  <si>
    <t>635uW</t>
  </si>
  <si>
    <t>3.64nW</t>
  </si>
  <si>
    <t>Summary (Part 1.4)</t>
  </si>
  <si>
    <t>Part 3.3 (Summary Part 2 and Part 3 Simulation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</si>
</sst>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3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5" borderId="0" xfId="0" applyFill="1"/>
    <xf numFmtId="0" fontId="0" fillId="2" borderId="0" xfId="0" applyNumberFormat="1" applyFill="1"/>
    <xf numFmtId="0" fontId="0" fillId="0" borderId="0" xfId="0" applyNumberFormat="1"/>
    <xf numFmtId="0" fontId="0" fillId="6" borderId="0" xfId="0" applyFill="1"/>
    <xf numFmtId="2" fontId="1" fillId="6" borderId="0" xfId="1" applyNumberFormat="1" applyFill="1"/>
    <xf numFmtId="0" fontId="0" fillId="6" borderId="0" xfId="0" applyNumberFormat="1" applyFill="1"/>
    <xf numFmtId="11" fontId="0" fillId="0" borderId="0" xfId="0" applyNumberFormat="1"/>
    <xf numFmtId="11" fontId="0" fillId="3" borderId="0" xfId="0" applyNumberFormat="1" applyFill="1"/>
    <xf numFmtId="2" fontId="0" fillId="7" borderId="0" xfId="0" applyNumberFormat="1" applyFill="1"/>
    <xf numFmtId="0" fontId="0" fillId="7" borderId="0" xfId="0" applyFill="1"/>
    <xf numFmtId="9" fontId="0" fillId="3" borderId="0" xfId="0" applyNumberFormat="1" applyFill="1"/>
    <xf numFmtId="11" fontId="0" fillId="7" borderId="0" xfId="0" applyNumberFormat="1" applyFill="1"/>
    <xf numFmtId="11" fontId="0" fillId="0" borderId="0" xfId="0" applyNumberFormat="1" applyFill="1"/>
    <xf numFmtId="11" fontId="0" fillId="2" borderId="0" xfId="0" applyNumberFormat="1" applyFill="1"/>
    <xf numFmtId="9" fontId="0" fillId="7" borderId="0" xfId="0" applyNumberFormat="1" applyFill="1"/>
    <xf numFmtId="16" fontId="0" fillId="0" borderId="0" xfId="0" applyNumberFormat="1"/>
    <xf numFmtId="2" fontId="4" fillId="5" borderId="0" xfId="0" applyNumberFormat="1" applyFont="1" applyFill="1"/>
    <xf numFmtId="2" fontId="2" fillId="5" borderId="0" xfId="0" applyNumberFormat="1" applyFont="1" applyFill="1"/>
    <xf numFmtId="0" fontId="3" fillId="5" borderId="0" xfId="0" applyFont="1" applyFill="1"/>
    <xf numFmtId="2" fontId="0" fillId="5" borderId="0" xfId="0" applyNumberFormat="1" applyFill="1"/>
    <xf numFmtId="11" fontId="0" fillId="5" borderId="0" xfId="0" applyNumberFormat="1" applyFill="1"/>
    <xf numFmtId="0" fontId="0" fillId="8" borderId="0" xfId="0" applyFill="1"/>
    <xf numFmtId="0" fontId="0" fillId="5" borderId="0" xfId="0" applyNumberFormat="1" applyFill="1"/>
    <xf numFmtId="0" fontId="0" fillId="9" borderId="0" xfId="0" applyFill="1"/>
    <xf numFmtId="2" fontId="0" fillId="9" borderId="0" xfId="0" applyNumberFormat="1" applyFill="1"/>
    <xf numFmtId="0" fontId="0" fillId="9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25" zoomScaleNormal="150" zoomScalePageLayoutView="150" workbookViewId="0">
      <selection activeCell="F24" sqref="F24"/>
    </sheetView>
  </sheetViews>
  <sheetFormatPr baseColWidth="10" defaultRowHeight="16" x14ac:dyDescent="0.2"/>
  <cols>
    <col min="1" max="1" width="27.83203125" bestFit="1" customWidth="1"/>
    <col min="2" max="2" width="18.6640625" style="3" bestFit="1" customWidth="1"/>
    <col min="3" max="3" width="19.6640625" style="3" bestFit="1" customWidth="1"/>
    <col min="4" max="4" width="12.5" style="3" bestFit="1" customWidth="1"/>
    <col min="5" max="5" width="20.1640625" style="3" customWidth="1"/>
    <col min="6" max="6" width="18.1640625" style="3" bestFit="1" customWidth="1"/>
    <col min="7" max="7" width="26.83203125" style="3" bestFit="1" customWidth="1"/>
    <col min="8" max="8" width="22" style="10" bestFit="1" customWidth="1"/>
    <col min="9" max="9" width="18.1640625" style="10" bestFit="1" customWidth="1"/>
    <col min="10" max="10" width="26.83203125" style="3" bestFit="1" customWidth="1"/>
    <col min="11" max="11" width="22" style="3" bestFit="1" customWidth="1"/>
  </cols>
  <sheetData>
    <row r="1" spans="1:11" x14ac:dyDescent="0.2">
      <c r="A1" s="31" t="s">
        <v>168</v>
      </c>
      <c r="B1" s="32"/>
      <c r="C1" s="32"/>
      <c r="D1" s="32"/>
      <c r="E1" s="32"/>
      <c r="F1" s="32"/>
      <c r="G1" s="32"/>
      <c r="H1" s="33"/>
    </row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  <c r="E2" s="9" t="s">
        <v>4</v>
      </c>
      <c r="F2" s="9" t="s">
        <v>5</v>
      </c>
      <c r="G2" s="2" t="s">
        <v>6</v>
      </c>
      <c r="H2" s="2" t="s">
        <v>7</v>
      </c>
      <c r="I2"/>
      <c r="J2"/>
      <c r="K2"/>
    </row>
    <row r="3" spans="1:11" x14ac:dyDescent="0.2">
      <c r="A3" t="str">
        <f>'2-stage'!A2</f>
        <v>INV-NAND5</v>
      </c>
      <c r="B3" s="3">
        <f>'2-stage'!B2</f>
        <v>2.3333300000000001</v>
      </c>
      <c r="C3">
        <f>'2-stage'!C2</f>
        <v>6</v>
      </c>
      <c r="D3" s="3">
        <f>'2-stage'!G2</f>
        <v>59.546203450851678</v>
      </c>
      <c r="E3" s="24">
        <f>'2-stage'!I2</f>
        <v>60944</v>
      </c>
      <c r="F3" s="24">
        <f>'2-stage'!J2</f>
        <v>12188.800000000001</v>
      </c>
      <c r="G3" s="26">
        <f>'2-stage'!K2</f>
        <v>2.2629129599999997E-4</v>
      </c>
      <c r="H3">
        <f>'2-stage'!L2</f>
        <v>1.3474787550772896E-2</v>
      </c>
      <c r="I3"/>
      <c r="J3"/>
      <c r="K3"/>
    </row>
    <row r="4" spans="1:11" x14ac:dyDescent="0.2">
      <c r="A4" t="str">
        <f>'3-stage'!A2</f>
        <v>INV-INV-NAND5</v>
      </c>
      <c r="B4" s="3">
        <f>'3-stage'!B2</f>
        <v>2.3333300000000001</v>
      </c>
      <c r="C4">
        <f>'3-stage'!C2</f>
        <v>7</v>
      </c>
      <c r="D4" s="3">
        <f>'3-stage'!G2</f>
        <v>33.848521824930955</v>
      </c>
      <c r="E4" s="3">
        <f>'3-stage'!I2</f>
        <v>133056</v>
      </c>
      <c r="F4" s="3">
        <f>'3-stage'!J2</f>
        <v>26611.200000000001</v>
      </c>
      <c r="G4">
        <f>'3-stage'!K2</f>
        <v>1.8899968237096226E-3</v>
      </c>
      <c r="H4">
        <f>'3-stage'!L2</f>
        <v>6.3973598736385348E-2</v>
      </c>
      <c r="I4"/>
      <c r="J4"/>
      <c r="K4"/>
    </row>
    <row r="5" spans="1:11" x14ac:dyDescent="0.2">
      <c r="A5" t="str">
        <f>'4-stage'!A2</f>
        <v>INV-NAND3-INV-NAND2</v>
      </c>
      <c r="B5" s="3">
        <f>'4-stage'!B2</f>
        <v>2.2222222222222223</v>
      </c>
      <c r="C5">
        <f>'4-stage'!C2</f>
        <v>7</v>
      </c>
      <c r="D5" s="3">
        <f>'4-stage'!G2</f>
        <v>27.446179335880718</v>
      </c>
      <c r="E5" s="3">
        <f>'4-stage'!I2</f>
        <v>79696</v>
      </c>
      <c r="F5" s="3">
        <f>'4-stage'!J2</f>
        <v>15939.2</v>
      </c>
      <c r="G5">
        <f>'4-stage'!K2</f>
        <v>9.7252617918345793E-4</v>
      </c>
      <c r="H5">
        <f>'4-stage'!L2</f>
        <v>2.6692127922708052E-2</v>
      </c>
      <c r="I5"/>
      <c r="J5"/>
      <c r="K5"/>
    </row>
    <row r="6" spans="1:11" x14ac:dyDescent="0.2">
      <c r="A6" t="str">
        <f>'5-stage'!A2</f>
        <v>INV-INV-NAND3-INV-NAND2</v>
      </c>
      <c r="B6" s="3">
        <f>'5-stage'!B2</f>
        <v>2.2222222222222223</v>
      </c>
      <c r="C6">
        <f>'5-stage'!C2</f>
        <v>8</v>
      </c>
      <c r="D6" s="25">
        <f>'5-stage'!G2</f>
        <v>26.442158229634554</v>
      </c>
      <c r="E6" s="3">
        <f>'5-stage'!I2</f>
        <v>152064</v>
      </c>
      <c r="F6" s="3">
        <f>'5-stage'!J2</f>
        <v>30412.800000000003</v>
      </c>
      <c r="G6">
        <f>'5-stage'!K2</f>
        <v>1.7391923242140864E-3</v>
      </c>
      <c r="H6">
        <f>'5-stage'!L2</f>
        <v>4.5987998628634751E-2</v>
      </c>
      <c r="I6"/>
      <c r="J6"/>
      <c r="K6"/>
    </row>
    <row r="7" spans="1:11" x14ac:dyDescent="0.2">
      <c r="A7" t="str">
        <f>'6-stage'!A2</f>
        <v>INV-INV-INV-NAND3-INV-NAND2</v>
      </c>
      <c r="B7" s="3">
        <f>'6-stage'!B2</f>
        <v>2.2222222222222223</v>
      </c>
      <c r="C7">
        <f>'6-stage'!C2</f>
        <v>9</v>
      </c>
      <c r="D7" s="3">
        <f>'6-stage'!G2</f>
        <v>26.804073014169653</v>
      </c>
      <c r="E7" s="3">
        <f>'6-stage'!I2</f>
        <v>154112</v>
      </c>
      <c r="F7" s="3">
        <f>'6-stage'!J2</f>
        <v>30822.400000000001</v>
      </c>
      <c r="G7">
        <f>'6-stage'!K2</f>
        <v>2.637234399074229E-3</v>
      </c>
      <c r="H7">
        <f>'6-stage'!L2</f>
        <v>7.0688623388265467E-2</v>
      </c>
      <c r="I7"/>
      <c r="J7"/>
      <c r="K7"/>
    </row>
    <row r="10" spans="1:11" x14ac:dyDescent="0.2">
      <c r="A10" s="1" t="s">
        <v>0</v>
      </c>
      <c r="B10" s="2" t="s">
        <v>20</v>
      </c>
      <c r="C10" s="2" t="s">
        <v>23</v>
      </c>
      <c r="D10" s="2" t="s">
        <v>24</v>
      </c>
      <c r="E10" s="21" t="s">
        <v>108</v>
      </c>
    </row>
    <row r="11" spans="1:11" x14ac:dyDescent="0.2">
      <c r="A11" t="str">
        <f>'2-stage'!A2</f>
        <v>INV-NAND5</v>
      </c>
      <c r="B11" s="3">
        <f>'2-stage'!D2</f>
        <v>716.79897600000004</v>
      </c>
      <c r="C11" s="3">
        <f>'2-stage'!E2</f>
        <v>26.773101725425839</v>
      </c>
      <c r="D11" s="3">
        <f>'2-stage'!F2</f>
        <v>53.546203450851678</v>
      </c>
      <c r="E11" s="14">
        <f>'2-stage'!H2</f>
        <v>1.6563371951888903E-9</v>
      </c>
      <c r="F11" s="3" t="s">
        <v>117</v>
      </c>
      <c r="G11" s="14"/>
    </row>
    <row r="12" spans="1:11" x14ac:dyDescent="0.2">
      <c r="A12" t="str">
        <f>'3-stage'!A2</f>
        <v>INV-INV-NAND5</v>
      </c>
      <c r="B12" s="3">
        <f>'3-stage'!D2</f>
        <v>716.79897600000004</v>
      </c>
      <c r="C12" s="3">
        <f>'3-stage'!E2</f>
        <v>8.9495072749769857</v>
      </c>
      <c r="D12" s="3">
        <f>'3-stage'!F2</f>
        <v>26.848521824930955</v>
      </c>
      <c r="E12" s="14">
        <f>'3-stage'!H2</f>
        <v>9.4153048308227951E-10</v>
      </c>
      <c r="F12" s="3" t="s">
        <v>116</v>
      </c>
      <c r="G12" s="14"/>
    </row>
    <row r="13" spans="1:11" x14ac:dyDescent="0.2">
      <c r="A13" t="str">
        <f>'4-stage'!A2</f>
        <v>INV-NAND3-INV-NAND2</v>
      </c>
      <c r="B13" s="3">
        <f>'4-stage'!D2</f>
        <v>682.66666666666663</v>
      </c>
      <c r="C13" s="3">
        <f>'4-stage'!E2</f>
        <v>5.1115448339701794</v>
      </c>
      <c r="D13" s="3">
        <f>'4-stage'!F2</f>
        <v>20.446179335880718</v>
      </c>
      <c r="E13" s="14">
        <f>'4-stage'!H2</f>
        <v>7.6344292440685805E-10</v>
      </c>
      <c r="F13" s="3" t="s">
        <v>115</v>
      </c>
      <c r="G13" s="14"/>
    </row>
    <row r="14" spans="1:11" x14ac:dyDescent="0.2">
      <c r="A14" t="str">
        <f>'5-stage'!A2</f>
        <v>INV-INV-NAND3-INV-NAND2</v>
      </c>
      <c r="B14" s="3">
        <f>'5-stage'!D2</f>
        <v>682.66666666666663</v>
      </c>
      <c r="C14" s="3">
        <f>'5-stage'!E2</f>
        <v>3.6884316459269111</v>
      </c>
      <c r="D14" s="3">
        <f>'5-stage'!F2</f>
        <v>18.442158229634554</v>
      </c>
      <c r="E14" s="14">
        <f>'5-stage'!H2</f>
        <v>7.3551507331551476E-10</v>
      </c>
      <c r="F14" s="27" t="s">
        <v>113</v>
      </c>
      <c r="G14" s="14"/>
    </row>
    <row r="15" spans="1:11" x14ac:dyDescent="0.2">
      <c r="A15" t="str">
        <f>'6-stage'!A2</f>
        <v>INV-INV-INV-NAND3-INV-NAND2</v>
      </c>
      <c r="B15" s="3">
        <f>'6-stage'!D2</f>
        <v>682.66666666666663</v>
      </c>
      <c r="C15" s="3">
        <f>'6-stage'!E2</f>
        <v>2.9673455023616087</v>
      </c>
      <c r="D15" s="3">
        <f>'6-stage'!F2</f>
        <v>17.804073014169653</v>
      </c>
      <c r="E15" s="14">
        <f>'6-stage'!H2</f>
        <v>7.455820949621431E-10</v>
      </c>
      <c r="F15" s="3" t="s">
        <v>118</v>
      </c>
      <c r="G15" s="14"/>
    </row>
    <row r="17" spans="1:8" x14ac:dyDescent="0.2">
      <c r="F17" s="14"/>
      <c r="G17" s="14"/>
      <c r="H17" s="14"/>
    </row>
    <row r="18" spans="1:8" x14ac:dyDescent="0.2">
      <c r="A18" s="31" t="s">
        <v>169</v>
      </c>
      <c r="B18" s="32"/>
      <c r="C18" s="32"/>
      <c r="D18" s="32"/>
      <c r="E18" s="32"/>
      <c r="F18" s="14"/>
      <c r="G18" s="14"/>
      <c r="H18" s="14"/>
    </row>
    <row r="19" spans="1:8" x14ac:dyDescent="0.2">
      <c r="A19" s="21"/>
      <c r="B19" s="21" t="s">
        <v>156</v>
      </c>
      <c r="C19" s="21"/>
      <c r="D19" s="21" t="s">
        <v>164</v>
      </c>
      <c r="E19" s="21"/>
      <c r="F19" s="14"/>
      <c r="G19" s="14"/>
      <c r="H19" s="14"/>
    </row>
    <row r="20" spans="1:8" x14ac:dyDescent="0.2">
      <c r="A20" s="21" t="s">
        <v>157</v>
      </c>
      <c r="B20" s="14">
        <f>'5-stage'!B83</f>
        <v>1.4545999999999724E-9</v>
      </c>
      <c r="C20" s="14" t="s">
        <v>161</v>
      </c>
      <c r="D20" s="14">
        <f>'5-stage'!I48</f>
        <v>1.0659999999997893E-9</v>
      </c>
      <c r="E20" s="14" t="s">
        <v>165</v>
      </c>
      <c r="F20" s="14"/>
      <c r="G20" s="14"/>
      <c r="H20" s="14"/>
    </row>
    <row r="21" spans="1:8" x14ac:dyDescent="0.2">
      <c r="A21" s="21" t="s">
        <v>158</v>
      </c>
      <c r="B21" s="14">
        <f>'5-stage'!B60</f>
        <v>1.05290809E-3</v>
      </c>
      <c r="C21" s="14" t="s">
        <v>162</v>
      </c>
      <c r="D21" s="14">
        <f>'5-stage'!H53</f>
        <v>6.3500000000000004E-4</v>
      </c>
      <c r="E21" s="14" t="s">
        <v>166</v>
      </c>
      <c r="F21" s="14"/>
      <c r="G21" s="14"/>
      <c r="H21" s="14"/>
    </row>
    <row r="22" spans="1:8" x14ac:dyDescent="0.2">
      <c r="A22" s="21" t="s">
        <v>159</v>
      </c>
      <c r="B22" s="14">
        <f>'5-stage'!E81</f>
        <v>6.77546875E-9</v>
      </c>
      <c r="C22" s="14" t="s">
        <v>163</v>
      </c>
      <c r="D22" s="14">
        <f>'5-stage'!J53</f>
        <v>3.642E-9</v>
      </c>
      <c r="E22" s="14" t="s">
        <v>167</v>
      </c>
      <c r="F22" s="14"/>
      <c r="G22" s="14"/>
      <c r="H22" s="14"/>
    </row>
    <row r="23" spans="1:8" x14ac:dyDescent="0.2">
      <c r="A23" s="21" t="s">
        <v>160</v>
      </c>
      <c r="B23" s="14">
        <f>B21-B22</f>
        <v>1.05290131453125E-3</v>
      </c>
      <c r="C23" s="3" t="s">
        <v>162</v>
      </c>
      <c r="D23" s="14">
        <f>D21-D22</f>
        <v>6.3499635800000006E-4</v>
      </c>
      <c r="E23" s="14" t="s">
        <v>166</v>
      </c>
      <c r="F23" s="14"/>
      <c r="G23" s="14"/>
      <c r="H23" s="14"/>
    </row>
    <row r="24" spans="1:8" x14ac:dyDescent="0.2">
      <c r="A24" s="14"/>
      <c r="B24" s="14"/>
      <c r="D24" s="14"/>
      <c r="E24" s="14"/>
      <c r="F24" s="14"/>
      <c r="G24" s="14"/>
      <c r="H24" s="14"/>
    </row>
    <row r="25" spans="1:8" x14ac:dyDescent="0.2">
      <c r="A25" s="14"/>
      <c r="B25" s="14"/>
      <c r="C25" s="14"/>
      <c r="D25" s="14"/>
      <c r="E25" s="14"/>
      <c r="F25" s="14"/>
      <c r="G25" s="14"/>
      <c r="H25" s="14"/>
    </row>
    <row r="26" spans="1:8" x14ac:dyDescent="0.2">
      <c r="A26" s="14"/>
      <c r="B26" s="14"/>
      <c r="C26" s="14"/>
      <c r="D26" s="14"/>
      <c r="E26" s="14"/>
      <c r="F26" s="14"/>
      <c r="G26" s="14"/>
      <c r="H26" s="14"/>
    </row>
    <row r="27" spans="1:8" x14ac:dyDescent="0.2">
      <c r="A27" s="14"/>
      <c r="B27" s="14"/>
      <c r="C27" s="14"/>
      <c r="D27" s="14"/>
      <c r="E27" s="14"/>
      <c r="F27" s="14"/>
      <c r="G27" s="14"/>
      <c r="H27" s="14"/>
    </row>
    <row r="28" spans="1:8" x14ac:dyDescent="0.2">
      <c r="A28" s="14"/>
      <c r="B28" s="14"/>
      <c r="C28" s="14"/>
      <c r="D28" s="14"/>
      <c r="E28" s="14"/>
      <c r="F28" s="14"/>
      <c r="G28" s="14"/>
      <c r="H28" s="14"/>
    </row>
    <row r="36" spans="12:13" x14ac:dyDescent="0.2">
      <c r="L36" s="3"/>
      <c r="M36" s="3"/>
    </row>
  </sheetData>
  <phoneticPr fontId="5" type="noConversion"/>
  <pageMargins left="0.25" right="0.25" top="0.75" bottom="0.75" header="0.3" footer="0.3"/>
  <pageSetup scale="62" orientation="landscape" horizontalDpi="0" verticalDpi="0"/>
  <rowBreaks count="1" manualBreakCount="1">
    <brk id="28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25" zoomScaleNormal="150" zoomScalePageLayoutView="150" workbookViewId="0">
      <selection activeCell="G4" sqref="G4"/>
    </sheetView>
  </sheetViews>
  <sheetFormatPr baseColWidth="10" defaultRowHeight="16" x14ac:dyDescent="0.2"/>
  <cols>
    <col min="1" max="1" width="15.6640625" customWidth="1"/>
    <col min="2" max="2" width="9.6640625" bestFit="1" customWidth="1"/>
    <col min="3" max="3" width="8.1640625" bestFit="1" customWidth="1"/>
    <col min="4" max="4" width="17" bestFit="1" customWidth="1"/>
    <col min="5" max="5" width="12.1640625" bestFit="1" customWidth="1"/>
    <col min="7" max="7" width="16.1640625" bestFit="1" customWidth="1"/>
    <col min="8" max="8" width="17.83203125" bestFit="1" customWidth="1"/>
    <col min="9" max="9" width="8.6640625" bestFit="1" customWidth="1"/>
    <col min="10" max="10" width="12.5" style="14" bestFit="1" customWidth="1"/>
    <col min="11" max="11" width="22" style="14" bestFit="1" customWidth="1"/>
  </cols>
  <sheetData>
    <row r="1" spans="1:12" x14ac:dyDescent="0.2">
      <c r="A1" s="31" t="s">
        <v>47</v>
      </c>
      <c r="B1" s="2" t="s">
        <v>56</v>
      </c>
      <c r="C1" s="2" t="s">
        <v>57</v>
      </c>
      <c r="D1" s="2" t="s">
        <v>20</v>
      </c>
      <c r="E1" s="2" t="s">
        <v>23</v>
      </c>
      <c r="F1" s="2" t="s">
        <v>24</v>
      </c>
      <c r="G1" s="2" t="s">
        <v>55</v>
      </c>
      <c r="H1" s="2" t="s">
        <v>109</v>
      </c>
      <c r="I1" s="2" t="s">
        <v>88</v>
      </c>
      <c r="J1" s="2" t="s">
        <v>87</v>
      </c>
      <c r="K1" s="21" t="s">
        <v>85</v>
      </c>
      <c r="L1" s="21" t="s">
        <v>86</v>
      </c>
    </row>
    <row r="2" spans="1:12" x14ac:dyDescent="0.2">
      <c r="A2" t="s">
        <v>14</v>
      </c>
      <c r="B2" s="3">
        <v>2.3333300000000001</v>
      </c>
      <c r="C2" s="3">
        <v>6</v>
      </c>
      <c r="D2" s="3">
        <f>B2*B3*B4</f>
        <v>716.79897600000004</v>
      </c>
      <c r="E2" s="3">
        <f>D2^(1/2)</f>
        <v>26.773101725425839</v>
      </c>
      <c r="F2" s="3">
        <f>E2*2</f>
        <v>53.546203450851678</v>
      </c>
      <c r="G2" s="3">
        <f>F2+C2</f>
        <v>59.546203450851678</v>
      </c>
      <c r="H2" s="14">
        <f>E3*G2</f>
        <v>1.6563371951888903E-9</v>
      </c>
      <c r="I2" s="3">
        <f>E25</f>
        <v>60944</v>
      </c>
      <c r="J2" s="3">
        <f>E26</f>
        <v>12188.800000000001</v>
      </c>
      <c r="K2" s="14">
        <f>K20</f>
        <v>2.2629129599999997E-4</v>
      </c>
      <c r="L2" s="14">
        <f>K2*G2</f>
        <v>1.3474787550772896E-2</v>
      </c>
    </row>
    <row r="3" spans="1:12" x14ac:dyDescent="0.2">
      <c r="A3" s="4" t="s">
        <v>21</v>
      </c>
      <c r="B3" s="5">
        <v>16</v>
      </c>
      <c r="C3" s="6"/>
      <c r="D3" s="5" t="s">
        <v>110</v>
      </c>
      <c r="E3" s="15">
        <f>3*G3*G4</f>
        <v>2.7816000000000002E-11</v>
      </c>
      <c r="F3" s="5" t="s">
        <v>111</v>
      </c>
      <c r="G3" s="5">
        <v>6100</v>
      </c>
      <c r="H3" s="6"/>
      <c r="J3"/>
      <c r="L3" s="14"/>
    </row>
    <row r="4" spans="1:12" x14ac:dyDescent="0.2">
      <c r="A4" s="4" t="s">
        <v>22</v>
      </c>
      <c r="B4" s="5">
        <v>19.2</v>
      </c>
      <c r="F4" s="4" t="s">
        <v>112</v>
      </c>
      <c r="G4" s="15">
        <v>1.52E-15</v>
      </c>
      <c r="H4" s="20"/>
      <c r="J4"/>
      <c r="L4" s="14"/>
    </row>
    <row r="6" spans="1:12" x14ac:dyDescent="0.2">
      <c r="A6" s="1" t="s">
        <v>16</v>
      </c>
      <c r="B6" s="2" t="s">
        <v>19</v>
      </c>
      <c r="C6" s="2" t="s">
        <v>23</v>
      </c>
      <c r="D6" s="2" t="s">
        <v>27</v>
      </c>
      <c r="E6" s="2" t="s">
        <v>25</v>
      </c>
      <c r="F6" s="2" t="s">
        <v>26</v>
      </c>
      <c r="G6" s="2" t="s">
        <v>41</v>
      </c>
    </row>
    <row r="7" spans="1:12" x14ac:dyDescent="0.2">
      <c r="A7" t="s">
        <v>17</v>
      </c>
      <c r="B7" s="3">
        <v>1</v>
      </c>
      <c r="C7" s="3">
        <f>scrap!E21</f>
        <v>26.773101725425839</v>
      </c>
      <c r="D7" s="3">
        <v>16</v>
      </c>
      <c r="E7" s="3">
        <f>F8</f>
        <v>16.733212482980409</v>
      </c>
      <c r="F7" s="3">
        <f>E7*B7*D7/C7</f>
        <v>10.000014285734693</v>
      </c>
      <c r="G7" s="3">
        <f>2/1</f>
        <v>2</v>
      </c>
    </row>
    <row r="8" spans="1:12" x14ac:dyDescent="0.2">
      <c r="A8" t="s">
        <v>18</v>
      </c>
      <c r="B8" s="3">
        <f>7/3</f>
        <v>2.3333333333333335</v>
      </c>
      <c r="C8" s="3">
        <f>scrap!E21</f>
        <v>26.773101725425839</v>
      </c>
      <c r="D8" s="3">
        <v>1</v>
      </c>
      <c r="E8" s="3">
        <v>192</v>
      </c>
      <c r="F8" s="3">
        <f>E8*B8/C8</f>
        <v>16.733212482980409</v>
      </c>
      <c r="G8" s="3">
        <f>2/5</f>
        <v>0.4</v>
      </c>
      <c r="H8" s="3"/>
      <c r="I8" s="3"/>
    </row>
    <row r="9" spans="1:12" x14ac:dyDescent="0.2">
      <c r="H9" s="3"/>
      <c r="I9" s="3"/>
    </row>
    <row r="10" spans="1:12" x14ac:dyDescent="0.2">
      <c r="A10" s="1" t="s">
        <v>48</v>
      </c>
      <c r="G10" s="4" t="s">
        <v>77</v>
      </c>
      <c r="H10" s="4">
        <v>0.1</v>
      </c>
    </row>
    <row r="11" spans="1:12" x14ac:dyDescent="0.2">
      <c r="A11" s="3" t="s">
        <v>44</v>
      </c>
      <c r="B11" s="3" t="s">
        <v>46</v>
      </c>
      <c r="C11" s="3" t="s">
        <v>45</v>
      </c>
      <c r="D11" s="3"/>
      <c r="G11" s="4" t="s">
        <v>78</v>
      </c>
      <c r="H11" s="15">
        <v>10000000</v>
      </c>
    </row>
    <row r="12" spans="1:12" x14ac:dyDescent="0.2">
      <c r="A12" s="3">
        <v>1</v>
      </c>
      <c r="B12" s="3">
        <v>-2</v>
      </c>
      <c r="C12" s="3">
        <v>0</v>
      </c>
      <c r="D12" s="3" t="s">
        <v>42</v>
      </c>
      <c r="E12">
        <f t="array" ref="E12:E13">MMULT(MINVERSE(A12:B13),C12:C13)</f>
        <v>6.6666666666666661</v>
      </c>
      <c r="G12" s="4" t="s">
        <v>79</v>
      </c>
      <c r="H12" s="4">
        <v>3.3</v>
      </c>
    </row>
    <row r="13" spans="1:12" x14ac:dyDescent="0.2">
      <c r="A13" s="3">
        <v>1</v>
      </c>
      <c r="B13" s="3">
        <v>1</v>
      </c>
      <c r="C13" s="3">
        <f>10</f>
        <v>10</v>
      </c>
      <c r="D13" s="3" t="s">
        <v>43</v>
      </c>
      <c r="E13">
        <v>3.333333333333333</v>
      </c>
      <c r="G13" s="4" t="s">
        <v>76</v>
      </c>
      <c r="H13" s="15">
        <v>1.0000000000000001E-15</v>
      </c>
      <c r="L13" s="14"/>
    </row>
    <row r="14" spans="1:12" x14ac:dyDescent="0.2">
      <c r="G14" s="16" t="s">
        <v>73</v>
      </c>
      <c r="I14" s="3"/>
      <c r="L14" s="14"/>
    </row>
    <row r="15" spans="1:12" x14ac:dyDescent="0.2">
      <c r="A15" s="1" t="s">
        <v>49</v>
      </c>
      <c r="G15" s="17" t="s">
        <v>75</v>
      </c>
      <c r="H15" s="17" t="s">
        <v>83</v>
      </c>
      <c r="I15" s="17" t="s">
        <v>76</v>
      </c>
      <c r="J15" s="17" t="s">
        <v>89</v>
      </c>
      <c r="K15" s="19" t="s">
        <v>80</v>
      </c>
      <c r="L15" s="14"/>
    </row>
    <row r="16" spans="1:12" x14ac:dyDescent="0.2">
      <c r="A16" s="3" t="s">
        <v>44</v>
      </c>
      <c r="B16" s="3" t="s">
        <v>46</v>
      </c>
      <c r="C16" s="3" t="s">
        <v>45</v>
      </c>
      <c r="D16" s="3"/>
      <c r="G16" s="3" t="s">
        <v>74</v>
      </c>
      <c r="H16" s="3">
        <v>16</v>
      </c>
      <c r="I16">
        <f>3+7*H16</f>
        <v>115</v>
      </c>
      <c r="J16" s="3">
        <f>E13</f>
        <v>3.333333333333333</v>
      </c>
      <c r="K16" s="14">
        <f>H10*H11*H12^2*I16*H13*J16</f>
        <v>4.1744999999999996E-6</v>
      </c>
      <c r="L16" s="14"/>
    </row>
    <row r="17" spans="1:12" x14ac:dyDescent="0.2">
      <c r="A17" s="3">
        <v>1</v>
      </c>
      <c r="B17" s="3">
        <f>-0.4</f>
        <v>-0.4</v>
      </c>
      <c r="C17" s="3">
        <v>0</v>
      </c>
      <c r="D17" s="3" t="s">
        <v>42</v>
      </c>
      <c r="E17">
        <f t="array" ref="E17:E18">MMULT(MINVERSE(A17:B18),C17:C18)</f>
        <v>4.7800000000000011</v>
      </c>
      <c r="G17" t="s">
        <v>91</v>
      </c>
      <c r="H17">
        <v>1</v>
      </c>
      <c r="I17">
        <f>15+192</f>
        <v>207</v>
      </c>
      <c r="J17" s="3">
        <f>E17/2</f>
        <v>2.3900000000000006</v>
      </c>
      <c r="K17" s="14">
        <f>H10*H11*H12^2*I17*H13</f>
        <v>2.2542299999999995E-6</v>
      </c>
      <c r="L17" s="14"/>
    </row>
    <row r="18" spans="1:12" x14ac:dyDescent="0.2">
      <c r="A18" s="3">
        <v>1</v>
      </c>
      <c r="B18" s="3">
        <v>1</v>
      </c>
      <c r="C18" s="3">
        <v>16.73</v>
      </c>
      <c r="D18" s="3" t="s">
        <v>43</v>
      </c>
      <c r="E18">
        <v>11.950000000000001</v>
      </c>
      <c r="G18" t="s">
        <v>84</v>
      </c>
      <c r="J18"/>
      <c r="K18" s="20">
        <f>SUM(K16:K17)</f>
        <v>6.4287299999999987E-6</v>
      </c>
    </row>
    <row r="19" spans="1:12" x14ac:dyDescent="0.2">
      <c r="G19" s="4" t="s">
        <v>90</v>
      </c>
      <c r="H19" s="4">
        <v>32</v>
      </c>
      <c r="K19" s="14">
        <f>K18*H19</f>
        <v>2.0571935999999996E-4</v>
      </c>
    </row>
    <row r="20" spans="1:12" x14ac:dyDescent="0.2">
      <c r="A20" s="8" t="s">
        <v>58</v>
      </c>
      <c r="G20" s="4" t="s">
        <v>81</v>
      </c>
      <c r="H20" s="4"/>
      <c r="I20" s="18">
        <v>1.1000000000000001</v>
      </c>
      <c r="J20" s="22" t="s">
        <v>82</v>
      </c>
      <c r="K20" s="19">
        <f>K19*I20</f>
        <v>2.2629129599999997E-4</v>
      </c>
    </row>
    <row r="21" spans="1:12" x14ac:dyDescent="0.2">
      <c r="A21" s="8" t="s">
        <v>63</v>
      </c>
    </row>
    <row r="22" spans="1:12" x14ac:dyDescent="0.2">
      <c r="A22" s="7"/>
      <c r="B22" t="s">
        <v>61</v>
      </c>
      <c r="C22" t="s">
        <v>60</v>
      </c>
    </row>
    <row r="23" spans="1:12" x14ac:dyDescent="0.2">
      <c r="A23" t="s">
        <v>59</v>
      </c>
      <c r="B23">
        <v>6</v>
      </c>
      <c r="C23">
        <v>9</v>
      </c>
      <c r="D23" t="s">
        <v>64</v>
      </c>
      <c r="E23">
        <f>10*B24 + B23</f>
        <v>26</v>
      </c>
    </row>
    <row r="24" spans="1:12" x14ac:dyDescent="0.2">
      <c r="A24" t="s">
        <v>62</v>
      </c>
      <c r="B24">
        <v>2</v>
      </c>
      <c r="C24">
        <v>5</v>
      </c>
      <c r="D24" t="s">
        <v>65</v>
      </c>
      <c r="E24">
        <f>C24+32*C23</f>
        <v>293</v>
      </c>
    </row>
    <row r="25" spans="1:12" x14ac:dyDescent="0.2">
      <c r="A25" s="4" t="s">
        <v>11</v>
      </c>
      <c r="B25" s="4">
        <v>0.2</v>
      </c>
      <c r="D25" t="s">
        <v>67</v>
      </c>
      <c r="E25">
        <f>E23*E24*B26</f>
        <v>60944</v>
      </c>
    </row>
    <row r="26" spans="1:12" x14ac:dyDescent="0.2">
      <c r="A26" s="4" t="s">
        <v>66</v>
      </c>
      <c r="B26" s="4">
        <v>8</v>
      </c>
      <c r="D26" t="s">
        <v>68</v>
      </c>
      <c r="E26">
        <f>E25*B25</f>
        <v>12188.800000000001</v>
      </c>
    </row>
  </sheetData>
  <phoneticPr fontId="5" type="noConversion"/>
  <pageMargins left="0.7" right="0.7" top="0.75" bottom="0.75" header="0.3" footer="0.3"/>
  <pageSetup scale="71" orientation="landscape" horizontalDpi="0" verticalDpi="0"/>
  <rowBreaks count="1" manualBreakCount="1">
    <brk id="30" max="16383" man="1"/>
  </rowBreaks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50" zoomScalePageLayoutView="150" workbookViewId="0"/>
  </sheetViews>
  <sheetFormatPr baseColWidth="10" defaultRowHeight="16" x14ac:dyDescent="0.2"/>
  <cols>
    <col min="1" max="1" width="16" customWidth="1"/>
    <col min="2" max="2" width="9.6640625" bestFit="1" customWidth="1"/>
    <col min="4" max="4" width="17" bestFit="1" customWidth="1"/>
    <col min="5" max="5" width="10.83203125" style="3"/>
    <col min="7" max="7" width="16.1640625" bestFit="1" customWidth="1"/>
    <col min="8" max="8" width="18.1640625" bestFit="1" customWidth="1"/>
    <col min="11" max="11" width="13.1640625" bestFit="1" customWidth="1"/>
  </cols>
  <sheetData>
    <row r="1" spans="1:12" x14ac:dyDescent="0.2">
      <c r="A1" s="31" t="s">
        <v>50</v>
      </c>
      <c r="B1" s="2" t="s">
        <v>56</v>
      </c>
      <c r="C1" s="2" t="s">
        <v>57</v>
      </c>
      <c r="D1" s="2" t="s">
        <v>20</v>
      </c>
      <c r="E1" s="2" t="s">
        <v>23</v>
      </c>
      <c r="F1" s="2" t="s">
        <v>24</v>
      </c>
      <c r="G1" s="2" t="s">
        <v>55</v>
      </c>
      <c r="H1" s="2" t="s">
        <v>114</v>
      </c>
      <c r="I1" s="2" t="s">
        <v>88</v>
      </c>
      <c r="J1" s="2" t="s">
        <v>87</v>
      </c>
      <c r="K1" s="21" t="s">
        <v>85</v>
      </c>
      <c r="L1" s="21" t="s">
        <v>86</v>
      </c>
    </row>
    <row r="2" spans="1:12" x14ac:dyDescent="0.2">
      <c r="A2" t="s">
        <v>15</v>
      </c>
      <c r="B2" s="3">
        <v>2.3333300000000001</v>
      </c>
      <c r="C2" s="3">
        <v>7</v>
      </c>
      <c r="D2" s="3">
        <f>B2*B3*B4</f>
        <v>716.79897600000004</v>
      </c>
      <c r="E2" s="3">
        <f>D2^(1/3)</f>
        <v>8.9495072749769857</v>
      </c>
      <c r="F2" s="3">
        <f>E2*3</f>
        <v>26.848521824930955</v>
      </c>
      <c r="G2" s="3">
        <f>F2+C2</f>
        <v>33.848521824930955</v>
      </c>
      <c r="H2" s="14">
        <f>G2*E3</f>
        <v>9.4153048308227951E-10</v>
      </c>
      <c r="I2" s="10">
        <f>E31</f>
        <v>133056</v>
      </c>
      <c r="J2" s="10">
        <f>E32</f>
        <v>26611.200000000001</v>
      </c>
      <c r="K2" s="14">
        <f>K22</f>
        <v>1.8899968237096226E-3</v>
      </c>
      <c r="L2" s="14">
        <f>K2*G2</f>
        <v>6.3973598736385348E-2</v>
      </c>
    </row>
    <row r="3" spans="1:12" x14ac:dyDescent="0.2">
      <c r="A3" s="4" t="s">
        <v>21</v>
      </c>
      <c r="B3" s="5">
        <v>16</v>
      </c>
      <c r="C3" s="3"/>
      <c r="D3" s="5" t="s">
        <v>110</v>
      </c>
      <c r="E3" s="15">
        <f>3*G3*G4</f>
        <v>2.7816000000000002E-11</v>
      </c>
      <c r="F3" s="5" t="s">
        <v>111</v>
      </c>
      <c r="G3" s="5">
        <v>6100</v>
      </c>
    </row>
    <row r="4" spans="1:12" x14ac:dyDescent="0.2">
      <c r="A4" s="4" t="s">
        <v>22</v>
      </c>
      <c r="B4" s="5">
        <v>19.2</v>
      </c>
      <c r="E4"/>
      <c r="F4" s="4" t="s">
        <v>112</v>
      </c>
      <c r="G4" s="15">
        <v>1.52E-15</v>
      </c>
    </row>
    <row r="6" spans="1:12" x14ac:dyDescent="0.2">
      <c r="A6" s="1" t="s">
        <v>16</v>
      </c>
      <c r="B6" s="2" t="s">
        <v>19</v>
      </c>
      <c r="C6" s="2" t="s">
        <v>23</v>
      </c>
      <c r="D6" s="2" t="s">
        <v>27</v>
      </c>
      <c r="E6" s="2" t="s">
        <v>25</v>
      </c>
      <c r="F6" s="2" t="s">
        <v>26</v>
      </c>
      <c r="G6" s="2" t="s">
        <v>41</v>
      </c>
    </row>
    <row r="7" spans="1:12" x14ac:dyDescent="0.2">
      <c r="A7" t="s">
        <v>17</v>
      </c>
      <c r="B7" s="3">
        <v>1</v>
      </c>
      <c r="C7" s="3">
        <v>8.9499999999999993</v>
      </c>
      <c r="D7" s="3">
        <v>1</v>
      </c>
      <c r="E7" s="3">
        <f>F8</f>
        <v>89.485346899285304</v>
      </c>
      <c r="F7" s="3">
        <f>E7*B7*D7/C7</f>
        <v>9.998362782043051</v>
      </c>
      <c r="G7" s="3">
        <f>2/1</f>
        <v>2</v>
      </c>
    </row>
    <row r="8" spans="1:12" x14ac:dyDescent="0.2">
      <c r="A8" t="s">
        <v>28</v>
      </c>
      <c r="B8" s="3">
        <f>1</f>
        <v>1</v>
      </c>
      <c r="C8" s="3">
        <v>8.9499999999999993</v>
      </c>
      <c r="D8" s="3">
        <v>16</v>
      </c>
      <c r="E8" s="3">
        <f>F9</f>
        <v>50.055865921787714</v>
      </c>
      <c r="F8" s="3">
        <f>E8*B8*D8/C8</f>
        <v>89.485346899285304</v>
      </c>
      <c r="G8" s="3">
        <f>2/1</f>
        <v>2</v>
      </c>
    </row>
    <row r="9" spans="1:12" x14ac:dyDescent="0.2">
      <c r="A9" t="s">
        <v>29</v>
      </c>
      <c r="B9" s="3">
        <f>7/3</f>
        <v>2.3333333333333335</v>
      </c>
      <c r="C9" s="3">
        <v>8.9499999999999993</v>
      </c>
      <c r="D9" s="3">
        <v>1</v>
      </c>
      <c r="E9" s="3">
        <v>192</v>
      </c>
      <c r="F9" s="3">
        <f>E9*B9*D9/C9</f>
        <v>50.055865921787714</v>
      </c>
      <c r="G9" s="3">
        <f>2/5</f>
        <v>0.4</v>
      </c>
    </row>
    <row r="11" spans="1:12" x14ac:dyDescent="0.2">
      <c r="A11" s="1" t="s">
        <v>92</v>
      </c>
      <c r="B11" s="23"/>
      <c r="G11" s="4" t="s">
        <v>77</v>
      </c>
      <c r="H11" s="4">
        <v>0.1</v>
      </c>
      <c r="J11" s="14"/>
      <c r="K11" s="14"/>
    </row>
    <row r="12" spans="1:12" x14ac:dyDescent="0.2">
      <c r="A12" s="3" t="s">
        <v>44</v>
      </c>
      <c r="B12" s="3" t="s">
        <v>46</v>
      </c>
      <c r="C12" s="3" t="s">
        <v>45</v>
      </c>
      <c r="D12" s="3"/>
      <c r="G12" s="4" t="s">
        <v>78</v>
      </c>
      <c r="H12" s="15">
        <v>10000000</v>
      </c>
      <c r="J12" s="14"/>
      <c r="K12" s="14"/>
    </row>
    <row r="13" spans="1:12" x14ac:dyDescent="0.2">
      <c r="A13" s="3">
        <v>1</v>
      </c>
      <c r="B13" s="3">
        <v>-2</v>
      </c>
      <c r="C13" s="3">
        <v>0</v>
      </c>
      <c r="D13" s="3" t="s">
        <v>42</v>
      </c>
      <c r="E13" s="3">
        <f t="array" ref="E13:E14">MMULT(MINVERSE(A13:B14),C13:C14)</f>
        <v>6.6666666666666661</v>
      </c>
      <c r="G13" s="4" t="s">
        <v>79</v>
      </c>
      <c r="H13" s="4">
        <v>3.3</v>
      </c>
      <c r="J13" s="14"/>
      <c r="K13" s="14"/>
    </row>
    <row r="14" spans="1:12" x14ac:dyDescent="0.2">
      <c r="A14" s="3">
        <v>1</v>
      </c>
      <c r="B14" s="3">
        <v>1</v>
      </c>
      <c r="C14" s="3">
        <f>10</f>
        <v>10</v>
      </c>
      <c r="D14" s="3" t="s">
        <v>43</v>
      </c>
      <c r="E14" s="3">
        <v>3.333333333333333</v>
      </c>
      <c r="G14" s="4" t="s">
        <v>76</v>
      </c>
      <c r="H14" s="15">
        <v>1.0000000000000001E-15</v>
      </c>
      <c r="J14" s="14"/>
      <c r="K14" s="14"/>
    </row>
    <row r="15" spans="1:12" x14ac:dyDescent="0.2">
      <c r="G15" s="16" t="s">
        <v>73</v>
      </c>
      <c r="I15" s="3"/>
      <c r="J15" s="14"/>
      <c r="K15" s="14"/>
    </row>
    <row r="16" spans="1:12" x14ac:dyDescent="0.2">
      <c r="A16" s="1" t="s">
        <v>93</v>
      </c>
      <c r="B16" s="10"/>
      <c r="G16" s="17" t="s">
        <v>75</v>
      </c>
      <c r="H16" s="17" t="s">
        <v>83</v>
      </c>
      <c r="I16" s="17" t="s">
        <v>76</v>
      </c>
      <c r="J16" s="17" t="s">
        <v>89</v>
      </c>
      <c r="K16" s="19" t="s">
        <v>80</v>
      </c>
    </row>
    <row r="17" spans="1:11" x14ac:dyDescent="0.2">
      <c r="A17" s="3" t="s">
        <v>44</v>
      </c>
      <c r="B17" s="3" t="s">
        <v>46</v>
      </c>
      <c r="C17" s="3" t="s">
        <v>45</v>
      </c>
      <c r="D17" s="3"/>
      <c r="G17" s="7" t="s">
        <v>74</v>
      </c>
      <c r="H17" s="7">
        <v>1</v>
      </c>
      <c r="I17" s="7">
        <f>3+3</f>
        <v>6</v>
      </c>
      <c r="J17" s="6">
        <f>E14</f>
        <v>3.333333333333333</v>
      </c>
      <c r="K17" s="14">
        <f>H11*H12*H13^2*I17*H14*J17</f>
        <v>2.1779999999999995E-7</v>
      </c>
    </row>
    <row r="18" spans="1:11" x14ac:dyDescent="0.2">
      <c r="A18" s="3">
        <v>1</v>
      </c>
      <c r="B18" s="3">
        <v>-2</v>
      </c>
      <c r="C18" s="3">
        <v>0</v>
      </c>
      <c r="D18" s="3" t="s">
        <v>42</v>
      </c>
      <c r="E18" s="3">
        <f t="array" ref="E18:E19">MMULT(MINVERSE(A18:B19),C18:C19)</f>
        <v>59.656897932856864</v>
      </c>
      <c r="G18" s="3" t="s">
        <v>74</v>
      </c>
      <c r="H18" s="3">
        <v>16</v>
      </c>
      <c r="I18">
        <f>3+7*H18</f>
        <v>115</v>
      </c>
      <c r="J18" s="3">
        <f>E19</f>
        <v>29.828448966428432</v>
      </c>
      <c r="K18" s="14">
        <f>H11*H12*H13^2*I18*H14*J18</f>
        <v>3.7355658063106649E-5</v>
      </c>
    </row>
    <row r="19" spans="1:11" x14ac:dyDescent="0.2">
      <c r="A19" s="3">
        <v>1</v>
      </c>
      <c r="B19" s="3">
        <v>1</v>
      </c>
      <c r="C19" s="3">
        <f>F8</f>
        <v>89.485346899285304</v>
      </c>
      <c r="D19" s="3" t="s">
        <v>43</v>
      </c>
      <c r="E19" s="3">
        <v>29.828448966428432</v>
      </c>
      <c r="G19" t="s">
        <v>91</v>
      </c>
      <c r="H19">
        <v>1</v>
      </c>
      <c r="I19">
        <f>15+192</f>
        <v>207</v>
      </c>
      <c r="J19" s="3">
        <f>E23/2</f>
        <v>7.150837988826817</v>
      </c>
      <c r="K19" s="14">
        <f>H11*H12*H13^2*I19*H14*J19</f>
        <v>1.6119633519553073E-5</v>
      </c>
    </row>
    <row r="20" spans="1:11" x14ac:dyDescent="0.2">
      <c r="G20" t="s">
        <v>84</v>
      </c>
      <c r="K20" s="20">
        <f>SUM(K17:K19)</f>
        <v>5.3693091582659725E-5</v>
      </c>
    </row>
    <row r="21" spans="1:11" x14ac:dyDescent="0.2">
      <c r="A21" s="1" t="s">
        <v>94</v>
      </c>
      <c r="B21" s="10"/>
      <c r="G21" s="4" t="s">
        <v>90</v>
      </c>
      <c r="H21" s="4">
        <v>32</v>
      </c>
      <c r="J21" s="14"/>
      <c r="K21" s="14">
        <f>K20*H21</f>
        <v>1.7181789306451112E-3</v>
      </c>
    </row>
    <row r="22" spans="1:11" x14ac:dyDescent="0.2">
      <c r="A22" s="3" t="s">
        <v>44</v>
      </c>
      <c r="B22" s="3" t="s">
        <v>46</v>
      </c>
      <c r="C22" s="3" t="s">
        <v>45</v>
      </c>
      <c r="D22" s="3"/>
      <c r="G22" s="4" t="s">
        <v>81</v>
      </c>
      <c r="H22" s="4"/>
      <c r="I22" s="18">
        <v>1.1000000000000001</v>
      </c>
      <c r="J22" s="22" t="s">
        <v>82</v>
      </c>
      <c r="K22" s="19">
        <f>K21*I22</f>
        <v>1.8899968237096226E-3</v>
      </c>
    </row>
    <row r="23" spans="1:11" x14ac:dyDescent="0.2">
      <c r="A23" s="3">
        <v>1</v>
      </c>
      <c r="B23" s="3">
        <f>-G9</f>
        <v>-0.4</v>
      </c>
      <c r="C23" s="3">
        <v>0</v>
      </c>
      <c r="D23" s="3" t="s">
        <v>42</v>
      </c>
      <c r="E23" s="3">
        <f t="array" ref="E23:E24">MMULT(MINVERSE(A23:B24),C23:C24)</f>
        <v>14.301675977653634</v>
      </c>
    </row>
    <row r="24" spans="1:11" x14ac:dyDescent="0.2">
      <c r="A24" s="3">
        <v>1</v>
      </c>
      <c r="B24" s="3">
        <v>1</v>
      </c>
      <c r="C24" s="3">
        <f>F9</f>
        <v>50.055865921787714</v>
      </c>
      <c r="D24" s="3" t="s">
        <v>43</v>
      </c>
      <c r="E24" s="3">
        <v>35.754189944134083</v>
      </c>
    </row>
    <row r="26" spans="1:11" x14ac:dyDescent="0.2">
      <c r="A26" s="8" t="s">
        <v>58</v>
      </c>
      <c r="E26"/>
    </row>
    <row r="27" spans="1:11" x14ac:dyDescent="0.2">
      <c r="A27" s="8" t="s">
        <v>70</v>
      </c>
      <c r="E27"/>
    </row>
    <row r="28" spans="1:11" x14ac:dyDescent="0.2">
      <c r="A28" s="7"/>
      <c r="B28" t="s">
        <v>61</v>
      </c>
      <c r="C28" t="s">
        <v>60</v>
      </c>
      <c r="E28"/>
    </row>
    <row r="29" spans="1:11" x14ac:dyDescent="0.2">
      <c r="A29" t="s">
        <v>59</v>
      </c>
      <c r="B29">
        <v>6</v>
      </c>
      <c r="C29">
        <v>9</v>
      </c>
      <c r="D29" t="s">
        <v>64</v>
      </c>
      <c r="E29">
        <f>10*B30 + B29</f>
        <v>56</v>
      </c>
    </row>
    <row r="30" spans="1:11" x14ac:dyDescent="0.2">
      <c r="A30" t="s">
        <v>69</v>
      </c>
      <c r="B30">
        <v>5</v>
      </c>
      <c r="C30">
        <v>9</v>
      </c>
      <c r="D30" t="s">
        <v>65</v>
      </c>
      <c r="E30">
        <f>C30+32*C29</f>
        <v>297</v>
      </c>
    </row>
    <row r="31" spans="1:11" x14ac:dyDescent="0.2">
      <c r="A31" s="4" t="s">
        <v>11</v>
      </c>
      <c r="B31" s="4">
        <v>0.2</v>
      </c>
      <c r="D31" t="s">
        <v>67</v>
      </c>
      <c r="E31">
        <f>E29*E30*B32</f>
        <v>133056</v>
      </c>
    </row>
    <row r="32" spans="1:11" x14ac:dyDescent="0.2">
      <c r="A32" s="4" t="s">
        <v>66</v>
      </c>
      <c r="B32" s="4">
        <v>8</v>
      </c>
      <c r="D32" t="s">
        <v>68</v>
      </c>
      <c r="E32">
        <f>E31*B31</f>
        <v>26611.200000000001</v>
      </c>
    </row>
  </sheetData>
  <phoneticPr fontId="5" type="noConversion"/>
  <pageMargins left="0.7" right="0.7" top="0.75" bottom="0.75" header="0.3" footer="0.3"/>
  <pageSetup scale="74" orientation="landscape" horizontalDpi="0" verticalDpi="0"/>
  <rowBreaks count="1" manualBreakCount="1">
    <brk id="33" max="16383" man="1"/>
  </rowBreaks>
  <colBreaks count="1" manualBreakCount="1"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150" zoomScalePageLayoutView="150" workbookViewId="0"/>
  </sheetViews>
  <sheetFormatPr baseColWidth="10" defaultRowHeight="16" x14ac:dyDescent="0.2"/>
  <cols>
    <col min="1" max="1" width="20.83203125" customWidth="1"/>
    <col min="4" max="4" width="17" bestFit="1" customWidth="1"/>
    <col min="5" max="6" width="12.1640625" bestFit="1" customWidth="1"/>
    <col min="7" max="7" width="16.1640625" bestFit="1" customWidth="1"/>
    <col min="8" max="8" width="17.83203125" bestFit="1" customWidth="1"/>
    <col min="11" max="11" width="13.1640625" bestFit="1" customWidth="1"/>
  </cols>
  <sheetData>
    <row r="1" spans="1:12" x14ac:dyDescent="0.2">
      <c r="A1" s="31" t="s">
        <v>51</v>
      </c>
      <c r="B1" s="2" t="s">
        <v>56</v>
      </c>
      <c r="C1" s="2" t="s">
        <v>57</v>
      </c>
      <c r="D1" s="2" t="s">
        <v>20</v>
      </c>
      <c r="E1" s="2" t="s">
        <v>23</v>
      </c>
      <c r="F1" s="2" t="s">
        <v>24</v>
      </c>
      <c r="G1" s="2" t="s">
        <v>55</v>
      </c>
      <c r="H1" s="2" t="s">
        <v>114</v>
      </c>
      <c r="I1" s="2" t="s">
        <v>88</v>
      </c>
      <c r="J1" s="2" t="s">
        <v>87</v>
      </c>
      <c r="K1" s="21" t="s">
        <v>85</v>
      </c>
      <c r="L1" s="21" t="s">
        <v>86</v>
      </c>
    </row>
    <row r="2" spans="1:12" x14ac:dyDescent="0.2">
      <c r="A2" t="s">
        <v>100</v>
      </c>
      <c r="B2" s="3">
        <f>20/9</f>
        <v>2.2222222222222223</v>
      </c>
      <c r="C2">
        <v>7</v>
      </c>
      <c r="D2" s="3">
        <f>B2*B3*B4</f>
        <v>682.66666666666663</v>
      </c>
      <c r="E2" s="3">
        <f>D2^(1/4)</f>
        <v>5.1115448339701794</v>
      </c>
      <c r="F2" s="3">
        <f>E2*4</f>
        <v>20.446179335880718</v>
      </c>
      <c r="G2" s="3">
        <f>F2+C2</f>
        <v>27.446179335880718</v>
      </c>
      <c r="H2" s="14">
        <f>G2*E3</f>
        <v>7.6344292440685805E-10</v>
      </c>
      <c r="I2">
        <f>E37</f>
        <v>79696</v>
      </c>
      <c r="J2">
        <f>E38</f>
        <v>15939.2</v>
      </c>
      <c r="K2" s="14">
        <f>K24</f>
        <v>9.7252617918345793E-4</v>
      </c>
      <c r="L2" s="14">
        <f>K2*G2</f>
        <v>2.6692127922708052E-2</v>
      </c>
    </row>
    <row r="3" spans="1:12" x14ac:dyDescent="0.2">
      <c r="A3" s="4" t="s">
        <v>21</v>
      </c>
      <c r="B3" s="5">
        <v>16</v>
      </c>
      <c r="C3" s="3"/>
      <c r="D3" s="5" t="s">
        <v>110</v>
      </c>
      <c r="E3" s="15">
        <f>3*G3*G4</f>
        <v>2.7816000000000002E-11</v>
      </c>
      <c r="F3" s="5" t="s">
        <v>111</v>
      </c>
      <c r="G3" s="5">
        <v>6100</v>
      </c>
    </row>
    <row r="4" spans="1:12" x14ac:dyDescent="0.2">
      <c r="A4" s="4" t="s">
        <v>22</v>
      </c>
      <c r="B4" s="5">
        <v>19.2</v>
      </c>
      <c r="F4" s="4" t="s">
        <v>112</v>
      </c>
      <c r="G4" s="15">
        <v>1.52E-15</v>
      </c>
    </row>
    <row r="6" spans="1:12" x14ac:dyDescent="0.2">
      <c r="A6" s="1" t="s">
        <v>16</v>
      </c>
      <c r="B6" s="2" t="s">
        <v>19</v>
      </c>
      <c r="C6" s="2" t="s">
        <v>23</v>
      </c>
      <c r="D6" s="2" t="s">
        <v>27</v>
      </c>
      <c r="E6" s="2" t="s">
        <v>25</v>
      </c>
      <c r="F6" s="2" t="s">
        <v>26</v>
      </c>
      <c r="G6" s="2" t="s">
        <v>41</v>
      </c>
    </row>
    <row r="7" spans="1:12" x14ac:dyDescent="0.2">
      <c r="A7" t="s">
        <v>17</v>
      </c>
      <c r="B7" s="3">
        <v>1</v>
      </c>
      <c r="C7" s="3">
        <v>5.1100000000000003</v>
      </c>
      <c r="D7" s="3">
        <v>16</v>
      </c>
      <c r="E7" s="3">
        <f>F8</f>
        <v>3.1976138366326547</v>
      </c>
      <c r="F7" s="3">
        <f>E7*D7*B7/C7</f>
        <v>10.012098118614965</v>
      </c>
      <c r="G7" s="3">
        <f>2/1</f>
        <v>2</v>
      </c>
    </row>
    <row r="8" spans="1:12" x14ac:dyDescent="0.2">
      <c r="A8" t="s">
        <v>101</v>
      </c>
      <c r="B8" s="3">
        <f>5/3</f>
        <v>1.6666666666666667</v>
      </c>
      <c r="C8" s="3">
        <v>5.1100000000000003</v>
      </c>
      <c r="D8" s="3">
        <v>1</v>
      </c>
      <c r="E8" s="3">
        <f>F9</f>
        <v>9.8038840231157192</v>
      </c>
      <c r="F8" s="3">
        <f>E8*D8*B8/C8</f>
        <v>3.1976138366326547</v>
      </c>
      <c r="G8" s="3">
        <f>2/3</f>
        <v>0.66666666666666663</v>
      </c>
    </row>
    <row r="9" spans="1:12" x14ac:dyDescent="0.2">
      <c r="A9" t="s">
        <v>30</v>
      </c>
      <c r="B9" s="3">
        <v>1</v>
      </c>
      <c r="C9" s="3">
        <v>5.1100000000000003</v>
      </c>
      <c r="D9" s="3">
        <v>1</v>
      </c>
      <c r="E9" s="3">
        <f>F10</f>
        <v>50.097847358121328</v>
      </c>
      <c r="F9" s="3">
        <f>E9*D9*B9/C9</f>
        <v>9.8038840231157192</v>
      </c>
      <c r="G9" s="3">
        <f>2/1</f>
        <v>2</v>
      </c>
    </row>
    <row r="10" spans="1:12" x14ac:dyDescent="0.2">
      <c r="A10" t="s">
        <v>31</v>
      </c>
      <c r="B10" s="3">
        <f>4/3</f>
        <v>1.3333333333333333</v>
      </c>
      <c r="C10" s="3">
        <v>5.1100000000000003</v>
      </c>
      <c r="D10" s="3">
        <v>1</v>
      </c>
      <c r="E10" s="3">
        <v>192</v>
      </c>
      <c r="F10" s="3">
        <f>E10*D10*B10/C10</f>
        <v>50.097847358121328</v>
      </c>
      <c r="G10" s="3">
        <f>2/2</f>
        <v>1</v>
      </c>
    </row>
    <row r="12" spans="1:12" x14ac:dyDescent="0.2">
      <c r="A12" s="1" t="s">
        <v>17</v>
      </c>
      <c r="E12" s="3"/>
      <c r="G12" s="4" t="s">
        <v>77</v>
      </c>
      <c r="H12" s="4">
        <v>0.1</v>
      </c>
      <c r="J12" s="14"/>
      <c r="K12" s="14"/>
    </row>
    <row r="13" spans="1:12" x14ac:dyDescent="0.2">
      <c r="A13" s="3" t="s">
        <v>44</v>
      </c>
      <c r="B13" s="3" t="s">
        <v>46</v>
      </c>
      <c r="C13" s="3" t="s">
        <v>45</v>
      </c>
      <c r="D13" s="3"/>
      <c r="E13" s="3"/>
      <c r="G13" s="4" t="s">
        <v>78</v>
      </c>
      <c r="H13" s="15">
        <v>10000000</v>
      </c>
      <c r="J13" s="14"/>
      <c r="K13" s="14"/>
    </row>
    <row r="14" spans="1:12" x14ac:dyDescent="0.2">
      <c r="A14" s="3">
        <v>1</v>
      </c>
      <c r="B14" s="3">
        <f>-G7</f>
        <v>-2</v>
      </c>
      <c r="C14" s="3">
        <v>0</v>
      </c>
      <c r="D14" s="3" t="s">
        <v>42</v>
      </c>
      <c r="E14" s="3">
        <f t="array" ref="E14:E15">MMULT(MINVERSE(A14:B15),C14:C15)</f>
        <v>6.6666666666666661</v>
      </c>
      <c r="G14" s="4" t="s">
        <v>79</v>
      </c>
      <c r="H14" s="4">
        <v>3.3</v>
      </c>
      <c r="J14" s="14"/>
      <c r="K14" s="14"/>
    </row>
    <row r="15" spans="1:12" x14ac:dyDescent="0.2">
      <c r="A15" s="3">
        <v>1</v>
      </c>
      <c r="B15" s="3">
        <v>1</v>
      </c>
      <c r="C15" s="3">
        <f>10</f>
        <v>10</v>
      </c>
      <c r="D15" s="3" t="s">
        <v>43</v>
      </c>
      <c r="E15" s="3">
        <v>3.333333333333333</v>
      </c>
      <c r="G15" s="4" t="s">
        <v>76</v>
      </c>
      <c r="H15" s="15">
        <v>1.0000000000000001E-15</v>
      </c>
      <c r="J15" s="14"/>
      <c r="K15" s="14"/>
    </row>
    <row r="16" spans="1:12" x14ac:dyDescent="0.2">
      <c r="G16" s="16" t="s">
        <v>73</v>
      </c>
      <c r="I16" s="3"/>
      <c r="J16" s="14"/>
      <c r="K16" s="14"/>
    </row>
    <row r="17" spans="1:11" x14ac:dyDescent="0.2">
      <c r="A17" s="1" t="s">
        <v>101</v>
      </c>
      <c r="E17" s="3"/>
      <c r="G17" s="17" t="s">
        <v>75</v>
      </c>
      <c r="H17" s="17" t="s">
        <v>83</v>
      </c>
      <c r="I17" s="17" t="s">
        <v>76</v>
      </c>
      <c r="J17" s="17" t="s">
        <v>89</v>
      </c>
      <c r="K17" s="19" t="s">
        <v>80</v>
      </c>
    </row>
    <row r="18" spans="1:11" x14ac:dyDescent="0.2">
      <c r="A18" s="3" t="s">
        <v>44</v>
      </c>
      <c r="B18" s="3" t="s">
        <v>46</v>
      </c>
      <c r="C18" s="3" t="s">
        <v>45</v>
      </c>
      <c r="D18" s="3"/>
      <c r="E18" s="3"/>
      <c r="G18" s="7" t="s">
        <v>74</v>
      </c>
      <c r="H18" s="7">
        <v>16</v>
      </c>
      <c r="I18" s="7">
        <v>8</v>
      </c>
      <c r="J18" s="6">
        <f>E15</f>
        <v>3.333333333333333</v>
      </c>
      <c r="K18" s="14">
        <f>H12*H13*H14^2*I18*H15*J18</f>
        <v>2.9039999999999995E-7</v>
      </c>
    </row>
    <row r="19" spans="1:11" x14ac:dyDescent="0.2">
      <c r="A19" s="3">
        <v>1</v>
      </c>
      <c r="B19" s="3">
        <f>-G8</f>
        <v>-0.66666666666666663</v>
      </c>
      <c r="C19" s="3">
        <v>0</v>
      </c>
      <c r="D19" s="3" t="s">
        <v>42</v>
      </c>
      <c r="E19" s="3">
        <f t="array" ref="E19:E20">MMULT(MINVERSE(A19:B20),C19:C20)</f>
        <v>1.279045534653062</v>
      </c>
      <c r="G19" s="3" t="s">
        <v>95</v>
      </c>
      <c r="H19" s="3">
        <v>1</v>
      </c>
      <c r="I19">
        <v>12</v>
      </c>
      <c r="J19" s="3">
        <f>E19/2</f>
        <v>0.63952276732653102</v>
      </c>
      <c r="K19" s="14">
        <f>H12*H13*H14^2*I19*H15*J19</f>
        <v>8.3572835234231054E-8</v>
      </c>
    </row>
    <row r="20" spans="1:11" x14ac:dyDescent="0.2">
      <c r="A20" s="3">
        <v>1</v>
      </c>
      <c r="B20" s="3">
        <v>1</v>
      </c>
      <c r="C20" s="3">
        <f>F8</f>
        <v>3.1976138366326547</v>
      </c>
      <c r="D20" s="3" t="s">
        <v>43</v>
      </c>
      <c r="E20" s="3">
        <v>1.9185683019795932</v>
      </c>
      <c r="G20" s="3" t="s">
        <v>74</v>
      </c>
      <c r="H20" s="3">
        <v>1</v>
      </c>
      <c r="I20">
        <v>7</v>
      </c>
      <c r="J20" s="3">
        <f>E25</f>
        <v>3.2679613410385731</v>
      </c>
      <c r="K20" s="14">
        <f>H12*H13*H14^2*I20*H15*J20</f>
        <v>2.4911669302737041E-7</v>
      </c>
    </row>
    <row r="21" spans="1:11" x14ac:dyDescent="0.2">
      <c r="G21" t="s">
        <v>96</v>
      </c>
      <c r="H21">
        <v>1</v>
      </c>
      <c r="I21">
        <f>6+192</f>
        <v>198</v>
      </c>
      <c r="J21" s="3">
        <f>E30/2</f>
        <v>12.524461839530332</v>
      </c>
      <c r="K21" s="14">
        <f>H12*H13*H14^2*I21*H15*J21</f>
        <v>2.7005495107632088E-5</v>
      </c>
    </row>
    <row r="22" spans="1:11" x14ac:dyDescent="0.2">
      <c r="A22" s="1" t="s">
        <v>30</v>
      </c>
      <c r="E22" s="3"/>
      <c r="G22" t="s">
        <v>84</v>
      </c>
      <c r="K22" s="20">
        <f>SUM(K18:K21)</f>
        <v>2.762858463589369E-5</v>
      </c>
    </row>
    <row r="23" spans="1:11" x14ac:dyDescent="0.2">
      <c r="A23" s="3" t="s">
        <v>44</v>
      </c>
      <c r="B23" s="3" t="s">
        <v>46</v>
      </c>
      <c r="C23" s="3" t="s">
        <v>45</v>
      </c>
      <c r="D23" s="3"/>
      <c r="E23" s="3"/>
      <c r="G23" s="4" t="s">
        <v>90</v>
      </c>
      <c r="H23" s="4">
        <v>32</v>
      </c>
      <c r="J23" s="14"/>
      <c r="K23" s="14">
        <f>K22*H23</f>
        <v>8.8411470834859807E-4</v>
      </c>
    </row>
    <row r="24" spans="1:11" x14ac:dyDescent="0.2">
      <c r="A24" s="3">
        <v>1</v>
      </c>
      <c r="B24" s="3">
        <f>-G9</f>
        <v>-2</v>
      </c>
      <c r="C24" s="3">
        <v>0</v>
      </c>
      <c r="D24" s="3" t="s">
        <v>42</v>
      </c>
      <c r="E24" s="3">
        <f t="array" ref="E24:E25">MMULT(MINVERSE(A24:B25),C24:C25)</f>
        <v>6.5359226820771461</v>
      </c>
      <c r="G24" s="4" t="s">
        <v>81</v>
      </c>
      <c r="H24" s="4"/>
      <c r="I24" s="18">
        <v>1.1000000000000001</v>
      </c>
      <c r="J24" s="22" t="s">
        <v>82</v>
      </c>
      <c r="K24" s="19">
        <f>K23*I24</f>
        <v>9.7252617918345793E-4</v>
      </c>
    </row>
    <row r="25" spans="1:11" x14ac:dyDescent="0.2">
      <c r="A25" s="3">
        <v>1</v>
      </c>
      <c r="B25" s="3">
        <v>1</v>
      </c>
      <c r="C25" s="3">
        <f>F9</f>
        <v>9.8038840231157192</v>
      </c>
      <c r="D25" s="3" t="s">
        <v>43</v>
      </c>
      <c r="E25" s="3">
        <v>3.2679613410385731</v>
      </c>
    </row>
    <row r="27" spans="1:11" x14ac:dyDescent="0.2">
      <c r="A27" s="1" t="s">
        <v>31</v>
      </c>
      <c r="E27" s="3"/>
    </row>
    <row r="28" spans="1:11" x14ac:dyDescent="0.2">
      <c r="A28" s="3" t="s">
        <v>44</v>
      </c>
      <c r="B28" s="3" t="s">
        <v>46</v>
      </c>
      <c r="C28" s="3" t="s">
        <v>45</v>
      </c>
      <c r="D28" s="3"/>
      <c r="E28" s="3"/>
    </row>
    <row r="29" spans="1:11" x14ac:dyDescent="0.2">
      <c r="A29" s="3">
        <v>1</v>
      </c>
      <c r="B29" s="3">
        <f>-G10</f>
        <v>-1</v>
      </c>
      <c r="C29" s="3">
        <v>0</v>
      </c>
      <c r="D29" s="3" t="s">
        <v>42</v>
      </c>
      <c r="E29" s="3">
        <f t="array" ref="E29:E30">MMULT(MINVERSE(A29:B30),C29:C30)</f>
        <v>25.048923679060664</v>
      </c>
    </row>
    <row r="30" spans="1:11" x14ac:dyDescent="0.2">
      <c r="A30" s="3">
        <v>1</v>
      </c>
      <c r="B30" s="3">
        <v>1</v>
      </c>
      <c r="C30" s="3">
        <f>F10</f>
        <v>50.097847358121328</v>
      </c>
      <c r="D30" s="3" t="s">
        <v>43</v>
      </c>
      <c r="E30" s="3">
        <v>25.048923679060664</v>
      </c>
    </row>
    <row r="32" spans="1:11" x14ac:dyDescent="0.2">
      <c r="A32" s="8" t="s">
        <v>58</v>
      </c>
    </row>
    <row r="33" spans="1:5" x14ac:dyDescent="0.2">
      <c r="A33" s="8" t="s">
        <v>103</v>
      </c>
    </row>
    <row r="34" spans="1:5" x14ac:dyDescent="0.2">
      <c r="A34" s="7"/>
      <c r="B34" t="s">
        <v>61</v>
      </c>
      <c r="C34" t="s">
        <v>60</v>
      </c>
    </row>
    <row r="35" spans="1:5" x14ac:dyDescent="0.2">
      <c r="A35" t="s">
        <v>102</v>
      </c>
      <c r="B35">
        <v>14</v>
      </c>
      <c r="C35">
        <v>9</v>
      </c>
      <c r="D35" t="s">
        <v>64</v>
      </c>
      <c r="E35">
        <f>10*B36 + B35</f>
        <v>34</v>
      </c>
    </row>
    <row r="36" spans="1:5" x14ac:dyDescent="0.2">
      <c r="A36" t="s">
        <v>62</v>
      </c>
      <c r="B36">
        <v>2</v>
      </c>
      <c r="C36">
        <v>5</v>
      </c>
      <c r="D36" t="s">
        <v>65</v>
      </c>
      <c r="E36">
        <f>C36+32*C35</f>
        <v>293</v>
      </c>
    </row>
    <row r="37" spans="1:5" x14ac:dyDescent="0.2">
      <c r="A37" s="4" t="s">
        <v>11</v>
      </c>
      <c r="B37" s="4">
        <v>0.2</v>
      </c>
      <c r="D37" t="s">
        <v>67</v>
      </c>
      <c r="E37">
        <f>E35*E36*B38</f>
        <v>79696</v>
      </c>
    </row>
    <row r="38" spans="1:5" x14ac:dyDescent="0.2">
      <c r="A38" s="4" t="s">
        <v>66</v>
      </c>
      <c r="B38" s="4">
        <v>8</v>
      </c>
      <c r="D38" t="s">
        <v>68</v>
      </c>
      <c r="E38">
        <f>E37*B37</f>
        <v>15939.2</v>
      </c>
    </row>
  </sheetData>
  <phoneticPr fontId="5" type="noConversion"/>
  <pageMargins left="0.7" right="0.7" top="0.75" bottom="0.75" header="0.3" footer="0.3"/>
  <pageSetup scale="70" orientation="landscape" horizontalDpi="0" verticalDpi="0"/>
  <rowBreaks count="1" manualBreakCount="1">
    <brk id="40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zoomScaleNormal="150" zoomScalePageLayoutView="150" workbookViewId="0">
      <selection activeCell="D12" sqref="D12"/>
    </sheetView>
  </sheetViews>
  <sheetFormatPr baseColWidth="10" defaultRowHeight="16" x14ac:dyDescent="0.2"/>
  <cols>
    <col min="1" max="1" width="24.83203125" customWidth="1"/>
    <col min="4" max="4" width="17" bestFit="1" customWidth="1"/>
    <col min="7" max="7" width="16.1640625" bestFit="1" customWidth="1"/>
    <col min="8" max="8" width="17.83203125" bestFit="1" customWidth="1"/>
    <col min="10" max="10" width="12.5" bestFit="1" customWidth="1"/>
    <col min="11" max="11" width="15.83203125" customWidth="1"/>
    <col min="15" max="15" width="18" bestFit="1" customWidth="1"/>
    <col min="18" max="18" width="31" customWidth="1"/>
  </cols>
  <sheetData>
    <row r="1" spans="1:12" x14ac:dyDescent="0.2">
      <c r="A1" s="31" t="s">
        <v>52</v>
      </c>
      <c r="B1" s="2" t="s">
        <v>56</v>
      </c>
      <c r="C1" s="2" t="s">
        <v>57</v>
      </c>
      <c r="D1" s="2" t="s">
        <v>20</v>
      </c>
      <c r="E1" s="2" t="s">
        <v>23</v>
      </c>
      <c r="F1" s="2" t="s">
        <v>24</v>
      </c>
      <c r="G1" s="2" t="s">
        <v>55</v>
      </c>
      <c r="H1" s="2" t="s">
        <v>109</v>
      </c>
      <c r="I1" s="2" t="s">
        <v>88</v>
      </c>
      <c r="J1" s="2" t="s">
        <v>87</v>
      </c>
      <c r="K1" s="21" t="s">
        <v>85</v>
      </c>
      <c r="L1" s="21" t="s">
        <v>86</v>
      </c>
    </row>
    <row r="2" spans="1:12" x14ac:dyDescent="0.2">
      <c r="A2" t="s">
        <v>106</v>
      </c>
      <c r="B2" s="3">
        <v>2.2222222222222223</v>
      </c>
      <c r="C2" s="3">
        <v>8</v>
      </c>
      <c r="D2" s="3">
        <f>B2*B3*B4</f>
        <v>682.66666666666663</v>
      </c>
      <c r="E2" s="3">
        <f>D2^(1/5)</f>
        <v>3.6884316459269111</v>
      </c>
      <c r="F2" s="3">
        <f>E2*5</f>
        <v>18.442158229634554</v>
      </c>
      <c r="G2" s="3">
        <f>F2+C2</f>
        <v>26.442158229634554</v>
      </c>
      <c r="H2" s="14">
        <f>G2*E3</f>
        <v>7.3551507331551476E-10</v>
      </c>
      <c r="I2">
        <f>E43</f>
        <v>152064</v>
      </c>
      <c r="J2">
        <f>E44</f>
        <v>30412.800000000003</v>
      </c>
      <c r="K2" s="14">
        <f>K26</f>
        <v>1.7391923242140864E-3</v>
      </c>
      <c r="L2" s="14">
        <f>K2*G2</f>
        <v>4.5987998628634751E-2</v>
      </c>
    </row>
    <row r="3" spans="1:12" x14ac:dyDescent="0.2">
      <c r="A3" s="4" t="s">
        <v>21</v>
      </c>
      <c r="B3" s="5">
        <v>16</v>
      </c>
      <c r="C3" s="3"/>
      <c r="D3" s="5" t="s">
        <v>110</v>
      </c>
      <c r="E3" s="15">
        <f>3*G3*G4</f>
        <v>2.7816000000000002E-11</v>
      </c>
      <c r="F3" s="5" t="s">
        <v>111</v>
      </c>
      <c r="G3" s="5">
        <v>6100</v>
      </c>
      <c r="H3" s="3"/>
    </row>
    <row r="4" spans="1:12" x14ac:dyDescent="0.2">
      <c r="A4" s="4" t="s">
        <v>22</v>
      </c>
      <c r="B4" s="5">
        <v>19.2</v>
      </c>
      <c r="F4" s="4" t="s">
        <v>112</v>
      </c>
      <c r="G4" s="15">
        <f>0.00000000000000152</f>
        <v>1.52E-15</v>
      </c>
      <c r="H4" t="s">
        <v>120</v>
      </c>
    </row>
    <row r="6" spans="1:12" x14ac:dyDescent="0.2">
      <c r="A6" s="1" t="s">
        <v>16</v>
      </c>
      <c r="B6" s="2" t="s">
        <v>19</v>
      </c>
      <c r="C6" s="2" t="s">
        <v>23</v>
      </c>
      <c r="D6" s="2" t="s">
        <v>27</v>
      </c>
      <c r="E6" s="2" t="s">
        <v>25</v>
      </c>
      <c r="F6" s="2" t="s">
        <v>26</v>
      </c>
      <c r="G6" s="2" t="s">
        <v>41</v>
      </c>
    </row>
    <row r="7" spans="1:12" x14ac:dyDescent="0.2">
      <c r="A7" t="s">
        <v>17</v>
      </c>
      <c r="B7" s="3">
        <v>1</v>
      </c>
      <c r="C7" s="3">
        <v>3.69</v>
      </c>
      <c r="D7" s="3">
        <v>1</v>
      </c>
      <c r="E7" s="3">
        <f>F8</f>
        <v>36.821648927490934</v>
      </c>
      <c r="F7" s="3">
        <f>E7*D7*B7/C7</f>
        <v>9.9787666470165135</v>
      </c>
      <c r="G7" s="3">
        <f>2/1</f>
        <v>2</v>
      </c>
    </row>
    <row r="8" spans="1:12" x14ac:dyDescent="0.2">
      <c r="A8" t="s">
        <v>28</v>
      </c>
      <c r="B8" s="3">
        <v>1</v>
      </c>
      <c r="C8" s="3">
        <v>3.69</v>
      </c>
      <c r="D8" s="3">
        <v>16</v>
      </c>
      <c r="E8" s="3">
        <f>F9</f>
        <v>8.4919927839025959</v>
      </c>
      <c r="F8" s="3">
        <f>E8*D8*B8/C8</f>
        <v>36.821648927490934</v>
      </c>
      <c r="G8" s="3">
        <f>2/1</f>
        <v>2</v>
      </c>
    </row>
    <row r="9" spans="1:12" x14ac:dyDescent="0.2">
      <c r="A9" t="s">
        <v>33</v>
      </c>
      <c r="B9" s="3">
        <f>5/3</f>
        <v>1.6666666666666667</v>
      </c>
      <c r="C9" s="3">
        <v>3.69</v>
      </c>
      <c r="D9" s="3">
        <v>1</v>
      </c>
      <c r="E9" s="3">
        <f>F10</f>
        <v>18.801272023560347</v>
      </c>
      <c r="F9" s="3">
        <f>E9*D9*B9/C9</f>
        <v>8.4919927839025959</v>
      </c>
      <c r="G9" s="3">
        <f>2/3</f>
        <v>0.66666666666666663</v>
      </c>
    </row>
    <row r="10" spans="1:12" x14ac:dyDescent="0.2">
      <c r="A10" t="s">
        <v>104</v>
      </c>
      <c r="B10" s="3">
        <v>1</v>
      </c>
      <c r="C10" s="3">
        <v>3.69</v>
      </c>
      <c r="D10" s="3">
        <v>1</v>
      </c>
      <c r="E10" s="3">
        <f>F11</f>
        <v>69.376693766937677</v>
      </c>
      <c r="F10" s="3">
        <f>E10*D10*B10/C10</f>
        <v>18.801272023560347</v>
      </c>
      <c r="G10" s="3">
        <f>2/1</f>
        <v>2</v>
      </c>
    </row>
    <row r="11" spans="1:12" x14ac:dyDescent="0.2">
      <c r="A11" t="s">
        <v>31</v>
      </c>
      <c r="B11" s="3">
        <f>4/3</f>
        <v>1.3333333333333333</v>
      </c>
      <c r="C11" s="3">
        <v>3.69</v>
      </c>
      <c r="D11" s="3">
        <v>1</v>
      </c>
      <c r="E11" s="3">
        <v>192</v>
      </c>
      <c r="F11" s="3">
        <f>E11*D11*B11/C11</f>
        <v>69.376693766937677</v>
      </c>
      <c r="G11" s="3">
        <f>2/2</f>
        <v>1</v>
      </c>
    </row>
    <row r="13" spans="1:12" x14ac:dyDescent="0.2">
      <c r="A13" s="1" t="s">
        <v>17</v>
      </c>
      <c r="E13" s="3"/>
      <c r="G13" s="4" t="s">
        <v>77</v>
      </c>
      <c r="H13" s="4">
        <v>0.1</v>
      </c>
      <c r="J13" s="14"/>
      <c r="K13" s="14"/>
    </row>
    <row r="14" spans="1:12" x14ac:dyDescent="0.2">
      <c r="A14" s="3" t="s">
        <v>44</v>
      </c>
      <c r="B14" s="3" t="s">
        <v>46</v>
      </c>
      <c r="C14" s="3" t="s">
        <v>45</v>
      </c>
      <c r="D14" s="3"/>
      <c r="E14" s="3"/>
      <c r="G14" s="4" t="s">
        <v>78</v>
      </c>
      <c r="H14" s="15">
        <v>10000000</v>
      </c>
      <c r="J14" s="14"/>
      <c r="K14" s="14"/>
    </row>
    <row r="15" spans="1:12" x14ac:dyDescent="0.2">
      <c r="A15" s="3">
        <v>1</v>
      </c>
      <c r="B15" s="3">
        <f>-G7</f>
        <v>-2</v>
      </c>
      <c r="C15" s="3">
        <v>0</v>
      </c>
      <c r="D15" s="3" t="s">
        <v>42</v>
      </c>
      <c r="E15" s="3">
        <f t="array" ref="E15:E16">MMULT(MINVERSE(A15:B16),C15:C16)</f>
        <v>6.6525110980110087</v>
      </c>
      <c r="G15" s="4" t="s">
        <v>79</v>
      </c>
      <c r="H15" s="4">
        <v>3.3</v>
      </c>
      <c r="J15" s="14"/>
      <c r="K15" s="14"/>
    </row>
    <row r="16" spans="1:12" x14ac:dyDescent="0.2">
      <c r="A16" s="3">
        <v>1</v>
      </c>
      <c r="B16" s="3">
        <v>1</v>
      </c>
      <c r="C16" s="3">
        <f>F7</f>
        <v>9.9787666470165135</v>
      </c>
      <c r="D16" s="3" t="s">
        <v>43</v>
      </c>
      <c r="E16" s="3">
        <v>3.3262555490055044</v>
      </c>
      <c r="G16" s="4" t="s">
        <v>76</v>
      </c>
      <c r="H16" s="15">
        <v>1.0000000000000001E-15</v>
      </c>
      <c r="I16" t="s">
        <v>131</v>
      </c>
      <c r="J16" s="14"/>
      <c r="K16" s="14"/>
    </row>
    <row r="17" spans="1:11" x14ac:dyDescent="0.2">
      <c r="G17" s="16" t="s">
        <v>73</v>
      </c>
      <c r="I17" s="3"/>
      <c r="J17" s="14"/>
      <c r="K17" s="14"/>
    </row>
    <row r="18" spans="1:11" x14ac:dyDescent="0.2">
      <c r="A18" s="1" t="s">
        <v>28</v>
      </c>
      <c r="E18" s="3"/>
      <c r="G18" s="17" t="s">
        <v>75</v>
      </c>
      <c r="H18" s="17" t="s">
        <v>83</v>
      </c>
      <c r="I18" s="17" t="s">
        <v>76</v>
      </c>
      <c r="J18" s="17" t="s">
        <v>89</v>
      </c>
      <c r="K18" s="19" t="s">
        <v>80</v>
      </c>
    </row>
    <row r="19" spans="1:11" x14ac:dyDescent="0.2">
      <c r="A19" s="3" t="s">
        <v>44</v>
      </c>
      <c r="B19" s="3" t="s">
        <v>46</v>
      </c>
      <c r="C19" s="3" t="s">
        <v>45</v>
      </c>
      <c r="D19" s="3"/>
      <c r="E19" s="3"/>
      <c r="G19" s="7" t="s">
        <v>74</v>
      </c>
      <c r="H19" s="7">
        <v>1</v>
      </c>
      <c r="I19" s="7">
        <f>3+3</f>
        <v>6</v>
      </c>
      <c r="J19" s="6">
        <f>E16</f>
        <v>3.3262555490055044</v>
      </c>
      <c r="K19" s="14">
        <f>H13*H14*H15^2*I19*H16*J19</f>
        <v>2.1733753757201961E-7</v>
      </c>
    </row>
    <row r="20" spans="1:11" x14ac:dyDescent="0.2">
      <c r="A20" s="3">
        <v>1</v>
      </c>
      <c r="B20" s="3">
        <f>-G8</f>
        <v>-2</v>
      </c>
      <c r="C20" s="3">
        <v>0</v>
      </c>
      <c r="D20" s="3" t="s">
        <v>42</v>
      </c>
      <c r="E20" s="3">
        <f t="array" ref="E20:E21">MMULT(MINVERSE(A20:B21),C20:C21)</f>
        <v>24.547765951660622</v>
      </c>
      <c r="G20" s="3" t="s">
        <v>74</v>
      </c>
      <c r="H20" s="3">
        <v>16</v>
      </c>
      <c r="I20">
        <f>3+5*H20</f>
        <v>83</v>
      </c>
      <c r="J20" s="3">
        <f>E21</f>
        <v>12.273882975830311</v>
      </c>
      <c r="K20" s="14">
        <f>H13*H14*H15^2*I20*H16*J20</f>
        <v>1.1093994605363742E-5</v>
      </c>
    </row>
    <row r="21" spans="1:11" x14ac:dyDescent="0.2">
      <c r="A21" s="3">
        <v>1</v>
      </c>
      <c r="B21" s="3">
        <v>1</v>
      </c>
      <c r="C21" s="3">
        <f>F8</f>
        <v>36.821648927490934</v>
      </c>
      <c r="D21" s="3" t="s">
        <v>43</v>
      </c>
      <c r="E21" s="3">
        <v>12.273882975830311</v>
      </c>
      <c r="G21" s="3" t="s">
        <v>95</v>
      </c>
      <c r="H21" s="3">
        <v>1</v>
      </c>
      <c r="I21">
        <v>12</v>
      </c>
      <c r="J21" s="3">
        <f>E25/2</f>
        <v>1.6983985567805193</v>
      </c>
      <c r="K21" s="14">
        <f>H13*H14*H15^2*I21*H16*J21</f>
        <v>2.2194672340007822E-7</v>
      </c>
    </row>
    <row r="22" spans="1:11" x14ac:dyDescent="0.2">
      <c r="G22" s="3" t="s">
        <v>74</v>
      </c>
      <c r="H22" s="3">
        <v>1</v>
      </c>
      <c r="I22">
        <v>7</v>
      </c>
      <c r="J22" s="3">
        <f>E31</f>
        <v>6.2670906745201158</v>
      </c>
      <c r="K22" s="14">
        <f>H14*H13*H15^2*I22*H16*J22</f>
        <v>4.7774032211866841E-7</v>
      </c>
    </row>
    <row r="23" spans="1:11" x14ac:dyDescent="0.2">
      <c r="A23" s="1" t="s">
        <v>33</v>
      </c>
      <c r="E23" s="3"/>
      <c r="G23" t="s">
        <v>96</v>
      </c>
      <c r="H23">
        <v>1</v>
      </c>
      <c r="I23">
        <f>6+192</f>
        <v>198</v>
      </c>
      <c r="J23" s="3">
        <f>E36/2</f>
        <v>17.344173441734419</v>
      </c>
      <c r="K23" s="14">
        <f>H13*H14*H15^2*I23*H16*J23</f>
        <v>3.7397853658536581E-5</v>
      </c>
    </row>
    <row r="24" spans="1:11" x14ac:dyDescent="0.2">
      <c r="A24" s="3" t="s">
        <v>44</v>
      </c>
      <c r="B24" s="3" t="s">
        <v>46</v>
      </c>
      <c r="C24" s="3" t="s">
        <v>45</v>
      </c>
      <c r="D24" s="3"/>
      <c r="E24" s="3"/>
      <c r="G24" t="s">
        <v>84</v>
      </c>
      <c r="K24" s="20">
        <f>SUM(K19:K23)</f>
        <v>4.9408872846991088E-5</v>
      </c>
    </row>
    <row r="25" spans="1:11" x14ac:dyDescent="0.2">
      <c r="A25" s="3">
        <v>1</v>
      </c>
      <c r="B25" s="3">
        <f>-G9</f>
        <v>-0.66666666666666663</v>
      </c>
      <c r="C25" s="3">
        <v>0</v>
      </c>
      <c r="D25" s="3" t="s">
        <v>42</v>
      </c>
      <c r="E25" s="3">
        <f t="array" ref="E25:E26">MMULT(MINVERSE(A25:B26),C25:C26)</f>
        <v>3.3967971135610386</v>
      </c>
      <c r="G25" s="4" t="s">
        <v>90</v>
      </c>
      <c r="H25" s="4">
        <v>32</v>
      </c>
      <c r="J25" s="14"/>
      <c r="K25" s="14">
        <f>K24*H25</f>
        <v>1.5810839311037148E-3</v>
      </c>
    </row>
    <row r="26" spans="1:11" x14ac:dyDescent="0.2">
      <c r="A26" s="3">
        <v>1</v>
      </c>
      <c r="B26" s="3">
        <v>1</v>
      </c>
      <c r="C26" s="3">
        <f>F9</f>
        <v>8.4919927839025959</v>
      </c>
      <c r="D26" s="3" t="s">
        <v>43</v>
      </c>
      <c r="E26" s="3">
        <v>5.0951956703415586</v>
      </c>
      <c r="G26" s="4" t="s">
        <v>81</v>
      </c>
      <c r="H26" s="4"/>
      <c r="I26" s="18">
        <v>1.1000000000000001</v>
      </c>
      <c r="J26" s="22" t="s">
        <v>82</v>
      </c>
      <c r="K26" s="19">
        <f>K25*I26</f>
        <v>1.7391923242140864E-3</v>
      </c>
    </row>
    <row r="28" spans="1:11" x14ac:dyDescent="0.2">
      <c r="A28" s="1" t="s">
        <v>104</v>
      </c>
      <c r="E28" s="3"/>
    </row>
    <row r="29" spans="1:11" x14ac:dyDescent="0.2">
      <c r="A29" s="3" t="s">
        <v>44</v>
      </c>
      <c r="B29" s="3" t="s">
        <v>46</v>
      </c>
      <c r="C29" s="3" t="s">
        <v>45</v>
      </c>
      <c r="D29" s="3"/>
      <c r="E29" s="3"/>
    </row>
    <row r="30" spans="1:11" x14ac:dyDescent="0.2">
      <c r="A30" s="3">
        <v>1</v>
      </c>
      <c r="B30" s="3">
        <f>-G10</f>
        <v>-2</v>
      </c>
      <c r="C30" s="3">
        <v>0</v>
      </c>
      <c r="D30" s="3" t="s">
        <v>42</v>
      </c>
      <c r="E30" s="3">
        <f t="array" ref="E30:E31">MMULT(MINVERSE(A30:B31),C30:C31)</f>
        <v>12.534181349040232</v>
      </c>
    </row>
    <row r="31" spans="1:11" x14ac:dyDescent="0.2">
      <c r="A31" s="3">
        <v>1</v>
      </c>
      <c r="B31" s="3">
        <v>1</v>
      </c>
      <c r="C31" s="3">
        <f>F10</f>
        <v>18.801272023560347</v>
      </c>
      <c r="D31" s="3" t="s">
        <v>43</v>
      </c>
      <c r="E31" s="3">
        <v>6.2670906745201158</v>
      </c>
    </row>
    <row r="33" spans="1:12" x14ac:dyDescent="0.2">
      <c r="A33" s="1" t="s">
        <v>38</v>
      </c>
      <c r="E33" s="3"/>
    </row>
    <row r="34" spans="1:12" x14ac:dyDescent="0.2">
      <c r="A34" s="3" t="s">
        <v>44</v>
      </c>
      <c r="B34" s="3" t="s">
        <v>46</v>
      </c>
      <c r="C34" s="3" t="s">
        <v>45</v>
      </c>
      <c r="D34" s="3"/>
      <c r="E34" s="3"/>
    </row>
    <row r="35" spans="1:12" x14ac:dyDescent="0.2">
      <c r="A35" s="3">
        <v>1</v>
      </c>
      <c r="B35" s="3">
        <f>-G11</f>
        <v>-1</v>
      </c>
      <c r="C35" s="3">
        <v>0</v>
      </c>
      <c r="D35" s="3" t="s">
        <v>42</v>
      </c>
      <c r="E35" s="3">
        <f t="array" ref="E35:E36">MMULT(MINVERSE(A35:B36),C35:C36)</f>
        <v>34.688346883468839</v>
      </c>
    </row>
    <row r="36" spans="1:12" x14ac:dyDescent="0.2">
      <c r="A36" s="3">
        <v>1</v>
      </c>
      <c r="B36" s="3">
        <v>1</v>
      </c>
      <c r="C36" s="3">
        <f>F11</f>
        <v>69.376693766937677</v>
      </c>
      <c r="D36" s="3" t="s">
        <v>43</v>
      </c>
      <c r="E36" s="3">
        <v>34.688346883468839</v>
      </c>
    </row>
    <row r="38" spans="1:12" x14ac:dyDescent="0.2">
      <c r="A38" s="8" t="s">
        <v>58</v>
      </c>
    </row>
    <row r="39" spans="1:12" x14ac:dyDescent="0.2">
      <c r="A39" s="8" t="s">
        <v>71</v>
      </c>
    </row>
    <row r="40" spans="1:12" x14ac:dyDescent="0.2">
      <c r="A40" s="7"/>
      <c r="B40" t="s">
        <v>61</v>
      </c>
      <c r="C40" t="s">
        <v>60</v>
      </c>
    </row>
    <row r="41" spans="1:12" x14ac:dyDescent="0.2">
      <c r="A41" t="s">
        <v>102</v>
      </c>
      <c r="B41">
        <v>14</v>
      </c>
      <c r="C41">
        <v>9</v>
      </c>
      <c r="D41" t="s">
        <v>64</v>
      </c>
      <c r="E41">
        <f>10*B42 + B41</f>
        <v>64</v>
      </c>
    </row>
    <row r="42" spans="1:12" x14ac:dyDescent="0.2">
      <c r="A42" t="s">
        <v>69</v>
      </c>
      <c r="B42">
        <v>5</v>
      </c>
      <c r="C42">
        <v>9</v>
      </c>
      <c r="D42" t="s">
        <v>65</v>
      </c>
      <c r="E42">
        <f>C42+32*C41</f>
        <v>297</v>
      </c>
    </row>
    <row r="43" spans="1:12" x14ac:dyDescent="0.2">
      <c r="A43" s="4" t="s">
        <v>11</v>
      </c>
      <c r="B43" s="4">
        <v>0.2</v>
      </c>
      <c r="D43" t="s">
        <v>67</v>
      </c>
      <c r="E43">
        <f>E41*E42*B44</f>
        <v>152064</v>
      </c>
    </row>
    <row r="44" spans="1:12" x14ac:dyDescent="0.2">
      <c r="A44" s="4" t="s">
        <v>66</v>
      </c>
      <c r="B44" s="4">
        <v>8</v>
      </c>
      <c r="D44" t="s">
        <v>68</v>
      </c>
      <c r="E44">
        <f>E43*B43</f>
        <v>30412.800000000003</v>
      </c>
    </row>
    <row r="46" spans="1:12" x14ac:dyDescent="0.2">
      <c r="A46" s="29" t="s">
        <v>145</v>
      </c>
      <c r="B46" s="29"/>
      <c r="C46" s="29"/>
      <c r="D46" s="29"/>
      <c r="E46" s="29"/>
      <c r="F46" s="29"/>
      <c r="H46" s="29" t="s">
        <v>146</v>
      </c>
      <c r="I46" s="29"/>
      <c r="J46" s="29"/>
      <c r="K46" s="29"/>
      <c r="L46" s="29"/>
    </row>
    <row r="47" spans="1:12" x14ac:dyDescent="0.2">
      <c r="D47" s="8" t="s">
        <v>136</v>
      </c>
    </row>
    <row r="48" spans="1:12" x14ac:dyDescent="0.2">
      <c r="A48" s="8" t="s">
        <v>137</v>
      </c>
      <c r="D48" t="s">
        <v>133</v>
      </c>
      <c r="E48" t="s">
        <v>135</v>
      </c>
      <c r="H48" s="8" t="s">
        <v>147</v>
      </c>
      <c r="I48" s="28">
        <f xml:space="preserve"> (15.001216-15.00015)*0.000001</f>
        <v>1.0659999999997893E-9</v>
      </c>
      <c r="J48" s="30" t="s">
        <v>148</v>
      </c>
      <c r="K48" t="s">
        <v>149</v>
      </c>
    </row>
    <row r="49" spans="1:11" x14ac:dyDescent="0.2">
      <c r="A49" t="s">
        <v>121</v>
      </c>
      <c r="B49" s="14">
        <f>0.000001101</f>
        <v>1.1009999999999999E-6</v>
      </c>
      <c r="D49">
        <v>0</v>
      </c>
      <c r="E49">
        <v>7.0129999999999999</v>
      </c>
      <c r="H49" t="s">
        <v>147</v>
      </c>
      <c r="I49" s="28">
        <f xml:space="preserve"> (1.0016094-1.00015)*0.000001</f>
        <v>1.4593999999998885E-9</v>
      </c>
      <c r="J49" t="s">
        <v>151</v>
      </c>
      <c r="K49" t="s">
        <v>150</v>
      </c>
    </row>
    <row r="50" spans="1:11" x14ac:dyDescent="0.2">
      <c r="A50" t="s">
        <v>122</v>
      </c>
      <c r="B50" s="14">
        <v>4.5229999999999997E-6</v>
      </c>
      <c r="D50">
        <f>D49+1</f>
        <v>1</v>
      </c>
      <c r="E50">
        <v>7.7960000000000003</v>
      </c>
    </row>
    <row r="51" spans="1:11" x14ac:dyDescent="0.2">
      <c r="A51" t="s">
        <v>123</v>
      </c>
      <c r="B51" s="14">
        <v>6.2440000000000001E-7</v>
      </c>
      <c r="D51">
        <f t="shared" ref="D51:D80" si="0">D50+1</f>
        <v>2</v>
      </c>
      <c r="E51">
        <v>7.6429999999999998</v>
      </c>
    </row>
    <row r="52" spans="1:11" x14ac:dyDescent="0.2">
      <c r="A52" t="s">
        <v>124</v>
      </c>
      <c r="B52" s="14">
        <v>3.002E-7</v>
      </c>
      <c r="D52">
        <f t="shared" si="0"/>
        <v>3</v>
      </c>
      <c r="E52">
        <v>7.6820000000000004</v>
      </c>
      <c r="H52" s="8" t="s">
        <v>152</v>
      </c>
      <c r="J52" s="8" t="s">
        <v>153</v>
      </c>
    </row>
    <row r="53" spans="1:11" x14ac:dyDescent="0.2">
      <c r="A53" t="s">
        <v>125</v>
      </c>
      <c r="B53" s="14">
        <v>1.147E-7</v>
      </c>
      <c r="D53">
        <f t="shared" si="0"/>
        <v>4</v>
      </c>
      <c r="E53">
        <v>6.173</v>
      </c>
      <c r="H53" s="14">
        <v>6.3500000000000004E-4</v>
      </c>
      <c r="J53" s="14">
        <v>3.642E-9</v>
      </c>
      <c r="K53" t="s">
        <v>154</v>
      </c>
    </row>
    <row r="54" spans="1:11" x14ac:dyDescent="0.2">
      <c r="A54" t="s">
        <v>126</v>
      </c>
      <c r="B54" s="14">
        <v>6.9439999999999999E-6</v>
      </c>
      <c r="D54">
        <f t="shared" si="0"/>
        <v>5</v>
      </c>
      <c r="E54">
        <v>6.3170000000000002</v>
      </c>
    </row>
    <row r="55" spans="1:11" x14ac:dyDescent="0.2">
      <c r="A55" t="s">
        <v>127</v>
      </c>
      <c r="B55" s="14">
        <v>2.9660000000000001E-6</v>
      </c>
      <c r="D55">
        <f t="shared" si="0"/>
        <v>6</v>
      </c>
      <c r="E55">
        <v>6.5389999999999997</v>
      </c>
    </row>
    <row r="56" spans="1:11" x14ac:dyDescent="0.2">
      <c r="A56" t="s">
        <v>128</v>
      </c>
      <c r="B56" s="14">
        <v>3.4399999999999997E-8</v>
      </c>
      <c r="D56">
        <f t="shared" si="0"/>
        <v>7</v>
      </c>
      <c r="E56">
        <v>6.2069999999999999</v>
      </c>
    </row>
    <row r="57" spans="1:11" x14ac:dyDescent="0.2">
      <c r="A57" t="s">
        <v>129</v>
      </c>
      <c r="B57" s="14">
        <v>2.3209999999999999E-7</v>
      </c>
      <c r="D57">
        <f t="shared" si="0"/>
        <v>8</v>
      </c>
      <c r="E57">
        <v>6.6559999999999997</v>
      </c>
      <c r="H57" t="s">
        <v>155</v>
      </c>
    </row>
    <row r="58" spans="1:11" x14ac:dyDescent="0.2">
      <c r="A58" t="s">
        <v>130</v>
      </c>
      <c r="B58" s="14">
        <v>6.8289999999999998E-8</v>
      </c>
      <c r="D58">
        <f t="shared" si="0"/>
        <v>9</v>
      </c>
      <c r="E58">
        <v>6.718</v>
      </c>
      <c r="H58" s="14">
        <f>H53-J53</f>
        <v>6.3499635800000006E-4</v>
      </c>
    </row>
    <row r="59" spans="1:11" x14ac:dyDescent="0.2">
      <c r="A59" t="s">
        <v>132</v>
      </c>
      <c r="B59" s="14">
        <v>1.036E-3</v>
      </c>
      <c r="D59">
        <f t="shared" si="0"/>
        <v>10</v>
      </c>
      <c r="E59">
        <v>8.3130000000000006</v>
      </c>
    </row>
    <row r="60" spans="1:11" x14ac:dyDescent="0.2">
      <c r="A60" s="8" t="s">
        <v>82</v>
      </c>
      <c r="B60" s="28">
        <f>SUM(B49:B59)</f>
        <v>1.05290809E-3</v>
      </c>
      <c r="D60">
        <f t="shared" si="0"/>
        <v>11</v>
      </c>
      <c r="E60">
        <v>6.8470000000000004</v>
      </c>
    </row>
    <row r="61" spans="1:11" x14ac:dyDescent="0.2">
      <c r="D61">
        <f>D60+1</f>
        <v>12</v>
      </c>
      <c r="E61">
        <v>6.54</v>
      </c>
    </row>
    <row r="62" spans="1:11" x14ac:dyDescent="0.2">
      <c r="D62">
        <f t="shared" si="0"/>
        <v>13</v>
      </c>
      <c r="E62">
        <v>6.8570000000000002</v>
      </c>
    </row>
    <row r="63" spans="1:11" x14ac:dyDescent="0.2">
      <c r="A63" t="s">
        <v>138</v>
      </c>
      <c r="D63">
        <f t="shared" si="0"/>
        <v>14</v>
      </c>
      <c r="E63">
        <v>6.5389999999999997</v>
      </c>
    </row>
    <row r="64" spans="1:11" x14ac:dyDescent="0.2">
      <c r="A64" s="14">
        <f>K26</f>
        <v>1.7391923242140864E-3</v>
      </c>
      <c r="D64">
        <f t="shared" si="0"/>
        <v>15</v>
      </c>
      <c r="E64">
        <v>6.532</v>
      </c>
    </row>
    <row r="65" spans="1:20" x14ac:dyDescent="0.2">
      <c r="A65" t="s">
        <v>139</v>
      </c>
      <c r="D65">
        <f t="shared" si="0"/>
        <v>16</v>
      </c>
      <c r="E65">
        <v>6.7830000000000004</v>
      </c>
    </row>
    <row r="66" spans="1:20" x14ac:dyDescent="0.2">
      <c r="A66" s="14">
        <f>B60</f>
        <v>1.05290809E-3</v>
      </c>
      <c r="D66">
        <f t="shared" si="0"/>
        <v>17</v>
      </c>
      <c r="E66">
        <v>7.274</v>
      </c>
      <c r="R66" s="7"/>
      <c r="S66" s="7"/>
      <c r="T66" s="7"/>
    </row>
    <row r="67" spans="1:20" x14ac:dyDescent="0.2">
      <c r="A67" t="s">
        <v>140</v>
      </c>
      <c r="D67">
        <f t="shared" si="0"/>
        <v>18</v>
      </c>
      <c r="E67">
        <v>6.5179999999999998</v>
      </c>
      <c r="R67" s="7"/>
      <c r="S67" s="7"/>
      <c r="T67" s="7"/>
    </row>
    <row r="68" spans="1:20" x14ac:dyDescent="0.2">
      <c r="A68" s="14">
        <f>E81*0.000001</f>
        <v>6.7754687499999999E-15</v>
      </c>
      <c r="D68">
        <f t="shared" si="0"/>
        <v>19</v>
      </c>
      <c r="E68">
        <v>6.9909999999999997</v>
      </c>
      <c r="R68" s="7"/>
      <c r="S68" s="7"/>
      <c r="T68" s="7"/>
    </row>
    <row r="69" spans="1:20" x14ac:dyDescent="0.2">
      <c r="A69" t="s">
        <v>141</v>
      </c>
      <c r="D69">
        <f t="shared" si="0"/>
        <v>20</v>
      </c>
      <c r="E69">
        <v>6.5350000000000001</v>
      </c>
      <c r="R69" s="7"/>
      <c r="S69" s="6"/>
      <c r="T69" s="7"/>
    </row>
    <row r="70" spans="1:20" x14ac:dyDescent="0.2">
      <c r="A70" s="14">
        <f>A66-A68</f>
        <v>1.0529080899932246E-3</v>
      </c>
      <c r="D70">
        <f t="shared" si="0"/>
        <v>21</v>
      </c>
      <c r="E70">
        <v>5.3479999999999999</v>
      </c>
      <c r="R70" s="7"/>
      <c r="S70" s="7"/>
      <c r="T70" s="7"/>
    </row>
    <row r="71" spans="1:20" x14ac:dyDescent="0.2">
      <c r="A71" t="s">
        <v>142</v>
      </c>
      <c r="D71">
        <f>D70+1</f>
        <v>22</v>
      </c>
      <c r="E71">
        <v>6.093</v>
      </c>
      <c r="R71" s="7"/>
      <c r="S71" s="7"/>
      <c r="T71" s="7"/>
    </row>
    <row r="72" spans="1:20" x14ac:dyDescent="0.2">
      <c r="A72" s="14" t="s">
        <v>143</v>
      </c>
      <c r="D72">
        <f t="shared" si="0"/>
        <v>23</v>
      </c>
      <c r="E72">
        <v>6.4939999999999998</v>
      </c>
      <c r="R72" s="7"/>
      <c r="S72" s="7"/>
      <c r="T72" s="7"/>
    </row>
    <row r="73" spans="1:20" x14ac:dyDescent="0.2">
      <c r="A73" t="s">
        <v>144</v>
      </c>
      <c r="D73">
        <f t="shared" si="0"/>
        <v>24</v>
      </c>
      <c r="E73">
        <v>7.2969999999999997</v>
      </c>
      <c r="R73" s="7"/>
      <c r="S73" s="7"/>
      <c r="T73" s="7"/>
    </row>
    <row r="74" spans="1:20" x14ac:dyDescent="0.2">
      <c r="D74">
        <f t="shared" si="0"/>
        <v>25</v>
      </c>
      <c r="E74">
        <v>7.4779999999999998</v>
      </c>
    </row>
    <row r="75" spans="1:20" x14ac:dyDescent="0.2">
      <c r="D75">
        <f t="shared" si="0"/>
        <v>26</v>
      </c>
      <c r="E75">
        <v>7.4489999999999998</v>
      </c>
    </row>
    <row r="76" spans="1:20" x14ac:dyDescent="0.2">
      <c r="D76">
        <f t="shared" si="0"/>
        <v>27</v>
      </c>
      <c r="E76">
        <v>5.98</v>
      </c>
    </row>
    <row r="77" spans="1:20" x14ac:dyDescent="0.2">
      <c r="D77">
        <f>D76+1</f>
        <v>28</v>
      </c>
      <c r="E77">
        <v>5.9580000000000002</v>
      </c>
    </row>
    <row r="78" spans="1:20" x14ac:dyDescent="0.2">
      <c r="D78">
        <f t="shared" si="0"/>
        <v>29</v>
      </c>
      <c r="E78">
        <v>6.5940000000000003</v>
      </c>
    </row>
    <row r="79" spans="1:20" x14ac:dyDescent="0.2">
      <c r="D79">
        <f t="shared" si="0"/>
        <v>30</v>
      </c>
      <c r="E79">
        <v>7.1440000000000001</v>
      </c>
    </row>
    <row r="80" spans="1:20" x14ac:dyDescent="0.2">
      <c r="D80">
        <f t="shared" si="0"/>
        <v>31</v>
      </c>
      <c r="E80">
        <v>6.5069999999999997</v>
      </c>
    </row>
    <row r="81" spans="1:5" x14ac:dyDescent="0.2">
      <c r="D81" s="8" t="s">
        <v>134</v>
      </c>
      <c r="E81" s="28">
        <f>(SUM(E49:E80)/32)*10^(-9)</f>
        <v>6.77546875E-9</v>
      </c>
    </row>
    <row r="83" spans="1:5" x14ac:dyDescent="0.2">
      <c r="A83" s="8" t="s">
        <v>147</v>
      </c>
      <c r="B83" s="28">
        <f xml:space="preserve"> (1.0016046-1.00015)*0.000001</f>
        <v>1.4545999999999724E-9</v>
      </c>
      <c r="C83" s="30" t="s">
        <v>119</v>
      </c>
    </row>
  </sheetData>
  <phoneticPr fontId="5" type="noConversion"/>
  <pageMargins left="0.7" right="0.7" top="0.75" bottom="0.75" header="0.3" footer="0.3"/>
  <pageSetup scale="68" orientation="landscape" horizontalDpi="0" verticalDpi="0"/>
  <rowBreaks count="1" manualBreakCount="1">
    <brk id="37" max="16383" man="1"/>
  </rowBreaks>
  <colBreaks count="1" manualBreakCount="1">
    <brk id="1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108" zoomScaleNormal="150" zoomScalePageLayoutView="150" workbookViewId="0"/>
  </sheetViews>
  <sheetFormatPr baseColWidth="10" defaultRowHeight="16" x14ac:dyDescent="0.2"/>
  <cols>
    <col min="1" max="1" width="27.1640625" customWidth="1"/>
    <col min="4" max="4" width="17" bestFit="1" customWidth="1"/>
    <col min="7" max="7" width="16.1640625" customWidth="1"/>
    <col min="8" max="8" width="18" bestFit="1" customWidth="1"/>
    <col min="11" max="11" width="13.1640625" bestFit="1" customWidth="1"/>
    <col min="12" max="12" width="10.83203125" customWidth="1"/>
  </cols>
  <sheetData>
    <row r="1" spans="1:12" x14ac:dyDescent="0.2">
      <c r="A1" s="31" t="s">
        <v>53</v>
      </c>
      <c r="B1" s="2" t="s">
        <v>56</v>
      </c>
      <c r="C1" s="2" t="s">
        <v>57</v>
      </c>
      <c r="D1" s="2" t="s">
        <v>20</v>
      </c>
      <c r="E1" s="2" t="s">
        <v>23</v>
      </c>
      <c r="F1" s="2" t="s">
        <v>24</v>
      </c>
      <c r="G1" s="2" t="s">
        <v>55</v>
      </c>
      <c r="H1" s="2" t="s">
        <v>114</v>
      </c>
      <c r="I1" s="2" t="s">
        <v>88</v>
      </c>
      <c r="J1" s="2" t="s">
        <v>87</v>
      </c>
      <c r="K1" s="21" t="s">
        <v>85</v>
      </c>
      <c r="L1" s="21" t="s">
        <v>86</v>
      </c>
    </row>
    <row r="2" spans="1:12" x14ac:dyDescent="0.2">
      <c r="A2" t="s">
        <v>107</v>
      </c>
      <c r="B2" s="3">
        <v>2.2222222222222223</v>
      </c>
      <c r="C2" s="3">
        <v>9</v>
      </c>
      <c r="D2" s="3">
        <f>B2*B3*B4</f>
        <v>682.66666666666663</v>
      </c>
      <c r="E2" s="3">
        <f>D2^(1/6)</f>
        <v>2.9673455023616087</v>
      </c>
      <c r="F2" s="3">
        <f>E2*6</f>
        <v>17.804073014169653</v>
      </c>
      <c r="G2" s="3">
        <f>F2+C2</f>
        <v>26.804073014169653</v>
      </c>
      <c r="H2" s="14">
        <f>G2*E3</f>
        <v>7.455820949621431E-10</v>
      </c>
      <c r="I2">
        <f>K36</f>
        <v>154112</v>
      </c>
      <c r="J2">
        <f>K37</f>
        <v>30822.400000000001</v>
      </c>
      <c r="K2" s="14">
        <f>K28</f>
        <v>2.637234399074229E-3</v>
      </c>
      <c r="L2" s="14">
        <f>K2*G2</f>
        <v>7.0688623388265467E-2</v>
      </c>
    </row>
    <row r="3" spans="1:12" x14ac:dyDescent="0.2">
      <c r="A3" s="4" t="s">
        <v>21</v>
      </c>
      <c r="B3" s="5">
        <v>16</v>
      </c>
      <c r="C3" s="3"/>
      <c r="D3" s="5" t="s">
        <v>110</v>
      </c>
      <c r="E3" s="15">
        <f>3*G3*G4</f>
        <v>2.7816000000000002E-11</v>
      </c>
      <c r="F3" s="5" t="s">
        <v>111</v>
      </c>
      <c r="G3" s="5">
        <v>6100</v>
      </c>
    </row>
    <row r="4" spans="1:12" x14ac:dyDescent="0.2">
      <c r="A4" s="4" t="s">
        <v>22</v>
      </c>
      <c r="B4" s="5">
        <v>19.2</v>
      </c>
      <c r="F4" s="4" t="s">
        <v>112</v>
      </c>
      <c r="G4" s="15">
        <v>1.52E-15</v>
      </c>
    </row>
    <row r="6" spans="1:12" x14ac:dyDescent="0.2">
      <c r="A6" s="1" t="s">
        <v>16</v>
      </c>
      <c r="B6" s="2" t="s">
        <v>19</v>
      </c>
      <c r="C6" s="2" t="s">
        <v>23</v>
      </c>
      <c r="D6" s="2" t="s">
        <v>27</v>
      </c>
      <c r="E6" s="2" t="s">
        <v>25</v>
      </c>
      <c r="F6" s="2" t="s">
        <v>26</v>
      </c>
      <c r="G6" s="2" t="s">
        <v>41</v>
      </c>
    </row>
    <row r="7" spans="1:12" x14ac:dyDescent="0.2">
      <c r="A7" t="s">
        <v>17</v>
      </c>
      <c r="B7" s="3">
        <v>1</v>
      </c>
      <c r="C7" s="3">
        <v>2.97</v>
      </c>
      <c r="D7" s="3">
        <v>1</v>
      </c>
      <c r="E7" s="3">
        <f>F8</f>
        <v>29.541085594536909</v>
      </c>
      <c r="F7" s="3">
        <f t="shared" ref="F7:F12" si="0">E7*D7*B7/C7</f>
        <v>9.9464934661740436</v>
      </c>
      <c r="G7" s="3">
        <f>2/1</f>
        <v>2</v>
      </c>
    </row>
    <row r="8" spans="1:12" x14ac:dyDescent="0.2">
      <c r="A8" t="s">
        <v>28</v>
      </c>
      <c r="B8" s="3">
        <v>1</v>
      </c>
      <c r="C8" s="3">
        <v>2.97</v>
      </c>
      <c r="D8" s="3">
        <v>1</v>
      </c>
      <c r="E8" s="3">
        <f>F9</f>
        <v>87.737024215774625</v>
      </c>
      <c r="F8" s="3">
        <f t="shared" si="0"/>
        <v>29.541085594536909</v>
      </c>
      <c r="G8" s="3">
        <f>2/1</f>
        <v>2</v>
      </c>
    </row>
    <row r="9" spans="1:12" x14ac:dyDescent="0.2">
      <c r="A9" t="s">
        <v>30</v>
      </c>
      <c r="B9" s="3">
        <v>1</v>
      </c>
      <c r="C9" s="3">
        <v>2.97</v>
      </c>
      <c r="D9" s="3">
        <v>16</v>
      </c>
      <c r="E9" s="3">
        <f>F10</f>
        <v>16.286185120053165</v>
      </c>
      <c r="F9" s="3">
        <f t="shared" si="0"/>
        <v>87.737024215774625</v>
      </c>
      <c r="G9" s="3">
        <f>2/1</f>
        <v>2</v>
      </c>
    </row>
    <row r="10" spans="1:12" x14ac:dyDescent="0.2">
      <c r="A10" t="s">
        <v>37</v>
      </c>
      <c r="B10" s="3">
        <f>5/3</f>
        <v>1.6666666666666667</v>
      </c>
      <c r="C10" s="3">
        <v>2.97</v>
      </c>
      <c r="D10" s="3">
        <v>1</v>
      </c>
      <c r="E10" s="3">
        <f>F11</f>
        <v>29.021981883934743</v>
      </c>
      <c r="F10" s="3">
        <f t="shared" si="0"/>
        <v>16.286185120053165</v>
      </c>
      <c r="G10" s="3">
        <f>2/3</f>
        <v>0.66666666666666663</v>
      </c>
    </row>
    <row r="11" spans="1:12" x14ac:dyDescent="0.2">
      <c r="A11" t="s">
        <v>32</v>
      </c>
      <c r="B11" s="3">
        <v>1</v>
      </c>
      <c r="C11" s="3">
        <v>2.97</v>
      </c>
      <c r="D11" s="3">
        <v>1</v>
      </c>
      <c r="E11" s="3">
        <f>F12</f>
        <v>86.195286195286187</v>
      </c>
      <c r="F11" s="3">
        <f t="shared" si="0"/>
        <v>29.021981883934743</v>
      </c>
      <c r="G11" s="3">
        <f>2/1</f>
        <v>2</v>
      </c>
    </row>
    <row r="12" spans="1:12" x14ac:dyDescent="0.2">
      <c r="A12" t="s">
        <v>105</v>
      </c>
      <c r="B12" s="3">
        <f>4/3</f>
        <v>1.3333333333333333</v>
      </c>
      <c r="C12" s="3">
        <v>2.97</v>
      </c>
      <c r="D12" s="3">
        <v>1</v>
      </c>
      <c r="E12" s="3">
        <v>192</v>
      </c>
      <c r="F12" s="3">
        <f t="shared" si="0"/>
        <v>86.195286195286187</v>
      </c>
      <c r="G12" s="3">
        <f>2/2</f>
        <v>1</v>
      </c>
    </row>
    <row r="14" spans="1:12" x14ac:dyDescent="0.2">
      <c r="A14" s="1" t="s">
        <v>17</v>
      </c>
      <c r="E14" s="3"/>
      <c r="G14" s="4" t="s">
        <v>77</v>
      </c>
      <c r="H14" s="4">
        <v>0.1</v>
      </c>
      <c r="J14" s="14"/>
      <c r="K14" s="14"/>
    </row>
    <row r="15" spans="1:12" x14ac:dyDescent="0.2">
      <c r="A15" s="3" t="s">
        <v>44</v>
      </c>
      <c r="B15" s="3" t="s">
        <v>46</v>
      </c>
      <c r="C15" s="3" t="s">
        <v>45</v>
      </c>
      <c r="D15" s="3"/>
      <c r="E15" s="3"/>
      <c r="G15" s="4" t="s">
        <v>78</v>
      </c>
      <c r="H15" s="15">
        <v>10000000</v>
      </c>
      <c r="J15" s="14"/>
      <c r="K15" s="14"/>
    </row>
    <row r="16" spans="1:12" x14ac:dyDescent="0.2">
      <c r="A16" s="3">
        <v>1</v>
      </c>
      <c r="B16" s="3">
        <f>-G7</f>
        <v>-2</v>
      </c>
      <c r="C16" s="3">
        <v>0</v>
      </c>
      <c r="D16" s="3" t="s">
        <v>42</v>
      </c>
      <c r="E16" s="3">
        <f t="array" ref="E16:E17">MMULT(MINVERSE(A16:B17),C16:C17)</f>
        <v>6.6309956441160285</v>
      </c>
      <c r="G16" s="4" t="s">
        <v>79</v>
      </c>
      <c r="H16" s="4">
        <v>3.3</v>
      </c>
      <c r="J16" s="14"/>
      <c r="K16" s="14"/>
    </row>
    <row r="17" spans="1:11" x14ac:dyDescent="0.2">
      <c r="A17" s="3">
        <v>1</v>
      </c>
      <c r="B17" s="3">
        <v>1</v>
      </c>
      <c r="C17" s="3">
        <f>F7</f>
        <v>9.9464934661740436</v>
      </c>
      <c r="D17" s="3" t="s">
        <v>43</v>
      </c>
      <c r="E17" s="3">
        <v>3.3154978220580142</v>
      </c>
      <c r="G17" s="4" t="s">
        <v>76</v>
      </c>
      <c r="H17" s="15">
        <v>1.0000000000000001E-15</v>
      </c>
      <c r="J17" s="14"/>
      <c r="K17" s="14"/>
    </row>
    <row r="18" spans="1:11" x14ac:dyDescent="0.2">
      <c r="G18" s="16" t="s">
        <v>73</v>
      </c>
      <c r="I18" s="3"/>
      <c r="J18" s="14"/>
      <c r="K18" s="14"/>
    </row>
    <row r="19" spans="1:11" x14ac:dyDescent="0.2">
      <c r="A19" s="1" t="s">
        <v>28</v>
      </c>
      <c r="E19" s="3"/>
      <c r="G19" s="17" t="s">
        <v>75</v>
      </c>
      <c r="H19" s="17" t="s">
        <v>83</v>
      </c>
      <c r="I19" s="17" t="s">
        <v>76</v>
      </c>
      <c r="J19" s="17" t="s">
        <v>89</v>
      </c>
      <c r="K19" s="19" t="s">
        <v>80</v>
      </c>
    </row>
    <row r="20" spans="1:11" x14ac:dyDescent="0.2">
      <c r="A20" s="3" t="s">
        <v>44</v>
      </c>
      <c r="B20" s="3" t="s">
        <v>46</v>
      </c>
      <c r="C20" s="3" t="s">
        <v>45</v>
      </c>
      <c r="D20" s="3"/>
      <c r="E20" s="3"/>
      <c r="G20" s="7" t="s">
        <v>74</v>
      </c>
      <c r="H20" s="7">
        <v>1</v>
      </c>
      <c r="I20" s="7">
        <f>3+3</f>
        <v>6</v>
      </c>
      <c r="J20" s="6">
        <f>E17</f>
        <v>3.3154978220580142</v>
      </c>
      <c r="K20" s="14">
        <f>H14*H15*H16^2*I20*H17*J20</f>
        <v>2.1663462769327061E-7</v>
      </c>
    </row>
    <row r="21" spans="1:11" x14ac:dyDescent="0.2">
      <c r="A21" s="3">
        <v>1</v>
      </c>
      <c r="B21" s="3">
        <f>-G8</f>
        <v>-2</v>
      </c>
      <c r="C21" s="3">
        <v>0</v>
      </c>
      <c r="D21" s="3" t="s">
        <v>42</v>
      </c>
      <c r="E21" s="3">
        <f t="array" ref="E21:E22">MMULT(MINVERSE(A21:B22),C21:C22)</f>
        <v>19.694057063024605</v>
      </c>
      <c r="G21" s="3" t="s">
        <v>74</v>
      </c>
      <c r="H21" s="3">
        <v>1</v>
      </c>
      <c r="I21">
        <f>3+3</f>
        <v>6</v>
      </c>
      <c r="J21" s="3">
        <f>E22</f>
        <v>9.8470285315123025</v>
      </c>
      <c r="K21" s="14">
        <f>H14*H15*H16^2*I21*H17*J21</f>
        <v>6.4340484424901376E-7</v>
      </c>
    </row>
    <row r="22" spans="1:11" x14ac:dyDescent="0.2">
      <c r="A22" s="3">
        <v>1</v>
      </c>
      <c r="B22" s="3">
        <v>1</v>
      </c>
      <c r="C22" s="3">
        <f>F8</f>
        <v>29.541085594536909</v>
      </c>
      <c r="D22" s="3" t="s">
        <v>43</v>
      </c>
      <c r="E22" s="3">
        <v>9.8470285315123025</v>
      </c>
      <c r="G22" s="3" t="s">
        <v>74</v>
      </c>
      <c r="H22" s="3">
        <v>16</v>
      </c>
      <c r="I22">
        <f>3+5*H22</f>
        <v>83</v>
      </c>
      <c r="J22" s="3">
        <f>E27</f>
        <v>29.245674738591539</v>
      </c>
      <c r="K22" s="14">
        <f>H14*H15*H16^2*I22*H17*J22</f>
        <v>2.6434288025970734E-5</v>
      </c>
    </row>
    <row r="23" spans="1:11" x14ac:dyDescent="0.2">
      <c r="G23" s="3" t="s">
        <v>95</v>
      </c>
      <c r="H23" s="3">
        <v>1</v>
      </c>
      <c r="I23">
        <v>12</v>
      </c>
      <c r="J23" s="3">
        <f>E31/2</f>
        <v>3.2572370240106334</v>
      </c>
      <c r="K23" s="14">
        <f>H14*H15*H16^2*I23*H17*J23</f>
        <v>4.2565573429770947E-7</v>
      </c>
    </row>
    <row r="24" spans="1:11" x14ac:dyDescent="0.2">
      <c r="A24" s="1" t="s">
        <v>30</v>
      </c>
      <c r="E24" s="3"/>
      <c r="G24" s="3" t="s">
        <v>74</v>
      </c>
      <c r="H24" s="3">
        <v>1</v>
      </c>
      <c r="I24">
        <v>7</v>
      </c>
      <c r="J24" s="3">
        <f>E37</f>
        <v>9.6739939613115808</v>
      </c>
      <c r="K24" s="14">
        <f>H15*H14*H16^2*I24*H17*J24</f>
        <v>7.3744855967078169E-7</v>
      </c>
    </row>
    <row r="25" spans="1:11" x14ac:dyDescent="0.2">
      <c r="A25" s="3" t="s">
        <v>44</v>
      </c>
      <c r="B25" s="3" t="s">
        <v>46</v>
      </c>
      <c r="C25" s="3" t="s">
        <v>45</v>
      </c>
      <c r="D25" s="3"/>
      <c r="E25" s="3"/>
      <c r="G25" t="s">
        <v>96</v>
      </c>
      <c r="H25">
        <v>1</v>
      </c>
      <c r="I25">
        <f>6+192</f>
        <v>198</v>
      </c>
      <c r="J25" s="3">
        <f>E41/2</f>
        <v>21.548821548821547</v>
      </c>
      <c r="K25" s="14">
        <f>H14*H15*H16^2*I25*H17*J25</f>
        <v>4.6463999999999987E-5</v>
      </c>
    </row>
    <row r="26" spans="1:11" x14ac:dyDescent="0.2">
      <c r="A26" s="3">
        <v>1</v>
      </c>
      <c r="B26" s="3">
        <f>-G9</f>
        <v>-2</v>
      </c>
      <c r="C26" s="3">
        <v>0</v>
      </c>
      <c r="D26" s="3" t="s">
        <v>42</v>
      </c>
      <c r="E26" s="3">
        <f t="array" ref="E26:E27">MMULT(MINVERSE(A26:B27),C26:C27)</f>
        <v>58.491349477183078</v>
      </c>
      <c r="G26" t="s">
        <v>84</v>
      </c>
      <c r="K26" s="20">
        <f>SUM(K20:K25)</f>
        <v>7.4921431791881503E-5</v>
      </c>
    </row>
    <row r="27" spans="1:11" x14ac:dyDescent="0.2">
      <c r="A27" s="3">
        <v>1</v>
      </c>
      <c r="B27" s="3">
        <v>1</v>
      </c>
      <c r="C27" s="3">
        <f>F9</f>
        <v>87.737024215774625</v>
      </c>
      <c r="D27" s="3" t="s">
        <v>43</v>
      </c>
      <c r="E27" s="3">
        <v>29.245674738591539</v>
      </c>
      <c r="G27" s="4" t="s">
        <v>90</v>
      </c>
      <c r="H27" s="4">
        <v>32</v>
      </c>
      <c r="J27" s="14" t="s">
        <v>97</v>
      </c>
      <c r="K27" s="14">
        <f>K26*H27</f>
        <v>2.3974858173402081E-3</v>
      </c>
    </row>
    <row r="28" spans="1:11" x14ac:dyDescent="0.2">
      <c r="G28" s="4" t="s">
        <v>99</v>
      </c>
      <c r="H28" s="4"/>
      <c r="I28" s="18">
        <v>1.1000000000000001</v>
      </c>
      <c r="J28" s="22" t="s">
        <v>98</v>
      </c>
      <c r="K28" s="19">
        <f>K27*I28</f>
        <v>2.637234399074229E-3</v>
      </c>
    </row>
    <row r="29" spans="1:11" x14ac:dyDescent="0.2">
      <c r="A29" s="1" t="s">
        <v>33</v>
      </c>
      <c r="E29" s="3"/>
    </row>
    <row r="30" spans="1:11" x14ac:dyDescent="0.2">
      <c r="A30" s="3" t="s">
        <v>44</v>
      </c>
      <c r="B30" s="3" t="s">
        <v>46</v>
      </c>
      <c r="C30" s="3" t="s">
        <v>45</v>
      </c>
      <c r="D30" s="3"/>
      <c r="E30" s="3"/>
    </row>
    <row r="31" spans="1:11" x14ac:dyDescent="0.2">
      <c r="A31" s="3">
        <v>1</v>
      </c>
      <c r="B31" s="3">
        <f>-G10</f>
        <v>-0.66666666666666663</v>
      </c>
      <c r="C31" s="3">
        <v>0</v>
      </c>
      <c r="D31" s="3" t="s">
        <v>42</v>
      </c>
      <c r="E31" s="3">
        <f t="array" ref="E31:E32">MMULT(MINVERSE(A31:B32),C31:C32)</f>
        <v>6.5144740480212668</v>
      </c>
      <c r="G31" s="8" t="s">
        <v>58</v>
      </c>
    </row>
    <row r="32" spans="1:11" x14ac:dyDescent="0.2">
      <c r="A32" s="3">
        <v>1</v>
      </c>
      <c r="B32" s="3">
        <v>1</v>
      </c>
      <c r="C32" s="3">
        <f>F10</f>
        <v>16.286185120053165</v>
      </c>
      <c r="D32" s="3" t="s">
        <v>43</v>
      </c>
      <c r="E32" s="3">
        <v>9.7717110720319003</v>
      </c>
      <c r="G32" s="8" t="s">
        <v>71</v>
      </c>
    </row>
    <row r="33" spans="1:11" x14ac:dyDescent="0.2">
      <c r="G33" s="7"/>
      <c r="H33" t="s">
        <v>61</v>
      </c>
      <c r="I33" t="s">
        <v>60</v>
      </c>
    </row>
    <row r="34" spans="1:11" x14ac:dyDescent="0.2">
      <c r="A34" s="1" t="s">
        <v>104</v>
      </c>
      <c r="E34" s="3"/>
      <c r="G34" t="s">
        <v>102</v>
      </c>
      <c r="H34">
        <v>14</v>
      </c>
      <c r="I34">
        <v>9</v>
      </c>
      <c r="J34" t="s">
        <v>64</v>
      </c>
      <c r="K34">
        <f>10*H35 + H34</f>
        <v>64</v>
      </c>
    </row>
    <row r="35" spans="1:11" x14ac:dyDescent="0.2">
      <c r="A35" s="3" t="s">
        <v>44</v>
      </c>
      <c r="B35" s="3" t="s">
        <v>46</v>
      </c>
      <c r="C35" s="3" t="s">
        <v>45</v>
      </c>
      <c r="D35" s="3"/>
      <c r="E35" s="3"/>
      <c r="G35" t="s">
        <v>72</v>
      </c>
      <c r="H35">
        <v>5</v>
      </c>
      <c r="I35">
        <v>13</v>
      </c>
      <c r="J35" t="s">
        <v>65</v>
      </c>
      <c r="K35">
        <f>I35+32*I34</f>
        <v>301</v>
      </c>
    </row>
    <row r="36" spans="1:11" x14ac:dyDescent="0.2">
      <c r="A36" s="3">
        <v>1</v>
      </c>
      <c r="B36" s="3">
        <f>-G11</f>
        <v>-2</v>
      </c>
      <c r="C36" s="3">
        <v>0</v>
      </c>
      <c r="D36" s="3" t="s">
        <v>42</v>
      </c>
      <c r="E36" s="3">
        <f t="array" ref="E36:E37">MMULT(MINVERSE(A36:B37),C36:C37)</f>
        <v>19.347987922623162</v>
      </c>
      <c r="G36" s="4" t="s">
        <v>11</v>
      </c>
      <c r="H36" s="4">
        <v>0.2</v>
      </c>
      <c r="J36" t="s">
        <v>67</v>
      </c>
      <c r="K36">
        <f>K34*K35*H37</f>
        <v>154112</v>
      </c>
    </row>
    <row r="37" spans="1:11" x14ac:dyDescent="0.2">
      <c r="A37" s="3">
        <v>1</v>
      </c>
      <c r="B37" s="3">
        <v>1</v>
      </c>
      <c r="C37" s="3">
        <f>F11</f>
        <v>29.021981883934743</v>
      </c>
      <c r="D37" s="3" t="s">
        <v>43</v>
      </c>
      <c r="E37" s="3">
        <v>9.6739939613115808</v>
      </c>
      <c r="G37" s="4" t="s">
        <v>66</v>
      </c>
      <c r="H37" s="4">
        <v>8</v>
      </c>
      <c r="J37" t="s">
        <v>68</v>
      </c>
      <c r="K37">
        <f>K36*H36</f>
        <v>30822.400000000001</v>
      </c>
    </row>
    <row r="39" spans="1:11" x14ac:dyDescent="0.2">
      <c r="A39" s="1" t="s">
        <v>38</v>
      </c>
      <c r="E39" s="3"/>
    </row>
    <row r="40" spans="1:11" x14ac:dyDescent="0.2">
      <c r="A40" s="3" t="s">
        <v>44</v>
      </c>
      <c r="B40" s="3" t="s">
        <v>46</v>
      </c>
      <c r="C40" s="3" t="s">
        <v>45</v>
      </c>
      <c r="D40" s="3"/>
      <c r="E40" s="3"/>
    </row>
    <row r="41" spans="1:11" x14ac:dyDescent="0.2">
      <c r="A41" s="3">
        <v>1</v>
      </c>
      <c r="B41" s="3">
        <f>-G12</f>
        <v>-1</v>
      </c>
      <c r="C41" s="3">
        <v>0</v>
      </c>
      <c r="D41" s="3" t="s">
        <v>42</v>
      </c>
      <c r="E41" s="3">
        <f t="array" ref="E41:E42">MMULT(MINVERSE(A41:B42),C41:C42)</f>
        <v>43.097643097643093</v>
      </c>
    </row>
    <row r="42" spans="1:11" x14ac:dyDescent="0.2">
      <c r="A42" s="3">
        <v>1</v>
      </c>
      <c r="B42" s="3">
        <v>1</v>
      </c>
      <c r="C42" s="3">
        <f>F12</f>
        <v>86.195286195286187</v>
      </c>
      <c r="D42" s="3" t="s">
        <v>43</v>
      </c>
      <c r="E42" s="3">
        <v>43.097643097643093</v>
      </c>
    </row>
  </sheetData>
  <phoneticPr fontId="5" type="noConversion"/>
  <pageMargins left="0.7" right="0.7" top="0.75" bottom="0.75" header="0.3" footer="0.3"/>
  <pageSetup scale="64" orientation="landscape" horizontalDpi="0" verticalDpi="0"/>
  <rowBreaks count="1" manualBreakCount="1">
    <brk id="42" max="16383" man="1"/>
  </rowBreaks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H5" sqref="H5"/>
    </sheetView>
  </sheetViews>
  <sheetFormatPr baseColWidth="10" defaultRowHeight="16" x14ac:dyDescent="0.2"/>
  <sheetData>
    <row r="1" spans="1:6" x14ac:dyDescent="0.2">
      <c r="A1" t="s">
        <v>40</v>
      </c>
    </row>
    <row r="2" spans="1:6" x14ac:dyDescent="0.2">
      <c r="A2" s="3" t="s">
        <v>34</v>
      </c>
      <c r="B2" s="3"/>
      <c r="C2" s="3"/>
      <c r="D2" s="3"/>
    </row>
    <row r="3" spans="1:6" x14ac:dyDescent="0.2">
      <c r="A3" s="3"/>
      <c r="B3" s="3"/>
      <c r="C3" s="3"/>
      <c r="D3" s="3"/>
    </row>
    <row r="4" spans="1:6" x14ac:dyDescent="0.2">
      <c r="A4" t="s">
        <v>35</v>
      </c>
      <c r="B4" s="3"/>
      <c r="C4" s="3"/>
      <c r="D4" s="3"/>
      <c r="E4" s="3"/>
      <c r="F4" s="3"/>
    </row>
    <row r="5" spans="1:6" x14ac:dyDescent="0.2">
      <c r="A5" s="1" t="s">
        <v>16</v>
      </c>
      <c r="B5" s="2" t="s">
        <v>19</v>
      </c>
      <c r="C5" s="2" t="s">
        <v>23</v>
      </c>
      <c r="D5" s="2" t="s">
        <v>27</v>
      </c>
      <c r="E5" s="2" t="s">
        <v>25</v>
      </c>
      <c r="F5" s="2" t="s">
        <v>26</v>
      </c>
    </row>
    <row r="6" spans="1:6" x14ac:dyDescent="0.2">
      <c r="A6" t="s">
        <v>17</v>
      </c>
      <c r="B6" s="3">
        <v>1</v>
      </c>
      <c r="C6" s="3">
        <v>3.69</v>
      </c>
      <c r="D6" s="3">
        <v>1</v>
      </c>
      <c r="E6" s="3">
        <f>F7</f>
        <v>36.821648927490934</v>
      </c>
      <c r="F6" s="3">
        <f>E6*D6*B6/C6</f>
        <v>9.9787666470165135</v>
      </c>
    </row>
    <row r="7" spans="1:6" x14ac:dyDescent="0.2">
      <c r="A7" t="s">
        <v>28</v>
      </c>
      <c r="B7" s="3">
        <v>1</v>
      </c>
      <c r="C7" s="3">
        <v>3.69</v>
      </c>
      <c r="D7" s="3">
        <v>16</v>
      </c>
      <c r="E7" s="3">
        <f>F8</f>
        <v>8.4919927839025959</v>
      </c>
      <c r="F7" s="3">
        <f>E7*D7*B7/C7</f>
        <v>36.821648927490934</v>
      </c>
    </row>
    <row r="8" spans="1:6" x14ac:dyDescent="0.2">
      <c r="A8" t="s">
        <v>33</v>
      </c>
      <c r="B8" s="3">
        <f>5/3</f>
        <v>1.6666666666666667</v>
      </c>
      <c r="C8" s="3">
        <v>3.69</v>
      </c>
      <c r="D8" s="3">
        <v>1</v>
      </c>
      <c r="E8" s="3">
        <f>F9</f>
        <v>18.801272023560344</v>
      </c>
      <c r="F8" s="3">
        <f>E8*D8*B8/C8</f>
        <v>8.4919927839025959</v>
      </c>
    </row>
    <row r="9" spans="1:6" x14ac:dyDescent="0.2">
      <c r="A9" t="s">
        <v>31</v>
      </c>
      <c r="B9" s="3">
        <f>4/3</f>
        <v>1.3333333333333333</v>
      </c>
      <c r="C9" s="3">
        <v>3.69</v>
      </c>
      <c r="D9" s="3">
        <v>1</v>
      </c>
      <c r="E9" s="3">
        <f>F10</f>
        <v>52.032520325203251</v>
      </c>
      <c r="F9" s="3">
        <f>E9*D9*B9/C9</f>
        <v>18.801272023560344</v>
      </c>
    </row>
    <row r="10" spans="1:6" x14ac:dyDescent="0.2">
      <c r="A10" t="s">
        <v>32</v>
      </c>
      <c r="B10" s="3">
        <v>1</v>
      </c>
      <c r="C10" s="3">
        <v>3.69</v>
      </c>
      <c r="D10" s="3">
        <v>1</v>
      </c>
      <c r="E10" s="3">
        <v>192</v>
      </c>
      <c r="F10" s="3">
        <f>E10*D10*B10/C10</f>
        <v>52.032520325203251</v>
      </c>
    </row>
    <row r="11" spans="1:6" x14ac:dyDescent="0.2">
      <c r="A11" s="3"/>
      <c r="B11" s="3"/>
      <c r="C11" s="3"/>
      <c r="D11" s="3"/>
    </row>
    <row r="12" spans="1:6" x14ac:dyDescent="0.2">
      <c r="A12" t="s">
        <v>36</v>
      </c>
      <c r="B12" s="3"/>
      <c r="C12" s="3"/>
      <c r="D12" s="3"/>
      <c r="E12" s="3"/>
      <c r="F12" s="3"/>
    </row>
    <row r="13" spans="1:6" x14ac:dyDescent="0.2">
      <c r="A13" s="1" t="s">
        <v>16</v>
      </c>
      <c r="B13" s="2" t="s">
        <v>19</v>
      </c>
      <c r="C13" s="2" t="s">
        <v>23</v>
      </c>
      <c r="D13" s="2" t="s">
        <v>27</v>
      </c>
      <c r="E13" s="2" t="s">
        <v>25</v>
      </c>
      <c r="F13" s="2" t="s">
        <v>26</v>
      </c>
    </row>
    <row r="14" spans="1:6" x14ac:dyDescent="0.2">
      <c r="A14" t="s">
        <v>17</v>
      </c>
      <c r="B14" s="3">
        <v>1</v>
      </c>
      <c r="C14" s="3">
        <v>3.69</v>
      </c>
      <c r="D14" s="3">
        <v>1</v>
      </c>
      <c r="E14" s="3">
        <f>F15</f>
        <v>36.821648927490934</v>
      </c>
      <c r="F14" s="3">
        <f>E14*D14*B14/C14</f>
        <v>9.9787666470165135</v>
      </c>
    </row>
    <row r="15" spans="1:6" x14ac:dyDescent="0.2">
      <c r="A15" t="s">
        <v>28</v>
      </c>
      <c r="B15" s="3">
        <v>1</v>
      </c>
      <c r="C15" s="3">
        <v>3.69</v>
      </c>
      <c r="D15" s="3">
        <v>1</v>
      </c>
      <c r="E15" s="3">
        <f>F16</f>
        <v>135.87188454244153</v>
      </c>
      <c r="F15" s="3">
        <f>E15*D15*B15/C15</f>
        <v>36.821648927490934</v>
      </c>
    </row>
    <row r="16" spans="1:6" x14ac:dyDescent="0.2">
      <c r="A16" t="s">
        <v>30</v>
      </c>
      <c r="B16" s="3">
        <v>1</v>
      </c>
      <c r="C16" s="3">
        <v>3.69</v>
      </c>
      <c r="D16" s="3">
        <v>16</v>
      </c>
      <c r="E16" s="3">
        <f>F17</f>
        <v>31.335453372600579</v>
      </c>
      <c r="F16" s="3">
        <f>E16*D16*B16/C16</f>
        <v>135.87188454244153</v>
      </c>
    </row>
    <row r="17" spans="1:11" x14ac:dyDescent="0.2">
      <c r="A17" t="s">
        <v>37</v>
      </c>
      <c r="B17" s="3">
        <f>5/3</f>
        <v>1.6666666666666667</v>
      </c>
      <c r="C17" s="3">
        <v>3.69</v>
      </c>
      <c r="D17" s="3">
        <v>1</v>
      </c>
      <c r="E17" s="3">
        <f>F18</f>
        <v>69.376693766937677</v>
      </c>
      <c r="F17" s="3">
        <f>E17*D17*B17/C17</f>
        <v>31.335453372600579</v>
      </c>
    </row>
    <row r="18" spans="1:11" x14ac:dyDescent="0.2">
      <c r="A18" t="s">
        <v>38</v>
      </c>
      <c r="B18" s="3">
        <f>4/3</f>
        <v>1.3333333333333333</v>
      </c>
      <c r="C18" s="3">
        <v>3.69</v>
      </c>
      <c r="D18" s="3">
        <v>1</v>
      </c>
      <c r="E18" s="3">
        <v>192</v>
      </c>
      <c r="F18" s="3">
        <f>E18*D18*B18/C18</f>
        <v>69.376693766937677</v>
      </c>
    </row>
    <row r="20" spans="1:11" x14ac:dyDescent="0.2">
      <c r="A20" s="1" t="s">
        <v>0</v>
      </c>
      <c r="B20" s="2" t="s">
        <v>1</v>
      </c>
      <c r="C20" s="2" t="s">
        <v>2</v>
      </c>
      <c r="D20" s="2" t="s">
        <v>20</v>
      </c>
      <c r="E20" s="2" t="s">
        <v>23</v>
      </c>
      <c r="F20" s="2" t="s">
        <v>24</v>
      </c>
      <c r="G20" s="2" t="s">
        <v>3</v>
      </c>
      <c r="H20" s="9" t="s">
        <v>4</v>
      </c>
      <c r="I20" s="9" t="s">
        <v>5</v>
      </c>
      <c r="J20" s="2" t="s">
        <v>6</v>
      </c>
      <c r="K20" s="2" t="s">
        <v>7</v>
      </c>
    </row>
    <row r="21" spans="1:11" x14ac:dyDescent="0.2">
      <c r="A21" t="s">
        <v>14</v>
      </c>
      <c r="B21" s="3">
        <v>2.3333300000000001</v>
      </c>
      <c r="C21" s="3">
        <v>6</v>
      </c>
      <c r="D21" s="3">
        <f>B21*B26*B27</f>
        <v>716.79897600000004</v>
      </c>
      <c r="E21" s="3">
        <f>D21^(1/2)</f>
        <v>26.773101725425839</v>
      </c>
      <c r="F21" s="3">
        <f>E21*2</f>
        <v>53.546203450851678</v>
      </c>
      <c r="G21" s="3">
        <f>F21+C21</f>
        <v>59.546203450851678</v>
      </c>
      <c r="H21" s="10">
        <f>'2-stage'!E25</f>
        <v>60944</v>
      </c>
      <c r="I21" s="10">
        <f>'2-stage'!E26</f>
        <v>12188.800000000001</v>
      </c>
      <c r="J21" s="3"/>
      <c r="K21" s="3"/>
    </row>
    <row r="22" spans="1:11" x14ac:dyDescent="0.2">
      <c r="A22" t="s">
        <v>15</v>
      </c>
      <c r="B22" s="3">
        <v>2.3333300000000001</v>
      </c>
      <c r="C22" s="3">
        <v>7</v>
      </c>
      <c r="D22" s="3">
        <f>B22*B26*B27</f>
        <v>716.79897600000004</v>
      </c>
      <c r="E22" s="3">
        <f>D22^(1/3)</f>
        <v>8.9495072749769857</v>
      </c>
      <c r="F22" s="3">
        <f>E22*3</f>
        <v>26.848521824930955</v>
      </c>
      <c r="G22" s="3">
        <f>F22+C22</f>
        <v>33.848521824930955</v>
      </c>
      <c r="H22" s="10">
        <f>'3-stage'!E31</f>
        <v>133056</v>
      </c>
      <c r="I22" s="10">
        <f>'3-stage'!E32</f>
        <v>26611.200000000001</v>
      </c>
      <c r="J22" s="3"/>
      <c r="K22" s="3"/>
    </row>
    <row r="23" spans="1:11" x14ac:dyDescent="0.2">
      <c r="A23" t="s">
        <v>39</v>
      </c>
      <c r="B23" s="3">
        <f>20/9</f>
        <v>2.2222222222222223</v>
      </c>
      <c r="C23" s="3">
        <v>7</v>
      </c>
      <c r="D23" s="3">
        <f>B23*B26*B27</f>
        <v>682.66666666666663</v>
      </c>
      <c r="E23" s="3">
        <f>D23^(1/4)</f>
        <v>5.1115448339701794</v>
      </c>
      <c r="F23" s="3">
        <f>E23*4</f>
        <v>20.446179335880718</v>
      </c>
      <c r="G23" s="3">
        <f>F23+C23</f>
        <v>27.446179335880718</v>
      </c>
      <c r="H23" s="10">
        <f>'4-stage'!E37</f>
        <v>79696</v>
      </c>
      <c r="I23" s="10">
        <f>'4-stage'!E38</f>
        <v>15939.2</v>
      </c>
      <c r="J23" s="3"/>
      <c r="K23" s="3"/>
    </row>
    <row r="24" spans="1:11" x14ac:dyDescent="0.2">
      <c r="A24" s="11" t="s">
        <v>35</v>
      </c>
      <c r="B24" s="12">
        <f>20/9</f>
        <v>2.2222222222222223</v>
      </c>
      <c r="C24" s="12">
        <v>8</v>
      </c>
      <c r="D24" s="12">
        <f>B24*B26*B27</f>
        <v>682.66666666666663</v>
      </c>
      <c r="E24" s="12">
        <f>D24^(1/5)</f>
        <v>3.6884316459269111</v>
      </c>
      <c r="F24" s="12">
        <f>E24*5</f>
        <v>18.442158229634554</v>
      </c>
      <c r="G24" s="12">
        <f>F24+C24</f>
        <v>26.442158229634554</v>
      </c>
      <c r="H24" s="13">
        <f>'5-stage'!E43</f>
        <v>152064</v>
      </c>
      <c r="I24" s="13">
        <f>'5-stage'!E44</f>
        <v>30412.800000000003</v>
      </c>
      <c r="J24" s="3"/>
      <c r="K24" s="3"/>
    </row>
    <row r="25" spans="1:11" x14ac:dyDescent="0.2">
      <c r="A25" t="s">
        <v>54</v>
      </c>
      <c r="B25" s="3">
        <f>20/9</f>
        <v>2.2222222222222223</v>
      </c>
      <c r="C25" s="3">
        <v>9</v>
      </c>
      <c r="D25" s="3">
        <f>B25*B26*B27</f>
        <v>682.66666666666663</v>
      </c>
      <c r="E25" s="3">
        <f>D25^(1/6)</f>
        <v>2.9673455023616087</v>
      </c>
      <c r="F25" s="3">
        <f>E25*6</f>
        <v>17.804073014169653</v>
      </c>
      <c r="G25" s="3">
        <f>F25+C25</f>
        <v>26.804073014169653</v>
      </c>
      <c r="H25" s="10">
        <f>'6-stage'!K36</f>
        <v>154112</v>
      </c>
      <c r="I25" s="10">
        <f>'6-stage'!K37</f>
        <v>30822.400000000001</v>
      </c>
      <c r="J25" s="3"/>
      <c r="K25" s="3"/>
    </row>
    <row r="26" spans="1:11" x14ac:dyDescent="0.2">
      <c r="A26" s="4" t="s">
        <v>21</v>
      </c>
      <c r="B26" s="5">
        <v>16</v>
      </c>
      <c r="C26" s="3"/>
      <c r="D26" s="3"/>
      <c r="E26" s="3"/>
      <c r="F26" s="3"/>
      <c r="G26" s="3"/>
      <c r="H26" s="10"/>
      <c r="I26" s="10"/>
      <c r="J26" s="3"/>
      <c r="K26" s="3"/>
    </row>
    <row r="27" spans="1:11" x14ac:dyDescent="0.2">
      <c r="A27" s="4" t="s">
        <v>22</v>
      </c>
      <c r="B27" s="5">
        <v>19.2</v>
      </c>
      <c r="C27" s="3"/>
      <c r="D27" s="3"/>
      <c r="E27" s="3"/>
      <c r="F27" s="3"/>
      <c r="G27" s="3"/>
      <c r="H27" s="10"/>
      <c r="I27" s="10"/>
      <c r="J27" s="3"/>
      <c r="K27" s="3"/>
    </row>
    <row r="28" spans="1:11" x14ac:dyDescent="0.2">
      <c r="B28" s="3"/>
      <c r="C28" s="3"/>
      <c r="D28" s="3"/>
      <c r="E28" s="3"/>
      <c r="F28" s="3"/>
      <c r="G28" s="3"/>
      <c r="H28" s="10"/>
      <c r="I28" s="10"/>
      <c r="J28" s="3"/>
      <c r="K28" s="3"/>
    </row>
    <row r="29" spans="1:11" x14ac:dyDescent="0.2">
      <c r="A29" s="1" t="s">
        <v>0</v>
      </c>
      <c r="B29" s="2" t="s">
        <v>9</v>
      </c>
      <c r="C29" s="2" t="s">
        <v>10</v>
      </c>
      <c r="D29" s="2"/>
      <c r="E29" s="3"/>
      <c r="F29" s="2" t="s">
        <v>8</v>
      </c>
      <c r="G29" s="2" t="s">
        <v>13</v>
      </c>
      <c r="H29" s="10"/>
      <c r="I29" s="10"/>
      <c r="J29" s="3"/>
      <c r="K29" s="3"/>
    </row>
    <row r="30" spans="1:11" x14ac:dyDescent="0.2">
      <c r="A30" t="s">
        <v>14</v>
      </c>
      <c r="B30" s="3">
        <v>8</v>
      </c>
      <c r="C30" s="3">
        <v>5</v>
      </c>
      <c r="D30" s="3"/>
      <c r="E30" s="3"/>
      <c r="F30" s="3">
        <f>B30*8*B35</f>
        <v>12.8</v>
      </c>
      <c r="G30" s="3">
        <f>C30*8*B36*B35</f>
        <v>256</v>
      </c>
      <c r="H30" s="10"/>
      <c r="I30" s="10"/>
      <c r="J30" s="3"/>
      <c r="K30" s="3"/>
    </row>
    <row r="31" spans="1:11" x14ac:dyDescent="0.2">
      <c r="A31" t="s">
        <v>15</v>
      </c>
      <c r="B31" s="3"/>
      <c r="C31" s="3"/>
      <c r="D31" s="3"/>
      <c r="E31" s="3"/>
      <c r="F31" s="3"/>
      <c r="G31" s="3"/>
      <c r="H31" s="10"/>
      <c r="I31" s="10"/>
      <c r="J31" s="3"/>
      <c r="K31" s="3"/>
    </row>
    <row r="32" spans="1:11" x14ac:dyDescent="0.2">
      <c r="A32" t="s">
        <v>39</v>
      </c>
      <c r="B32" s="3"/>
      <c r="C32" s="3"/>
      <c r="D32" s="3"/>
      <c r="E32" s="3"/>
      <c r="F32" s="3"/>
      <c r="G32" s="3"/>
      <c r="H32" s="10"/>
      <c r="I32" s="10"/>
      <c r="J32" s="3"/>
      <c r="K32" s="3"/>
    </row>
    <row r="33" spans="1:11" x14ac:dyDescent="0.2">
      <c r="A33" t="s">
        <v>35</v>
      </c>
      <c r="B33" s="3"/>
      <c r="C33" s="3"/>
      <c r="D33" s="3"/>
      <c r="E33" s="3"/>
      <c r="F33" s="3"/>
      <c r="G33" s="3"/>
      <c r="H33" s="10"/>
      <c r="I33" s="10"/>
      <c r="J33" s="3"/>
      <c r="K33" s="3"/>
    </row>
    <row r="34" spans="1:11" x14ac:dyDescent="0.2">
      <c r="A34" t="s">
        <v>54</v>
      </c>
      <c r="B34" s="3"/>
      <c r="C34" s="3"/>
      <c r="D34" s="3"/>
      <c r="E34" s="3"/>
      <c r="F34" s="3"/>
      <c r="G34" s="3"/>
      <c r="H34" s="10"/>
      <c r="I34" s="10"/>
      <c r="J34" s="3"/>
      <c r="K34" s="3"/>
    </row>
    <row r="35" spans="1:11" x14ac:dyDescent="0.2">
      <c r="A35" s="4" t="s">
        <v>11</v>
      </c>
      <c r="B35" s="5">
        <v>0.2</v>
      </c>
      <c r="C35" s="3"/>
      <c r="D35" s="3"/>
      <c r="E35" s="3"/>
      <c r="F35" s="3"/>
      <c r="G35" s="3"/>
      <c r="H35" s="10"/>
      <c r="I35" s="10"/>
      <c r="J35" s="3"/>
      <c r="K35" s="3"/>
    </row>
    <row r="36" spans="1:11" x14ac:dyDescent="0.2">
      <c r="A36" s="4" t="s">
        <v>12</v>
      </c>
      <c r="B36" s="5">
        <v>32</v>
      </c>
      <c r="C36" s="3"/>
      <c r="D36" s="3"/>
      <c r="E36" s="3"/>
      <c r="F36" s="3"/>
      <c r="G36" s="3"/>
      <c r="H36" s="10"/>
      <c r="I36" s="10"/>
      <c r="J36" s="3"/>
      <c r="K36" s="3"/>
    </row>
    <row r="41" spans="1:11" x14ac:dyDescent="0.2">
      <c r="B41" s="3"/>
      <c r="C41" s="3"/>
      <c r="D41" s="3"/>
      <c r="E41" s="3"/>
      <c r="F41" s="3"/>
      <c r="G41" s="3"/>
      <c r="H41" s="10"/>
      <c r="I41" s="10"/>
      <c r="J41" s="3"/>
      <c r="K41" s="3"/>
    </row>
  </sheetData>
  <phoneticPr fontId="5" type="noConversion"/>
  <pageMargins left="0.7" right="0.7" top="0.75" bottom="0.75" header="0.3" footer="0.3"/>
  <pageSetup scale="87" orientation="landscape" horizontalDpi="0" verticalDpi="0"/>
  <rowBreaks count="1" manualBreakCount="1">
    <brk id="36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2-stage</vt:lpstr>
      <vt:lpstr>3-stage</vt:lpstr>
      <vt:lpstr>4-stage</vt:lpstr>
      <vt:lpstr>5-stage</vt:lpstr>
      <vt:lpstr>6-stage</vt:lpstr>
      <vt:lpstr>scrap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2016-10-28T03:53:30Z</cp:lastPrinted>
  <dcterms:created xsi:type="dcterms:W3CDTF">2016-10-16T22:42:10Z</dcterms:created>
  <dcterms:modified xsi:type="dcterms:W3CDTF">2016-10-28T19:42:10Z</dcterms:modified>
</cp:coreProperties>
</file>